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eecagovtnz.sharepoint.com/sites/MarketingandCommunications/Shared Documents/Digital Team/Digital Projects/Electrify your home tool/"/>
    </mc:Choice>
  </mc:AlternateContent>
  <xr:revisionPtr revIDLastSave="0" documentId="8_{C23E76F2-8A70-46D3-82AC-738DADDD1630}" xr6:coauthVersionLast="47" xr6:coauthVersionMax="47" xr10:uidLastSave="{00000000-0000-0000-0000-000000000000}"/>
  <bookViews>
    <workbookView xWindow="28680" yWindow="-120" windowWidth="29040" windowHeight="15720" xr2:uid="{00000000-000D-0000-FFFF-FFFF00000000}"/>
  </bookViews>
  <sheets>
    <sheet name="Machines" sheetId="1" r:id="rId1"/>
    <sheet name="Full home" sheetId="2" r:id="rId2"/>
    <sheet name="Solar on mortgage" sheetId="3" r:id="rId3"/>
    <sheet name="Emissions pathway example" sheetId="4" r:id="rId4"/>
    <sheet name="Energy prices" sheetId="5" r:id="rId5"/>
    <sheet name="CPI Energy" sheetId="6" r:id="rId6"/>
    <sheet name="Misc" sheetId="7" r:id="rId7"/>
    <sheet name="Learning rates" sheetId="8" r:id="rId8"/>
    <sheet name="RBS summary" sheetId="9" r:id="rId9"/>
    <sheet name="Product prices" sheetId="10" r:id="rId10"/>
    <sheet name="Vehicles" sheetId="11" r:id="rId11"/>
    <sheet name="Sheet58" sheetId="12" r:id="rId12"/>
    <sheet name="Load Profiles" sheetId="13" r:id="rId13"/>
    <sheet name="Solar usage" sheetId="14" r:id="rId14"/>
    <sheet name="Load pivot" sheetId="15" r:id="rId15"/>
    <sheet name="National average solar data" sheetId="16" r:id="rId16"/>
    <sheet name="RBNZ rates" sheetId="17" r:id="rId17"/>
    <sheet name="MBIE Energy prices (nom.)" sheetId="18" r:id="rId18"/>
    <sheet name="CPI Oct 2023" sheetId="19" r:id="rId19"/>
    <sheet name="Ppl and cars per home" sheetId="20" r:id="rId20"/>
    <sheet name="Home expenditure" sheetId="21" r:id="rId21"/>
    <sheet name="1 - Quarterly GWh" sheetId="22" r:id="rId22"/>
    <sheet name="2 - Annual GWh" sheetId="23" r:id="rId23"/>
    <sheet name="3 - Quarterly PJ" sheetId="24" r:id="rId24"/>
    <sheet name="4 - Annual PJ" sheetId="25" r:id="rId25"/>
    <sheet name="5 - Electricity Balance" sheetId="26" r:id="rId26"/>
    <sheet name="Embedded emissions" sheetId="27" r:id="rId27"/>
  </sheets>
  <definedNames>
    <definedName name="hydro_temp" localSheetId="25">#REF!</definedName>
    <definedName name="hydro_temp">#REF!</definedName>
    <definedName name="input_05" localSheetId="25">#REF!</definedName>
    <definedName name="input_05">#REF!</definedName>
    <definedName name="temp" localSheetId="25">#REF!</definedName>
    <definedName name="temp">#REF!</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5" i="1" l="1"/>
  <c r="O155" i="1"/>
  <c r="P155" i="1"/>
  <c r="Q155" i="1"/>
  <c r="R155" i="1"/>
  <c r="M155" i="1"/>
  <c r="N92" i="1"/>
  <c r="O92" i="1"/>
  <c r="P92" i="1"/>
  <c r="Q92" i="1"/>
  <c r="M92" i="1"/>
  <c r="B14" i="27"/>
  <c r="A14" i="27"/>
  <c r="M5" i="27"/>
  <c r="C5" i="27" s="1"/>
  <c r="D5" i="27"/>
  <c r="K4" i="27"/>
  <c r="C7" i="27" s="1"/>
  <c r="C4" i="27"/>
  <c r="C49" i="27" s="1"/>
  <c r="K3" i="27"/>
  <c r="C6" i="27" s="1"/>
  <c r="O14" i="26"/>
  <c r="O13" i="26"/>
  <c r="O12" i="26"/>
  <c r="N5" i="26"/>
  <c r="M5" i="26"/>
  <c r="AZ38" i="23"/>
  <c r="C15" i="21"/>
  <c r="C13" i="21"/>
  <c r="C12" i="21"/>
  <c r="C11" i="21"/>
  <c r="C10" i="21"/>
  <c r="C9" i="21"/>
  <c r="C8" i="21"/>
  <c r="C7" i="21"/>
  <c r="C6" i="21"/>
  <c r="C5" i="21"/>
  <c r="C4" i="21"/>
  <c r="H115" i="20"/>
  <c r="G115" i="20"/>
  <c r="F115" i="20"/>
  <c r="E115" i="20"/>
  <c r="D115" i="20"/>
  <c r="C115" i="20"/>
  <c r="B115" i="20"/>
  <c r="H114" i="20"/>
  <c r="G114" i="20"/>
  <c r="F114" i="20"/>
  <c r="E114" i="20"/>
  <c r="D114" i="20"/>
  <c r="C114" i="20"/>
  <c r="B114" i="20"/>
  <c r="H113" i="20"/>
  <c r="G113" i="20"/>
  <c r="F113" i="20"/>
  <c r="E113" i="20"/>
  <c r="D113" i="20"/>
  <c r="C113" i="20"/>
  <c r="B113" i="20"/>
  <c r="H112" i="20"/>
  <c r="G112" i="20"/>
  <c r="F112" i="20"/>
  <c r="E112" i="20"/>
  <c r="D112" i="20"/>
  <c r="C112" i="20"/>
  <c r="B112" i="20"/>
  <c r="H111" i="20"/>
  <c r="G111" i="20"/>
  <c r="F111" i="20"/>
  <c r="E111" i="20"/>
  <c r="D111" i="20"/>
  <c r="C111" i="20"/>
  <c r="B111" i="20"/>
  <c r="H110" i="20"/>
  <c r="G110" i="20"/>
  <c r="F110" i="20"/>
  <c r="E110" i="20"/>
  <c r="D110" i="20"/>
  <c r="C110" i="20"/>
  <c r="B110" i="20"/>
  <c r="H109" i="20"/>
  <c r="G109" i="20"/>
  <c r="F109" i="20"/>
  <c r="E109" i="20"/>
  <c r="D109" i="20"/>
  <c r="C109" i="20"/>
  <c r="B109" i="20"/>
  <c r="H108" i="20"/>
  <c r="G108" i="20"/>
  <c r="F108" i="20"/>
  <c r="E108" i="20"/>
  <c r="D108" i="20"/>
  <c r="C108" i="20"/>
  <c r="B108" i="20"/>
  <c r="H107" i="20"/>
  <c r="G107" i="20"/>
  <c r="F107" i="20"/>
  <c r="E107" i="20"/>
  <c r="D107" i="20"/>
  <c r="C107" i="20"/>
  <c r="B107" i="20"/>
  <c r="H106" i="20"/>
  <c r="G106" i="20"/>
  <c r="F106" i="20"/>
  <c r="E106" i="20"/>
  <c r="D106" i="20"/>
  <c r="C106" i="20"/>
  <c r="B106" i="20"/>
  <c r="H105" i="20"/>
  <c r="G105" i="20"/>
  <c r="F105" i="20"/>
  <c r="E105" i="20"/>
  <c r="D105" i="20"/>
  <c r="C105" i="20"/>
  <c r="B105" i="20"/>
  <c r="H104" i="20"/>
  <c r="G104" i="20"/>
  <c r="F104" i="20"/>
  <c r="E104" i="20"/>
  <c r="D104" i="20"/>
  <c r="C104" i="20"/>
  <c r="B104" i="20"/>
  <c r="H103" i="20"/>
  <c r="G103" i="20"/>
  <c r="F103" i="20"/>
  <c r="E103" i="20"/>
  <c r="D103" i="20"/>
  <c r="C103" i="20"/>
  <c r="B103" i="20"/>
  <c r="H102" i="20"/>
  <c r="G102" i="20"/>
  <c r="F102" i="20"/>
  <c r="E102" i="20"/>
  <c r="D102" i="20"/>
  <c r="C102" i="20"/>
  <c r="B102" i="20"/>
  <c r="H101" i="20"/>
  <c r="G101" i="20"/>
  <c r="F101" i="20"/>
  <c r="E101" i="20"/>
  <c r="D101" i="20"/>
  <c r="C101" i="20"/>
  <c r="B101" i="20"/>
  <c r="H100" i="20"/>
  <c r="G100" i="20"/>
  <c r="F100" i="20"/>
  <c r="E100" i="20"/>
  <c r="D100" i="20"/>
  <c r="C100" i="20"/>
  <c r="B100" i="20"/>
  <c r="H99" i="20"/>
  <c r="G99" i="20"/>
  <c r="F99" i="20"/>
  <c r="E99" i="20"/>
  <c r="D99" i="20"/>
  <c r="C99" i="20"/>
  <c r="B99" i="20"/>
  <c r="H98" i="20"/>
  <c r="G98" i="20"/>
  <c r="F98" i="20"/>
  <c r="E98" i="20"/>
  <c r="D98" i="20"/>
  <c r="C98" i="20"/>
  <c r="C42" i="20"/>
  <c r="D39" i="20"/>
  <c r="E38" i="20"/>
  <c r="C36" i="20"/>
  <c r="C34" i="20"/>
  <c r="D33" i="20"/>
  <c r="D31" i="20"/>
  <c r="E30" i="20"/>
  <c r="C28" i="20"/>
  <c r="C26" i="20"/>
  <c r="M23" i="20"/>
  <c r="L23" i="20"/>
  <c r="K23" i="20"/>
  <c r="J23" i="20"/>
  <c r="I23" i="20"/>
  <c r="H23" i="20"/>
  <c r="E44" i="20" s="1"/>
  <c r="G23" i="20"/>
  <c r="F23" i="20"/>
  <c r="D44" i="20" s="1"/>
  <c r="E23" i="20"/>
  <c r="C44" i="20" s="1"/>
  <c r="D23" i="20"/>
  <c r="C23" i="20"/>
  <c r="B23" i="20"/>
  <c r="M22" i="20"/>
  <c r="L22" i="20"/>
  <c r="K22" i="20"/>
  <c r="J22" i="20"/>
  <c r="I22" i="20"/>
  <c r="H22" i="20"/>
  <c r="E43" i="20" s="1"/>
  <c r="G22" i="20"/>
  <c r="F22" i="20"/>
  <c r="D43" i="20" s="1"/>
  <c r="E22" i="20"/>
  <c r="C43" i="20" s="1"/>
  <c r="D22" i="20"/>
  <c r="C22" i="20"/>
  <c r="B22" i="20"/>
  <c r="M21" i="20"/>
  <c r="L21" i="20"/>
  <c r="K21" i="20"/>
  <c r="J21" i="20"/>
  <c r="I21" i="20"/>
  <c r="H21" i="20"/>
  <c r="E42" i="20" s="1"/>
  <c r="G21" i="20"/>
  <c r="F21" i="20"/>
  <c r="D42" i="20" s="1"/>
  <c r="E21" i="20"/>
  <c r="D21" i="20"/>
  <c r="C21" i="20"/>
  <c r="B21" i="20"/>
  <c r="M20" i="20"/>
  <c r="L20" i="20"/>
  <c r="K20" i="20"/>
  <c r="J20" i="20"/>
  <c r="I20" i="20"/>
  <c r="H20" i="20"/>
  <c r="G20" i="20"/>
  <c r="F20" i="20"/>
  <c r="D41" i="20" s="1"/>
  <c r="E20" i="20"/>
  <c r="C41" i="20" s="1"/>
  <c r="D20" i="20"/>
  <c r="C20" i="20"/>
  <c r="B20" i="20"/>
  <c r="M19" i="20"/>
  <c r="L19" i="20"/>
  <c r="K19" i="20"/>
  <c r="J19" i="20"/>
  <c r="I19" i="20"/>
  <c r="H19" i="20"/>
  <c r="E40" i="20" s="1"/>
  <c r="G19" i="20"/>
  <c r="F19" i="20"/>
  <c r="D40" i="20" s="1"/>
  <c r="E19" i="20"/>
  <c r="C40" i="20" s="1"/>
  <c r="D19" i="20"/>
  <c r="C19" i="20"/>
  <c r="B19" i="20"/>
  <c r="M18" i="20"/>
  <c r="L18" i="20"/>
  <c r="K18" i="20"/>
  <c r="J18" i="20"/>
  <c r="I18" i="20"/>
  <c r="H18" i="20"/>
  <c r="G18" i="20"/>
  <c r="F18" i="20"/>
  <c r="E18" i="20"/>
  <c r="C39" i="20" s="1"/>
  <c r="D18" i="20"/>
  <c r="C18" i="20"/>
  <c r="B18" i="20"/>
  <c r="M17" i="20"/>
  <c r="L17" i="20"/>
  <c r="K17" i="20"/>
  <c r="J17" i="20"/>
  <c r="I17" i="20"/>
  <c r="H17" i="20"/>
  <c r="G17" i="20"/>
  <c r="F17" i="20"/>
  <c r="D38" i="20" s="1"/>
  <c r="E17" i="20"/>
  <c r="C38" i="20" s="1"/>
  <c r="D17" i="20"/>
  <c r="C17" i="20"/>
  <c r="B17" i="20"/>
  <c r="M16" i="20"/>
  <c r="L16" i="20"/>
  <c r="K16" i="20"/>
  <c r="J16" i="20"/>
  <c r="I16" i="20"/>
  <c r="H16" i="20"/>
  <c r="G16" i="20"/>
  <c r="F16" i="20"/>
  <c r="D37" i="20" s="1"/>
  <c r="E16" i="20"/>
  <c r="C37" i="20" s="1"/>
  <c r="D16" i="20"/>
  <c r="C16" i="20"/>
  <c r="B16" i="20"/>
  <c r="M15" i="20"/>
  <c r="L15" i="20"/>
  <c r="E36" i="20" s="1"/>
  <c r="K15" i="20"/>
  <c r="J15" i="20"/>
  <c r="I15" i="20"/>
  <c r="H15" i="20"/>
  <c r="G15" i="20"/>
  <c r="F15" i="20"/>
  <c r="D36" i="20" s="1"/>
  <c r="E15" i="20"/>
  <c r="D15" i="20"/>
  <c r="C15" i="20"/>
  <c r="B15" i="20"/>
  <c r="M14" i="20"/>
  <c r="L14" i="20"/>
  <c r="K14" i="20"/>
  <c r="J14" i="20"/>
  <c r="I14" i="20"/>
  <c r="H14" i="20"/>
  <c r="G14" i="20"/>
  <c r="F14" i="20"/>
  <c r="D35" i="20" s="1"/>
  <c r="E14" i="20"/>
  <c r="C35" i="20" s="1"/>
  <c r="D14" i="20"/>
  <c r="C14" i="20"/>
  <c r="B14" i="20"/>
  <c r="M13" i="20"/>
  <c r="L13" i="20"/>
  <c r="K13" i="20"/>
  <c r="J13" i="20"/>
  <c r="I13" i="20"/>
  <c r="H13" i="20"/>
  <c r="G13" i="20"/>
  <c r="F13" i="20"/>
  <c r="D34" i="20" s="1"/>
  <c r="E13" i="20"/>
  <c r="D13" i="20"/>
  <c r="C13" i="20"/>
  <c r="B13" i="20"/>
  <c r="M12" i="20"/>
  <c r="L12" i="20"/>
  <c r="K12" i="20"/>
  <c r="J12" i="20"/>
  <c r="I12" i="20"/>
  <c r="H12" i="20"/>
  <c r="G12" i="20"/>
  <c r="F12" i="20"/>
  <c r="E12" i="20"/>
  <c r="C33" i="20" s="1"/>
  <c r="D12" i="20"/>
  <c r="C12" i="20"/>
  <c r="B12" i="20"/>
  <c r="M11" i="20"/>
  <c r="L11" i="20"/>
  <c r="K11" i="20"/>
  <c r="J11" i="20"/>
  <c r="I11" i="20"/>
  <c r="H11" i="20"/>
  <c r="G11" i="20"/>
  <c r="F11" i="20"/>
  <c r="D32" i="20" s="1"/>
  <c r="E11" i="20"/>
  <c r="C32" i="20" s="1"/>
  <c r="D11" i="20"/>
  <c r="C11" i="20"/>
  <c r="B11" i="20"/>
  <c r="M10" i="20"/>
  <c r="L10" i="20"/>
  <c r="K10" i="20"/>
  <c r="J10" i="20"/>
  <c r="I10" i="20"/>
  <c r="H10" i="20"/>
  <c r="E31" i="20" s="1"/>
  <c r="G10" i="20"/>
  <c r="F10" i="20"/>
  <c r="E10" i="20"/>
  <c r="C31" i="20" s="1"/>
  <c r="D10" i="20"/>
  <c r="C10" i="20"/>
  <c r="B10" i="20"/>
  <c r="M9" i="20"/>
  <c r="L9" i="20"/>
  <c r="K9" i="20"/>
  <c r="J9" i="20"/>
  <c r="I9" i="20"/>
  <c r="H9" i="20"/>
  <c r="G9" i="20"/>
  <c r="F9" i="20"/>
  <c r="D30" i="20" s="1"/>
  <c r="E9" i="20"/>
  <c r="C30" i="20" s="1"/>
  <c r="D9" i="20"/>
  <c r="C9" i="20"/>
  <c r="B9" i="20"/>
  <c r="M8" i="20"/>
  <c r="L8" i="20"/>
  <c r="K8" i="20"/>
  <c r="J8" i="20"/>
  <c r="I8" i="20"/>
  <c r="H8" i="20"/>
  <c r="E29" i="20" s="1"/>
  <c r="G8" i="20"/>
  <c r="F8" i="20"/>
  <c r="D29" i="20" s="1"/>
  <c r="E8" i="20"/>
  <c r="C29" i="20" s="1"/>
  <c r="D8" i="20"/>
  <c r="C8" i="20"/>
  <c r="B8" i="20"/>
  <c r="M7" i="20"/>
  <c r="L7" i="20"/>
  <c r="E28" i="20" s="1"/>
  <c r="K7" i="20"/>
  <c r="J7" i="20"/>
  <c r="I7" i="20"/>
  <c r="H7" i="20"/>
  <c r="G7" i="20"/>
  <c r="F7" i="20"/>
  <c r="D28" i="20" s="1"/>
  <c r="E7" i="20"/>
  <c r="D7" i="20"/>
  <c r="C7" i="20"/>
  <c r="B7" i="20"/>
  <c r="M6" i="20"/>
  <c r="L6" i="20"/>
  <c r="K6" i="20"/>
  <c r="J6" i="20"/>
  <c r="I6" i="20"/>
  <c r="H6" i="20"/>
  <c r="E27" i="20" s="1"/>
  <c r="G6" i="20"/>
  <c r="F6" i="20"/>
  <c r="D27" i="20" s="1"/>
  <c r="E6" i="20"/>
  <c r="C27" i="20" s="1"/>
  <c r="D6" i="20"/>
  <c r="C6" i="20"/>
  <c r="B6" i="20"/>
  <c r="M5" i="20"/>
  <c r="L5" i="20"/>
  <c r="K5" i="20"/>
  <c r="J5" i="20"/>
  <c r="I5" i="20"/>
  <c r="H5" i="20"/>
  <c r="G5" i="20"/>
  <c r="F5" i="20"/>
  <c r="D26" i="20" s="1"/>
  <c r="E5" i="20"/>
  <c r="D5" i="20"/>
  <c r="C5" i="20"/>
  <c r="B5" i="20"/>
  <c r="L4" i="20"/>
  <c r="K4" i="20"/>
  <c r="J4" i="20"/>
  <c r="I4" i="20"/>
  <c r="H4" i="20"/>
  <c r="G4" i="20"/>
  <c r="F4" i="20"/>
  <c r="E4" i="20"/>
  <c r="D4" i="20"/>
  <c r="C4" i="20"/>
  <c r="B4" i="20"/>
  <c r="M3" i="20"/>
  <c r="L3" i="20"/>
  <c r="K3" i="20"/>
  <c r="J3" i="20"/>
  <c r="I3" i="20"/>
  <c r="H3" i="20"/>
  <c r="G3" i="20"/>
  <c r="F3" i="20"/>
  <c r="E3" i="20"/>
  <c r="D3" i="20"/>
  <c r="G6" i="17"/>
  <c r="F6" i="17"/>
  <c r="E6" i="17"/>
  <c r="D6" i="17"/>
  <c r="C6" i="17"/>
  <c r="B6" i="17"/>
  <c r="H6" i="17" s="1"/>
  <c r="G5" i="17"/>
  <c r="F5" i="17"/>
  <c r="E5" i="17"/>
  <c r="D5" i="17"/>
  <c r="C5" i="17"/>
  <c r="B5" i="17"/>
  <c r="H4" i="17"/>
  <c r="G4" i="17"/>
  <c r="F4" i="17"/>
  <c r="E4" i="17"/>
  <c r="D4" i="17"/>
  <c r="C4" i="17"/>
  <c r="B4" i="17"/>
  <c r="G3" i="17"/>
  <c r="F3" i="17"/>
  <c r="E3" i="17"/>
  <c r="D3" i="17"/>
  <c r="C3" i="17"/>
  <c r="B3" i="17"/>
  <c r="D2" i="17"/>
  <c r="C2" i="17"/>
  <c r="B2" i="17"/>
  <c r="Z45" i="16"/>
  <c r="Y45" i="16"/>
  <c r="X45" i="16"/>
  <c r="W45" i="16"/>
  <c r="V45" i="16"/>
  <c r="U45" i="16"/>
  <c r="T45" i="16"/>
  <c r="S45" i="16"/>
  <c r="R45" i="16"/>
  <c r="Q45" i="16"/>
  <c r="P45" i="16"/>
  <c r="O45" i="16"/>
  <c r="N45" i="16"/>
  <c r="M45" i="16"/>
  <c r="L45" i="16"/>
  <c r="K45" i="16"/>
  <c r="J45" i="16"/>
  <c r="I45" i="16"/>
  <c r="H45" i="16"/>
  <c r="G45" i="16"/>
  <c r="F45" i="16"/>
  <c r="E45" i="16"/>
  <c r="D45" i="16"/>
  <c r="C45" i="16"/>
  <c r="X43" i="15"/>
  <c r="R43" i="15"/>
  <c r="P43" i="15"/>
  <c r="J43" i="15"/>
  <c r="H43" i="15"/>
  <c r="B43" i="15"/>
  <c r="H36" i="15"/>
  <c r="F36" i="15"/>
  <c r="X34" i="15"/>
  <c r="V34" i="15"/>
  <c r="P34" i="15"/>
  <c r="N34" i="15"/>
  <c r="H34" i="15"/>
  <c r="F34" i="15"/>
  <c r="A33" i="15"/>
  <c r="A42" i="15" s="1"/>
  <c r="A32" i="15"/>
  <c r="A41" i="15" s="1"/>
  <c r="A31" i="15"/>
  <c r="A40" i="15" s="1"/>
  <c r="A30" i="15"/>
  <c r="A39" i="15" s="1"/>
  <c r="A29" i="15"/>
  <c r="A38" i="15" s="1"/>
  <c r="A28" i="15"/>
  <c r="A37" i="15" s="1"/>
  <c r="V27" i="15"/>
  <c r="V36" i="15" s="1"/>
  <c r="T27" i="15"/>
  <c r="T36" i="15" s="1"/>
  <c r="N27" i="15"/>
  <c r="N36" i="15" s="1"/>
  <c r="L27" i="15"/>
  <c r="L36" i="15" s="1"/>
  <c r="F27" i="15"/>
  <c r="D27" i="15"/>
  <c r="D36" i="15" s="1"/>
  <c r="Z23" i="15"/>
  <c r="A22" i="15"/>
  <c r="S43" i="15" s="1"/>
  <c r="Y20" i="15"/>
  <c r="X20" i="15"/>
  <c r="W20" i="15"/>
  <c r="V20" i="15"/>
  <c r="U20" i="15"/>
  <c r="T20" i="15"/>
  <c r="S20" i="15"/>
  <c r="R20" i="15"/>
  <c r="Q20" i="15"/>
  <c r="P20" i="15"/>
  <c r="O20" i="15"/>
  <c r="N20" i="15"/>
  <c r="M20" i="15"/>
  <c r="L20" i="15"/>
  <c r="K20" i="15"/>
  <c r="J20" i="15"/>
  <c r="I20" i="15"/>
  <c r="H20" i="15"/>
  <c r="G20" i="15"/>
  <c r="F20" i="15"/>
  <c r="E20" i="15"/>
  <c r="D20" i="15"/>
  <c r="C20" i="15"/>
  <c r="B20" i="15"/>
  <c r="Z19" i="15"/>
  <c r="Z18" i="15"/>
  <c r="Y17" i="15"/>
  <c r="X17" i="15"/>
  <c r="W17" i="15"/>
  <c r="V17" i="15"/>
  <c r="U17" i="15"/>
  <c r="T17" i="15"/>
  <c r="S17" i="15"/>
  <c r="R17" i="15"/>
  <c r="Q17" i="15"/>
  <c r="P17" i="15"/>
  <c r="O17" i="15"/>
  <c r="N17" i="15"/>
  <c r="M17" i="15"/>
  <c r="L17" i="15"/>
  <c r="K17" i="15"/>
  <c r="J17" i="15"/>
  <c r="I17" i="15"/>
  <c r="H17" i="15"/>
  <c r="G17" i="15"/>
  <c r="F17" i="15"/>
  <c r="E17" i="15"/>
  <c r="D17" i="15"/>
  <c r="C17" i="15"/>
  <c r="B17" i="15"/>
  <c r="Z16" i="15"/>
  <c r="Y15" i="15"/>
  <c r="X15" i="15"/>
  <c r="W15" i="15"/>
  <c r="V15" i="15"/>
  <c r="U15" i="15"/>
  <c r="T15" i="15"/>
  <c r="S15" i="15"/>
  <c r="R15" i="15"/>
  <c r="Q15" i="15"/>
  <c r="P15" i="15"/>
  <c r="O15" i="15"/>
  <c r="N15" i="15"/>
  <c r="M15" i="15"/>
  <c r="L15" i="15"/>
  <c r="K15" i="15"/>
  <c r="J15" i="15"/>
  <c r="I15" i="15"/>
  <c r="H15" i="15"/>
  <c r="G15" i="15"/>
  <c r="F15" i="15"/>
  <c r="E15" i="15"/>
  <c r="D15" i="15"/>
  <c r="C15" i="15"/>
  <c r="B15" i="15"/>
  <c r="Y14" i="15"/>
  <c r="X14" i="15"/>
  <c r="W14" i="15"/>
  <c r="V14" i="15"/>
  <c r="U14" i="15"/>
  <c r="T14" i="15"/>
  <c r="S14" i="15"/>
  <c r="R14" i="15"/>
  <c r="Q14" i="15"/>
  <c r="P14" i="15"/>
  <c r="O14" i="15"/>
  <c r="N14" i="15"/>
  <c r="M14" i="15"/>
  <c r="L14" i="15"/>
  <c r="K14" i="15"/>
  <c r="J14" i="15"/>
  <c r="I14" i="15"/>
  <c r="H14" i="15"/>
  <c r="G14" i="15"/>
  <c r="F14" i="15"/>
  <c r="E14" i="15"/>
  <c r="D14" i="15"/>
  <c r="C14" i="15"/>
  <c r="B14" i="15"/>
  <c r="Y13" i="15"/>
  <c r="Y27" i="15" s="1"/>
  <c r="Y36" i="15" s="1"/>
  <c r="X13" i="15"/>
  <c r="X27" i="15" s="1"/>
  <c r="X36" i="15" s="1"/>
  <c r="W13" i="15"/>
  <c r="W27" i="15" s="1"/>
  <c r="W36" i="15" s="1"/>
  <c r="V13" i="15"/>
  <c r="U13" i="15"/>
  <c r="U27" i="15" s="1"/>
  <c r="U36" i="15" s="1"/>
  <c r="T13" i="15"/>
  <c r="S13" i="15"/>
  <c r="S27" i="15" s="1"/>
  <c r="S36" i="15" s="1"/>
  <c r="R13" i="15"/>
  <c r="R27" i="15" s="1"/>
  <c r="R36" i="15" s="1"/>
  <c r="Q13" i="15"/>
  <c r="Q27" i="15" s="1"/>
  <c r="Q36" i="15" s="1"/>
  <c r="P13" i="15"/>
  <c r="P27" i="15" s="1"/>
  <c r="P36" i="15" s="1"/>
  <c r="O13" i="15"/>
  <c r="O27" i="15" s="1"/>
  <c r="O36" i="15" s="1"/>
  <c r="N13" i="15"/>
  <c r="M13" i="15"/>
  <c r="M27" i="15" s="1"/>
  <c r="M36" i="15" s="1"/>
  <c r="L13" i="15"/>
  <c r="K13" i="15"/>
  <c r="K27" i="15" s="1"/>
  <c r="K36" i="15" s="1"/>
  <c r="J13" i="15"/>
  <c r="J27" i="15" s="1"/>
  <c r="J36" i="15" s="1"/>
  <c r="I13" i="15"/>
  <c r="I27" i="15" s="1"/>
  <c r="I36" i="15" s="1"/>
  <c r="H13" i="15"/>
  <c r="H27" i="15" s="1"/>
  <c r="G13" i="15"/>
  <c r="G27" i="15" s="1"/>
  <c r="G36" i="15" s="1"/>
  <c r="F13" i="15"/>
  <c r="E13" i="15"/>
  <c r="E27" i="15" s="1"/>
  <c r="E36" i="15" s="1"/>
  <c r="D13" i="15"/>
  <c r="C13" i="15"/>
  <c r="C27" i="15" s="1"/>
  <c r="C36" i="15" s="1"/>
  <c r="B13" i="15"/>
  <c r="B27" i="15" s="1"/>
  <c r="B36" i="15" s="1"/>
  <c r="AA117" i="14"/>
  <c r="Z117" i="14"/>
  <c r="Y117" i="14"/>
  <c r="X117" i="14"/>
  <c r="W117" i="14"/>
  <c r="U117" i="14"/>
  <c r="S117" i="14"/>
  <c r="R117" i="14"/>
  <c r="Q117" i="14"/>
  <c r="P117" i="14"/>
  <c r="O117" i="14"/>
  <c r="M117" i="14"/>
  <c r="K117" i="14"/>
  <c r="J117" i="14"/>
  <c r="I117" i="14"/>
  <c r="H117" i="14"/>
  <c r="G117" i="14"/>
  <c r="E117" i="14"/>
  <c r="AD2556" i="13"/>
  <c r="AC2556" i="13"/>
  <c r="AB2556" i="13"/>
  <c r="AA2556" i="13"/>
  <c r="Z2556" i="13"/>
  <c r="Y2556" i="13"/>
  <c r="X2556" i="13"/>
  <c r="W2556" i="13"/>
  <c r="V2556" i="13"/>
  <c r="U2556" i="13"/>
  <c r="T2556" i="13"/>
  <c r="S2556" i="13"/>
  <c r="R2556" i="13"/>
  <c r="Q2556" i="13"/>
  <c r="P2556" i="13"/>
  <c r="O2556" i="13"/>
  <c r="N2556" i="13"/>
  <c r="M2556" i="13"/>
  <c r="L2556" i="13"/>
  <c r="K2556" i="13"/>
  <c r="J2556" i="13"/>
  <c r="I2556" i="13"/>
  <c r="H2556" i="13"/>
  <c r="G2556" i="13"/>
  <c r="AD2555" i="13"/>
  <c r="AC2555" i="13"/>
  <c r="AB2555" i="13"/>
  <c r="AA2555" i="13"/>
  <c r="Z2555" i="13"/>
  <c r="Y2555" i="13"/>
  <c r="X2555" i="13"/>
  <c r="W2555" i="13"/>
  <c r="V2555" i="13"/>
  <c r="U2555" i="13"/>
  <c r="T2555" i="13"/>
  <c r="S2555" i="13"/>
  <c r="R2555" i="13"/>
  <c r="Q2555" i="13"/>
  <c r="P2555" i="13"/>
  <c r="O2555" i="13"/>
  <c r="N2555" i="13"/>
  <c r="M2555" i="13"/>
  <c r="L2555" i="13"/>
  <c r="K2555" i="13"/>
  <c r="J2555" i="13"/>
  <c r="I2555" i="13"/>
  <c r="H2555" i="13"/>
  <c r="G2555" i="13"/>
  <c r="AD2554" i="13"/>
  <c r="AC2554" i="13"/>
  <c r="AB2554" i="13"/>
  <c r="AA2554" i="13"/>
  <c r="Z2554" i="13"/>
  <c r="Y2554" i="13"/>
  <c r="X2554" i="13"/>
  <c r="W2554" i="13"/>
  <c r="V2554" i="13"/>
  <c r="U2554" i="13"/>
  <c r="T2554" i="13"/>
  <c r="S2554" i="13"/>
  <c r="R2554" i="13"/>
  <c r="Q2554" i="13"/>
  <c r="P2554" i="13"/>
  <c r="O2554" i="13"/>
  <c r="N2554" i="13"/>
  <c r="M2554" i="13"/>
  <c r="L2554" i="13"/>
  <c r="K2554" i="13"/>
  <c r="J2554" i="13"/>
  <c r="I2554" i="13"/>
  <c r="H2554" i="13"/>
  <c r="G2554" i="13"/>
  <c r="AD2553" i="13"/>
  <c r="AC2553" i="13"/>
  <c r="AB2553" i="13"/>
  <c r="AA2553" i="13"/>
  <c r="Z2553" i="13"/>
  <c r="Y2553" i="13"/>
  <c r="X2553" i="13"/>
  <c r="W2553" i="13"/>
  <c r="V2553" i="13"/>
  <c r="U2553" i="13"/>
  <c r="T2553" i="13"/>
  <c r="S2553" i="13"/>
  <c r="R2553" i="13"/>
  <c r="Q2553" i="13"/>
  <c r="P2553" i="13"/>
  <c r="O2553" i="13"/>
  <c r="N2553" i="13"/>
  <c r="M2553" i="13"/>
  <c r="L2553" i="13"/>
  <c r="K2553" i="13"/>
  <c r="J2553" i="13"/>
  <c r="I2553" i="13"/>
  <c r="H2553" i="13"/>
  <c r="G2553" i="13"/>
  <c r="AD2552" i="13"/>
  <c r="AC2552" i="13"/>
  <c r="AB2552" i="13"/>
  <c r="AA2552" i="13"/>
  <c r="Z2552" i="13"/>
  <c r="Y2552" i="13"/>
  <c r="X2552" i="13"/>
  <c r="W2552" i="13"/>
  <c r="V2552" i="13"/>
  <c r="U2552" i="13"/>
  <c r="T2552" i="13"/>
  <c r="S2552" i="13"/>
  <c r="R2552" i="13"/>
  <c r="Q2552" i="13"/>
  <c r="P2552" i="13"/>
  <c r="O2552" i="13"/>
  <c r="N2552" i="13"/>
  <c r="M2552" i="13"/>
  <c r="L2552" i="13"/>
  <c r="K2552" i="13"/>
  <c r="J2552" i="13"/>
  <c r="I2552" i="13"/>
  <c r="H2552" i="13"/>
  <c r="G2552" i="13"/>
  <c r="AD2551" i="13"/>
  <c r="AC2551" i="13"/>
  <c r="AB2551" i="13"/>
  <c r="AA2551" i="13"/>
  <c r="Z2551" i="13"/>
  <c r="Y2551" i="13"/>
  <c r="X2551" i="13"/>
  <c r="W2551" i="13"/>
  <c r="V2551" i="13"/>
  <c r="U2551" i="13"/>
  <c r="T2551" i="13"/>
  <c r="S2551" i="13"/>
  <c r="R2551" i="13"/>
  <c r="Q2551" i="13"/>
  <c r="P2551" i="13"/>
  <c r="O2551" i="13"/>
  <c r="N2551" i="13"/>
  <c r="M2551" i="13"/>
  <c r="L2551" i="13"/>
  <c r="K2551" i="13"/>
  <c r="J2551" i="13"/>
  <c r="I2551" i="13"/>
  <c r="H2551" i="13"/>
  <c r="G2551" i="13"/>
  <c r="AD2550" i="13"/>
  <c r="AC2550" i="13"/>
  <c r="AB2550" i="13"/>
  <c r="AA2550" i="13"/>
  <c r="Z2550" i="13"/>
  <c r="Y2550" i="13"/>
  <c r="X2550" i="13"/>
  <c r="W2550" i="13"/>
  <c r="V2550" i="13"/>
  <c r="U2550" i="13"/>
  <c r="T2550" i="13"/>
  <c r="S2550" i="13"/>
  <c r="R2550" i="13"/>
  <c r="Q2550" i="13"/>
  <c r="P2550" i="13"/>
  <c r="O2550" i="13"/>
  <c r="N2550" i="13"/>
  <c r="M2550" i="13"/>
  <c r="L2550" i="13"/>
  <c r="K2550" i="13"/>
  <c r="J2550" i="13"/>
  <c r="I2550" i="13"/>
  <c r="H2550" i="13"/>
  <c r="G2550" i="13"/>
  <c r="AD2549" i="13"/>
  <c r="AC2549" i="13"/>
  <c r="AB2549" i="13"/>
  <c r="AA2549" i="13"/>
  <c r="Z2549" i="13"/>
  <c r="Y2549" i="13"/>
  <c r="X2549" i="13"/>
  <c r="W2549" i="13"/>
  <c r="V2549" i="13"/>
  <c r="U2549" i="13"/>
  <c r="T2549" i="13"/>
  <c r="S2549" i="13"/>
  <c r="R2549" i="13"/>
  <c r="Q2549" i="13"/>
  <c r="P2549" i="13"/>
  <c r="O2549" i="13"/>
  <c r="N2549" i="13"/>
  <c r="M2549" i="13"/>
  <c r="L2549" i="13"/>
  <c r="K2549" i="13"/>
  <c r="J2549" i="13"/>
  <c r="I2549" i="13"/>
  <c r="H2549" i="13"/>
  <c r="G2549" i="13"/>
  <c r="AD2548" i="13"/>
  <c r="AC2548" i="13"/>
  <c r="AB2548" i="13"/>
  <c r="AA2548" i="13"/>
  <c r="Z2548" i="13"/>
  <c r="Y2548" i="13"/>
  <c r="X2548" i="13"/>
  <c r="W2548" i="13"/>
  <c r="V2548" i="13"/>
  <c r="U2548" i="13"/>
  <c r="T2548" i="13"/>
  <c r="S2548" i="13"/>
  <c r="R2548" i="13"/>
  <c r="Q2548" i="13"/>
  <c r="P2548" i="13"/>
  <c r="O2548" i="13"/>
  <c r="N2548" i="13"/>
  <c r="M2548" i="13"/>
  <c r="L2548" i="13"/>
  <c r="K2548" i="13"/>
  <c r="J2548" i="13"/>
  <c r="I2548" i="13"/>
  <c r="H2548" i="13"/>
  <c r="G2548" i="13"/>
  <c r="AD2547" i="13"/>
  <c r="AC2547" i="13"/>
  <c r="AB2547" i="13"/>
  <c r="AA2547" i="13"/>
  <c r="Z2547" i="13"/>
  <c r="Y2547" i="13"/>
  <c r="X2547" i="13"/>
  <c r="W2547" i="13"/>
  <c r="V2547" i="13"/>
  <c r="U2547" i="13"/>
  <c r="T2547" i="13"/>
  <c r="S2547" i="13"/>
  <c r="R2547" i="13"/>
  <c r="Q2547" i="13"/>
  <c r="P2547" i="13"/>
  <c r="O2547" i="13"/>
  <c r="N2547" i="13"/>
  <c r="M2547" i="13"/>
  <c r="L2547" i="13"/>
  <c r="K2547" i="13"/>
  <c r="J2547" i="13"/>
  <c r="I2547" i="13"/>
  <c r="H2547" i="13"/>
  <c r="G2547" i="13"/>
  <c r="AD2546" i="13"/>
  <c r="AC2546" i="13"/>
  <c r="AB2546" i="13"/>
  <c r="AA2546" i="13"/>
  <c r="Z2546" i="13"/>
  <c r="Y2546" i="13"/>
  <c r="X2546" i="13"/>
  <c r="W2546" i="13"/>
  <c r="V2546" i="13"/>
  <c r="U2546" i="13"/>
  <c r="T2546" i="13"/>
  <c r="S2546" i="13"/>
  <c r="R2546" i="13"/>
  <c r="Q2546" i="13"/>
  <c r="P2546" i="13"/>
  <c r="O2546" i="13"/>
  <c r="N2546" i="13"/>
  <c r="M2546" i="13"/>
  <c r="L2546" i="13"/>
  <c r="K2546" i="13"/>
  <c r="J2546" i="13"/>
  <c r="I2546" i="13"/>
  <c r="H2546" i="13"/>
  <c r="G2546" i="13"/>
  <c r="AD2545" i="13"/>
  <c r="AC2545" i="13"/>
  <c r="AB2545" i="13"/>
  <c r="AA2545" i="13"/>
  <c r="Z2545" i="13"/>
  <c r="Y2545" i="13"/>
  <c r="X2545" i="13"/>
  <c r="W2545" i="13"/>
  <c r="V2545" i="13"/>
  <c r="U2545" i="13"/>
  <c r="T2545" i="13"/>
  <c r="S2545" i="13"/>
  <c r="R2545" i="13"/>
  <c r="Q2545" i="13"/>
  <c r="P2545" i="13"/>
  <c r="O2545" i="13"/>
  <c r="N2545" i="13"/>
  <c r="M2545" i="13"/>
  <c r="L2545" i="13"/>
  <c r="K2545" i="13"/>
  <c r="J2545" i="13"/>
  <c r="I2545" i="13"/>
  <c r="H2545" i="13"/>
  <c r="G2545" i="13"/>
  <c r="AD2544" i="13"/>
  <c r="AC2544" i="13"/>
  <c r="AB2544" i="13"/>
  <c r="AA2544" i="13"/>
  <c r="Z2544" i="13"/>
  <c r="Y2544" i="13"/>
  <c r="X2544" i="13"/>
  <c r="W2544" i="13"/>
  <c r="V2544" i="13"/>
  <c r="U2544" i="13"/>
  <c r="T2544" i="13"/>
  <c r="S2544" i="13"/>
  <c r="R2544" i="13"/>
  <c r="Q2544" i="13"/>
  <c r="P2544" i="13"/>
  <c r="O2544" i="13"/>
  <c r="N2544" i="13"/>
  <c r="M2544" i="13"/>
  <c r="L2544" i="13"/>
  <c r="K2544" i="13"/>
  <c r="J2544" i="13"/>
  <c r="I2544" i="13"/>
  <c r="H2544" i="13"/>
  <c r="G2544" i="13"/>
  <c r="AD2543" i="13"/>
  <c r="AC2543" i="13"/>
  <c r="AB2543" i="13"/>
  <c r="AA2543" i="13"/>
  <c r="Z2543" i="13"/>
  <c r="Y2543" i="13"/>
  <c r="X2543" i="13"/>
  <c r="W2543" i="13"/>
  <c r="V2543" i="13"/>
  <c r="U2543" i="13"/>
  <c r="T2543" i="13"/>
  <c r="S2543" i="13"/>
  <c r="R2543" i="13"/>
  <c r="Q2543" i="13"/>
  <c r="P2543" i="13"/>
  <c r="O2543" i="13"/>
  <c r="N2543" i="13"/>
  <c r="M2543" i="13"/>
  <c r="L2543" i="13"/>
  <c r="K2543" i="13"/>
  <c r="J2543" i="13"/>
  <c r="I2543" i="13"/>
  <c r="H2543" i="13"/>
  <c r="G2543" i="13"/>
  <c r="AD2542" i="13"/>
  <c r="AC2542" i="13"/>
  <c r="AB2542" i="13"/>
  <c r="AA2542" i="13"/>
  <c r="Z2542" i="13"/>
  <c r="Y2542" i="13"/>
  <c r="X2542" i="13"/>
  <c r="W2542" i="13"/>
  <c r="V2542" i="13"/>
  <c r="U2542" i="13"/>
  <c r="T2542" i="13"/>
  <c r="S2542" i="13"/>
  <c r="R2542" i="13"/>
  <c r="Q2542" i="13"/>
  <c r="P2542" i="13"/>
  <c r="O2542" i="13"/>
  <c r="N2542" i="13"/>
  <c r="M2542" i="13"/>
  <c r="L2542" i="13"/>
  <c r="K2542" i="13"/>
  <c r="J2542" i="13"/>
  <c r="I2542" i="13"/>
  <c r="H2542" i="13"/>
  <c r="G2542" i="13"/>
  <c r="AD2541" i="13"/>
  <c r="AC2541" i="13"/>
  <c r="AB2541" i="13"/>
  <c r="AA2541" i="13"/>
  <c r="Z2541" i="13"/>
  <c r="Y2541" i="13"/>
  <c r="X2541" i="13"/>
  <c r="W2541" i="13"/>
  <c r="V2541" i="13"/>
  <c r="U2541" i="13"/>
  <c r="T2541" i="13"/>
  <c r="S2541" i="13"/>
  <c r="R2541" i="13"/>
  <c r="Q2541" i="13"/>
  <c r="P2541" i="13"/>
  <c r="O2541" i="13"/>
  <c r="N2541" i="13"/>
  <c r="M2541" i="13"/>
  <c r="L2541" i="13"/>
  <c r="K2541" i="13"/>
  <c r="J2541" i="13"/>
  <c r="I2541" i="13"/>
  <c r="H2541" i="13"/>
  <c r="G2541" i="13"/>
  <c r="AD2540" i="13"/>
  <c r="AC2540" i="13"/>
  <c r="AB2540" i="13"/>
  <c r="AA2540" i="13"/>
  <c r="Z2540" i="13"/>
  <c r="Y2540" i="13"/>
  <c r="X2540" i="13"/>
  <c r="W2540" i="13"/>
  <c r="V2540" i="13"/>
  <c r="U2540" i="13"/>
  <c r="T2540" i="13"/>
  <c r="S2540" i="13"/>
  <c r="R2540" i="13"/>
  <c r="Q2540" i="13"/>
  <c r="P2540" i="13"/>
  <c r="O2540" i="13"/>
  <c r="N2540" i="13"/>
  <c r="M2540" i="13"/>
  <c r="L2540" i="13"/>
  <c r="K2540" i="13"/>
  <c r="J2540" i="13"/>
  <c r="I2540" i="13"/>
  <c r="H2540" i="13"/>
  <c r="G2540" i="13"/>
  <c r="AD2539" i="13"/>
  <c r="AC2539" i="13"/>
  <c r="AB2539" i="13"/>
  <c r="AA2539" i="13"/>
  <c r="Z2539" i="13"/>
  <c r="Y2539" i="13"/>
  <c r="X2539" i="13"/>
  <c r="W2539" i="13"/>
  <c r="V2539" i="13"/>
  <c r="U2539" i="13"/>
  <c r="T2539" i="13"/>
  <c r="S2539" i="13"/>
  <c r="R2539" i="13"/>
  <c r="Q2539" i="13"/>
  <c r="P2539" i="13"/>
  <c r="O2539" i="13"/>
  <c r="N2539" i="13"/>
  <c r="M2539" i="13"/>
  <c r="L2539" i="13"/>
  <c r="K2539" i="13"/>
  <c r="J2539" i="13"/>
  <c r="I2539" i="13"/>
  <c r="H2539" i="13"/>
  <c r="G2539" i="13"/>
  <c r="AD2538" i="13"/>
  <c r="AC2538" i="13"/>
  <c r="AB2538" i="13"/>
  <c r="AA2538" i="13"/>
  <c r="Z2538" i="13"/>
  <c r="Y2538" i="13"/>
  <c r="X2538" i="13"/>
  <c r="W2538" i="13"/>
  <c r="V2538" i="13"/>
  <c r="U2538" i="13"/>
  <c r="T2538" i="13"/>
  <c r="S2538" i="13"/>
  <c r="R2538" i="13"/>
  <c r="Q2538" i="13"/>
  <c r="P2538" i="13"/>
  <c r="O2538" i="13"/>
  <c r="N2538" i="13"/>
  <c r="M2538" i="13"/>
  <c r="L2538" i="13"/>
  <c r="K2538" i="13"/>
  <c r="J2538" i="13"/>
  <c r="I2538" i="13"/>
  <c r="H2538" i="13"/>
  <c r="G2538" i="13"/>
  <c r="AD2537" i="13"/>
  <c r="AC2537" i="13"/>
  <c r="AB2537" i="13"/>
  <c r="AA2537" i="13"/>
  <c r="Z2537" i="13"/>
  <c r="Y2537" i="13"/>
  <c r="X2537" i="13"/>
  <c r="W2537" i="13"/>
  <c r="V2537" i="13"/>
  <c r="U2537" i="13"/>
  <c r="T2537" i="13"/>
  <c r="S2537" i="13"/>
  <c r="R2537" i="13"/>
  <c r="Q2537" i="13"/>
  <c r="P2537" i="13"/>
  <c r="O2537" i="13"/>
  <c r="N2537" i="13"/>
  <c r="M2537" i="13"/>
  <c r="L2537" i="13"/>
  <c r="K2537" i="13"/>
  <c r="J2537" i="13"/>
  <c r="I2537" i="13"/>
  <c r="H2537" i="13"/>
  <c r="G2537" i="13"/>
  <c r="AD2536" i="13"/>
  <c r="AC2536" i="13"/>
  <c r="AB2536" i="13"/>
  <c r="AA2536" i="13"/>
  <c r="Z2536" i="13"/>
  <c r="Y2536" i="13"/>
  <c r="X2536" i="13"/>
  <c r="W2536" i="13"/>
  <c r="V2536" i="13"/>
  <c r="U2536" i="13"/>
  <c r="T2536" i="13"/>
  <c r="S2536" i="13"/>
  <c r="R2536" i="13"/>
  <c r="Q2536" i="13"/>
  <c r="P2536" i="13"/>
  <c r="O2536" i="13"/>
  <c r="N2536" i="13"/>
  <c r="M2536" i="13"/>
  <c r="L2536" i="13"/>
  <c r="K2536" i="13"/>
  <c r="J2536" i="13"/>
  <c r="I2536" i="13"/>
  <c r="H2536" i="13"/>
  <c r="G2536" i="13"/>
  <c r="AD2535" i="13"/>
  <c r="AC2535" i="13"/>
  <c r="AB2535" i="13"/>
  <c r="AA2535" i="13"/>
  <c r="Z2535" i="13"/>
  <c r="Y2535" i="13"/>
  <c r="X2535" i="13"/>
  <c r="W2535" i="13"/>
  <c r="V2535" i="13"/>
  <c r="U2535" i="13"/>
  <c r="T2535" i="13"/>
  <c r="S2535" i="13"/>
  <c r="R2535" i="13"/>
  <c r="Q2535" i="13"/>
  <c r="P2535" i="13"/>
  <c r="O2535" i="13"/>
  <c r="N2535" i="13"/>
  <c r="M2535" i="13"/>
  <c r="L2535" i="13"/>
  <c r="K2535" i="13"/>
  <c r="J2535" i="13"/>
  <c r="I2535" i="13"/>
  <c r="H2535" i="13"/>
  <c r="G2535" i="13"/>
  <c r="AD2534" i="13"/>
  <c r="AC2534" i="13"/>
  <c r="AB2534" i="13"/>
  <c r="AA2534" i="13"/>
  <c r="Z2534" i="13"/>
  <c r="Y2534" i="13"/>
  <c r="X2534" i="13"/>
  <c r="W2534" i="13"/>
  <c r="V2534" i="13"/>
  <c r="U2534" i="13"/>
  <c r="T2534" i="13"/>
  <c r="S2534" i="13"/>
  <c r="R2534" i="13"/>
  <c r="Q2534" i="13"/>
  <c r="P2534" i="13"/>
  <c r="O2534" i="13"/>
  <c r="N2534" i="13"/>
  <c r="M2534" i="13"/>
  <c r="L2534" i="13"/>
  <c r="K2534" i="13"/>
  <c r="J2534" i="13"/>
  <c r="I2534" i="13"/>
  <c r="H2534" i="13"/>
  <c r="G2534" i="13"/>
  <c r="AD2533" i="13"/>
  <c r="AC2533" i="13"/>
  <c r="AB2533" i="13"/>
  <c r="AA2533" i="13"/>
  <c r="Z2533" i="13"/>
  <c r="Y2533" i="13"/>
  <c r="X2533" i="13"/>
  <c r="W2533" i="13"/>
  <c r="V2533" i="13"/>
  <c r="U2533" i="13"/>
  <c r="T2533" i="13"/>
  <c r="S2533" i="13"/>
  <c r="R2533" i="13"/>
  <c r="Q2533" i="13"/>
  <c r="P2533" i="13"/>
  <c r="O2533" i="13"/>
  <c r="N2533" i="13"/>
  <c r="M2533" i="13"/>
  <c r="L2533" i="13"/>
  <c r="K2533" i="13"/>
  <c r="J2533" i="13"/>
  <c r="I2533" i="13"/>
  <c r="H2533" i="13"/>
  <c r="G2533" i="13"/>
  <c r="AD2532" i="13"/>
  <c r="AC2532" i="13"/>
  <c r="AB2532" i="13"/>
  <c r="AA2532" i="13"/>
  <c r="Z2532" i="13"/>
  <c r="Y2532" i="13"/>
  <c r="X2532" i="13"/>
  <c r="W2532" i="13"/>
  <c r="V2532" i="13"/>
  <c r="U2532" i="13"/>
  <c r="T2532" i="13"/>
  <c r="S2532" i="13"/>
  <c r="R2532" i="13"/>
  <c r="Q2532" i="13"/>
  <c r="P2532" i="13"/>
  <c r="O2532" i="13"/>
  <c r="N2532" i="13"/>
  <c r="M2532" i="13"/>
  <c r="L2532" i="13"/>
  <c r="K2532" i="13"/>
  <c r="J2532" i="13"/>
  <c r="I2532" i="13"/>
  <c r="H2532" i="13"/>
  <c r="G2532" i="13"/>
  <c r="AD2531" i="13"/>
  <c r="AC2531" i="13"/>
  <c r="AB2531" i="13"/>
  <c r="AA2531" i="13"/>
  <c r="Z2531" i="13"/>
  <c r="Y2531" i="13"/>
  <c r="X2531" i="13"/>
  <c r="W2531" i="13"/>
  <c r="V2531" i="13"/>
  <c r="U2531" i="13"/>
  <c r="T2531" i="13"/>
  <c r="S2531" i="13"/>
  <c r="R2531" i="13"/>
  <c r="Q2531" i="13"/>
  <c r="P2531" i="13"/>
  <c r="O2531" i="13"/>
  <c r="N2531" i="13"/>
  <c r="M2531" i="13"/>
  <c r="L2531" i="13"/>
  <c r="K2531" i="13"/>
  <c r="J2531" i="13"/>
  <c r="I2531" i="13"/>
  <c r="H2531" i="13"/>
  <c r="G2531" i="13"/>
  <c r="AD2530" i="13"/>
  <c r="AC2530" i="13"/>
  <c r="AB2530" i="13"/>
  <c r="AA2530" i="13"/>
  <c r="Z2530" i="13"/>
  <c r="Y2530" i="13"/>
  <c r="X2530" i="13"/>
  <c r="W2530" i="13"/>
  <c r="V2530" i="13"/>
  <c r="U2530" i="13"/>
  <c r="T2530" i="13"/>
  <c r="S2530" i="13"/>
  <c r="R2530" i="13"/>
  <c r="Q2530" i="13"/>
  <c r="P2530" i="13"/>
  <c r="O2530" i="13"/>
  <c r="N2530" i="13"/>
  <c r="M2530" i="13"/>
  <c r="L2530" i="13"/>
  <c r="K2530" i="13"/>
  <c r="J2530" i="13"/>
  <c r="I2530" i="13"/>
  <c r="H2530" i="13"/>
  <c r="G2530" i="13"/>
  <c r="AD2529" i="13"/>
  <c r="AC2529" i="13"/>
  <c r="AB2529" i="13"/>
  <c r="AA2529" i="13"/>
  <c r="Z2529" i="13"/>
  <c r="Y2529" i="13"/>
  <c r="X2529" i="13"/>
  <c r="W2529" i="13"/>
  <c r="V2529" i="13"/>
  <c r="U2529" i="13"/>
  <c r="T2529" i="13"/>
  <c r="S2529" i="13"/>
  <c r="R2529" i="13"/>
  <c r="Q2529" i="13"/>
  <c r="P2529" i="13"/>
  <c r="O2529" i="13"/>
  <c r="N2529" i="13"/>
  <c r="M2529" i="13"/>
  <c r="L2529" i="13"/>
  <c r="K2529" i="13"/>
  <c r="J2529" i="13"/>
  <c r="I2529" i="13"/>
  <c r="H2529" i="13"/>
  <c r="G2529" i="13"/>
  <c r="AD2528" i="13"/>
  <c r="AC2528" i="13"/>
  <c r="AB2528" i="13"/>
  <c r="AA2528" i="13"/>
  <c r="Z2528" i="13"/>
  <c r="Y2528" i="13"/>
  <c r="X2528" i="13"/>
  <c r="W2528" i="13"/>
  <c r="V2528" i="13"/>
  <c r="U2528" i="13"/>
  <c r="T2528" i="13"/>
  <c r="S2528" i="13"/>
  <c r="R2528" i="13"/>
  <c r="Q2528" i="13"/>
  <c r="P2528" i="13"/>
  <c r="O2528" i="13"/>
  <c r="N2528" i="13"/>
  <c r="M2528" i="13"/>
  <c r="L2528" i="13"/>
  <c r="K2528" i="13"/>
  <c r="J2528" i="13"/>
  <c r="I2528" i="13"/>
  <c r="H2528" i="13"/>
  <c r="G2528" i="13"/>
  <c r="AD2527" i="13"/>
  <c r="AC2527" i="13"/>
  <c r="AB2527" i="13"/>
  <c r="AA2527" i="13"/>
  <c r="Z2527" i="13"/>
  <c r="Y2527" i="13"/>
  <c r="X2527" i="13"/>
  <c r="W2527" i="13"/>
  <c r="V2527" i="13"/>
  <c r="U2527" i="13"/>
  <c r="T2527" i="13"/>
  <c r="S2527" i="13"/>
  <c r="R2527" i="13"/>
  <c r="Q2527" i="13"/>
  <c r="P2527" i="13"/>
  <c r="O2527" i="13"/>
  <c r="N2527" i="13"/>
  <c r="M2527" i="13"/>
  <c r="L2527" i="13"/>
  <c r="K2527" i="13"/>
  <c r="J2527" i="13"/>
  <c r="I2527" i="13"/>
  <c r="H2527" i="13"/>
  <c r="G2527" i="13"/>
  <c r="AD2526" i="13"/>
  <c r="AC2526" i="13"/>
  <c r="AB2526" i="13"/>
  <c r="AA2526" i="13"/>
  <c r="Z2526" i="13"/>
  <c r="Y2526" i="13"/>
  <c r="X2526" i="13"/>
  <c r="W2526" i="13"/>
  <c r="V2526" i="13"/>
  <c r="U2526" i="13"/>
  <c r="T2526" i="13"/>
  <c r="S2526" i="13"/>
  <c r="R2526" i="13"/>
  <c r="Q2526" i="13"/>
  <c r="P2526" i="13"/>
  <c r="O2526" i="13"/>
  <c r="N2526" i="13"/>
  <c r="M2526" i="13"/>
  <c r="L2526" i="13"/>
  <c r="K2526" i="13"/>
  <c r="J2526" i="13"/>
  <c r="I2526" i="13"/>
  <c r="H2526" i="13"/>
  <c r="G2526" i="13"/>
  <c r="AD2525" i="13"/>
  <c r="AC2525" i="13"/>
  <c r="AB2525" i="13"/>
  <c r="AA2525" i="13"/>
  <c r="Z2525" i="13"/>
  <c r="Y2525" i="13"/>
  <c r="X2525" i="13"/>
  <c r="W2525" i="13"/>
  <c r="V2525" i="13"/>
  <c r="U2525" i="13"/>
  <c r="T2525" i="13"/>
  <c r="S2525" i="13"/>
  <c r="R2525" i="13"/>
  <c r="Q2525" i="13"/>
  <c r="P2525" i="13"/>
  <c r="O2525" i="13"/>
  <c r="N2525" i="13"/>
  <c r="M2525" i="13"/>
  <c r="L2525" i="13"/>
  <c r="K2525" i="13"/>
  <c r="J2525" i="13"/>
  <c r="I2525" i="13"/>
  <c r="H2525" i="13"/>
  <c r="G2525" i="13"/>
  <c r="AD2524" i="13"/>
  <c r="AC2524" i="13"/>
  <c r="AB2524" i="13"/>
  <c r="AA2524" i="13"/>
  <c r="Z2524" i="13"/>
  <c r="Y2524" i="13"/>
  <c r="X2524" i="13"/>
  <c r="W2524" i="13"/>
  <c r="V2524" i="13"/>
  <c r="U2524" i="13"/>
  <c r="T2524" i="13"/>
  <c r="S2524" i="13"/>
  <c r="R2524" i="13"/>
  <c r="Q2524" i="13"/>
  <c r="P2524" i="13"/>
  <c r="O2524" i="13"/>
  <c r="N2524" i="13"/>
  <c r="M2524" i="13"/>
  <c r="L2524" i="13"/>
  <c r="K2524" i="13"/>
  <c r="J2524" i="13"/>
  <c r="I2524" i="13"/>
  <c r="H2524" i="13"/>
  <c r="G2524" i="13"/>
  <c r="AD2523" i="13"/>
  <c r="AC2523" i="13"/>
  <c r="AB2523" i="13"/>
  <c r="AA2523" i="13"/>
  <c r="Z2523" i="13"/>
  <c r="Y2523" i="13"/>
  <c r="X2523" i="13"/>
  <c r="W2523" i="13"/>
  <c r="V2523" i="13"/>
  <c r="U2523" i="13"/>
  <c r="T2523" i="13"/>
  <c r="S2523" i="13"/>
  <c r="R2523" i="13"/>
  <c r="Q2523" i="13"/>
  <c r="P2523" i="13"/>
  <c r="O2523" i="13"/>
  <c r="N2523" i="13"/>
  <c r="M2523" i="13"/>
  <c r="L2523" i="13"/>
  <c r="K2523" i="13"/>
  <c r="J2523" i="13"/>
  <c r="I2523" i="13"/>
  <c r="H2523" i="13"/>
  <c r="G2523" i="13"/>
  <c r="AD2522" i="13"/>
  <c r="AC2522" i="13"/>
  <c r="AB2522" i="13"/>
  <c r="AA2522" i="13"/>
  <c r="Z2522" i="13"/>
  <c r="Y2522" i="13"/>
  <c r="X2522" i="13"/>
  <c r="W2522" i="13"/>
  <c r="V2522" i="13"/>
  <c r="U2522" i="13"/>
  <c r="T2522" i="13"/>
  <c r="S2522" i="13"/>
  <c r="R2522" i="13"/>
  <c r="Q2522" i="13"/>
  <c r="P2522" i="13"/>
  <c r="O2522" i="13"/>
  <c r="N2522" i="13"/>
  <c r="M2522" i="13"/>
  <c r="L2522" i="13"/>
  <c r="K2522" i="13"/>
  <c r="J2522" i="13"/>
  <c r="I2522" i="13"/>
  <c r="H2522" i="13"/>
  <c r="G2522" i="13"/>
  <c r="AD2521" i="13"/>
  <c r="AC2521" i="13"/>
  <c r="AB2521" i="13"/>
  <c r="AA2521" i="13"/>
  <c r="Z2521" i="13"/>
  <c r="Y2521" i="13"/>
  <c r="X2521" i="13"/>
  <c r="W2521" i="13"/>
  <c r="V2521" i="13"/>
  <c r="U2521" i="13"/>
  <c r="T2521" i="13"/>
  <c r="S2521" i="13"/>
  <c r="R2521" i="13"/>
  <c r="Q2521" i="13"/>
  <c r="P2521" i="13"/>
  <c r="O2521" i="13"/>
  <c r="N2521" i="13"/>
  <c r="M2521" i="13"/>
  <c r="L2521" i="13"/>
  <c r="K2521" i="13"/>
  <c r="J2521" i="13"/>
  <c r="I2521" i="13"/>
  <c r="H2521" i="13"/>
  <c r="G2521" i="13"/>
  <c r="AD2520" i="13"/>
  <c r="AC2520" i="13"/>
  <c r="AB2520" i="13"/>
  <c r="AA2520" i="13"/>
  <c r="Z2520" i="13"/>
  <c r="Y2520" i="13"/>
  <c r="X2520" i="13"/>
  <c r="W2520" i="13"/>
  <c r="V2520" i="13"/>
  <c r="U2520" i="13"/>
  <c r="T2520" i="13"/>
  <c r="S2520" i="13"/>
  <c r="R2520" i="13"/>
  <c r="Q2520" i="13"/>
  <c r="P2520" i="13"/>
  <c r="O2520" i="13"/>
  <c r="N2520" i="13"/>
  <c r="M2520" i="13"/>
  <c r="L2520" i="13"/>
  <c r="K2520" i="13"/>
  <c r="J2520" i="13"/>
  <c r="I2520" i="13"/>
  <c r="H2520" i="13"/>
  <c r="G2520" i="13"/>
  <c r="AD2519" i="13"/>
  <c r="AC2519" i="13"/>
  <c r="AB2519" i="13"/>
  <c r="AA2519" i="13"/>
  <c r="Z2519" i="13"/>
  <c r="Y2519" i="13"/>
  <c r="X2519" i="13"/>
  <c r="W2519" i="13"/>
  <c r="V2519" i="13"/>
  <c r="U2519" i="13"/>
  <c r="T2519" i="13"/>
  <c r="S2519" i="13"/>
  <c r="R2519" i="13"/>
  <c r="Q2519" i="13"/>
  <c r="P2519" i="13"/>
  <c r="O2519" i="13"/>
  <c r="N2519" i="13"/>
  <c r="M2519" i="13"/>
  <c r="L2519" i="13"/>
  <c r="K2519" i="13"/>
  <c r="J2519" i="13"/>
  <c r="I2519" i="13"/>
  <c r="H2519" i="13"/>
  <c r="G2519" i="13"/>
  <c r="AD2518" i="13"/>
  <c r="AC2518" i="13"/>
  <c r="AB2518" i="13"/>
  <c r="AA2518" i="13"/>
  <c r="Z2518" i="13"/>
  <c r="Y2518" i="13"/>
  <c r="X2518" i="13"/>
  <c r="W2518" i="13"/>
  <c r="V2518" i="13"/>
  <c r="U2518" i="13"/>
  <c r="T2518" i="13"/>
  <c r="S2518" i="13"/>
  <c r="R2518" i="13"/>
  <c r="Q2518" i="13"/>
  <c r="P2518" i="13"/>
  <c r="O2518" i="13"/>
  <c r="N2518" i="13"/>
  <c r="M2518" i="13"/>
  <c r="L2518" i="13"/>
  <c r="K2518" i="13"/>
  <c r="J2518" i="13"/>
  <c r="I2518" i="13"/>
  <c r="H2518" i="13"/>
  <c r="G2518" i="13"/>
  <c r="AD2517" i="13"/>
  <c r="AC2517" i="13"/>
  <c r="AB2517" i="13"/>
  <c r="AA2517" i="13"/>
  <c r="Z2517" i="13"/>
  <c r="Y2517" i="13"/>
  <c r="X2517" i="13"/>
  <c r="W2517" i="13"/>
  <c r="V2517" i="13"/>
  <c r="U2517" i="13"/>
  <c r="T2517" i="13"/>
  <c r="S2517" i="13"/>
  <c r="R2517" i="13"/>
  <c r="Q2517" i="13"/>
  <c r="P2517" i="13"/>
  <c r="O2517" i="13"/>
  <c r="N2517" i="13"/>
  <c r="M2517" i="13"/>
  <c r="L2517" i="13"/>
  <c r="K2517" i="13"/>
  <c r="J2517" i="13"/>
  <c r="I2517" i="13"/>
  <c r="H2517" i="13"/>
  <c r="G2517" i="13"/>
  <c r="AD2516" i="13"/>
  <c r="AC2516" i="13"/>
  <c r="AB2516" i="13"/>
  <c r="AA2516" i="13"/>
  <c r="Z2516" i="13"/>
  <c r="Y2516" i="13"/>
  <c r="X2516" i="13"/>
  <c r="W2516" i="13"/>
  <c r="V2516" i="13"/>
  <c r="U2516" i="13"/>
  <c r="T2516" i="13"/>
  <c r="S2516" i="13"/>
  <c r="R2516" i="13"/>
  <c r="Q2516" i="13"/>
  <c r="P2516" i="13"/>
  <c r="O2516" i="13"/>
  <c r="N2516" i="13"/>
  <c r="M2516" i="13"/>
  <c r="L2516" i="13"/>
  <c r="K2516" i="13"/>
  <c r="J2516" i="13"/>
  <c r="I2516" i="13"/>
  <c r="H2516" i="13"/>
  <c r="G2516" i="13"/>
  <c r="AD2515" i="13"/>
  <c r="AC2515" i="13"/>
  <c r="AB2515" i="13"/>
  <c r="AA2515" i="13"/>
  <c r="Z2515" i="13"/>
  <c r="Y2515" i="13"/>
  <c r="X2515" i="13"/>
  <c r="W2515" i="13"/>
  <c r="V2515" i="13"/>
  <c r="U2515" i="13"/>
  <c r="T2515" i="13"/>
  <c r="S2515" i="13"/>
  <c r="R2515" i="13"/>
  <c r="Q2515" i="13"/>
  <c r="P2515" i="13"/>
  <c r="O2515" i="13"/>
  <c r="N2515" i="13"/>
  <c r="M2515" i="13"/>
  <c r="L2515" i="13"/>
  <c r="K2515" i="13"/>
  <c r="J2515" i="13"/>
  <c r="I2515" i="13"/>
  <c r="H2515" i="13"/>
  <c r="G2515" i="13"/>
  <c r="AD2514" i="13"/>
  <c r="AC2514" i="13"/>
  <c r="AB2514" i="13"/>
  <c r="AA2514" i="13"/>
  <c r="Z2514" i="13"/>
  <c r="Y2514" i="13"/>
  <c r="X2514" i="13"/>
  <c r="W2514" i="13"/>
  <c r="V2514" i="13"/>
  <c r="U2514" i="13"/>
  <c r="T2514" i="13"/>
  <c r="S2514" i="13"/>
  <c r="R2514" i="13"/>
  <c r="Q2514" i="13"/>
  <c r="P2514" i="13"/>
  <c r="O2514" i="13"/>
  <c r="N2514" i="13"/>
  <c r="M2514" i="13"/>
  <c r="L2514" i="13"/>
  <c r="K2514" i="13"/>
  <c r="J2514" i="13"/>
  <c r="I2514" i="13"/>
  <c r="H2514" i="13"/>
  <c r="G2514" i="13"/>
  <c r="AD2513" i="13"/>
  <c r="AC2513" i="13"/>
  <c r="AB2513" i="13"/>
  <c r="AA2513" i="13"/>
  <c r="Z2513" i="13"/>
  <c r="Y2513" i="13"/>
  <c r="X2513" i="13"/>
  <c r="W2513" i="13"/>
  <c r="V2513" i="13"/>
  <c r="U2513" i="13"/>
  <c r="T2513" i="13"/>
  <c r="S2513" i="13"/>
  <c r="R2513" i="13"/>
  <c r="Q2513" i="13"/>
  <c r="P2513" i="13"/>
  <c r="O2513" i="13"/>
  <c r="N2513" i="13"/>
  <c r="M2513" i="13"/>
  <c r="L2513" i="13"/>
  <c r="K2513" i="13"/>
  <c r="J2513" i="13"/>
  <c r="I2513" i="13"/>
  <c r="H2513" i="13"/>
  <c r="G2513" i="13"/>
  <c r="AD2512" i="13"/>
  <c r="AC2512" i="13"/>
  <c r="AB2512" i="13"/>
  <c r="AA2512" i="13"/>
  <c r="Z2512" i="13"/>
  <c r="Y2512" i="13"/>
  <c r="X2512" i="13"/>
  <c r="W2512" i="13"/>
  <c r="V2512" i="13"/>
  <c r="U2512" i="13"/>
  <c r="T2512" i="13"/>
  <c r="S2512" i="13"/>
  <c r="R2512" i="13"/>
  <c r="Q2512" i="13"/>
  <c r="P2512" i="13"/>
  <c r="O2512" i="13"/>
  <c r="N2512" i="13"/>
  <c r="M2512" i="13"/>
  <c r="L2512" i="13"/>
  <c r="K2512" i="13"/>
  <c r="J2512" i="13"/>
  <c r="I2512" i="13"/>
  <c r="H2512" i="13"/>
  <c r="G2512" i="13"/>
  <c r="AD2511" i="13"/>
  <c r="AC2511" i="13"/>
  <c r="AB2511" i="13"/>
  <c r="AA2511" i="13"/>
  <c r="Z2511" i="13"/>
  <c r="Y2511" i="13"/>
  <c r="X2511" i="13"/>
  <c r="W2511" i="13"/>
  <c r="V2511" i="13"/>
  <c r="U2511" i="13"/>
  <c r="T2511" i="13"/>
  <c r="S2511" i="13"/>
  <c r="R2511" i="13"/>
  <c r="Q2511" i="13"/>
  <c r="P2511" i="13"/>
  <c r="O2511" i="13"/>
  <c r="N2511" i="13"/>
  <c r="M2511" i="13"/>
  <c r="L2511" i="13"/>
  <c r="K2511" i="13"/>
  <c r="J2511" i="13"/>
  <c r="I2511" i="13"/>
  <c r="H2511" i="13"/>
  <c r="G2511" i="13"/>
  <c r="AD2510" i="13"/>
  <c r="AC2510" i="13"/>
  <c r="AB2510" i="13"/>
  <c r="AA2510" i="13"/>
  <c r="Z2510" i="13"/>
  <c r="Y2510" i="13"/>
  <c r="X2510" i="13"/>
  <c r="W2510" i="13"/>
  <c r="V2510" i="13"/>
  <c r="U2510" i="13"/>
  <c r="T2510" i="13"/>
  <c r="S2510" i="13"/>
  <c r="R2510" i="13"/>
  <c r="Q2510" i="13"/>
  <c r="P2510" i="13"/>
  <c r="O2510" i="13"/>
  <c r="N2510" i="13"/>
  <c r="M2510" i="13"/>
  <c r="L2510" i="13"/>
  <c r="K2510" i="13"/>
  <c r="J2510" i="13"/>
  <c r="I2510" i="13"/>
  <c r="H2510" i="13"/>
  <c r="G2510" i="13"/>
  <c r="AD2509" i="13"/>
  <c r="AC2509" i="13"/>
  <c r="AB2509" i="13"/>
  <c r="AA2509" i="13"/>
  <c r="Z2509" i="13"/>
  <c r="Y2509" i="13"/>
  <c r="X2509" i="13"/>
  <c r="W2509" i="13"/>
  <c r="V2509" i="13"/>
  <c r="U2509" i="13"/>
  <c r="T2509" i="13"/>
  <c r="S2509" i="13"/>
  <c r="R2509" i="13"/>
  <c r="Q2509" i="13"/>
  <c r="P2509" i="13"/>
  <c r="O2509" i="13"/>
  <c r="N2509" i="13"/>
  <c r="M2509" i="13"/>
  <c r="L2509" i="13"/>
  <c r="K2509" i="13"/>
  <c r="J2509" i="13"/>
  <c r="I2509" i="13"/>
  <c r="H2509" i="13"/>
  <c r="G2509" i="13"/>
  <c r="AD2508" i="13"/>
  <c r="AC2508" i="13"/>
  <c r="AB2508" i="13"/>
  <c r="AA2508" i="13"/>
  <c r="Z2508" i="13"/>
  <c r="Y2508" i="13"/>
  <c r="X2508" i="13"/>
  <c r="W2508" i="13"/>
  <c r="V2508" i="13"/>
  <c r="U2508" i="13"/>
  <c r="T2508" i="13"/>
  <c r="S2508" i="13"/>
  <c r="R2508" i="13"/>
  <c r="Q2508" i="13"/>
  <c r="P2508" i="13"/>
  <c r="O2508" i="13"/>
  <c r="N2508" i="13"/>
  <c r="M2508" i="13"/>
  <c r="L2508" i="13"/>
  <c r="K2508" i="13"/>
  <c r="J2508" i="13"/>
  <c r="I2508" i="13"/>
  <c r="H2508" i="13"/>
  <c r="G2508" i="13"/>
  <c r="AD2507" i="13"/>
  <c r="AC2507" i="13"/>
  <c r="AB2507" i="13"/>
  <c r="AA2507" i="13"/>
  <c r="Z2507" i="13"/>
  <c r="Y2507" i="13"/>
  <c r="X2507" i="13"/>
  <c r="W2507" i="13"/>
  <c r="V2507" i="13"/>
  <c r="U2507" i="13"/>
  <c r="T2507" i="13"/>
  <c r="S2507" i="13"/>
  <c r="R2507" i="13"/>
  <c r="Q2507" i="13"/>
  <c r="P2507" i="13"/>
  <c r="O2507" i="13"/>
  <c r="N2507" i="13"/>
  <c r="M2507" i="13"/>
  <c r="L2507" i="13"/>
  <c r="K2507" i="13"/>
  <c r="J2507" i="13"/>
  <c r="I2507" i="13"/>
  <c r="H2507" i="13"/>
  <c r="G2507" i="13"/>
  <c r="AD2506" i="13"/>
  <c r="AC2506" i="13"/>
  <c r="AB2506" i="13"/>
  <c r="AA2506" i="13"/>
  <c r="Z2506" i="13"/>
  <c r="Y2506" i="13"/>
  <c r="X2506" i="13"/>
  <c r="W2506" i="13"/>
  <c r="V2506" i="13"/>
  <c r="U2506" i="13"/>
  <c r="T2506" i="13"/>
  <c r="S2506" i="13"/>
  <c r="R2506" i="13"/>
  <c r="Q2506" i="13"/>
  <c r="P2506" i="13"/>
  <c r="O2506" i="13"/>
  <c r="N2506" i="13"/>
  <c r="M2506" i="13"/>
  <c r="L2506" i="13"/>
  <c r="K2506" i="13"/>
  <c r="J2506" i="13"/>
  <c r="I2506" i="13"/>
  <c r="H2506" i="13"/>
  <c r="G2506" i="13"/>
  <c r="AD2505" i="13"/>
  <c r="AC2505" i="13"/>
  <c r="AB2505" i="13"/>
  <c r="AA2505" i="13"/>
  <c r="Z2505" i="13"/>
  <c r="Y2505" i="13"/>
  <c r="X2505" i="13"/>
  <c r="W2505" i="13"/>
  <c r="V2505" i="13"/>
  <c r="U2505" i="13"/>
  <c r="T2505" i="13"/>
  <c r="S2505" i="13"/>
  <c r="R2505" i="13"/>
  <c r="Q2505" i="13"/>
  <c r="P2505" i="13"/>
  <c r="O2505" i="13"/>
  <c r="N2505" i="13"/>
  <c r="M2505" i="13"/>
  <c r="L2505" i="13"/>
  <c r="K2505" i="13"/>
  <c r="J2505" i="13"/>
  <c r="I2505" i="13"/>
  <c r="H2505" i="13"/>
  <c r="G2505" i="13"/>
  <c r="AD2504" i="13"/>
  <c r="AC2504" i="13"/>
  <c r="AB2504" i="13"/>
  <c r="AA2504" i="13"/>
  <c r="Z2504" i="13"/>
  <c r="Y2504" i="13"/>
  <c r="X2504" i="13"/>
  <c r="W2504" i="13"/>
  <c r="V2504" i="13"/>
  <c r="U2504" i="13"/>
  <c r="T2504" i="13"/>
  <c r="S2504" i="13"/>
  <c r="R2504" i="13"/>
  <c r="Q2504" i="13"/>
  <c r="P2504" i="13"/>
  <c r="O2504" i="13"/>
  <c r="N2504" i="13"/>
  <c r="M2504" i="13"/>
  <c r="L2504" i="13"/>
  <c r="K2504" i="13"/>
  <c r="J2504" i="13"/>
  <c r="I2504" i="13"/>
  <c r="H2504" i="13"/>
  <c r="G2504" i="13"/>
  <c r="AD2503" i="13"/>
  <c r="AC2503" i="13"/>
  <c r="AB2503" i="13"/>
  <c r="AA2503" i="13"/>
  <c r="Z2503" i="13"/>
  <c r="Y2503" i="13"/>
  <c r="X2503" i="13"/>
  <c r="W2503" i="13"/>
  <c r="V2503" i="13"/>
  <c r="U2503" i="13"/>
  <c r="T2503" i="13"/>
  <c r="S2503" i="13"/>
  <c r="R2503" i="13"/>
  <c r="Q2503" i="13"/>
  <c r="P2503" i="13"/>
  <c r="O2503" i="13"/>
  <c r="N2503" i="13"/>
  <c r="M2503" i="13"/>
  <c r="L2503" i="13"/>
  <c r="K2503" i="13"/>
  <c r="J2503" i="13"/>
  <c r="I2503" i="13"/>
  <c r="H2503" i="13"/>
  <c r="G2503" i="13"/>
  <c r="AD2502" i="13"/>
  <c r="AC2502" i="13"/>
  <c r="AB2502" i="13"/>
  <c r="AA2502" i="13"/>
  <c r="Z2502" i="13"/>
  <c r="Y2502" i="13"/>
  <c r="X2502" i="13"/>
  <c r="W2502" i="13"/>
  <c r="V2502" i="13"/>
  <c r="U2502" i="13"/>
  <c r="T2502" i="13"/>
  <c r="S2502" i="13"/>
  <c r="R2502" i="13"/>
  <c r="Q2502" i="13"/>
  <c r="P2502" i="13"/>
  <c r="O2502" i="13"/>
  <c r="N2502" i="13"/>
  <c r="M2502" i="13"/>
  <c r="L2502" i="13"/>
  <c r="K2502" i="13"/>
  <c r="J2502" i="13"/>
  <c r="I2502" i="13"/>
  <c r="H2502" i="13"/>
  <c r="G2502" i="13"/>
  <c r="AD2501" i="13"/>
  <c r="AC2501" i="13"/>
  <c r="AB2501" i="13"/>
  <c r="AA2501" i="13"/>
  <c r="Z2501" i="13"/>
  <c r="Y2501" i="13"/>
  <c r="X2501" i="13"/>
  <c r="W2501" i="13"/>
  <c r="V2501" i="13"/>
  <c r="U2501" i="13"/>
  <c r="T2501" i="13"/>
  <c r="S2501" i="13"/>
  <c r="R2501" i="13"/>
  <c r="Q2501" i="13"/>
  <c r="P2501" i="13"/>
  <c r="O2501" i="13"/>
  <c r="N2501" i="13"/>
  <c r="M2501" i="13"/>
  <c r="L2501" i="13"/>
  <c r="K2501" i="13"/>
  <c r="J2501" i="13"/>
  <c r="I2501" i="13"/>
  <c r="H2501" i="13"/>
  <c r="G2501" i="13"/>
  <c r="AD2500" i="13"/>
  <c r="AC2500" i="13"/>
  <c r="AB2500" i="13"/>
  <c r="AA2500" i="13"/>
  <c r="Z2500" i="13"/>
  <c r="Y2500" i="13"/>
  <c r="X2500" i="13"/>
  <c r="W2500" i="13"/>
  <c r="V2500" i="13"/>
  <c r="U2500" i="13"/>
  <c r="T2500" i="13"/>
  <c r="S2500" i="13"/>
  <c r="R2500" i="13"/>
  <c r="Q2500" i="13"/>
  <c r="P2500" i="13"/>
  <c r="O2500" i="13"/>
  <c r="N2500" i="13"/>
  <c r="M2500" i="13"/>
  <c r="L2500" i="13"/>
  <c r="K2500" i="13"/>
  <c r="J2500" i="13"/>
  <c r="I2500" i="13"/>
  <c r="H2500" i="13"/>
  <c r="G2500" i="13"/>
  <c r="AD2499" i="13"/>
  <c r="AC2499" i="13"/>
  <c r="AB2499" i="13"/>
  <c r="AA2499" i="13"/>
  <c r="Z2499" i="13"/>
  <c r="Y2499" i="13"/>
  <c r="X2499" i="13"/>
  <c r="W2499" i="13"/>
  <c r="V2499" i="13"/>
  <c r="U2499" i="13"/>
  <c r="T2499" i="13"/>
  <c r="S2499" i="13"/>
  <c r="R2499" i="13"/>
  <c r="Q2499" i="13"/>
  <c r="P2499" i="13"/>
  <c r="O2499" i="13"/>
  <c r="N2499" i="13"/>
  <c r="M2499" i="13"/>
  <c r="L2499" i="13"/>
  <c r="K2499" i="13"/>
  <c r="J2499" i="13"/>
  <c r="I2499" i="13"/>
  <c r="H2499" i="13"/>
  <c r="G2499" i="13"/>
  <c r="AD2498" i="13"/>
  <c r="AC2498" i="13"/>
  <c r="AB2498" i="13"/>
  <c r="AA2498" i="13"/>
  <c r="Z2498" i="13"/>
  <c r="Y2498" i="13"/>
  <c r="X2498" i="13"/>
  <c r="W2498" i="13"/>
  <c r="V2498" i="13"/>
  <c r="U2498" i="13"/>
  <c r="T2498" i="13"/>
  <c r="S2498" i="13"/>
  <c r="R2498" i="13"/>
  <c r="Q2498" i="13"/>
  <c r="P2498" i="13"/>
  <c r="O2498" i="13"/>
  <c r="N2498" i="13"/>
  <c r="M2498" i="13"/>
  <c r="L2498" i="13"/>
  <c r="K2498" i="13"/>
  <c r="J2498" i="13"/>
  <c r="I2498" i="13"/>
  <c r="H2498" i="13"/>
  <c r="G2498" i="13"/>
  <c r="AD2497" i="13"/>
  <c r="AC2497" i="13"/>
  <c r="AB2497" i="13"/>
  <c r="AA2497" i="13"/>
  <c r="Z2497" i="13"/>
  <c r="Y2497" i="13"/>
  <c r="X2497" i="13"/>
  <c r="W2497" i="13"/>
  <c r="V2497" i="13"/>
  <c r="U2497" i="13"/>
  <c r="T2497" i="13"/>
  <c r="S2497" i="13"/>
  <c r="R2497" i="13"/>
  <c r="Q2497" i="13"/>
  <c r="P2497" i="13"/>
  <c r="O2497" i="13"/>
  <c r="N2497" i="13"/>
  <c r="M2497" i="13"/>
  <c r="L2497" i="13"/>
  <c r="K2497" i="13"/>
  <c r="J2497" i="13"/>
  <c r="I2497" i="13"/>
  <c r="H2497" i="13"/>
  <c r="G2497" i="13"/>
  <c r="AD2496" i="13"/>
  <c r="AC2496" i="13"/>
  <c r="AB2496" i="13"/>
  <c r="AA2496" i="13"/>
  <c r="Z2496" i="13"/>
  <c r="Y2496" i="13"/>
  <c r="X2496" i="13"/>
  <c r="W2496" i="13"/>
  <c r="V2496" i="13"/>
  <c r="U2496" i="13"/>
  <c r="T2496" i="13"/>
  <c r="S2496" i="13"/>
  <c r="R2496" i="13"/>
  <c r="Q2496" i="13"/>
  <c r="P2496" i="13"/>
  <c r="O2496" i="13"/>
  <c r="N2496" i="13"/>
  <c r="M2496" i="13"/>
  <c r="L2496" i="13"/>
  <c r="K2496" i="13"/>
  <c r="J2496" i="13"/>
  <c r="I2496" i="13"/>
  <c r="H2496" i="13"/>
  <c r="G2496" i="13"/>
  <c r="AD2495" i="13"/>
  <c r="AC2495" i="13"/>
  <c r="AB2495" i="13"/>
  <c r="AA2495" i="13"/>
  <c r="Z2495" i="13"/>
  <c r="Y2495" i="13"/>
  <c r="X2495" i="13"/>
  <c r="W2495" i="13"/>
  <c r="V2495" i="13"/>
  <c r="U2495" i="13"/>
  <c r="T2495" i="13"/>
  <c r="S2495" i="13"/>
  <c r="R2495" i="13"/>
  <c r="Q2495" i="13"/>
  <c r="P2495" i="13"/>
  <c r="O2495" i="13"/>
  <c r="N2495" i="13"/>
  <c r="M2495" i="13"/>
  <c r="L2495" i="13"/>
  <c r="K2495" i="13"/>
  <c r="J2495" i="13"/>
  <c r="I2495" i="13"/>
  <c r="H2495" i="13"/>
  <c r="G2495" i="13"/>
  <c r="AD2494" i="13"/>
  <c r="AC2494" i="13"/>
  <c r="AB2494" i="13"/>
  <c r="AA2494" i="13"/>
  <c r="Z2494" i="13"/>
  <c r="Y2494" i="13"/>
  <c r="X2494" i="13"/>
  <c r="W2494" i="13"/>
  <c r="V2494" i="13"/>
  <c r="U2494" i="13"/>
  <c r="T2494" i="13"/>
  <c r="S2494" i="13"/>
  <c r="R2494" i="13"/>
  <c r="Q2494" i="13"/>
  <c r="P2494" i="13"/>
  <c r="O2494" i="13"/>
  <c r="N2494" i="13"/>
  <c r="M2494" i="13"/>
  <c r="L2494" i="13"/>
  <c r="K2494" i="13"/>
  <c r="J2494" i="13"/>
  <c r="I2494" i="13"/>
  <c r="H2494" i="13"/>
  <c r="G2494" i="13"/>
  <c r="AD2493" i="13"/>
  <c r="AC2493" i="13"/>
  <c r="AB2493" i="13"/>
  <c r="AA2493" i="13"/>
  <c r="Z2493" i="13"/>
  <c r="Y2493" i="13"/>
  <c r="X2493" i="13"/>
  <c r="W2493" i="13"/>
  <c r="V2493" i="13"/>
  <c r="U2493" i="13"/>
  <c r="T2493" i="13"/>
  <c r="S2493" i="13"/>
  <c r="R2493" i="13"/>
  <c r="Q2493" i="13"/>
  <c r="P2493" i="13"/>
  <c r="O2493" i="13"/>
  <c r="N2493" i="13"/>
  <c r="M2493" i="13"/>
  <c r="L2493" i="13"/>
  <c r="K2493" i="13"/>
  <c r="J2493" i="13"/>
  <c r="I2493" i="13"/>
  <c r="H2493" i="13"/>
  <c r="G2493" i="13"/>
  <c r="AD2492" i="13"/>
  <c r="AC2492" i="13"/>
  <c r="AB2492" i="13"/>
  <c r="AA2492" i="13"/>
  <c r="Z2492" i="13"/>
  <c r="Y2492" i="13"/>
  <c r="X2492" i="13"/>
  <c r="W2492" i="13"/>
  <c r="V2492" i="13"/>
  <c r="U2492" i="13"/>
  <c r="T2492" i="13"/>
  <c r="S2492" i="13"/>
  <c r="R2492" i="13"/>
  <c r="Q2492" i="13"/>
  <c r="P2492" i="13"/>
  <c r="O2492" i="13"/>
  <c r="N2492" i="13"/>
  <c r="M2492" i="13"/>
  <c r="L2492" i="13"/>
  <c r="K2492" i="13"/>
  <c r="J2492" i="13"/>
  <c r="I2492" i="13"/>
  <c r="H2492" i="13"/>
  <c r="G2492" i="13"/>
  <c r="AD2491" i="13"/>
  <c r="AC2491" i="13"/>
  <c r="AB2491" i="13"/>
  <c r="AA2491" i="13"/>
  <c r="Z2491" i="13"/>
  <c r="Y2491" i="13"/>
  <c r="X2491" i="13"/>
  <c r="W2491" i="13"/>
  <c r="V2491" i="13"/>
  <c r="U2491" i="13"/>
  <c r="T2491" i="13"/>
  <c r="S2491" i="13"/>
  <c r="R2491" i="13"/>
  <c r="Q2491" i="13"/>
  <c r="P2491" i="13"/>
  <c r="O2491" i="13"/>
  <c r="N2491" i="13"/>
  <c r="M2491" i="13"/>
  <c r="L2491" i="13"/>
  <c r="K2491" i="13"/>
  <c r="J2491" i="13"/>
  <c r="I2491" i="13"/>
  <c r="H2491" i="13"/>
  <c r="G2491" i="13"/>
  <c r="AD2490" i="13"/>
  <c r="AC2490" i="13"/>
  <c r="AB2490" i="13"/>
  <c r="AA2490" i="13"/>
  <c r="Z2490" i="13"/>
  <c r="Y2490" i="13"/>
  <c r="X2490" i="13"/>
  <c r="W2490" i="13"/>
  <c r="V2490" i="13"/>
  <c r="U2490" i="13"/>
  <c r="T2490" i="13"/>
  <c r="S2490" i="13"/>
  <c r="R2490" i="13"/>
  <c r="Q2490" i="13"/>
  <c r="P2490" i="13"/>
  <c r="O2490" i="13"/>
  <c r="N2490" i="13"/>
  <c r="M2490" i="13"/>
  <c r="L2490" i="13"/>
  <c r="K2490" i="13"/>
  <c r="J2490" i="13"/>
  <c r="I2490" i="13"/>
  <c r="H2490" i="13"/>
  <c r="G2490" i="13"/>
  <c r="AD2489" i="13"/>
  <c r="AC2489" i="13"/>
  <c r="AB2489" i="13"/>
  <c r="AA2489" i="13"/>
  <c r="Z2489" i="13"/>
  <c r="Y2489" i="13"/>
  <c r="X2489" i="13"/>
  <c r="W2489" i="13"/>
  <c r="V2489" i="13"/>
  <c r="U2489" i="13"/>
  <c r="T2489" i="13"/>
  <c r="S2489" i="13"/>
  <c r="R2489" i="13"/>
  <c r="Q2489" i="13"/>
  <c r="P2489" i="13"/>
  <c r="O2489" i="13"/>
  <c r="N2489" i="13"/>
  <c r="M2489" i="13"/>
  <c r="L2489" i="13"/>
  <c r="K2489" i="13"/>
  <c r="J2489" i="13"/>
  <c r="I2489" i="13"/>
  <c r="H2489" i="13"/>
  <c r="G2489" i="13"/>
  <c r="AD2488" i="13"/>
  <c r="AC2488" i="13"/>
  <c r="AB2488" i="13"/>
  <c r="AA2488" i="13"/>
  <c r="Z2488" i="13"/>
  <c r="Y2488" i="13"/>
  <c r="X2488" i="13"/>
  <c r="W2488" i="13"/>
  <c r="V2488" i="13"/>
  <c r="U2488" i="13"/>
  <c r="T2488" i="13"/>
  <c r="S2488" i="13"/>
  <c r="R2488" i="13"/>
  <c r="Q2488" i="13"/>
  <c r="P2488" i="13"/>
  <c r="O2488" i="13"/>
  <c r="N2488" i="13"/>
  <c r="M2488" i="13"/>
  <c r="L2488" i="13"/>
  <c r="K2488" i="13"/>
  <c r="J2488" i="13"/>
  <c r="I2488" i="13"/>
  <c r="H2488" i="13"/>
  <c r="G2488" i="13"/>
  <c r="AD2487" i="13"/>
  <c r="AC2487" i="13"/>
  <c r="AB2487" i="13"/>
  <c r="AA2487" i="13"/>
  <c r="Z2487" i="13"/>
  <c r="Y2487" i="13"/>
  <c r="X2487" i="13"/>
  <c r="W2487" i="13"/>
  <c r="V2487" i="13"/>
  <c r="U2487" i="13"/>
  <c r="T2487" i="13"/>
  <c r="S2487" i="13"/>
  <c r="R2487" i="13"/>
  <c r="Q2487" i="13"/>
  <c r="P2487" i="13"/>
  <c r="O2487" i="13"/>
  <c r="N2487" i="13"/>
  <c r="M2487" i="13"/>
  <c r="L2487" i="13"/>
  <c r="K2487" i="13"/>
  <c r="J2487" i="13"/>
  <c r="I2487" i="13"/>
  <c r="H2487" i="13"/>
  <c r="G2487" i="13"/>
  <c r="AD2486" i="13"/>
  <c r="AC2486" i="13"/>
  <c r="AB2486" i="13"/>
  <c r="AA2486" i="13"/>
  <c r="Z2486" i="13"/>
  <c r="Y2486" i="13"/>
  <c r="X2486" i="13"/>
  <c r="W2486" i="13"/>
  <c r="V2486" i="13"/>
  <c r="U2486" i="13"/>
  <c r="T2486" i="13"/>
  <c r="S2486" i="13"/>
  <c r="R2486" i="13"/>
  <c r="Q2486" i="13"/>
  <c r="P2486" i="13"/>
  <c r="O2486" i="13"/>
  <c r="N2486" i="13"/>
  <c r="M2486" i="13"/>
  <c r="L2486" i="13"/>
  <c r="K2486" i="13"/>
  <c r="J2486" i="13"/>
  <c r="I2486" i="13"/>
  <c r="H2486" i="13"/>
  <c r="G2486" i="13"/>
  <c r="AD2485" i="13"/>
  <c r="AC2485" i="13"/>
  <c r="AB2485" i="13"/>
  <c r="AA2485" i="13"/>
  <c r="Z2485" i="13"/>
  <c r="Y2485" i="13"/>
  <c r="X2485" i="13"/>
  <c r="W2485" i="13"/>
  <c r="V2485" i="13"/>
  <c r="U2485" i="13"/>
  <c r="T2485" i="13"/>
  <c r="S2485" i="13"/>
  <c r="R2485" i="13"/>
  <c r="Q2485" i="13"/>
  <c r="P2485" i="13"/>
  <c r="O2485" i="13"/>
  <c r="N2485" i="13"/>
  <c r="M2485" i="13"/>
  <c r="L2485" i="13"/>
  <c r="K2485" i="13"/>
  <c r="J2485" i="13"/>
  <c r="I2485" i="13"/>
  <c r="H2485" i="13"/>
  <c r="G2485" i="13"/>
  <c r="AD2484" i="13"/>
  <c r="AC2484" i="13"/>
  <c r="AB2484" i="13"/>
  <c r="AA2484" i="13"/>
  <c r="Z2484" i="13"/>
  <c r="Y2484" i="13"/>
  <c r="X2484" i="13"/>
  <c r="W2484" i="13"/>
  <c r="V2484" i="13"/>
  <c r="U2484" i="13"/>
  <c r="T2484" i="13"/>
  <c r="S2484" i="13"/>
  <c r="R2484" i="13"/>
  <c r="Q2484" i="13"/>
  <c r="P2484" i="13"/>
  <c r="O2484" i="13"/>
  <c r="N2484" i="13"/>
  <c r="M2484" i="13"/>
  <c r="L2484" i="13"/>
  <c r="K2484" i="13"/>
  <c r="J2484" i="13"/>
  <c r="I2484" i="13"/>
  <c r="H2484" i="13"/>
  <c r="G2484" i="13"/>
  <c r="AD2483" i="13"/>
  <c r="AC2483" i="13"/>
  <c r="AB2483" i="13"/>
  <c r="AA2483" i="13"/>
  <c r="Z2483" i="13"/>
  <c r="Y2483" i="13"/>
  <c r="X2483" i="13"/>
  <c r="W2483" i="13"/>
  <c r="V2483" i="13"/>
  <c r="U2483" i="13"/>
  <c r="T2483" i="13"/>
  <c r="S2483" i="13"/>
  <c r="R2483" i="13"/>
  <c r="Q2483" i="13"/>
  <c r="P2483" i="13"/>
  <c r="O2483" i="13"/>
  <c r="N2483" i="13"/>
  <c r="M2483" i="13"/>
  <c r="L2483" i="13"/>
  <c r="K2483" i="13"/>
  <c r="J2483" i="13"/>
  <c r="I2483" i="13"/>
  <c r="H2483" i="13"/>
  <c r="G2483" i="13"/>
  <c r="AD2482" i="13"/>
  <c r="AC2482" i="13"/>
  <c r="AB2482" i="13"/>
  <c r="AA2482" i="13"/>
  <c r="Z2482" i="13"/>
  <c r="Y2482" i="13"/>
  <c r="X2482" i="13"/>
  <c r="W2482" i="13"/>
  <c r="V2482" i="13"/>
  <c r="U2482" i="13"/>
  <c r="T2482" i="13"/>
  <c r="S2482" i="13"/>
  <c r="R2482" i="13"/>
  <c r="Q2482" i="13"/>
  <c r="P2482" i="13"/>
  <c r="O2482" i="13"/>
  <c r="N2482" i="13"/>
  <c r="M2482" i="13"/>
  <c r="L2482" i="13"/>
  <c r="K2482" i="13"/>
  <c r="J2482" i="13"/>
  <c r="I2482" i="13"/>
  <c r="H2482" i="13"/>
  <c r="G2482" i="13"/>
  <c r="AD2481" i="13"/>
  <c r="AC2481" i="13"/>
  <c r="AB2481" i="13"/>
  <c r="AA2481" i="13"/>
  <c r="Z2481" i="13"/>
  <c r="Y2481" i="13"/>
  <c r="X2481" i="13"/>
  <c r="W2481" i="13"/>
  <c r="V2481" i="13"/>
  <c r="U2481" i="13"/>
  <c r="T2481" i="13"/>
  <c r="S2481" i="13"/>
  <c r="R2481" i="13"/>
  <c r="Q2481" i="13"/>
  <c r="P2481" i="13"/>
  <c r="O2481" i="13"/>
  <c r="N2481" i="13"/>
  <c r="M2481" i="13"/>
  <c r="L2481" i="13"/>
  <c r="K2481" i="13"/>
  <c r="J2481" i="13"/>
  <c r="I2481" i="13"/>
  <c r="H2481" i="13"/>
  <c r="G2481" i="13"/>
  <c r="AD2480" i="13"/>
  <c r="AC2480" i="13"/>
  <c r="AB2480" i="13"/>
  <c r="AA2480" i="13"/>
  <c r="Z2480" i="13"/>
  <c r="Y2480" i="13"/>
  <c r="X2480" i="13"/>
  <c r="W2480" i="13"/>
  <c r="V2480" i="13"/>
  <c r="U2480" i="13"/>
  <c r="T2480" i="13"/>
  <c r="S2480" i="13"/>
  <c r="R2480" i="13"/>
  <c r="Q2480" i="13"/>
  <c r="P2480" i="13"/>
  <c r="O2480" i="13"/>
  <c r="N2480" i="13"/>
  <c r="M2480" i="13"/>
  <c r="L2480" i="13"/>
  <c r="K2480" i="13"/>
  <c r="J2480" i="13"/>
  <c r="I2480" i="13"/>
  <c r="H2480" i="13"/>
  <c r="G2480" i="13"/>
  <c r="AD2479" i="13"/>
  <c r="AC2479" i="13"/>
  <c r="AB2479" i="13"/>
  <c r="AA2479" i="13"/>
  <c r="Z2479" i="13"/>
  <c r="Y2479" i="13"/>
  <c r="X2479" i="13"/>
  <c r="W2479" i="13"/>
  <c r="V2479" i="13"/>
  <c r="U2479" i="13"/>
  <c r="T2479" i="13"/>
  <c r="S2479" i="13"/>
  <c r="R2479" i="13"/>
  <c r="Q2479" i="13"/>
  <c r="P2479" i="13"/>
  <c r="O2479" i="13"/>
  <c r="N2479" i="13"/>
  <c r="M2479" i="13"/>
  <c r="L2479" i="13"/>
  <c r="K2479" i="13"/>
  <c r="J2479" i="13"/>
  <c r="I2479" i="13"/>
  <c r="H2479" i="13"/>
  <c r="G2479" i="13"/>
  <c r="AD2478" i="13"/>
  <c r="AC2478" i="13"/>
  <c r="AB2478" i="13"/>
  <c r="AA2478" i="13"/>
  <c r="Z2478" i="13"/>
  <c r="Y2478" i="13"/>
  <c r="X2478" i="13"/>
  <c r="W2478" i="13"/>
  <c r="V2478" i="13"/>
  <c r="U2478" i="13"/>
  <c r="T2478" i="13"/>
  <c r="S2478" i="13"/>
  <c r="R2478" i="13"/>
  <c r="Q2478" i="13"/>
  <c r="P2478" i="13"/>
  <c r="O2478" i="13"/>
  <c r="N2478" i="13"/>
  <c r="M2478" i="13"/>
  <c r="L2478" i="13"/>
  <c r="K2478" i="13"/>
  <c r="J2478" i="13"/>
  <c r="I2478" i="13"/>
  <c r="H2478" i="13"/>
  <c r="G2478" i="13"/>
  <c r="AD2477" i="13"/>
  <c r="AC2477" i="13"/>
  <c r="AB2477" i="13"/>
  <c r="AA2477" i="13"/>
  <c r="Z2477" i="13"/>
  <c r="Y2477" i="13"/>
  <c r="X2477" i="13"/>
  <c r="W2477" i="13"/>
  <c r="V2477" i="13"/>
  <c r="U2477" i="13"/>
  <c r="T2477" i="13"/>
  <c r="S2477" i="13"/>
  <c r="R2477" i="13"/>
  <c r="Q2477" i="13"/>
  <c r="P2477" i="13"/>
  <c r="O2477" i="13"/>
  <c r="N2477" i="13"/>
  <c r="M2477" i="13"/>
  <c r="L2477" i="13"/>
  <c r="K2477" i="13"/>
  <c r="J2477" i="13"/>
  <c r="I2477" i="13"/>
  <c r="H2477" i="13"/>
  <c r="G2477" i="13"/>
  <c r="AD2476" i="13"/>
  <c r="AC2476" i="13"/>
  <c r="AB2476" i="13"/>
  <c r="AA2476" i="13"/>
  <c r="Z2476" i="13"/>
  <c r="Y2476" i="13"/>
  <c r="X2476" i="13"/>
  <c r="W2476" i="13"/>
  <c r="V2476" i="13"/>
  <c r="U2476" i="13"/>
  <c r="T2476" i="13"/>
  <c r="S2476" i="13"/>
  <c r="R2476" i="13"/>
  <c r="Q2476" i="13"/>
  <c r="P2476" i="13"/>
  <c r="O2476" i="13"/>
  <c r="N2476" i="13"/>
  <c r="M2476" i="13"/>
  <c r="L2476" i="13"/>
  <c r="K2476" i="13"/>
  <c r="J2476" i="13"/>
  <c r="I2476" i="13"/>
  <c r="H2476" i="13"/>
  <c r="G2476" i="13"/>
  <c r="AD2475" i="13"/>
  <c r="AC2475" i="13"/>
  <c r="AB2475" i="13"/>
  <c r="AA2475" i="13"/>
  <c r="Z2475" i="13"/>
  <c r="Y2475" i="13"/>
  <c r="X2475" i="13"/>
  <c r="W2475" i="13"/>
  <c r="V2475" i="13"/>
  <c r="U2475" i="13"/>
  <c r="T2475" i="13"/>
  <c r="S2475" i="13"/>
  <c r="R2475" i="13"/>
  <c r="Q2475" i="13"/>
  <c r="P2475" i="13"/>
  <c r="O2475" i="13"/>
  <c r="N2475" i="13"/>
  <c r="M2475" i="13"/>
  <c r="L2475" i="13"/>
  <c r="K2475" i="13"/>
  <c r="J2475" i="13"/>
  <c r="I2475" i="13"/>
  <c r="H2475" i="13"/>
  <c r="G2475" i="13"/>
  <c r="AD2474" i="13"/>
  <c r="AC2474" i="13"/>
  <c r="AB2474" i="13"/>
  <c r="AA2474" i="13"/>
  <c r="Z2474" i="13"/>
  <c r="Y2474" i="13"/>
  <c r="X2474" i="13"/>
  <c r="W2474" i="13"/>
  <c r="V2474" i="13"/>
  <c r="U2474" i="13"/>
  <c r="T2474" i="13"/>
  <c r="S2474" i="13"/>
  <c r="R2474" i="13"/>
  <c r="Q2474" i="13"/>
  <c r="P2474" i="13"/>
  <c r="O2474" i="13"/>
  <c r="N2474" i="13"/>
  <c r="M2474" i="13"/>
  <c r="L2474" i="13"/>
  <c r="K2474" i="13"/>
  <c r="J2474" i="13"/>
  <c r="I2474" i="13"/>
  <c r="H2474" i="13"/>
  <c r="G2474" i="13"/>
  <c r="AD2473" i="13"/>
  <c r="AC2473" i="13"/>
  <c r="AB2473" i="13"/>
  <c r="AA2473" i="13"/>
  <c r="Z2473" i="13"/>
  <c r="Y2473" i="13"/>
  <c r="X2473" i="13"/>
  <c r="W2473" i="13"/>
  <c r="V2473" i="13"/>
  <c r="U2473" i="13"/>
  <c r="T2473" i="13"/>
  <c r="S2473" i="13"/>
  <c r="R2473" i="13"/>
  <c r="Q2473" i="13"/>
  <c r="P2473" i="13"/>
  <c r="O2473" i="13"/>
  <c r="N2473" i="13"/>
  <c r="M2473" i="13"/>
  <c r="L2473" i="13"/>
  <c r="K2473" i="13"/>
  <c r="J2473" i="13"/>
  <c r="I2473" i="13"/>
  <c r="H2473" i="13"/>
  <c r="G2473" i="13"/>
  <c r="AD2472" i="13"/>
  <c r="AC2472" i="13"/>
  <c r="AB2472" i="13"/>
  <c r="AA2472" i="13"/>
  <c r="Z2472" i="13"/>
  <c r="Y2472" i="13"/>
  <c r="X2472" i="13"/>
  <c r="W2472" i="13"/>
  <c r="V2472" i="13"/>
  <c r="U2472" i="13"/>
  <c r="T2472" i="13"/>
  <c r="S2472" i="13"/>
  <c r="R2472" i="13"/>
  <c r="Q2472" i="13"/>
  <c r="P2472" i="13"/>
  <c r="O2472" i="13"/>
  <c r="N2472" i="13"/>
  <c r="M2472" i="13"/>
  <c r="L2472" i="13"/>
  <c r="K2472" i="13"/>
  <c r="J2472" i="13"/>
  <c r="I2472" i="13"/>
  <c r="H2472" i="13"/>
  <c r="G2472" i="13"/>
  <c r="AD2471" i="13"/>
  <c r="AC2471" i="13"/>
  <c r="AB2471" i="13"/>
  <c r="AA2471" i="13"/>
  <c r="Z2471" i="13"/>
  <c r="Y2471" i="13"/>
  <c r="X2471" i="13"/>
  <c r="W2471" i="13"/>
  <c r="V2471" i="13"/>
  <c r="U2471" i="13"/>
  <c r="T2471" i="13"/>
  <c r="S2471" i="13"/>
  <c r="R2471" i="13"/>
  <c r="Q2471" i="13"/>
  <c r="P2471" i="13"/>
  <c r="O2471" i="13"/>
  <c r="N2471" i="13"/>
  <c r="M2471" i="13"/>
  <c r="L2471" i="13"/>
  <c r="K2471" i="13"/>
  <c r="J2471" i="13"/>
  <c r="I2471" i="13"/>
  <c r="H2471" i="13"/>
  <c r="G2471" i="13"/>
  <c r="AD2470" i="13"/>
  <c r="AC2470" i="13"/>
  <c r="AB2470" i="13"/>
  <c r="AA2470" i="13"/>
  <c r="Z2470" i="13"/>
  <c r="Y2470" i="13"/>
  <c r="X2470" i="13"/>
  <c r="W2470" i="13"/>
  <c r="V2470" i="13"/>
  <c r="U2470" i="13"/>
  <c r="T2470" i="13"/>
  <c r="S2470" i="13"/>
  <c r="R2470" i="13"/>
  <c r="Q2470" i="13"/>
  <c r="P2470" i="13"/>
  <c r="O2470" i="13"/>
  <c r="N2470" i="13"/>
  <c r="M2470" i="13"/>
  <c r="L2470" i="13"/>
  <c r="K2470" i="13"/>
  <c r="J2470" i="13"/>
  <c r="I2470" i="13"/>
  <c r="H2470" i="13"/>
  <c r="G2470" i="13"/>
  <c r="AD2469" i="13"/>
  <c r="AC2469" i="13"/>
  <c r="AB2469" i="13"/>
  <c r="AA2469" i="13"/>
  <c r="Z2469" i="13"/>
  <c r="Y2469" i="13"/>
  <c r="X2469" i="13"/>
  <c r="W2469" i="13"/>
  <c r="V2469" i="13"/>
  <c r="U2469" i="13"/>
  <c r="T2469" i="13"/>
  <c r="S2469" i="13"/>
  <c r="R2469" i="13"/>
  <c r="Q2469" i="13"/>
  <c r="P2469" i="13"/>
  <c r="O2469" i="13"/>
  <c r="N2469" i="13"/>
  <c r="M2469" i="13"/>
  <c r="L2469" i="13"/>
  <c r="K2469" i="13"/>
  <c r="J2469" i="13"/>
  <c r="I2469" i="13"/>
  <c r="H2469" i="13"/>
  <c r="G2469" i="13"/>
  <c r="AD2468" i="13"/>
  <c r="AC2468" i="13"/>
  <c r="AB2468" i="13"/>
  <c r="AA2468" i="13"/>
  <c r="Z2468" i="13"/>
  <c r="Y2468" i="13"/>
  <c r="X2468" i="13"/>
  <c r="W2468" i="13"/>
  <c r="V2468" i="13"/>
  <c r="U2468" i="13"/>
  <c r="T2468" i="13"/>
  <c r="S2468" i="13"/>
  <c r="R2468" i="13"/>
  <c r="Q2468" i="13"/>
  <c r="P2468" i="13"/>
  <c r="O2468" i="13"/>
  <c r="N2468" i="13"/>
  <c r="M2468" i="13"/>
  <c r="L2468" i="13"/>
  <c r="K2468" i="13"/>
  <c r="J2468" i="13"/>
  <c r="I2468" i="13"/>
  <c r="H2468" i="13"/>
  <c r="G2468" i="13"/>
  <c r="AD2467" i="13"/>
  <c r="AC2467" i="13"/>
  <c r="AB2467" i="13"/>
  <c r="AA2467" i="13"/>
  <c r="Z2467" i="13"/>
  <c r="Y2467" i="13"/>
  <c r="X2467" i="13"/>
  <c r="W2467" i="13"/>
  <c r="V2467" i="13"/>
  <c r="U2467" i="13"/>
  <c r="T2467" i="13"/>
  <c r="S2467" i="13"/>
  <c r="R2467" i="13"/>
  <c r="Q2467" i="13"/>
  <c r="P2467" i="13"/>
  <c r="O2467" i="13"/>
  <c r="N2467" i="13"/>
  <c r="M2467" i="13"/>
  <c r="L2467" i="13"/>
  <c r="K2467" i="13"/>
  <c r="J2467" i="13"/>
  <c r="I2467" i="13"/>
  <c r="H2467" i="13"/>
  <c r="G2467" i="13"/>
  <c r="AD2466" i="13"/>
  <c r="AC2466" i="13"/>
  <c r="AB2466" i="13"/>
  <c r="AA2466" i="13"/>
  <c r="Z2466" i="13"/>
  <c r="Y2466" i="13"/>
  <c r="X2466" i="13"/>
  <c r="W2466" i="13"/>
  <c r="V2466" i="13"/>
  <c r="U2466" i="13"/>
  <c r="T2466" i="13"/>
  <c r="S2466" i="13"/>
  <c r="R2466" i="13"/>
  <c r="Q2466" i="13"/>
  <c r="P2466" i="13"/>
  <c r="O2466" i="13"/>
  <c r="N2466" i="13"/>
  <c r="M2466" i="13"/>
  <c r="L2466" i="13"/>
  <c r="K2466" i="13"/>
  <c r="J2466" i="13"/>
  <c r="I2466" i="13"/>
  <c r="H2466" i="13"/>
  <c r="G2466" i="13"/>
  <c r="AD2465" i="13"/>
  <c r="AC2465" i="13"/>
  <c r="AB2465" i="13"/>
  <c r="AA2465" i="13"/>
  <c r="Z2465" i="13"/>
  <c r="Y2465" i="13"/>
  <c r="X2465" i="13"/>
  <c r="W2465" i="13"/>
  <c r="V2465" i="13"/>
  <c r="U2465" i="13"/>
  <c r="T2465" i="13"/>
  <c r="S2465" i="13"/>
  <c r="R2465" i="13"/>
  <c r="Q2465" i="13"/>
  <c r="P2465" i="13"/>
  <c r="O2465" i="13"/>
  <c r="N2465" i="13"/>
  <c r="M2465" i="13"/>
  <c r="L2465" i="13"/>
  <c r="K2465" i="13"/>
  <c r="J2465" i="13"/>
  <c r="I2465" i="13"/>
  <c r="H2465" i="13"/>
  <c r="G2465" i="13"/>
  <c r="AD2464" i="13"/>
  <c r="AC2464" i="13"/>
  <c r="AB2464" i="13"/>
  <c r="AA2464" i="13"/>
  <c r="Z2464" i="13"/>
  <c r="Y2464" i="13"/>
  <c r="X2464" i="13"/>
  <c r="W2464" i="13"/>
  <c r="V2464" i="13"/>
  <c r="U2464" i="13"/>
  <c r="T2464" i="13"/>
  <c r="S2464" i="13"/>
  <c r="R2464" i="13"/>
  <c r="Q2464" i="13"/>
  <c r="P2464" i="13"/>
  <c r="O2464" i="13"/>
  <c r="N2464" i="13"/>
  <c r="M2464" i="13"/>
  <c r="L2464" i="13"/>
  <c r="K2464" i="13"/>
  <c r="J2464" i="13"/>
  <c r="I2464" i="13"/>
  <c r="H2464" i="13"/>
  <c r="G2464" i="13"/>
  <c r="AD2463" i="13"/>
  <c r="AC2463" i="13"/>
  <c r="AB2463" i="13"/>
  <c r="AA2463" i="13"/>
  <c r="Z2463" i="13"/>
  <c r="Y2463" i="13"/>
  <c r="X2463" i="13"/>
  <c r="W2463" i="13"/>
  <c r="V2463" i="13"/>
  <c r="U2463" i="13"/>
  <c r="T2463" i="13"/>
  <c r="S2463" i="13"/>
  <c r="R2463" i="13"/>
  <c r="Q2463" i="13"/>
  <c r="P2463" i="13"/>
  <c r="O2463" i="13"/>
  <c r="N2463" i="13"/>
  <c r="M2463" i="13"/>
  <c r="L2463" i="13"/>
  <c r="K2463" i="13"/>
  <c r="J2463" i="13"/>
  <c r="I2463" i="13"/>
  <c r="H2463" i="13"/>
  <c r="G2463" i="13"/>
  <c r="AD2462" i="13"/>
  <c r="AC2462" i="13"/>
  <c r="AB2462" i="13"/>
  <c r="AA2462" i="13"/>
  <c r="Z2462" i="13"/>
  <c r="Y2462" i="13"/>
  <c r="X2462" i="13"/>
  <c r="W2462" i="13"/>
  <c r="V2462" i="13"/>
  <c r="U2462" i="13"/>
  <c r="T2462" i="13"/>
  <c r="S2462" i="13"/>
  <c r="R2462" i="13"/>
  <c r="Q2462" i="13"/>
  <c r="P2462" i="13"/>
  <c r="O2462" i="13"/>
  <c r="N2462" i="13"/>
  <c r="M2462" i="13"/>
  <c r="L2462" i="13"/>
  <c r="K2462" i="13"/>
  <c r="J2462" i="13"/>
  <c r="I2462" i="13"/>
  <c r="H2462" i="13"/>
  <c r="G2462" i="13"/>
  <c r="AD2461" i="13"/>
  <c r="AC2461" i="13"/>
  <c r="AB2461" i="13"/>
  <c r="AA2461" i="13"/>
  <c r="Z2461" i="13"/>
  <c r="Y2461" i="13"/>
  <c r="X2461" i="13"/>
  <c r="W2461" i="13"/>
  <c r="V2461" i="13"/>
  <c r="U2461" i="13"/>
  <c r="T2461" i="13"/>
  <c r="S2461" i="13"/>
  <c r="R2461" i="13"/>
  <c r="Q2461" i="13"/>
  <c r="P2461" i="13"/>
  <c r="O2461" i="13"/>
  <c r="N2461" i="13"/>
  <c r="M2461" i="13"/>
  <c r="L2461" i="13"/>
  <c r="K2461" i="13"/>
  <c r="J2461" i="13"/>
  <c r="I2461" i="13"/>
  <c r="H2461" i="13"/>
  <c r="G2461" i="13"/>
  <c r="AD2460" i="13"/>
  <c r="AC2460" i="13"/>
  <c r="AB2460" i="13"/>
  <c r="AA2460" i="13"/>
  <c r="Z2460" i="13"/>
  <c r="Y2460" i="13"/>
  <c r="X2460" i="13"/>
  <c r="W2460" i="13"/>
  <c r="V2460" i="13"/>
  <c r="U2460" i="13"/>
  <c r="T2460" i="13"/>
  <c r="S2460" i="13"/>
  <c r="R2460" i="13"/>
  <c r="Q2460" i="13"/>
  <c r="P2460" i="13"/>
  <c r="O2460" i="13"/>
  <c r="N2460" i="13"/>
  <c r="M2460" i="13"/>
  <c r="L2460" i="13"/>
  <c r="K2460" i="13"/>
  <c r="J2460" i="13"/>
  <c r="I2460" i="13"/>
  <c r="H2460" i="13"/>
  <c r="G2460" i="13"/>
  <c r="AD2459" i="13"/>
  <c r="AC2459" i="13"/>
  <c r="AB2459" i="13"/>
  <c r="AA2459" i="13"/>
  <c r="Z2459" i="13"/>
  <c r="Y2459" i="13"/>
  <c r="X2459" i="13"/>
  <c r="W2459" i="13"/>
  <c r="V2459" i="13"/>
  <c r="U2459" i="13"/>
  <c r="T2459" i="13"/>
  <c r="S2459" i="13"/>
  <c r="R2459" i="13"/>
  <c r="Q2459" i="13"/>
  <c r="P2459" i="13"/>
  <c r="O2459" i="13"/>
  <c r="N2459" i="13"/>
  <c r="M2459" i="13"/>
  <c r="L2459" i="13"/>
  <c r="K2459" i="13"/>
  <c r="J2459" i="13"/>
  <c r="I2459" i="13"/>
  <c r="H2459" i="13"/>
  <c r="G2459" i="13"/>
  <c r="AD2458" i="13"/>
  <c r="AC2458" i="13"/>
  <c r="AB2458" i="13"/>
  <c r="AA2458" i="13"/>
  <c r="Z2458" i="13"/>
  <c r="Y2458" i="13"/>
  <c r="X2458" i="13"/>
  <c r="W2458" i="13"/>
  <c r="V2458" i="13"/>
  <c r="U2458" i="13"/>
  <c r="T2458" i="13"/>
  <c r="S2458" i="13"/>
  <c r="R2458" i="13"/>
  <c r="Q2458" i="13"/>
  <c r="P2458" i="13"/>
  <c r="O2458" i="13"/>
  <c r="N2458" i="13"/>
  <c r="M2458" i="13"/>
  <c r="L2458" i="13"/>
  <c r="K2458" i="13"/>
  <c r="J2458" i="13"/>
  <c r="I2458" i="13"/>
  <c r="H2458" i="13"/>
  <c r="G2458" i="13"/>
  <c r="AD2457" i="13"/>
  <c r="AC2457" i="13"/>
  <c r="AB2457" i="13"/>
  <c r="AA2457" i="13"/>
  <c r="Z2457" i="13"/>
  <c r="Y2457" i="13"/>
  <c r="X2457" i="13"/>
  <c r="W2457" i="13"/>
  <c r="V2457" i="13"/>
  <c r="U2457" i="13"/>
  <c r="T2457" i="13"/>
  <c r="S2457" i="13"/>
  <c r="R2457" i="13"/>
  <c r="Q2457" i="13"/>
  <c r="P2457" i="13"/>
  <c r="O2457" i="13"/>
  <c r="N2457" i="13"/>
  <c r="M2457" i="13"/>
  <c r="L2457" i="13"/>
  <c r="K2457" i="13"/>
  <c r="J2457" i="13"/>
  <c r="I2457" i="13"/>
  <c r="H2457" i="13"/>
  <c r="G2457" i="13"/>
  <c r="AD2456" i="13"/>
  <c r="AC2456" i="13"/>
  <c r="AB2456" i="13"/>
  <c r="AA2456" i="13"/>
  <c r="Z2456" i="13"/>
  <c r="Y2456" i="13"/>
  <c r="X2456" i="13"/>
  <c r="W2456" i="13"/>
  <c r="V2456" i="13"/>
  <c r="U2456" i="13"/>
  <c r="T2456" i="13"/>
  <c r="S2456" i="13"/>
  <c r="R2456" i="13"/>
  <c r="Q2456" i="13"/>
  <c r="P2456" i="13"/>
  <c r="O2456" i="13"/>
  <c r="N2456" i="13"/>
  <c r="M2456" i="13"/>
  <c r="L2456" i="13"/>
  <c r="K2456" i="13"/>
  <c r="J2456" i="13"/>
  <c r="I2456" i="13"/>
  <c r="H2456" i="13"/>
  <c r="G2456" i="13"/>
  <c r="AD2455" i="13"/>
  <c r="AC2455" i="13"/>
  <c r="AB2455" i="13"/>
  <c r="AA2455" i="13"/>
  <c r="Z2455" i="13"/>
  <c r="Y2455" i="13"/>
  <c r="X2455" i="13"/>
  <c r="W2455" i="13"/>
  <c r="V2455" i="13"/>
  <c r="U2455" i="13"/>
  <c r="T2455" i="13"/>
  <c r="S2455" i="13"/>
  <c r="R2455" i="13"/>
  <c r="Q2455" i="13"/>
  <c r="P2455" i="13"/>
  <c r="O2455" i="13"/>
  <c r="N2455" i="13"/>
  <c r="M2455" i="13"/>
  <c r="L2455" i="13"/>
  <c r="K2455" i="13"/>
  <c r="J2455" i="13"/>
  <c r="I2455" i="13"/>
  <c r="H2455" i="13"/>
  <c r="G2455" i="13"/>
  <c r="AD2454" i="13"/>
  <c r="AC2454" i="13"/>
  <c r="AB2454" i="13"/>
  <c r="AA2454" i="13"/>
  <c r="Z2454" i="13"/>
  <c r="Y2454" i="13"/>
  <c r="X2454" i="13"/>
  <c r="W2454" i="13"/>
  <c r="V2454" i="13"/>
  <c r="U2454" i="13"/>
  <c r="T2454" i="13"/>
  <c r="S2454" i="13"/>
  <c r="R2454" i="13"/>
  <c r="Q2454" i="13"/>
  <c r="P2454" i="13"/>
  <c r="O2454" i="13"/>
  <c r="N2454" i="13"/>
  <c r="M2454" i="13"/>
  <c r="L2454" i="13"/>
  <c r="K2454" i="13"/>
  <c r="J2454" i="13"/>
  <c r="I2454" i="13"/>
  <c r="H2454" i="13"/>
  <c r="G2454" i="13"/>
  <c r="AD2453" i="13"/>
  <c r="AC2453" i="13"/>
  <c r="AB2453" i="13"/>
  <c r="AA2453" i="13"/>
  <c r="Z2453" i="13"/>
  <c r="Y2453" i="13"/>
  <c r="X2453" i="13"/>
  <c r="W2453" i="13"/>
  <c r="V2453" i="13"/>
  <c r="U2453" i="13"/>
  <c r="T2453" i="13"/>
  <c r="S2453" i="13"/>
  <c r="R2453" i="13"/>
  <c r="Q2453" i="13"/>
  <c r="P2453" i="13"/>
  <c r="O2453" i="13"/>
  <c r="N2453" i="13"/>
  <c r="M2453" i="13"/>
  <c r="L2453" i="13"/>
  <c r="K2453" i="13"/>
  <c r="J2453" i="13"/>
  <c r="I2453" i="13"/>
  <c r="H2453" i="13"/>
  <c r="G2453" i="13"/>
  <c r="AD2452" i="13"/>
  <c r="AC2452" i="13"/>
  <c r="AB2452" i="13"/>
  <c r="AA2452" i="13"/>
  <c r="Z2452" i="13"/>
  <c r="Y2452" i="13"/>
  <c r="X2452" i="13"/>
  <c r="W2452" i="13"/>
  <c r="V2452" i="13"/>
  <c r="U2452" i="13"/>
  <c r="T2452" i="13"/>
  <c r="S2452" i="13"/>
  <c r="R2452" i="13"/>
  <c r="Q2452" i="13"/>
  <c r="P2452" i="13"/>
  <c r="O2452" i="13"/>
  <c r="N2452" i="13"/>
  <c r="M2452" i="13"/>
  <c r="L2452" i="13"/>
  <c r="K2452" i="13"/>
  <c r="J2452" i="13"/>
  <c r="I2452" i="13"/>
  <c r="H2452" i="13"/>
  <c r="G2452" i="13"/>
  <c r="AD2451" i="13"/>
  <c r="AC2451" i="13"/>
  <c r="AB2451" i="13"/>
  <c r="AA2451" i="13"/>
  <c r="Z2451" i="13"/>
  <c r="Y2451" i="13"/>
  <c r="X2451" i="13"/>
  <c r="W2451" i="13"/>
  <c r="V2451" i="13"/>
  <c r="U2451" i="13"/>
  <c r="T2451" i="13"/>
  <c r="S2451" i="13"/>
  <c r="R2451" i="13"/>
  <c r="Q2451" i="13"/>
  <c r="P2451" i="13"/>
  <c r="O2451" i="13"/>
  <c r="N2451" i="13"/>
  <c r="M2451" i="13"/>
  <c r="L2451" i="13"/>
  <c r="K2451" i="13"/>
  <c r="J2451" i="13"/>
  <c r="I2451" i="13"/>
  <c r="H2451" i="13"/>
  <c r="G2451" i="13"/>
  <c r="AD2450" i="13"/>
  <c r="AC2450" i="13"/>
  <c r="AB2450" i="13"/>
  <c r="AA2450" i="13"/>
  <c r="Z2450" i="13"/>
  <c r="Y2450" i="13"/>
  <c r="X2450" i="13"/>
  <c r="W2450" i="13"/>
  <c r="V2450" i="13"/>
  <c r="U2450" i="13"/>
  <c r="T2450" i="13"/>
  <c r="S2450" i="13"/>
  <c r="R2450" i="13"/>
  <c r="Q2450" i="13"/>
  <c r="P2450" i="13"/>
  <c r="O2450" i="13"/>
  <c r="N2450" i="13"/>
  <c r="M2450" i="13"/>
  <c r="L2450" i="13"/>
  <c r="K2450" i="13"/>
  <c r="J2450" i="13"/>
  <c r="I2450" i="13"/>
  <c r="H2450" i="13"/>
  <c r="G2450" i="13"/>
  <c r="AD2449" i="13"/>
  <c r="AC2449" i="13"/>
  <c r="AB2449" i="13"/>
  <c r="AA2449" i="13"/>
  <c r="Z2449" i="13"/>
  <c r="Y2449" i="13"/>
  <c r="X2449" i="13"/>
  <c r="W2449" i="13"/>
  <c r="V2449" i="13"/>
  <c r="U2449" i="13"/>
  <c r="T2449" i="13"/>
  <c r="S2449" i="13"/>
  <c r="R2449" i="13"/>
  <c r="Q2449" i="13"/>
  <c r="P2449" i="13"/>
  <c r="O2449" i="13"/>
  <c r="N2449" i="13"/>
  <c r="M2449" i="13"/>
  <c r="L2449" i="13"/>
  <c r="K2449" i="13"/>
  <c r="J2449" i="13"/>
  <c r="I2449" i="13"/>
  <c r="H2449" i="13"/>
  <c r="G2449" i="13"/>
  <c r="AD2448" i="13"/>
  <c r="AC2448" i="13"/>
  <c r="AB2448" i="13"/>
  <c r="AA2448" i="13"/>
  <c r="Z2448" i="13"/>
  <c r="Y2448" i="13"/>
  <c r="X2448" i="13"/>
  <c r="W2448" i="13"/>
  <c r="V2448" i="13"/>
  <c r="U2448" i="13"/>
  <c r="T2448" i="13"/>
  <c r="S2448" i="13"/>
  <c r="R2448" i="13"/>
  <c r="Q2448" i="13"/>
  <c r="P2448" i="13"/>
  <c r="O2448" i="13"/>
  <c r="N2448" i="13"/>
  <c r="M2448" i="13"/>
  <c r="L2448" i="13"/>
  <c r="K2448" i="13"/>
  <c r="J2448" i="13"/>
  <c r="I2448" i="13"/>
  <c r="H2448" i="13"/>
  <c r="G2448" i="13"/>
  <c r="AD2447" i="13"/>
  <c r="AC2447" i="13"/>
  <c r="AB2447" i="13"/>
  <c r="AA2447" i="13"/>
  <c r="Z2447" i="13"/>
  <c r="Y2447" i="13"/>
  <c r="X2447" i="13"/>
  <c r="W2447" i="13"/>
  <c r="V2447" i="13"/>
  <c r="U2447" i="13"/>
  <c r="T2447" i="13"/>
  <c r="S2447" i="13"/>
  <c r="R2447" i="13"/>
  <c r="Q2447" i="13"/>
  <c r="P2447" i="13"/>
  <c r="O2447" i="13"/>
  <c r="N2447" i="13"/>
  <c r="M2447" i="13"/>
  <c r="L2447" i="13"/>
  <c r="K2447" i="13"/>
  <c r="J2447" i="13"/>
  <c r="I2447" i="13"/>
  <c r="H2447" i="13"/>
  <c r="G2447" i="13"/>
  <c r="AD2446" i="13"/>
  <c r="AC2446" i="13"/>
  <c r="AB2446" i="13"/>
  <c r="AA2446" i="13"/>
  <c r="Z2446" i="13"/>
  <c r="Y2446" i="13"/>
  <c r="X2446" i="13"/>
  <c r="W2446" i="13"/>
  <c r="V2446" i="13"/>
  <c r="U2446" i="13"/>
  <c r="T2446" i="13"/>
  <c r="S2446" i="13"/>
  <c r="R2446" i="13"/>
  <c r="Q2446" i="13"/>
  <c r="P2446" i="13"/>
  <c r="O2446" i="13"/>
  <c r="N2446" i="13"/>
  <c r="M2446" i="13"/>
  <c r="L2446" i="13"/>
  <c r="K2446" i="13"/>
  <c r="J2446" i="13"/>
  <c r="I2446" i="13"/>
  <c r="H2446" i="13"/>
  <c r="G2446" i="13"/>
  <c r="AD2445" i="13"/>
  <c r="AC2445" i="13"/>
  <c r="AB2445" i="13"/>
  <c r="AA2445" i="13"/>
  <c r="Z2445" i="13"/>
  <c r="Y2445" i="13"/>
  <c r="X2445" i="13"/>
  <c r="W2445" i="13"/>
  <c r="V2445" i="13"/>
  <c r="U2445" i="13"/>
  <c r="T2445" i="13"/>
  <c r="S2445" i="13"/>
  <c r="R2445" i="13"/>
  <c r="Q2445" i="13"/>
  <c r="P2445" i="13"/>
  <c r="O2445" i="13"/>
  <c r="N2445" i="13"/>
  <c r="M2445" i="13"/>
  <c r="L2445" i="13"/>
  <c r="K2445" i="13"/>
  <c r="J2445" i="13"/>
  <c r="I2445" i="13"/>
  <c r="H2445" i="13"/>
  <c r="G2445" i="13"/>
  <c r="AD2444" i="13"/>
  <c r="AC2444" i="13"/>
  <c r="AB2444" i="13"/>
  <c r="AA2444" i="13"/>
  <c r="Z2444" i="13"/>
  <c r="Y2444" i="13"/>
  <c r="X2444" i="13"/>
  <c r="W2444" i="13"/>
  <c r="V2444" i="13"/>
  <c r="U2444" i="13"/>
  <c r="T2444" i="13"/>
  <c r="S2444" i="13"/>
  <c r="R2444" i="13"/>
  <c r="Q2444" i="13"/>
  <c r="P2444" i="13"/>
  <c r="O2444" i="13"/>
  <c r="N2444" i="13"/>
  <c r="M2444" i="13"/>
  <c r="L2444" i="13"/>
  <c r="K2444" i="13"/>
  <c r="J2444" i="13"/>
  <c r="I2444" i="13"/>
  <c r="H2444" i="13"/>
  <c r="G2444" i="13"/>
  <c r="AD2443" i="13"/>
  <c r="AC2443" i="13"/>
  <c r="AB2443" i="13"/>
  <c r="AA2443" i="13"/>
  <c r="Z2443" i="13"/>
  <c r="Y2443" i="13"/>
  <c r="X2443" i="13"/>
  <c r="W2443" i="13"/>
  <c r="V2443" i="13"/>
  <c r="U2443" i="13"/>
  <c r="T2443" i="13"/>
  <c r="S2443" i="13"/>
  <c r="R2443" i="13"/>
  <c r="Q2443" i="13"/>
  <c r="P2443" i="13"/>
  <c r="O2443" i="13"/>
  <c r="N2443" i="13"/>
  <c r="M2443" i="13"/>
  <c r="L2443" i="13"/>
  <c r="K2443" i="13"/>
  <c r="J2443" i="13"/>
  <c r="I2443" i="13"/>
  <c r="H2443" i="13"/>
  <c r="G2443" i="13"/>
  <c r="AD2442" i="13"/>
  <c r="AC2442" i="13"/>
  <c r="AB2442" i="13"/>
  <c r="AA2442" i="13"/>
  <c r="Z2442" i="13"/>
  <c r="Y2442" i="13"/>
  <c r="X2442" i="13"/>
  <c r="W2442" i="13"/>
  <c r="V2442" i="13"/>
  <c r="U2442" i="13"/>
  <c r="T2442" i="13"/>
  <c r="S2442" i="13"/>
  <c r="R2442" i="13"/>
  <c r="Q2442" i="13"/>
  <c r="P2442" i="13"/>
  <c r="O2442" i="13"/>
  <c r="N2442" i="13"/>
  <c r="M2442" i="13"/>
  <c r="L2442" i="13"/>
  <c r="K2442" i="13"/>
  <c r="J2442" i="13"/>
  <c r="I2442" i="13"/>
  <c r="H2442" i="13"/>
  <c r="G2442" i="13"/>
  <c r="AD2441" i="13"/>
  <c r="AC2441" i="13"/>
  <c r="AB2441" i="13"/>
  <c r="AA2441" i="13"/>
  <c r="Z2441" i="13"/>
  <c r="Y2441" i="13"/>
  <c r="X2441" i="13"/>
  <c r="W2441" i="13"/>
  <c r="V2441" i="13"/>
  <c r="U2441" i="13"/>
  <c r="T2441" i="13"/>
  <c r="S2441" i="13"/>
  <c r="R2441" i="13"/>
  <c r="Q2441" i="13"/>
  <c r="P2441" i="13"/>
  <c r="O2441" i="13"/>
  <c r="N2441" i="13"/>
  <c r="M2441" i="13"/>
  <c r="L2441" i="13"/>
  <c r="K2441" i="13"/>
  <c r="J2441" i="13"/>
  <c r="I2441" i="13"/>
  <c r="H2441" i="13"/>
  <c r="G2441" i="13"/>
  <c r="AD2440" i="13"/>
  <c r="AC2440" i="13"/>
  <c r="AB2440" i="13"/>
  <c r="AA2440" i="13"/>
  <c r="Z2440" i="13"/>
  <c r="Y2440" i="13"/>
  <c r="X2440" i="13"/>
  <c r="W2440" i="13"/>
  <c r="V2440" i="13"/>
  <c r="U2440" i="13"/>
  <c r="T2440" i="13"/>
  <c r="S2440" i="13"/>
  <c r="R2440" i="13"/>
  <c r="Q2440" i="13"/>
  <c r="P2440" i="13"/>
  <c r="O2440" i="13"/>
  <c r="N2440" i="13"/>
  <c r="M2440" i="13"/>
  <c r="L2440" i="13"/>
  <c r="K2440" i="13"/>
  <c r="J2440" i="13"/>
  <c r="I2440" i="13"/>
  <c r="H2440" i="13"/>
  <c r="G2440" i="13"/>
  <c r="AD2439" i="13"/>
  <c r="AC2439" i="13"/>
  <c r="AB2439" i="13"/>
  <c r="AA2439" i="13"/>
  <c r="Z2439" i="13"/>
  <c r="Y2439" i="13"/>
  <c r="X2439" i="13"/>
  <c r="W2439" i="13"/>
  <c r="V2439" i="13"/>
  <c r="U2439" i="13"/>
  <c r="T2439" i="13"/>
  <c r="S2439" i="13"/>
  <c r="R2439" i="13"/>
  <c r="Q2439" i="13"/>
  <c r="P2439" i="13"/>
  <c r="O2439" i="13"/>
  <c r="N2439" i="13"/>
  <c r="M2439" i="13"/>
  <c r="L2439" i="13"/>
  <c r="K2439" i="13"/>
  <c r="J2439" i="13"/>
  <c r="I2439" i="13"/>
  <c r="H2439" i="13"/>
  <c r="G2439" i="13"/>
  <c r="AD2438" i="13"/>
  <c r="AC2438" i="13"/>
  <c r="AB2438" i="13"/>
  <c r="AA2438" i="13"/>
  <c r="Z2438" i="13"/>
  <c r="Y2438" i="13"/>
  <c r="X2438" i="13"/>
  <c r="W2438" i="13"/>
  <c r="V2438" i="13"/>
  <c r="U2438" i="13"/>
  <c r="T2438" i="13"/>
  <c r="S2438" i="13"/>
  <c r="R2438" i="13"/>
  <c r="Q2438" i="13"/>
  <c r="P2438" i="13"/>
  <c r="O2438" i="13"/>
  <c r="N2438" i="13"/>
  <c r="M2438" i="13"/>
  <c r="L2438" i="13"/>
  <c r="K2438" i="13"/>
  <c r="J2438" i="13"/>
  <c r="I2438" i="13"/>
  <c r="H2438" i="13"/>
  <c r="G2438" i="13"/>
  <c r="AD2437" i="13"/>
  <c r="AC2437" i="13"/>
  <c r="AB2437" i="13"/>
  <c r="AA2437" i="13"/>
  <c r="Z2437" i="13"/>
  <c r="Y2437" i="13"/>
  <c r="X2437" i="13"/>
  <c r="W2437" i="13"/>
  <c r="V2437" i="13"/>
  <c r="U2437" i="13"/>
  <c r="T2437" i="13"/>
  <c r="S2437" i="13"/>
  <c r="R2437" i="13"/>
  <c r="Q2437" i="13"/>
  <c r="P2437" i="13"/>
  <c r="O2437" i="13"/>
  <c r="N2437" i="13"/>
  <c r="M2437" i="13"/>
  <c r="L2437" i="13"/>
  <c r="K2437" i="13"/>
  <c r="J2437" i="13"/>
  <c r="I2437" i="13"/>
  <c r="H2437" i="13"/>
  <c r="G2437" i="13"/>
  <c r="AD2436" i="13"/>
  <c r="AC2436" i="13"/>
  <c r="AB2436" i="13"/>
  <c r="AA2436" i="13"/>
  <c r="Z2436" i="13"/>
  <c r="Y2436" i="13"/>
  <c r="X2436" i="13"/>
  <c r="W2436" i="13"/>
  <c r="V2436" i="13"/>
  <c r="U2436" i="13"/>
  <c r="T2436" i="13"/>
  <c r="S2436" i="13"/>
  <c r="R2436" i="13"/>
  <c r="Q2436" i="13"/>
  <c r="P2436" i="13"/>
  <c r="O2436" i="13"/>
  <c r="N2436" i="13"/>
  <c r="M2436" i="13"/>
  <c r="L2436" i="13"/>
  <c r="K2436" i="13"/>
  <c r="J2436" i="13"/>
  <c r="I2436" i="13"/>
  <c r="H2436" i="13"/>
  <c r="G2436" i="13"/>
  <c r="AD2435" i="13"/>
  <c r="AC2435" i="13"/>
  <c r="AB2435" i="13"/>
  <c r="AA2435" i="13"/>
  <c r="Z2435" i="13"/>
  <c r="Y2435" i="13"/>
  <c r="X2435" i="13"/>
  <c r="W2435" i="13"/>
  <c r="V2435" i="13"/>
  <c r="U2435" i="13"/>
  <c r="T2435" i="13"/>
  <c r="S2435" i="13"/>
  <c r="R2435" i="13"/>
  <c r="Q2435" i="13"/>
  <c r="P2435" i="13"/>
  <c r="O2435" i="13"/>
  <c r="N2435" i="13"/>
  <c r="M2435" i="13"/>
  <c r="L2435" i="13"/>
  <c r="K2435" i="13"/>
  <c r="J2435" i="13"/>
  <c r="I2435" i="13"/>
  <c r="H2435" i="13"/>
  <c r="G2435" i="13"/>
  <c r="AD2434" i="13"/>
  <c r="AC2434" i="13"/>
  <c r="AB2434" i="13"/>
  <c r="AA2434" i="13"/>
  <c r="Z2434" i="13"/>
  <c r="Y2434" i="13"/>
  <c r="X2434" i="13"/>
  <c r="W2434" i="13"/>
  <c r="V2434" i="13"/>
  <c r="U2434" i="13"/>
  <c r="T2434" i="13"/>
  <c r="S2434" i="13"/>
  <c r="R2434" i="13"/>
  <c r="Q2434" i="13"/>
  <c r="P2434" i="13"/>
  <c r="O2434" i="13"/>
  <c r="N2434" i="13"/>
  <c r="M2434" i="13"/>
  <c r="L2434" i="13"/>
  <c r="K2434" i="13"/>
  <c r="J2434" i="13"/>
  <c r="I2434" i="13"/>
  <c r="H2434" i="13"/>
  <c r="G2434" i="13"/>
  <c r="AD2433" i="13"/>
  <c r="AC2433" i="13"/>
  <c r="AB2433" i="13"/>
  <c r="AA2433" i="13"/>
  <c r="Z2433" i="13"/>
  <c r="Y2433" i="13"/>
  <c r="X2433" i="13"/>
  <c r="W2433" i="13"/>
  <c r="V2433" i="13"/>
  <c r="U2433" i="13"/>
  <c r="T2433" i="13"/>
  <c r="S2433" i="13"/>
  <c r="R2433" i="13"/>
  <c r="Q2433" i="13"/>
  <c r="P2433" i="13"/>
  <c r="O2433" i="13"/>
  <c r="N2433" i="13"/>
  <c r="M2433" i="13"/>
  <c r="L2433" i="13"/>
  <c r="K2433" i="13"/>
  <c r="J2433" i="13"/>
  <c r="I2433" i="13"/>
  <c r="H2433" i="13"/>
  <c r="G2433" i="13"/>
  <c r="AD2432" i="13"/>
  <c r="AC2432" i="13"/>
  <c r="AB2432" i="13"/>
  <c r="AA2432" i="13"/>
  <c r="Z2432" i="13"/>
  <c r="Y2432" i="13"/>
  <c r="X2432" i="13"/>
  <c r="W2432" i="13"/>
  <c r="V2432" i="13"/>
  <c r="U2432" i="13"/>
  <c r="T2432" i="13"/>
  <c r="S2432" i="13"/>
  <c r="R2432" i="13"/>
  <c r="Q2432" i="13"/>
  <c r="P2432" i="13"/>
  <c r="O2432" i="13"/>
  <c r="N2432" i="13"/>
  <c r="M2432" i="13"/>
  <c r="L2432" i="13"/>
  <c r="K2432" i="13"/>
  <c r="J2432" i="13"/>
  <c r="I2432" i="13"/>
  <c r="H2432" i="13"/>
  <c r="G2432" i="13"/>
  <c r="AD2431" i="13"/>
  <c r="AC2431" i="13"/>
  <c r="AB2431" i="13"/>
  <c r="AA2431" i="13"/>
  <c r="Z2431" i="13"/>
  <c r="Y2431" i="13"/>
  <c r="X2431" i="13"/>
  <c r="W2431" i="13"/>
  <c r="V2431" i="13"/>
  <c r="U2431" i="13"/>
  <c r="T2431" i="13"/>
  <c r="S2431" i="13"/>
  <c r="R2431" i="13"/>
  <c r="Q2431" i="13"/>
  <c r="P2431" i="13"/>
  <c r="O2431" i="13"/>
  <c r="N2431" i="13"/>
  <c r="M2431" i="13"/>
  <c r="L2431" i="13"/>
  <c r="K2431" i="13"/>
  <c r="J2431" i="13"/>
  <c r="I2431" i="13"/>
  <c r="H2431" i="13"/>
  <c r="G2431" i="13"/>
  <c r="AD2430" i="13"/>
  <c r="AC2430" i="13"/>
  <c r="AB2430" i="13"/>
  <c r="AA2430" i="13"/>
  <c r="Z2430" i="13"/>
  <c r="Y2430" i="13"/>
  <c r="X2430" i="13"/>
  <c r="W2430" i="13"/>
  <c r="V2430" i="13"/>
  <c r="U2430" i="13"/>
  <c r="T2430" i="13"/>
  <c r="S2430" i="13"/>
  <c r="R2430" i="13"/>
  <c r="Q2430" i="13"/>
  <c r="P2430" i="13"/>
  <c r="O2430" i="13"/>
  <c r="N2430" i="13"/>
  <c r="M2430" i="13"/>
  <c r="L2430" i="13"/>
  <c r="K2430" i="13"/>
  <c r="J2430" i="13"/>
  <c r="I2430" i="13"/>
  <c r="H2430" i="13"/>
  <c r="G2430" i="13"/>
  <c r="AD2429" i="13"/>
  <c r="AC2429" i="13"/>
  <c r="AB2429" i="13"/>
  <c r="AA2429" i="13"/>
  <c r="Z2429" i="13"/>
  <c r="Y2429" i="13"/>
  <c r="X2429" i="13"/>
  <c r="W2429" i="13"/>
  <c r="V2429" i="13"/>
  <c r="U2429" i="13"/>
  <c r="T2429" i="13"/>
  <c r="S2429" i="13"/>
  <c r="R2429" i="13"/>
  <c r="Q2429" i="13"/>
  <c r="P2429" i="13"/>
  <c r="O2429" i="13"/>
  <c r="N2429" i="13"/>
  <c r="M2429" i="13"/>
  <c r="L2429" i="13"/>
  <c r="K2429" i="13"/>
  <c r="J2429" i="13"/>
  <c r="I2429" i="13"/>
  <c r="H2429" i="13"/>
  <c r="G2429" i="13"/>
  <c r="AD2428" i="13"/>
  <c r="AC2428" i="13"/>
  <c r="AB2428" i="13"/>
  <c r="AA2428" i="13"/>
  <c r="Z2428" i="13"/>
  <c r="Y2428" i="13"/>
  <c r="X2428" i="13"/>
  <c r="W2428" i="13"/>
  <c r="V2428" i="13"/>
  <c r="U2428" i="13"/>
  <c r="T2428" i="13"/>
  <c r="S2428" i="13"/>
  <c r="R2428" i="13"/>
  <c r="Q2428" i="13"/>
  <c r="P2428" i="13"/>
  <c r="O2428" i="13"/>
  <c r="N2428" i="13"/>
  <c r="M2428" i="13"/>
  <c r="L2428" i="13"/>
  <c r="K2428" i="13"/>
  <c r="J2428" i="13"/>
  <c r="I2428" i="13"/>
  <c r="H2428" i="13"/>
  <c r="G2428" i="13"/>
  <c r="AD2427" i="13"/>
  <c r="AC2427" i="13"/>
  <c r="AB2427" i="13"/>
  <c r="AA2427" i="13"/>
  <c r="Z2427" i="13"/>
  <c r="Y2427" i="13"/>
  <c r="X2427" i="13"/>
  <c r="W2427" i="13"/>
  <c r="V2427" i="13"/>
  <c r="U2427" i="13"/>
  <c r="T2427" i="13"/>
  <c r="S2427" i="13"/>
  <c r="R2427" i="13"/>
  <c r="Q2427" i="13"/>
  <c r="P2427" i="13"/>
  <c r="O2427" i="13"/>
  <c r="N2427" i="13"/>
  <c r="M2427" i="13"/>
  <c r="L2427" i="13"/>
  <c r="K2427" i="13"/>
  <c r="J2427" i="13"/>
  <c r="I2427" i="13"/>
  <c r="H2427" i="13"/>
  <c r="G2427" i="13"/>
  <c r="AD2426" i="13"/>
  <c r="AC2426" i="13"/>
  <c r="AB2426" i="13"/>
  <c r="AA2426" i="13"/>
  <c r="Z2426" i="13"/>
  <c r="Y2426" i="13"/>
  <c r="X2426" i="13"/>
  <c r="W2426" i="13"/>
  <c r="V2426" i="13"/>
  <c r="U2426" i="13"/>
  <c r="T2426" i="13"/>
  <c r="S2426" i="13"/>
  <c r="R2426" i="13"/>
  <c r="Q2426" i="13"/>
  <c r="P2426" i="13"/>
  <c r="O2426" i="13"/>
  <c r="N2426" i="13"/>
  <c r="M2426" i="13"/>
  <c r="L2426" i="13"/>
  <c r="K2426" i="13"/>
  <c r="J2426" i="13"/>
  <c r="I2426" i="13"/>
  <c r="H2426" i="13"/>
  <c r="G2426" i="13"/>
  <c r="AD2425" i="13"/>
  <c r="AC2425" i="13"/>
  <c r="AB2425" i="13"/>
  <c r="AA2425" i="13"/>
  <c r="Z2425" i="13"/>
  <c r="Y2425" i="13"/>
  <c r="X2425" i="13"/>
  <c r="W2425" i="13"/>
  <c r="V2425" i="13"/>
  <c r="U2425" i="13"/>
  <c r="T2425" i="13"/>
  <c r="S2425" i="13"/>
  <c r="R2425" i="13"/>
  <c r="Q2425" i="13"/>
  <c r="P2425" i="13"/>
  <c r="O2425" i="13"/>
  <c r="N2425" i="13"/>
  <c r="M2425" i="13"/>
  <c r="L2425" i="13"/>
  <c r="K2425" i="13"/>
  <c r="J2425" i="13"/>
  <c r="I2425" i="13"/>
  <c r="H2425" i="13"/>
  <c r="G2425" i="13"/>
  <c r="AD2424" i="13"/>
  <c r="AC2424" i="13"/>
  <c r="AB2424" i="13"/>
  <c r="AA2424" i="13"/>
  <c r="Z2424" i="13"/>
  <c r="Y2424" i="13"/>
  <c r="X2424" i="13"/>
  <c r="W2424" i="13"/>
  <c r="V2424" i="13"/>
  <c r="U2424" i="13"/>
  <c r="T2424" i="13"/>
  <c r="S2424" i="13"/>
  <c r="R2424" i="13"/>
  <c r="Q2424" i="13"/>
  <c r="P2424" i="13"/>
  <c r="O2424" i="13"/>
  <c r="N2424" i="13"/>
  <c r="M2424" i="13"/>
  <c r="L2424" i="13"/>
  <c r="K2424" i="13"/>
  <c r="J2424" i="13"/>
  <c r="I2424" i="13"/>
  <c r="H2424" i="13"/>
  <c r="G2424" i="13"/>
  <c r="AD2423" i="13"/>
  <c r="AC2423" i="13"/>
  <c r="AB2423" i="13"/>
  <c r="AA2423" i="13"/>
  <c r="Z2423" i="13"/>
  <c r="Y2423" i="13"/>
  <c r="X2423" i="13"/>
  <c r="W2423" i="13"/>
  <c r="V2423" i="13"/>
  <c r="U2423" i="13"/>
  <c r="T2423" i="13"/>
  <c r="S2423" i="13"/>
  <c r="R2423" i="13"/>
  <c r="Q2423" i="13"/>
  <c r="P2423" i="13"/>
  <c r="O2423" i="13"/>
  <c r="N2423" i="13"/>
  <c r="M2423" i="13"/>
  <c r="L2423" i="13"/>
  <c r="K2423" i="13"/>
  <c r="J2423" i="13"/>
  <c r="I2423" i="13"/>
  <c r="H2423" i="13"/>
  <c r="G2423" i="13"/>
  <c r="AD2422" i="13"/>
  <c r="AC2422" i="13"/>
  <c r="AB2422" i="13"/>
  <c r="AA2422" i="13"/>
  <c r="Z2422" i="13"/>
  <c r="Y2422" i="13"/>
  <c r="X2422" i="13"/>
  <c r="W2422" i="13"/>
  <c r="V2422" i="13"/>
  <c r="U2422" i="13"/>
  <c r="T2422" i="13"/>
  <c r="S2422" i="13"/>
  <c r="R2422" i="13"/>
  <c r="Q2422" i="13"/>
  <c r="P2422" i="13"/>
  <c r="O2422" i="13"/>
  <c r="N2422" i="13"/>
  <c r="M2422" i="13"/>
  <c r="L2422" i="13"/>
  <c r="K2422" i="13"/>
  <c r="J2422" i="13"/>
  <c r="I2422" i="13"/>
  <c r="H2422" i="13"/>
  <c r="G2422" i="13"/>
  <c r="AD2421" i="13"/>
  <c r="AC2421" i="13"/>
  <c r="AB2421" i="13"/>
  <c r="AA2421" i="13"/>
  <c r="Z2421" i="13"/>
  <c r="Y2421" i="13"/>
  <c r="X2421" i="13"/>
  <c r="W2421" i="13"/>
  <c r="V2421" i="13"/>
  <c r="U2421" i="13"/>
  <c r="T2421" i="13"/>
  <c r="S2421" i="13"/>
  <c r="R2421" i="13"/>
  <c r="Q2421" i="13"/>
  <c r="P2421" i="13"/>
  <c r="O2421" i="13"/>
  <c r="N2421" i="13"/>
  <c r="M2421" i="13"/>
  <c r="L2421" i="13"/>
  <c r="K2421" i="13"/>
  <c r="J2421" i="13"/>
  <c r="I2421" i="13"/>
  <c r="H2421" i="13"/>
  <c r="G2421" i="13"/>
  <c r="AD2420" i="13"/>
  <c r="AC2420" i="13"/>
  <c r="AB2420" i="13"/>
  <c r="AA2420" i="13"/>
  <c r="Z2420" i="13"/>
  <c r="Y2420" i="13"/>
  <c r="X2420" i="13"/>
  <c r="W2420" i="13"/>
  <c r="V2420" i="13"/>
  <c r="U2420" i="13"/>
  <c r="T2420" i="13"/>
  <c r="S2420" i="13"/>
  <c r="R2420" i="13"/>
  <c r="Q2420" i="13"/>
  <c r="P2420" i="13"/>
  <c r="O2420" i="13"/>
  <c r="N2420" i="13"/>
  <c r="M2420" i="13"/>
  <c r="L2420" i="13"/>
  <c r="K2420" i="13"/>
  <c r="J2420" i="13"/>
  <c r="I2420" i="13"/>
  <c r="H2420" i="13"/>
  <c r="G2420" i="13"/>
  <c r="AD2419" i="13"/>
  <c r="AC2419" i="13"/>
  <c r="AB2419" i="13"/>
  <c r="AA2419" i="13"/>
  <c r="Z2419" i="13"/>
  <c r="Y2419" i="13"/>
  <c r="X2419" i="13"/>
  <c r="W2419" i="13"/>
  <c r="V2419" i="13"/>
  <c r="U2419" i="13"/>
  <c r="T2419" i="13"/>
  <c r="S2419" i="13"/>
  <c r="R2419" i="13"/>
  <c r="Q2419" i="13"/>
  <c r="P2419" i="13"/>
  <c r="O2419" i="13"/>
  <c r="N2419" i="13"/>
  <c r="M2419" i="13"/>
  <c r="L2419" i="13"/>
  <c r="K2419" i="13"/>
  <c r="J2419" i="13"/>
  <c r="I2419" i="13"/>
  <c r="H2419" i="13"/>
  <c r="G2419" i="13"/>
  <c r="AD2418" i="13"/>
  <c r="AC2418" i="13"/>
  <c r="AB2418" i="13"/>
  <c r="AA2418" i="13"/>
  <c r="Z2418" i="13"/>
  <c r="Y2418" i="13"/>
  <c r="X2418" i="13"/>
  <c r="W2418" i="13"/>
  <c r="V2418" i="13"/>
  <c r="U2418" i="13"/>
  <c r="T2418" i="13"/>
  <c r="S2418" i="13"/>
  <c r="R2418" i="13"/>
  <c r="Q2418" i="13"/>
  <c r="P2418" i="13"/>
  <c r="O2418" i="13"/>
  <c r="N2418" i="13"/>
  <c r="M2418" i="13"/>
  <c r="L2418" i="13"/>
  <c r="K2418" i="13"/>
  <c r="J2418" i="13"/>
  <c r="I2418" i="13"/>
  <c r="H2418" i="13"/>
  <c r="G2418" i="13"/>
  <c r="AD2417" i="13"/>
  <c r="AC2417" i="13"/>
  <c r="AB2417" i="13"/>
  <c r="AA2417" i="13"/>
  <c r="Z2417" i="13"/>
  <c r="Y2417" i="13"/>
  <c r="X2417" i="13"/>
  <c r="W2417" i="13"/>
  <c r="V2417" i="13"/>
  <c r="U2417" i="13"/>
  <c r="T2417" i="13"/>
  <c r="S2417" i="13"/>
  <c r="R2417" i="13"/>
  <c r="Q2417" i="13"/>
  <c r="P2417" i="13"/>
  <c r="O2417" i="13"/>
  <c r="N2417" i="13"/>
  <c r="M2417" i="13"/>
  <c r="L2417" i="13"/>
  <c r="K2417" i="13"/>
  <c r="J2417" i="13"/>
  <c r="I2417" i="13"/>
  <c r="H2417" i="13"/>
  <c r="G2417" i="13"/>
  <c r="AD2416" i="13"/>
  <c r="AC2416" i="13"/>
  <c r="AB2416" i="13"/>
  <c r="AA2416" i="13"/>
  <c r="Z2416" i="13"/>
  <c r="Y2416" i="13"/>
  <c r="X2416" i="13"/>
  <c r="W2416" i="13"/>
  <c r="V2416" i="13"/>
  <c r="U2416" i="13"/>
  <c r="T2416" i="13"/>
  <c r="S2416" i="13"/>
  <c r="R2416" i="13"/>
  <c r="Q2416" i="13"/>
  <c r="P2416" i="13"/>
  <c r="O2416" i="13"/>
  <c r="N2416" i="13"/>
  <c r="M2416" i="13"/>
  <c r="L2416" i="13"/>
  <c r="K2416" i="13"/>
  <c r="J2416" i="13"/>
  <c r="I2416" i="13"/>
  <c r="H2416" i="13"/>
  <c r="G2416" i="13"/>
  <c r="AD2415" i="13"/>
  <c r="AC2415" i="13"/>
  <c r="AB2415" i="13"/>
  <c r="AA2415" i="13"/>
  <c r="Z2415" i="13"/>
  <c r="Y2415" i="13"/>
  <c r="X2415" i="13"/>
  <c r="W2415" i="13"/>
  <c r="V2415" i="13"/>
  <c r="U2415" i="13"/>
  <c r="T2415" i="13"/>
  <c r="S2415" i="13"/>
  <c r="R2415" i="13"/>
  <c r="Q2415" i="13"/>
  <c r="P2415" i="13"/>
  <c r="O2415" i="13"/>
  <c r="N2415" i="13"/>
  <c r="M2415" i="13"/>
  <c r="L2415" i="13"/>
  <c r="K2415" i="13"/>
  <c r="J2415" i="13"/>
  <c r="I2415" i="13"/>
  <c r="H2415" i="13"/>
  <c r="G2415" i="13"/>
  <c r="AD2414" i="13"/>
  <c r="AC2414" i="13"/>
  <c r="AB2414" i="13"/>
  <c r="AA2414" i="13"/>
  <c r="Z2414" i="13"/>
  <c r="Y2414" i="13"/>
  <c r="X2414" i="13"/>
  <c r="W2414" i="13"/>
  <c r="V2414" i="13"/>
  <c r="U2414" i="13"/>
  <c r="T2414" i="13"/>
  <c r="S2414" i="13"/>
  <c r="R2414" i="13"/>
  <c r="Q2414" i="13"/>
  <c r="P2414" i="13"/>
  <c r="O2414" i="13"/>
  <c r="N2414" i="13"/>
  <c r="M2414" i="13"/>
  <c r="L2414" i="13"/>
  <c r="K2414" i="13"/>
  <c r="J2414" i="13"/>
  <c r="I2414" i="13"/>
  <c r="H2414" i="13"/>
  <c r="G2414" i="13"/>
  <c r="AD2413" i="13"/>
  <c r="AC2413" i="13"/>
  <c r="AB2413" i="13"/>
  <c r="AA2413" i="13"/>
  <c r="Z2413" i="13"/>
  <c r="Y2413" i="13"/>
  <c r="X2413" i="13"/>
  <c r="W2413" i="13"/>
  <c r="V2413" i="13"/>
  <c r="U2413" i="13"/>
  <c r="T2413" i="13"/>
  <c r="S2413" i="13"/>
  <c r="R2413" i="13"/>
  <c r="Q2413" i="13"/>
  <c r="P2413" i="13"/>
  <c r="O2413" i="13"/>
  <c r="N2413" i="13"/>
  <c r="M2413" i="13"/>
  <c r="L2413" i="13"/>
  <c r="K2413" i="13"/>
  <c r="J2413" i="13"/>
  <c r="I2413" i="13"/>
  <c r="H2413" i="13"/>
  <c r="G2413" i="13"/>
  <c r="AD2412" i="13"/>
  <c r="AC2412" i="13"/>
  <c r="AB2412" i="13"/>
  <c r="AA2412" i="13"/>
  <c r="Z2412" i="13"/>
  <c r="Y2412" i="13"/>
  <c r="X2412" i="13"/>
  <c r="W2412" i="13"/>
  <c r="V2412" i="13"/>
  <c r="U2412" i="13"/>
  <c r="T2412" i="13"/>
  <c r="S2412" i="13"/>
  <c r="R2412" i="13"/>
  <c r="Q2412" i="13"/>
  <c r="P2412" i="13"/>
  <c r="O2412" i="13"/>
  <c r="N2412" i="13"/>
  <c r="M2412" i="13"/>
  <c r="L2412" i="13"/>
  <c r="K2412" i="13"/>
  <c r="J2412" i="13"/>
  <c r="I2412" i="13"/>
  <c r="H2412" i="13"/>
  <c r="G2412" i="13"/>
  <c r="AD2411" i="13"/>
  <c r="AC2411" i="13"/>
  <c r="AB2411" i="13"/>
  <c r="AA2411" i="13"/>
  <c r="Z2411" i="13"/>
  <c r="Y2411" i="13"/>
  <c r="X2411" i="13"/>
  <c r="W2411" i="13"/>
  <c r="V2411" i="13"/>
  <c r="U2411" i="13"/>
  <c r="T2411" i="13"/>
  <c r="S2411" i="13"/>
  <c r="R2411" i="13"/>
  <c r="Q2411" i="13"/>
  <c r="P2411" i="13"/>
  <c r="O2411" i="13"/>
  <c r="N2411" i="13"/>
  <c r="M2411" i="13"/>
  <c r="L2411" i="13"/>
  <c r="K2411" i="13"/>
  <c r="J2411" i="13"/>
  <c r="I2411" i="13"/>
  <c r="H2411" i="13"/>
  <c r="G2411" i="13"/>
  <c r="AD2410" i="13"/>
  <c r="AC2410" i="13"/>
  <c r="AB2410" i="13"/>
  <c r="AA2410" i="13"/>
  <c r="Z2410" i="13"/>
  <c r="Y2410" i="13"/>
  <c r="X2410" i="13"/>
  <c r="W2410" i="13"/>
  <c r="V2410" i="13"/>
  <c r="U2410" i="13"/>
  <c r="T2410" i="13"/>
  <c r="S2410" i="13"/>
  <c r="R2410" i="13"/>
  <c r="Q2410" i="13"/>
  <c r="P2410" i="13"/>
  <c r="O2410" i="13"/>
  <c r="N2410" i="13"/>
  <c r="M2410" i="13"/>
  <c r="L2410" i="13"/>
  <c r="K2410" i="13"/>
  <c r="J2410" i="13"/>
  <c r="I2410" i="13"/>
  <c r="H2410" i="13"/>
  <c r="G2410" i="13"/>
  <c r="AD2409" i="13"/>
  <c r="AC2409" i="13"/>
  <c r="AB2409" i="13"/>
  <c r="AA2409" i="13"/>
  <c r="Z2409" i="13"/>
  <c r="Y2409" i="13"/>
  <c r="X2409" i="13"/>
  <c r="W2409" i="13"/>
  <c r="V2409" i="13"/>
  <c r="U2409" i="13"/>
  <c r="T2409" i="13"/>
  <c r="S2409" i="13"/>
  <c r="R2409" i="13"/>
  <c r="Q2409" i="13"/>
  <c r="P2409" i="13"/>
  <c r="O2409" i="13"/>
  <c r="N2409" i="13"/>
  <c r="M2409" i="13"/>
  <c r="L2409" i="13"/>
  <c r="K2409" i="13"/>
  <c r="J2409" i="13"/>
  <c r="I2409" i="13"/>
  <c r="H2409" i="13"/>
  <c r="G2409" i="13"/>
  <c r="AD2408" i="13"/>
  <c r="AC2408" i="13"/>
  <c r="AB2408" i="13"/>
  <c r="AA2408" i="13"/>
  <c r="Z2408" i="13"/>
  <c r="Y2408" i="13"/>
  <c r="X2408" i="13"/>
  <c r="W2408" i="13"/>
  <c r="V2408" i="13"/>
  <c r="U2408" i="13"/>
  <c r="T2408" i="13"/>
  <c r="S2408" i="13"/>
  <c r="R2408" i="13"/>
  <c r="Q2408" i="13"/>
  <c r="P2408" i="13"/>
  <c r="O2408" i="13"/>
  <c r="N2408" i="13"/>
  <c r="M2408" i="13"/>
  <c r="L2408" i="13"/>
  <c r="K2408" i="13"/>
  <c r="J2408" i="13"/>
  <c r="I2408" i="13"/>
  <c r="H2408" i="13"/>
  <c r="G2408" i="13"/>
  <c r="AD2407" i="13"/>
  <c r="AC2407" i="13"/>
  <c r="AB2407" i="13"/>
  <c r="AA2407" i="13"/>
  <c r="Z2407" i="13"/>
  <c r="Y2407" i="13"/>
  <c r="X2407" i="13"/>
  <c r="W2407" i="13"/>
  <c r="V2407" i="13"/>
  <c r="U2407" i="13"/>
  <c r="T2407" i="13"/>
  <c r="S2407" i="13"/>
  <c r="R2407" i="13"/>
  <c r="Q2407" i="13"/>
  <c r="P2407" i="13"/>
  <c r="O2407" i="13"/>
  <c r="N2407" i="13"/>
  <c r="M2407" i="13"/>
  <c r="L2407" i="13"/>
  <c r="K2407" i="13"/>
  <c r="J2407" i="13"/>
  <c r="I2407" i="13"/>
  <c r="H2407" i="13"/>
  <c r="G2407" i="13"/>
  <c r="AD2406" i="13"/>
  <c r="AC2406" i="13"/>
  <c r="AB2406" i="13"/>
  <c r="AA2406" i="13"/>
  <c r="Z2406" i="13"/>
  <c r="Y2406" i="13"/>
  <c r="X2406" i="13"/>
  <c r="W2406" i="13"/>
  <c r="V2406" i="13"/>
  <c r="U2406" i="13"/>
  <c r="T2406" i="13"/>
  <c r="S2406" i="13"/>
  <c r="R2406" i="13"/>
  <c r="Q2406" i="13"/>
  <c r="P2406" i="13"/>
  <c r="O2406" i="13"/>
  <c r="N2406" i="13"/>
  <c r="M2406" i="13"/>
  <c r="L2406" i="13"/>
  <c r="K2406" i="13"/>
  <c r="J2406" i="13"/>
  <c r="I2406" i="13"/>
  <c r="H2406" i="13"/>
  <c r="G2406" i="13"/>
  <c r="AD2405" i="13"/>
  <c r="AC2405" i="13"/>
  <c r="AB2405" i="13"/>
  <c r="AA2405" i="13"/>
  <c r="Z2405" i="13"/>
  <c r="Y2405" i="13"/>
  <c r="X2405" i="13"/>
  <c r="W2405" i="13"/>
  <c r="V2405" i="13"/>
  <c r="U2405" i="13"/>
  <c r="T2405" i="13"/>
  <c r="S2405" i="13"/>
  <c r="R2405" i="13"/>
  <c r="Q2405" i="13"/>
  <c r="P2405" i="13"/>
  <c r="O2405" i="13"/>
  <c r="N2405" i="13"/>
  <c r="M2405" i="13"/>
  <c r="L2405" i="13"/>
  <c r="K2405" i="13"/>
  <c r="J2405" i="13"/>
  <c r="I2405" i="13"/>
  <c r="H2405" i="13"/>
  <c r="G2405" i="13"/>
  <c r="AD2404" i="13"/>
  <c r="AC2404" i="13"/>
  <c r="AB2404" i="13"/>
  <c r="AA2404" i="13"/>
  <c r="Z2404" i="13"/>
  <c r="Y2404" i="13"/>
  <c r="X2404" i="13"/>
  <c r="W2404" i="13"/>
  <c r="V2404" i="13"/>
  <c r="U2404" i="13"/>
  <c r="T2404" i="13"/>
  <c r="S2404" i="13"/>
  <c r="R2404" i="13"/>
  <c r="Q2404" i="13"/>
  <c r="P2404" i="13"/>
  <c r="O2404" i="13"/>
  <c r="N2404" i="13"/>
  <c r="M2404" i="13"/>
  <c r="L2404" i="13"/>
  <c r="K2404" i="13"/>
  <c r="J2404" i="13"/>
  <c r="I2404" i="13"/>
  <c r="H2404" i="13"/>
  <c r="G2404" i="13"/>
  <c r="AD2403" i="13"/>
  <c r="AC2403" i="13"/>
  <c r="AB2403" i="13"/>
  <c r="AA2403" i="13"/>
  <c r="Z2403" i="13"/>
  <c r="Y2403" i="13"/>
  <c r="X2403" i="13"/>
  <c r="W2403" i="13"/>
  <c r="V2403" i="13"/>
  <c r="U2403" i="13"/>
  <c r="T2403" i="13"/>
  <c r="S2403" i="13"/>
  <c r="R2403" i="13"/>
  <c r="Q2403" i="13"/>
  <c r="P2403" i="13"/>
  <c r="O2403" i="13"/>
  <c r="N2403" i="13"/>
  <c r="M2403" i="13"/>
  <c r="L2403" i="13"/>
  <c r="K2403" i="13"/>
  <c r="J2403" i="13"/>
  <c r="I2403" i="13"/>
  <c r="H2403" i="13"/>
  <c r="G2403" i="13"/>
  <c r="AD2402" i="13"/>
  <c r="AC2402" i="13"/>
  <c r="AB2402" i="13"/>
  <c r="AA2402" i="13"/>
  <c r="Z2402" i="13"/>
  <c r="Y2402" i="13"/>
  <c r="X2402" i="13"/>
  <c r="W2402" i="13"/>
  <c r="V2402" i="13"/>
  <c r="U2402" i="13"/>
  <c r="T2402" i="13"/>
  <c r="S2402" i="13"/>
  <c r="R2402" i="13"/>
  <c r="Q2402" i="13"/>
  <c r="P2402" i="13"/>
  <c r="O2402" i="13"/>
  <c r="N2402" i="13"/>
  <c r="M2402" i="13"/>
  <c r="L2402" i="13"/>
  <c r="K2402" i="13"/>
  <c r="J2402" i="13"/>
  <c r="I2402" i="13"/>
  <c r="H2402" i="13"/>
  <c r="G2402" i="13"/>
  <c r="AD2401" i="13"/>
  <c r="AC2401" i="13"/>
  <c r="AB2401" i="13"/>
  <c r="AA2401" i="13"/>
  <c r="Z2401" i="13"/>
  <c r="Y2401" i="13"/>
  <c r="X2401" i="13"/>
  <c r="W2401" i="13"/>
  <c r="V2401" i="13"/>
  <c r="U2401" i="13"/>
  <c r="T2401" i="13"/>
  <c r="S2401" i="13"/>
  <c r="R2401" i="13"/>
  <c r="Q2401" i="13"/>
  <c r="P2401" i="13"/>
  <c r="O2401" i="13"/>
  <c r="N2401" i="13"/>
  <c r="M2401" i="13"/>
  <c r="L2401" i="13"/>
  <c r="K2401" i="13"/>
  <c r="J2401" i="13"/>
  <c r="I2401" i="13"/>
  <c r="H2401" i="13"/>
  <c r="G2401" i="13"/>
  <c r="AD2400" i="13"/>
  <c r="AC2400" i="13"/>
  <c r="AB2400" i="13"/>
  <c r="AA2400" i="13"/>
  <c r="Z2400" i="13"/>
  <c r="Y2400" i="13"/>
  <c r="X2400" i="13"/>
  <c r="W2400" i="13"/>
  <c r="V2400" i="13"/>
  <c r="U2400" i="13"/>
  <c r="T2400" i="13"/>
  <c r="S2400" i="13"/>
  <c r="R2400" i="13"/>
  <c r="Q2400" i="13"/>
  <c r="P2400" i="13"/>
  <c r="O2400" i="13"/>
  <c r="N2400" i="13"/>
  <c r="M2400" i="13"/>
  <c r="L2400" i="13"/>
  <c r="K2400" i="13"/>
  <c r="J2400" i="13"/>
  <c r="I2400" i="13"/>
  <c r="H2400" i="13"/>
  <c r="G2400" i="13"/>
  <c r="AD2399" i="13"/>
  <c r="AC2399" i="13"/>
  <c r="AB2399" i="13"/>
  <c r="AA2399" i="13"/>
  <c r="Z2399" i="13"/>
  <c r="Y2399" i="13"/>
  <c r="X2399" i="13"/>
  <c r="W2399" i="13"/>
  <c r="V2399" i="13"/>
  <c r="U2399" i="13"/>
  <c r="T2399" i="13"/>
  <c r="S2399" i="13"/>
  <c r="R2399" i="13"/>
  <c r="Q2399" i="13"/>
  <c r="P2399" i="13"/>
  <c r="O2399" i="13"/>
  <c r="N2399" i="13"/>
  <c r="M2399" i="13"/>
  <c r="L2399" i="13"/>
  <c r="K2399" i="13"/>
  <c r="J2399" i="13"/>
  <c r="I2399" i="13"/>
  <c r="H2399" i="13"/>
  <c r="G2399" i="13"/>
  <c r="AD2398" i="13"/>
  <c r="AC2398" i="13"/>
  <c r="AB2398" i="13"/>
  <c r="AA2398" i="13"/>
  <c r="Z2398" i="13"/>
  <c r="Y2398" i="13"/>
  <c r="X2398" i="13"/>
  <c r="W2398" i="13"/>
  <c r="V2398" i="13"/>
  <c r="U2398" i="13"/>
  <c r="T2398" i="13"/>
  <c r="S2398" i="13"/>
  <c r="R2398" i="13"/>
  <c r="Q2398" i="13"/>
  <c r="P2398" i="13"/>
  <c r="O2398" i="13"/>
  <c r="N2398" i="13"/>
  <c r="M2398" i="13"/>
  <c r="L2398" i="13"/>
  <c r="K2398" i="13"/>
  <c r="J2398" i="13"/>
  <c r="I2398" i="13"/>
  <c r="H2398" i="13"/>
  <c r="G2398" i="13"/>
  <c r="AD2397" i="13"/>
  <c r="AC2397" i="13"/>
  <c r="AB2397" i="13"/>
  <c r="AA2397" i="13"/>
  <c r="Z2397" i="13"/>
  <c r="Y2397" i="13"/>
  <c r="X2397" i="13"/>
  <c r="W2397" i="13"/>
  <c r="V2397" i="13"/>
  <c r="U2397" i="13"/>
  <c r="T2397" i="13"/>
  <c r="S2397" i="13"/>
  <c r="R2397" i="13"/>
  <c r="Q2397" i="13"/>
  <c r="P2397" i="13"/>
  <c r="O2397" i="13"/>
  <c r="N2397" i="13"/>
  <c r="M2397" i="13"/>
  <c r="L2397" i="13"/>
  <c r="K2397" i="13"/>
  <c r="J2397" i="13"/>
  <c r="I2397" i="13"/>
  <c r="H2397" i="13"/>
  <c r="G2397" i="13"/>
  <c r="AD2396" i="13"/>
  <c r="AC2396" i="13"/>
  <c r="AB2396" i="13"/>
  <c r="AA2396" i="13"/>
  <c r="Z2396" i="13"/>
  <c r="Y2396" i="13"/>
  <c r="X2396" i="13"/>
  <c r="W2396" i="13"/>
  <c r="V2396" i="13"/>
  <c r="U2396" i="13"/>
  <c r="T2396" i="13"/>
  <c r="S2396" i="13"/>
  <c r="R2396" i="13"/>
  <c r="Q2396" i="13"/>
  <c r="P2396" i="13"/>
  <c r="O2396" i="13"/>
  <c r="N2396" i="13"/>
  <c r="M2396" i="13"/>
  <c r="L2396" i="13"/>
  <c r="K2396" i="13"/>
  <c r="J2396" i="13"/>
  <c r="I2396" i="13"/>
  <c r="H2396" i="13"/>
  <c r="G2396" i="13"/>
  <c r="AD2395" i="13"/>
  <c r="AC2395" i="13"/>
  <c r="AB2395" i="13"/>
  <c r="AA2395" i="13"/>
  <c r="Z2395" i="13"/>
  <c r="Y2395" i="13"/>
  <c r="X2395" i="13"/>
  <c r="W2395" i="13"/>
  <c r="V2395" i="13"/>
  <c r="U2395" i="13"/>
  <c r="T2395" i="13"/>
  <c r="S2395" i="13"/>
  <c r="R2395" i="13"/>
  <c r="Q2395" i="13"/>
  <c r="P2395" i="13"/>
  <c r="O2395" i="13"/>
  <c r="N2395" i="13"/>
  <c r="M2395" i="13"/>
  <c r="L2395" i="13"/>
  <c r="K2395" i="13"/>
  <c r="J2395" i="13"/>
  <c r="I2395" i="13"/>
  <c r="H2395" i="13"/>
  <c r="G2395" i="13"/>
  <c r="AD2394" i="13"/>
  <c r="AC2394" i="13"/>
  <c r="AB2394" i="13"/>
  <c r="AA2394" i="13"/>
  <c r="Z2394" i="13"/>
  <c r="Y2394" i="13"/>
  <c r="X2394" i="13"/>
  <c r="W2394" i="13"/>
  <c r="V2394" i="13"/>
  <c r="U2394" i="13"/>
  <c r="T2394" i="13"/>
  <c r="S2394" i="13"/>
  <c r="R2394" i="13"/>
  <c r="Q2394" i="13"/>
  <c r="P2394" i="13"/>
  <c r="O2394" i="13"/>
  <c r="N2394" i="13"/>
  <c r="M2394" i="13"/>
  <c r="L2394" i="13"/>
  <c r="K2394" i="13"/>
  <c r="J2394" i="13"/>
  <c r="I2394" i="13"/>
  <c r="H2394" i="13"/>
  <c r="G2394" i="13"/>
  <c r="AD2393" i="13"/>
  <c r="AC2393" i="13"/>
  <c r="AB2393" i="13"/>
  <c r="AA2393" i="13"/>
  <c r="Z2393" i="13"/>
  <c r="Y2393" i="13"/>
  <c r="X2393" i="13"/>
  <c r="W2393" i="13"/>
  <c r="V2393" i="13"/>
  <c r="U2393" i="13"/>
  <c r="T2393" i="13"/>
  <c r="S2393" i="13"/>
  <c r="R2393" i="13"/>
  <c r="Q2393" i="13"/>
  <c r="P2393" i="13"/>
  <c r="O2393" i="13"/>
  <c r="N2393" i="13"/>
  <c r="M2393" i="13"/>
  <c r="L2393" i="13"/>
  <c r="K2393" i="13"/>
  <c r="J2393" i="13"/>
  <c r="I2393" i="13"/>
  <c r="H2393" i="13"/>
  <c r="G2393" i="13"/>
  <c r="AD2392" i="13"/>
  <c r="AC2392" i="13"/>
  <c r="AB2392" i="13"/>
  <c r="AA2392" i="13"/>
  <c r="Z2392" i="13"/>
  <c r="Y2392" i="13"/>
  <c r="X2392" i="13"/>
  <c r="W2392" i="13"/>
  <c r="V2392" i="13"/>
  <c r="U2392" i="13"/>
  <c r="T2392" i="13"/>
  <c r="S2392" i="13"/>
  <c r="R2392" i="13"/>
  <c r="Q2392" i="13"/>
  <c r="P2392" i="13"/>
  <c r="O2392" i="13"/>
  <c r="N2392" i="13"/>
  <c r="M2392" i="13"/>
  <c r="L2392" i="13"/>
  <c r="K2392" i="13"/>
  <c r="J2392" i="13"/>
  <c r="I2392" i="13"/>
  <c r="H2392" i="13"/>
  <c r="G2392" i="13"/>
  <c r="AD2391" i="13"/>
  <c r="AC2391" i="13"/>
  <c r="AB2391" i="13"/>
  <c r="AA2391" i="13"/>
  <c r="Z2391" i="13"/>
  <c r="Y2391" i="13"/>
  <c r="X2391" i="13"/>
  <c r="W2391" i="13"/>
  <c r="V2391" i="13"/>
  <c r="U2391" i="13"/>
  <c r="T2391" i="13"/>
  <c r="S2391" i="13"/>
  <c r="R2391" i="13"/>
  <c r="Q2391" i="13"/>
  <c r="P2391" i="13"/>
  <c r="O2391" i="13"/>
  <c r="N2391" i="13"/>
  <c r="M2391" i="13"/>
  <c r="L2391" i="13"/>
  <c r="K2391" i="13"/>
  <c r="J2391" i="13"/>
  <c r="I2391" i="13"/>
  <c r="H2391" i="13"/>
  <c r="G2391" i="13"/>
  <c r="AD2390" i="13"/>
  <c r="AC2390" i="13"/>
  <c r="AB2390" i="13"/>
  <c r="AA2390" i="13"/>
  <c r="Z2390" i="13"/>
  <c r="Y2390" i="13"/>
  <c r="X2390" i="13"/>
  <c r="W2390" i="13"/>
  <c r="V2390" i="13"/>
  <c r="U2390" i="13"/>
  <c r="T2390" i="13"/>
  <c r="S2390" i="13"/>
  <c r="R2390" i="13"/>
  <c r="Q2390" i="13"/>
  <c r="P2390" i="13"/>
  <c r="O2390" i="13"/>
  <c r="N2390" i="13"/>
  <c r="M2390" i="13"/>
  <c r="L2390" i="13"/>
  <c r="K2390" i="13"/>
  <c r="J2390" i="13"/>
  <c r="I2390" i="13"/>
  <c r="H2390" i="13"/>
  <c r="G2390" i="13"/>
  <c r="AD2389" i="13"/>
  <c r="AC2389" i="13"/>
  <c r="AB2389" i="13"/>
  <c r="AA2389" i="13"/>
  <c r="Z2389" i="13"/>
  <c r="Y2389" i="13"/>
  <c r="X2389" i="13"/>
  <c r="W2389" i="13"/>
  <c r="V2389" i="13"/>
  <c r="U2389" i="13"/>
  <c r="T2389" i="13"/>
  <c r="S2389" i="13"/>
  <c r="R2389" i="13"/>
  <c r="Q2389" i="13"/>
  <c r="P2389" i="13"/>
  <c r="O2389" i="13"/>
  <c r="N2389" i="13"/>
  <c r="M2389" i="13"/>
  <c r="L2389" i="13"/>
  <c r="K2389" i="13"/>
  <c r="J2389" i="13"/>
  <c r="I2389" i="13"/>
  <c r="H2389" i="13"/>
  <c r="G2389" i="13"/>
  <c r="AD2388" i="13"/>
  <c r="AC2388" i="13"/>
  <c r="AB2388" i="13"/>
  <c r="AA2388" i="13"/>
  <c r="Z2388" i="13"/>
  <c r="Y2388" i="13"/>
  <c r="X2388" i="13"/>
  <c r="W2388" i="13"/>
  <c r="V2388" i="13"/>
  <c r="U2388" i="13"/>
  <c r="T2388" i="13"/>
  <c r="S2388" i="13"/>
  <c r="R2388" i="13"/>
  <c r="Q2388" i="13"/>
  <c r="P2388" i="13"/>
  <c r="O2388" i="13"/>
  <c r="N2388" i="13"/>
  <c r="M2388" i="13"/>
  <c r="L2388" i="13"/>
  <c r="K2388" i="13"/>
  <c r="J2388" i="13"/>
  <c r="I2388" i="13"/>
  <c r="H2388" i="13"/>
  <c r="G2388" i="13"/>
  <c r="AD2387" i="13"/>
  <c r="AC2387" i="13"/>
  <c r="AB2387" i="13"/>
  <c r="AA2387" i="13"/>
  <c r="Z2387" i="13"/>
  <c r="Y2387" i="13"/>
  <c r="X2387" i="13"/>
  <c r="W2387" i="13"/>
  <c r="V2387" i="13"/>
  <c r="U2387" i="13"/>
  <c r="T2387" i="13"/>
  <c r="S2387" i="13"/>
  <c r="R2387" i="13"/>
  <c r="Q2387" i="13"/>
  <c r="P2387" i="13"/>
  <c r="O2387" i="13"/>
  <c r="N2387" i="13"/>
  <c r="M2387" i="13"/>
  <c r="L2387" i="13"/>
  <c r="K2387" i="13"/>
  <c r="J2387" i="13"/>
  <c r="I2387" i="13"/>
  <c r="H2387" i="13"/>
  <c r="G2387" i="13"/>
  <c r="AD2386" i="13"/>
  <c r="AC2386" i="13"/>
  <c r="AB2386" i="13"/>
  <c r="AA2386" i="13"/>
  <c r="Z2386" i="13"/>
  <c r="Y2386" i="13"/>
  <c r="X2386" i="13"/>
  <c r="W2386" i="13"/>
  <c r="V2386" i="13"/>
  <c r="U2386" i="13"/>
  <c r="T2386" i="13"/>
  <c r="S2386" i="13"/>
  <c r="R2386" i="13"/>
  <c r="Q2386" i="13"/>
  <c r="P2386" i="13"/>
  <c r="O2386" i="13"/>
  <c r="N2386" i="13"/>
  <c r="M2386" i="13"/>
  <c r="L2386" i="13"/>
  <c r="K2386" i="13"/>
  <c r="J2386" i="13"/>
  <c r="I2386" i="13"/>
  <c r="H2386" i="13"/>
  <c r="G2386" i="13"/>
  <c r="AD2385" i="13"/>
  <c r="AC2385" i="13"/>
  <c r="AB2385" i="13"/>
  <c r="AA2385" i="13"/>
  <c r="Z2385" i="13"/>
  <c r="Y2385" i="13"/>
  <c r="X2385" i="13"/>
  <c r="W2385" i="13"/>
  <c r="V2385" i="13"/>
  <c r="U2385" i="13"/>
  <c r="T2385" i="13"/>
  <c r="S2385" i="13"/>
  <c r="R2385" i="13"/>
  <c r="Q2385" i="13"/>
  <c r="P2385" i="13"/>
  <c r="O2385" i="13"/>
  <c r="N2385" i="13"/>
  <c r="M2385" i="13"/>
  <c r="L2385" i="13"/>
  <c r="K2385" i="13"/>
  <c r="J2385" i="13"/>
  <c r="I2385" i="13"/>
  <c r="H2385" i="13"/>
  <c r="G2385" i="13"/>
  <c r="AD2384" i="13"/>
  <c r="AC2384" i="13"/>
  <c r="AB2384" i="13"/>
  <c r="AA2384" i="13"/>
  <c r="Z2384" i="13"/>
  <c r="Y2384" i="13"/>
  <c r="X2384" i="13"/>
  <c r="W2384" i="13"/>
  <c r="V2384" i="13"/>
  <c r="U2384" i="13"/>
  <c r="T2384" i="13"/>
  <c r="S2384" i="13"/>
  <c r="R2384" i="13"/>
  <c r="Q2384" i="13"/>
  <c r="P2384" i="13"/>
  <c r="O2384" i="13"/>
  <c r="N2384" i="13"/>
  <c r="M2384" i="13"/>
  <c r="L2384" i="13"/>
  <c r="K2384" i="13"/>
  <c r="J2384" i="13"/>
  <c r="I2384" i="13"/>
  <c r="H2384" i="13"/>
  <c r="G2384" i="13"/>
  <c r="AD2383" i="13"/>
  <c r="AC2383" i="13"/>
  <c r="AB2383" i="13"/>
  <c r="AA2383" i="13"/>
  <c r="Z2383" i="13"/>
  <c r="Y2383" i="13"/>
  <c r="X2383" i="13"/>
  <c r="W2383" i="13"/>
  <c r="V2383" i="13"/>
  <c r="U2383" i="13"/>
  <c r="T2383" i="13"/>
  <c r="S2383" i="13"/>
  <c r="R2383" i="13"/>
  <c r="Q2383" i="13"/>
  <c r="P2383" i="13"/>
  <c r="O2383" i="13"/>
  <c r="N2383" i="13"/>
  <c r="M2383" i="13"/>
  <c r="L2383" i="13"/>
  <c r="K2383" i="13"/>
  <c r="J2383" i="13"/>
  <c r="I2383" i="13"/>
  <c r="H2383" i="13"/>
  <c r="G2383" i="13"/>
  <c r="AD2382" i="13"/>
  <c r="AC2382" i="13"/>
  <c r="AB2382" i="13"/>
  <c r="AA2382" i="13"/>
  <c r="Z2382" i="13"/>
  <c r="Y2382" i="13"/>
  <c r="X2382" i="13"/>
  <c r="W2382" i="13"/>
  <c r="V2382" i="13"/>
  <c r="U2382" i="13"/>
  <c r="T2382" i="13"/>
  <c r="S2382" i="13"/>
  <c r="R2382" i="13"/>
  <c r="Q2382" i="13"/>
  <c r="P2382" i="13"/>
  <c r="O2382" i="13"/>
  <c r="N2382" i="13"/>
  <c r="M2382" i="13"/>
  <c r="L2382" i="13"/>
  <c r="K2382" i="13"/>
  <c r="J2382" i="13"/>
  <c r="I2382" i="13"/>
  <c r="H2382" i="13"/>
  <c r="G2382" i="13"/>
  <c r="AD2381" i="13"/>
  <c r="AC2381" i="13"/>
  <c r="AB2381" i="13"/>
  <c r="AA2381" i="13"/>
  <c r="Z2381" i="13"/>
  <c r="Y2381" i="13"/>
  <c r="X2381" i="13"/>
  <c r="W2381" i="13"/>
  <c r="V2381" i="13"/>
  <c r="U2381" i="13"/>
  <c r="T2381" i="13"/>
  <c r="S2381" i="13"/>
  <c r="R2381" i="13"/>
  <c r="Q2381" i="13"/>
  <c r="P2381" i="13"/>
  <c r="O2381" i="13"/>
  <c r="N2381" i="13"/>
  <c r="M2381" i="13"/>
  <c r="L2381" i="13"/>
  <c r="K2381" i="13"/>
  <c r="J2381" i="13"/>
  <c r="I2381" i="13"/>
  <c r="H2381" i="13"/>
  <c r="G2381" i="13"/>
  <c r="AD2380" i="13"/>
  <c r="AC2380" i="13"/>
  <c r="AB2380" i="13"/>
  <c r="AA2380" i="13"/>
  <c r="Z2380" i="13"/>
  <c r="Y2380" i="13"/>
  <c r="X2380" i="13"/>
  <c r="W2380" i="13"/>
  <c r="V2380" i="13"/>
  <c r="U2380" i="13"/>
  <c r="T2380" i="13"/>
  <c r="S2380" i="13"/>
  <c r="R2380" i="13"/>
  <c r="Q2380" i="13"/>
  <c r="P2380" i="13"/>
  <c r="O2380" i="13"/>
  <c r="N2380" i="13"/>
  <c r="M2380" i="13"/>
  <c r="L2380" i="13"/>
  <c r="K2380" i="13"/>
  <c r="J2380" i="13"/>
  <c r="I2380" i="13"/>
  <c r="H2380" i="13"/>
  <c r="G2380" i="13"/>
  <c r="AD2379" i="13"/>
  <c r="AC2379" i="13"/>
  <c r="AB2379" i="13"/>
  <c r="AA2379" i="13"/>
  <c r="Z2379" i="13"/>
  <c r="Y2379" i="13"/>
  <c r="X2379" i="13"/>
  <c r="W2379" i="13"/>
  <c r="V2379" i="13"/>
  <c r="U2379" i="13"/>
  <c r="T2379" i="13"/>
  <c r="S2379" i="13"/>
  <c r="R2379" i="13"/>
  <c r="Q2379" i="13"/>
  <c r="P2379" i="13"/>
  <c r="O2379" i="13"/>
  <c r="N2379" i="13"/>
  <c r="M2379" i="13"/>
  <c r="L2379" i="13"/>
  <c r="K2379" i="13"/>
  <c r="J2379" i="13"/>
  <c r="I2379" i="13"/>
  <c r="H2379" i="13"/>
  <c r="G2379" i="13"/>
  <c r="AD2378" i="13"/>
  <c r="AC2378" i="13"/>
  <c r="AB2378" i="13"/>
  <c r="AA2378" i="13"/>
  <c r="Z2378" i="13"/>
  <c r="Y2378" i="13"/>
  <c r="X2378" i="13"/>
  <c r="W2378" i="13"/>
  <c r="V2378" i="13"/>
  <c r="U2378" i="13"/>
  <c r="T2378" i="13"/>
  <c r="S2378" i="13"/>
  <c r="R2378" i="13"/>
  <c r="Q2378" i="13"/>
  <c r="P2378" i="13"/>
  <c r="O2378" i="13"/>
  <c r="N2378" i="13"/>
  <c r="M2378" i="13"/>
  <c r="L2378" i="13"/>
  <c r="K2378" i="13"/>
  <c r="J2378" i="13"/>
  <c r="I2378" i="13"/>
  <c r="H2378" i="13"/>
  <c r="G2378" i="13"/>
  <c r="AD2377" i="13"/>
  <c r="AC2377" i="13"/>
  <c r="AB2377" i="13"/>
  <c r="AA2377" i="13"/>
  <c r="Z2377" i="13"/>
  <c r="Y2377" i="13"/>
  <c r="X2377" i="13"/>
  <c r="W2377" i="13"/>
  <c r="V2377" i="13"/>
  <c r="U2377" i="13"/>
  <c r="T2377" i="13"/>
  <c r="S2377" i="13"/>
  <c r="R2377" i="13"/>
  <c r="Q2377" i="13"/>
  <c r="P2377" i="13"/>
  <c r="O2377" i="13"/>
  <c r="N2377" i="13"/>
  <c r="M2377" i="13"/>
  <c r="L2377" i="13"/>
  <c r="K2377" i="13"/>
  <c r="J2377" i="13"/>
  <c r="I2377" i="13"/>
  <c r="H2377" i="13"/>
  <c r="G2377" i="13"/>
  <c r="AD2376" i="13"/>
  <c r="AC2376" i="13"/>
  <c r="AB2376" i="13"/>
  <c r="AA2376" i="13"/>
  <c r="Z2376" i="13"/>
  <c r="Y2376" i="13"/>
  <c r="X2376" i="13"/>
  <c r="W2376" i="13"/>
  <c r="V2376" i="13"/>
  <c r="U2376" i="13"/>
  <c r="T2376" i="13"/>
  <c r="S2376" i="13"/>
  <c r="R2376" i="13"/>
  <c r="Q2376" i="13"/>
  <c r="P2376" i="13"/>
  <c r="O2376" i="13"/>
  <c r="N2376" i="13"/>
  <c r="M2376" i="13"/>
  <c r="L2376" i="13"/>
  <c r="K2376" i="13"/>
  <c r="J2376" i="13"/>
  <c r="I2376" i="13"/>
  <c r="H2376" i="13"/>
  <c r="G2376" i="13"/>
  <c r="AD2375" i="13"/>
  <c r="AC2375" i="13"/>
  <c r="AB2375" i="13"/>
  <c r="AA2375" i="13"/>
  <c r="Z2375" i="13"/>
  <c r="Y2375" i="13"/>
  <c r="X2375" i="13"/>
  <c r="W2375" i="13"/>
  <c r="V2375" i="13"/>
  <c r="U2375" i="13"/>
  <c r="T2375" i="13"/>
  <c r="S2375" i="13"/>
  <c r="R2375" i="13"/>
  <c r="Q2375" i="13"/>
  <c r="P2375" i="13"/>
  <c r="O2375" i="13"/>
  <c r="N2375" i="13"/>
  <c r="M2375" i="13"/>
  <c r="L2375" i="13"/>
  <c r="K2375" i="13"/>
  <c r="J2375" i="13"/>
  <c r="I2375" i="13"/>
  <c r="H2375" i="13"/>
  <c r="G2375" i="13"/>
  <c r="AD2374" i="13"/>
  <c r="AC2374" i="13"/>
  <c r="AB2374" i="13"/>
  <c r="AA2374" i="13"/>
  <c r="Z2374" i="13"/>
  <c r="Y2374" i="13"/>
  <c r="X2374" i="13"/>
  <c r="W2374" i="13"/>
  <c r="V2374" i="13"/>
  <c r="U2374" i="13"/>
  <c r="T2374" i="13"/>
  <c r="S2374" i="13"/>
  <c r="R2374" i="13"/>
  <c r="Q2374" i="13"/>
  <c r="P2374" i="13"/>
  <c r="O2374" i="13"/>
  <c r="N2374" i="13"/>
  <c r="M2374" i="13"/>
  <c r="L2374" i="13"/>
  <c r="K2374" i="13"/>
  <c r="J2374" i="13"/>
  <c r="I2374" i="13"/>
  <c r="H2374" i="13"/>
  <c r="G2374" i="13"/>
  <c r="AD2373" i="13"/>
  <c r="AC2373" i="13"/>
  <c r="AB2373" i="13"/>
  <c r="AA2373" i="13"/>
  <c r="Z2373" i="13"/>
  <c r="Y2373" i="13"/>
  <c r="X2373" i="13"/>
  <c r="W2373" i="13"/>
  <c r="V2373" i="13"/>
  <c r="U2373" i="13"/>
  <c r="T2373" i="13"/>
  <c r="S2373" i="13"/>
  <c r="R2373" i="13"/>
  <c r="Q2373" i="13"/>
  <c r="P2373" i="13"/>
  <c r="O2373" i="13"/>
  <c r="N2373" i="13"/>
  <c r="M2373" i="13"/>
  <c r="L2373" i="13"/>
  <c r="K2373" i="13"/>
  <c r="J2373" i="13"/>
  <c r="I2373" i="13"/>
  <c r="H2373" i="13"/>
  <c r="G2373" i="13"/>
  <c r="AD2372" i="13"/>
  <c r="AC2372" i="13"/>
  <c r="AB2372" i="13"/>
  <c r="AA2372" i="13"/>
  <c r="Z2372" i="13"/>
  <c r="Y2372" i="13"/>
  <c r="X2372" i="13"/>
  <c r="W2372" i="13"/>
  <c r="V2372" i="13"/>
  <c r="U2372" i="13"/>
  <c r="T2372" i="13"/>
  <c r="S2372" i="13"/>
  <c r="R2372" i="13"/>
  <c r="Q2372" i="13"/>
  <c r="P2372" i="13"/>
  <c r="O2372" i="13"/>
  <c r="N2372" i="13"/>
  <c r="M2372" i="13"/>
  <c r="L2372" i="13"/>
  <c r="K2372" i="13"/>
  <c r="J2372" i="13"/>
  <c r="I2372" i="13"/>
  <c r="H2372" i="13"/>
  <c r="G2372" i="13"/>
  <c r="AD2371" i="13"/>
  <c r="AC2371" i="13"/>
  <c r="AB2371" i="13"/>
  <c r="AA2371" i="13"/>
  <c r="Z2371" i="13"/>
  <c r="Y2371" i="13"/>
  <c r="X2371" i="13"/>
  <c r="W2371" i="13"/>
  <c r="V2371" i="13"/>
  <c r="U2371" i="13"/>
  <c r="T2371" i="13"/>
  <c r="S2371" i="13"/>
  <c r="R2371" i="13"/>
  <c r="Q2371" i="13"/>
  <c r="P2371" i="13"/>
  <c r="O2371" i="13"/>
  <c r="N2371" i="13"/>
  <c r="M2371" i="13"/>
  <c r="L2371" i="13"/>
  <c r="K2371" i="13"/>
  <c r="J2371" i="13"/>
  <c r="I2371" i="13"/>
  <c r="H2371" i="13"/>
  <c r="G2371" i="13"/>
  <c r="AD2370" i="13"/>
  <c r="AC2370" i="13"/>
  <c r="AB2370" i="13"/>
  <c r="AA2370" i="13"/>
  <c r="Z2370" i="13"/>
  <c r="Y2370" i="13"/>
  <c r="X2370" i="13"/>
  <c r="W2370" i="13"/>
  <c r="V2370" i="13"/>
  <c r="U2370" i="13"/>
  <c r="T2370" i="13"/>
  <c r="S2370" i="13"/>
  <c r="R2370" i="13"/>
  <c r="Q2370" i="13"/>
  <c r="P2370" i="13"/>
  <c r="O2370" i="13"/>
  <c r="N2370" i="13"/>
  <c r="M2370" i="13"/>
  <c r="L2370" i="13"/>
  <c r="K2370" i="13"/>
  <c r="J2370" i="13"/>
  <c r="I2370" i="13"/>
  <c r="H2370" i="13"/>
  <c r="G2370" i="13"/>
  <c r="AD2369" i="13"/>
  <c r="AC2369" i="13"/>
  <c r="AB2369" i="13"/>
  <c r="AA2369" i="13"/>
  <c r="Z2369" i="13"/>
  <c r="Y2369" i="13"/>
  <c r="X2369" i="13"/>
  <c r="W2369" i="13"/>
  <c r="V2369" i="13"/>
  <c r="U2369" i="13"/>
  <c r="T2369" i="13"/>
  <c r="S2369" i="13"/>
  <c r="R2369" i="13"/>
  <c r="Q2369" i="13"/>
  <c r="P2369" i="13"/>
  <c r="O2369" i="13"/>
  <c r="N2369" i="13"/>
  <c r="M2369" i="13"/>
  <c r="L2369" i="13"/>
  <c r="K2369" i="13"/>
  <c r="J2369" i="13"/>
  <c r="I2369" i="13"/>
  <c r="H2369" i="13"/>
  <c r="G2369" i="13"/>
  <c r="AD2368" i="13"/>
  <c r="AC2368" i="13"/>
  <c r="AB2368" i="13"/>
  <c r="AA2368" i="13"/>
  <c r="Z2368" i="13"/>
  <c r="Y2368" i="13"/>
  <c r="X2368" i="13"/>
  <c r="W2368" i="13"/>
  <c r="V2368" i="13"/>
  <c r="U2368" i="13"/>
  <c r="T2368" i="13"/>
  <c r="S2368" i="13"/>
  <c r="R2368" i="13"/>
  <c r="Q2368" i="13"/>
  <c r="P2368" i="13"/>
  <c r="O2368" i="13"/>
  <c r="N2368" i="13"/>
  <c r="M2368" i="13"/>
  <c r="L2368" i="13"/>
  <c r="K2368" i="13"/>
  <c r="J2368" i="13"/>
  <c r="I2368" i="13"/>
  <c r="H2368" i="13"/>
  <c r="G2368" i="13"/>
  <c r="AD2367" i="13"/>
  <c r="AC2367" i="13"/>
  <c r="AB2367" i="13"/>
  <c r="AA2367" i="13"/>
  <c r="Z2367" i="13"/>
  <c r="Y2367" i="13"/>
  <c r="X2367" i="13"/>
  <c r="W2367" i="13"/>
  <c r="V2367" i="13"/>
  <c r="U2367" i="13"/>
  <c r="T2367" i="13"/>
  <c r="S2367" i="13"/>
  <c r="R2367" i="13"/>
  <c r="Q2367" i="13"/>
  <c r="P2367" i="13"/>
  <c r="O2367" i="13"/>
  <c r="N2367" i="13"/>
  <c r="M2367" i="13"/>
  <c r="L2367" i="13"/>
  <c r="K2367" i="13"/>
  <c r="J2367" i="13"/>
  <c r="I2367" i="13"/>
  <c r="H2367" i="13"/>
  <c r="G2367" i="13"/>
  <c r="AD2366" i="13"/>
  <c r="AC2366" i="13"/>
  <c r="AB2366" i="13"/>
  <c r="AA2366" i="13"/>
  <c r="Z2366" i="13"/>
  <c r="Y2366" i="13"/>
  <c r="X2366" i="13"/>
  <c r="W2366" i="13"/>
  <c r="V2366" i="13"/>
  <c r="U2366" i="13"/>
  <c r="T2366" i="13"/>
  <c r="S2366" i="13"/>
  <c r="R2366" i="13"/>
  <c r="Q2366" i="13"/>
  <c r="P2366" i="13"/>
  <c r="O2366" i="13"/>
  <c r="N2366" i="13"/>
  <c r="M2366" i="13"/>
  <c r="L2366" i="13"/>
  <c r="K2366" i="13"/>
  <c r="J2366" i="13"/>
  <c r="I2366" i="13"/>
  <c r="H2366" i="13"/>
  <c r="G2366" i="13"/>
  <c r="AD2365" i="13"/>
  <c r="AC2365" i="13"/>
  <c r="AB2365" i="13"/>
  <c r="AA2365" i="13"/>
  <c r="Z2365" i="13"/>
  <c r="Y2365" i="13"/>
  <c r="X2365" i="13"/>
  <c r="W2365" i="13"/>
  <c r="V2365" i="13"/>
  <c r="U2365" i="13"/>
  <c r="T2365" i="13"/>
  <c r="S2365" i="13"/>
  <c r="R2365" i="13"/>
  <c r="Q2365" i="13"/>
  <c r="P2365" i="13"/>
  <c r="O2365" i="13"/>
  <c r="N2365" i="13"/>
  <c r="M2365" i="13"/>
  <c r="L2365" i="13"/>
  <c r="K2365" i="13"/>
  <c r="J2365" i="13"/>
  <c r="I2365" i="13"/>
  <c r="H2365" i="13"/>
  <c r="G2365" i="13"/>
  <c r="AD2364" i="13"/>
  <c r="AC2364" i="13"/>
  <c r="AB2364" i="13"/>
  <c r="AA2364" i="13"/>
  <c r="Z2364" i="13"/>
  <c r="Y2364" i="13"/>
  <c r="X2364" i="13"/>
  <c r="W2364" i="13"/>
  <c r="V2364" i="13"/>
  <c r="U2364" i="13"/>
  <c r="T2364" i="13"/>
  <c r="S2364" i="13"/>
  <c r="R2364" i="13"/>
  <c r="Q2364" i="13"/>
  <c r="P2364" i="13"/>
  <c r="O2364" i="13"/>
  <c r="N2364" i="13"/>
  <c r="M2364" i="13"/>
  <c r="L2364" i="13"/>
  <c r="K2364" i="13"/>
  <c r="J2364" i="13"/>
  <c r="I2364" i="13"/>
  <c r="H2364" i="13"/>
  <c r="G2364" i="13"/>
  <c r="AD2363" i="13"/>
  <c r="AC2363" i="13"/>
  <c r="AB2363" i="13"/>
  <c r="AA2363" i="13"/>
  <c r="Z2363" i="13"/>
  <c r="Y2363" i="13"/>
  <c r="X2363" i="13"/>
  <c r="W2363" i="13"/>
  <c r="V2363" i="13"/>
  <c r="U2363" i="13"/>
  <c r="T2363" i="13"/>
  <c r="S2363" i="13"/>
  <c r="R2363" i="13"/>
  <c r="Q2363" i="13"/>
  <c r="P2363" i="13"/>
  <c r="O2363" i="13"/>
  <c r="N2363" i="13"/>
  <c r="M2363" i="13"/>
  <c r="L2363" i="13"/>
  <c r="K2363" i="13"/>
  <c r="J2363" i="13"/>
  <c r="I2363" i="13"/>
  <c r="H2363" i="13"/>
  <c r="G2363" i="13"/>
  <c r="AD2362" i="13"/>
  <c r="AC2362" i="13"/>
  <c r="AB2362" i="13"/>
  <c r="AA2362" i="13"/>
  <c r="Z2362" i="13"/>
  <c r="Y2362" i="13"/>
  <c r="X2362" i="13"/>
  <c r="W2362" i="13"/>
  <c r="V2362" i="13"/>
  <c r="U2362" i="13"/>
  <c r="T2362" i="13"/>
  <c r="S2362" i="13"/>
  <c r="R2362" i="13"/>
  <c r="Q2362" i="13"/>
  <c r="P2362" i="13"/>
  <c r="O2362" i="13"/>
  <c r="N2362" i="13"/>
  <c r="M2362" i="13"/>
  <c r="L2362" i="13"/>
  <c r="K2362" i="13"/>
  <c r="J2362" i="13"/>
  <c r="I2362" i="13"/>
  <c r="H2362" i="13"/>
  <c r="G2362" i="13"/>
  <c r="AD2361" i="13"/>
  <c r="AC2361" i="13"/>
  <c r="AB2361" i="13"/>
  <c r="AA2361" i="13"/>
  <c r="Z2361" i="13"/>
  <c r="Y2361" i="13"/>
  <c r="X2361" i="13"/>
  <c r="W2361" i="13"/>
  <c r="V2361" i="13"/>
  <c r="U2361" i="13"/>
  <c r="T2361" i="13"/>
  <c r="S2361" i="13"/>
  <c r="R2361" i="13"/>
  <c r="Q2361" i="13"/>
  <c r="P2361" i="13"/>
  <c r="O2361" i="13"/>
  <c r="N2361" i="13"/>
  <c r="M2361" i="13"/>
  <c r="L2361" i="13"/>
  <c r="K2361" i="13"/>
  <c r="J2361" i="13"/>
  <c r="I2361" i="13"/>
  <c r="H2361" i="13"/>
  <c r="G2361" i="13"/>
  <c r="AD2360" i="13"/>
  <c r="AC2360" i="13"/>
  <c r="AB2360" i="13"/>
  <c r="AA2360" i="13"/>
  <c r="Z2360" i="13"/>
  <c r="Y2360" i="13"/>
  <c r="X2360" i="13"/>
  <c r="W2360" i="13"/>
  <c r="V2360" i="13"/>
  <c r="U2360" i="13"/>
  <c r="T2360" i="13"/>
  <c r="S2360" i="13"/>
  <c r="R2360" i="13"/>
  <c r="Q2360" i="13"/>
  <c r="P2360" i="13"/>
  <c r="O2360" i="13"/>
  <c r="N2360" i="13"/>
  <c r="M2360" i="13"/>
  <c r="L2360" i="13"/>
  <c r="K2360" i="13"/>
  <c r="J2360" i="13"/>
  <c r="I2360" i="13"/>
  <c r="H2360" i="13"/>
  <c r="G2360" i="13"/>
  <c r="AD2359" i="13"/>
  <c r="AC2359" i="13"/>
  <c r="AB2359" i="13"/>
  <c r="AA2359" i="13"/>
  <c r="Z2359" i="13"/>
  <c r="Y2359" i="13"/>
  <c r="X2359" i="13"/>
  <c r="W2359" i="13"/>
  <c r="V2359" i="13"/>
  <c r="U2359" i="13"/>
  <c r="T2359" i="13"/>
  <c r="S2359" i="13"/>
  <c r="R2359" i="13"/>
  <c r="Q2359" i="13"/>
  <c r="P2359" i="13"/>
  <c r="O2359" i="13"/>
  <c r="N2359" i="13"/>
  <c r="M2359" i="13"/>
  <c r="L2359" i="13"/>
  <c r="K2359" i="13"/>
  <c r="J2359" i="13"/>
  <c r="I2359" i="13"/>
  <c r="H2359" i="13"/>
  <c r="G2359" i="13"/>
  <c r="AD2358" i="13"/>
  <c r="AC2358" i="13"/>
  <c r="AB2358" i="13"/>
  <c r="AA2358" i="13"/>
  <c r="Z2358" i="13"/>
  <c r="Y2358" i="13"/>
  <c r="X2358" i="13"/>
  <c r="W2358" i="13"/>
  <c r="V2358" i="13"/>
  <c r="U2358" i="13"/>
  <c r="T2358" i="13"/>
  <c r="S2358" i="13"/>
  <c r="R2358" i="13"/>
  <c r="Q2358" i="13"/>
  <c r="P2358" i="13"/>
  <c r="O2358" i="13"/>
  <c r="N2358" i="13"/>
  <c r="M2358" i="13"/>
  <c r="L2358" i="13"/>
  <c r="K2358" i="13"/>
  <c r="J2358" i="13"/>
  <c r="I2358" i="13"/>
  <c r="H2358" i="13"/>
  <c r="G2358" i="13"/>
  <c r="AD2357" i="13"/>
  <c r="AC2357" i="13"/>
  <c r="AB2357" i="13"/>
  <c r="AA2357" i="13"/>
  <c r="Z2357" i="13"/>
  <c r="Y2357" i="13"/>
  <c r="X2357" i="13"/>
  <c r="W2357" i="13"/>
  <c r="V2357" i="13"/>
  <c r="U2357" i="13"/>
  <c r="T2357" i="13"/>
  <c r="S2357" i="13"/>
  <c r="R2357" i="13"/>
  <c r="Q2357" i="13"/>
  <c r="P2357" i="13"/>
  <c r="O2357" i="13"/>
  <c r="N2357" i="13"/>
  <c r="M2357" i="13"/>
  <c r="L2357" i="13"/>
  <c r="K2357" i="13"/>
  <c r="J2357" i="13"/>
  <c r="I2357" i="13"/>
  <c r="H2357" i="13"/>
  <c r="G2357" i="13"/>
  <c r="AD2356" i="13"/>
  <c r="AC2356" i="13"/>
  <c r="AB2356" i="13"/>
  <c r="AA2356" i="13"/>
  <c r="Z2356" i="13"/>
  <c r="Y2356" i="13"/>
  <c r="X2356" i="13"/>
  <c r="W2356" i="13"/>
  <c r="V2356" i="13"/>
  <c r="U2356" i="13"/>
  <c r="T2356" i="13"/>
  <c r="S2356" i="13"/>
  <c r="R2356" i="13"/>
  <c r="Q2356" i="13"/>
  <c r="P2356" i="13"/>
  <c r="O2356" i="13"/>
  <c r="N2356" i="13"/>
  <c r="M2356" i="13"/>
  <c r="L2356" i="13"/>
  <c r="K2356" i="13"/>
  <c r="J2356" i="13"/>
  <c r="I2356" i="13"/>
  <c r="H2356" i="13"/>
  <c r="G2356" i="13"/>
  <c r="AD2355" i="13"/>
  <c r="AC2355" i="13"/>
  <c r="AB2355" i="13"/>
  <c r="AA2355" i="13"/>
  <c r="Z2355" i="13"/>
  <c r="Y2355" i="13"/>
  <c r="X2355" i="13"/>
  <c r="W2355" i="13"/>
  <c r="V2355" i="13"/>
  <c r="U2355" i="13"/>
  <c r="T2355" i="13"/>
  <c r="S2355" i="13"/>
  <c r="R2355" i="13"/>
  <c r="Q2355" i="13"/>
  <c r="P2355" i="13"/>
  <c r="O2355" i="13"/>
  <c r="N2355" i="13"/>
  <c r="M2355" i="13"/>
  <c r="L2355" i="13"/>
  <c r="K2355" i="13"/>
  <c r="J2355" i="13"/>
  <c r="I2355" i="13"/>
  <c r="H2355" i="13"/>
  <c r="G2355" i="13"/>
  <c r="AD2354" i="13"/>
  <c r="AC2354" i="13"/>
  <c r="AB2354" i="13"/>
  <c r="AA2354" i="13"/>
  <c r="Z2354" i="13"/>
  <c r="Y2354" i="13"/>
  <c r="X2354" i="13"/>
  <c r="W2354" i="13"/>
  <c r="V2354" i="13"/>
  <c r="U2354" i="13"/>
  <c r="T2354" i="13"/>
  <c r="S2354" i="13"/>
  <c r="R2354" i="13"/>
  <c r="Q2354" i="13"/>
  <c r="P2354" i="13"/>
  <c r="O2354" i="13"/>
  <c r="N2354" i="13"/>
  <c r="M2354" i="13"/>
  <c r="L2354" i="13"/>
  <c r="K2354" i="13"/>
  <c r="J2354" i="13"/>
  <c r="I2354" i="13"/>
  <c r="H2354" i="13"/>
  <c r="G2354" i="13"/>
  <c r="AD2353" i="13"/>
  <c r="AC2353" i="13"/>
  <c r="AB2353" i="13"/>
  <c r="AA2353" i="13"/>
  <c r="Z2353" i="13"/>
  <c r="Y2353" i="13"/>
  <c r="X2353" i="13"/>
  <c r="W2353" i="13"/>
  <c r="V2353" i="13"/>
  <c r="U2353" i="13"/>
  <c r="T2353" i="13"/>
  <c r="S2353" i="13"/>
  <c r="R2353" i="13"/>
  <c r="Q2353" i="13"/>
  <c r="P2353" i="13"/>
  <c r="O2353" i="13"/>
  <c r="N2353" i="13"/>
  <c r="M2353" i="13"/>
  <c r="L2353" i="13"/>
  <c r="K2353" i="13"/>
  <c r="J2353" i="13"/>
  <c r="I2353" i="13"/>
  <c r="H2353" i="13"/>
  <c r="G2353" i="13"/>
  <c r="AD2352" i="13"/>
  <c r="AC2352" i="13"/>
  <c r="AB2352" i="13"/>
  <c r="AA2352" i="13"/>
  <c r="Z2352" i="13"/>
  <c r="Y2352" i="13"/>
  <c r="X2352" i="13"/>
  <c r="W2352" i="13"/>
  <c r="V2352" i="13"/>
  <c r="U2352" i="13"/>
  <c r="T2352" i="13"/>
  <c r="S2352" i="13"/>
  <c r="R2352" i="13"/>
  <c r="Q2352" i="13"/>
  <c r="P2352" i="13"/>
  <c r="O2352" i="13"/>
  <c r="N2352" i="13"/>
  <c r="M2352" i="13"/>
  <c r="L2352" i="13"/>
  <c r="K2352" i="13"/>
  <c r="J2352" i="13"/>
  <c r="I2352" i="13"/>
  <c r="H2352" i="13"/>
  <c r="G2352" i="13"/>
  <c r="AD2351" i="13"/>
  <c r="AC2351" i="13"/>
  <c r="AB2351" i="13"/>
  <c r="AA2351" i="13"/>
  <c r="Z2351" i="13"/>
  <c r="Y2351" i="13"/>
  <c r="X2351" i="13"/>
  <c r="W2351" i="13"/>
  <c r="V2351" i="13"/>
  <c r="U2351" i="13"/>
  <c r="T2351" i="13"/>
  <c r="S2351" i="13"/>
  <c r="R2351" i="13"/>
  <c r="Q2351" i="13"/>
  <c r="P2351" i="13"/>
  <c r="O2351" i="13"/>
  <c r="N2351" i="13"/>
  <c r="M2351" i="13"/>
  <c r="L2351" i="13"/>
  <c r="K2351" i="13"/>
  <c r="J2351" i="13"/>
  <c r="I2351" i="13"/>
  <c r="H2351" i="13"/>
  <c r="G2351" i="13"/>
  <c r="AD2350" i="13"/>
  <c r="AC2350" i="13"/>
  <c r="AB2350" i="13"/>
  <c r="AA2350" i="13"/>
  <c r="Z2350" i="13"/>
  <c r="Y2350" i="13"/>
  <c r="X2350" i="13"/>
  <c r="W2350" i="13"/>
  <c r="V2350" i="13"/>
  <c r="U2350" i="13"/>
  <c r="T2350" i="13"/>
  <c r="S2350" i="13"/>
  <c r="R2350" i="13"/>
  <c r="Q2350" i="13"/>
  <c r="P2350" i="13"/>
  <c r="O2350" i="13"/>
  <c r="N2350" i="13"/>
  <c r="M2350" i="13"/>
  <c r="L2350" i="13"/>
  <c r="K2350" i="13"/>
  <c r="J2350" i="13"/>
  <c r="I2350" i="13"/>
  <c r="H2350" i="13"/>
  <c r="G2350" i="13"/>
  <c r="AD2349" i="13"/>
  <c r="AC2349" i="13"/>
  <c r="AB2349" i="13"/>
  <c r="AA2349" i="13"/>
  <c r="Z2349" i="13"/>
  <c r="Y2349" i="13"/>
  <c r="X2349" i="13"/>
  <c r="W2349" i="13"/>
  <c r="V2349" i="13"/>
  <c r="U2349" i="13"/>
  <c r="T2349" i="13"/>
  <c r="S2349" i="13"/>
  <c r="R2349" i="13"/>
  <c r="Q2349" i="13"/>
  <c r="P2349" i="13"/>
  <c r="O2349" i="13"/>
  <c r="N2349" i="13"/>
  <c r="M2349" i="13"/>
  <c r="L2349" i="13"/>
  <c r="K2349" i="13"/>
  <c r="J2349" i="13"/>
  <c r="I2349" i="13"/>
  <c r="H2349" i="13"/>
  <c r="G2349" i="13"/>
  <c r="AD2348" i="13"/>
  <c r="AC2348" i="13"/>
  <c r="AB2348" i="13"/>
  <c r="AA2348" i="13"/>
  <c r="Z2348" i="13"/>
  <c r="Y2348" i="13"/>
  <c r="X2348" i="13"/>
  <c r="W2348" i="13"/>
  <c r="V2348" i="13"/>
  <c r="U2348" i="13"/>
  <c r="T2348" i="13"/>
  <c r="S2348" i="13"/>
  <c r="R2348" i="13"/>
  <c r="Q2348" i="13"/>
  <c r="P2348" i="13"/>
  <c r="O2348" i="13"/>
  <c r="N2348" i="13"/>
  <c r="M2348" i="13"/>
  <c r="L2348" i="13"/>
  <c r="K2348" i="13"/>
  <c r="J2348" i="13"/>
  <c r="I2348" i="13"/>
  <c r="H2348" i="13"/>
  <c r="G2348" i="13"/>
  <c r="AD2347" i="13"/>
  <c r="AC2347" i="13"/>
  <c r="AB2347" i="13"/>
  <c r="AA2347" i="13"/>
  <c r="Z2347" i="13"/>
  <c r="Y2347" i="13"/>
  <c r="X2347" i="13"/>
  <c r="W2347" i="13"/>
  <c r="V2347" i="13"/>
  <c r="U2347" i="13"/>
  <c r="T2347" i="13"/>
  <c r="S2347" i="13"/>
  <c r="R2347" i="13"/>
  <c r="Q2347" i="13"/>
  <c r="P2347" i="13"/>
  <c r="O2347" i="13"/>
  <c r="N2347" i="13"/>
  <c r="M2347" i="13"/>
  <c r="L2347" i="13"/>
  <c r="K2347" i="13"/>
  <c r="J2347" i="13"/>
  <c r="I2347" i="13"/>
  <c r="H2347" i="13"/>
  <c r="G2347" i="13"/>
  <c r="AD2346" i="13"/>
  <c r="AC2346" i="13"/>
  <c r="AB2346" i="13"/>
  <c r="AA2346" i="13"/>
  <c r="Z2346" i="13"/>
  <c r="Y2346" i="13"/>
  <c r="X2346" i="13"/>
  <c r="W2346" i="13"/>
  <c r="V2346" i="13"/>
  <c r="U2346" i="13"/>
  <c r="T2346" i="13"/>
  <c r="S2346" i="13"/>
  <c r="R2346" i="13"/>
  <c r="Q2346" i="13"/>
  <c r="P2346" i="13"/>
  <c r="O2346" i="13"/>
  <c r="N2346" i="13"/>
  <c r="M2346" i="13"/>
  <c r="L2346" i="13"/>
  <c r="K2346" i="13"/>
  <c r="J2346" i="13"/>
  <c r="I2346" i="13"/>
  <c r="H2346" i="13"/>
  <c r="G2346" i="13"/>
  <c r="AD2345" i="13"/>
  <c r="AC2345" i="13"/>
  <c r="AB2345" i="13"/>
  <c r="AA2345" i="13"/>
  <c r="Z2345" i="13"/>
  <c r="Y2345" i="13"/>
  <c r="X2345" i="13"/>
  <c r="W2345" i="13"/>
  <c r="V2345" i="13"/>
  <c r="U2345" i="13"/>
  <c r="T2345" i="13"/>
  <c r="S2345" i="13"/>
  <c r="R2345" i="13"/>
  <c r="Q2345" i="13"/>
  <c r="P2345" i="13"/>
  <c r="O2345" i="13"/>
  <c r="N2345" i="13"/>
  <c r="M2345" i="13"/>
  <c r="L2345" i="13"/>
  <c r="K2345" i="13"/>
  <c r="J2345" i="13"/>
  <c r="I2345" i="13"/>
  <c r="H2345" i="13"/>
  <c r="G2345" i="13"/>
  <c r="AD2344" i="13"/>
  <c r="AC2344" i="13"/>
  <c r="AB2344" i="13"/>
  <c r="AA2344" i="13"/>
  <c r="Z2344" i="13"/>
  <c r="Y2344" i="13"/>
  <c r="X2344" i="13"/>
  <c r="W2344" i="13"/>
  <c r="V2344" i="13"/>
  <c r="U2344" i="13"/>
  <c r="T2344" i="13"/>
  <c r="S2344" i="13"/>
  <c r="R2344" i="13"/>
  <c r="Q2344" i="13"/>
  <c r="P2344" i="13"/>
  <c r="O2344" i="13"/>
  <c r="N2344" i="13"/>
  <c r="M2344" i="13"/>
  <c r="L2344" i="13"/>
  <c r="K2344" i="13"/>
  <c r="J2344" i="13"/>
  <c r="I2344" i="13"/>
  <c r="H2344" i="13"/>
  <c r="G2344" i="13"/>
  <c r="AD2343" i="13"/>
  <c r="AC2343" i="13"/>
  <c r="AB2343" i="13"/>
  <c r="AA2343" i="13"/>
  <c r="Z2343" i="13"/>
  <c r="Y2343" i="13"/>
  <c r="X2343" i="13"/>
  <c r="W2343" i="13"/>
  <c r="V2343" i="13"/>
  <c r="U2343" i="13"/>
  <c r="T2343" i="13"/>
  <c r="S2343" i="13"/>
  <c r="R2343" i="13"/>
  <c r="Q2343" i="13"/>
  <c r="P2343" i="13"/>
  <c r="O2343" i="13"/>
  <c r="N2343" i="13"/>
  <c r="M2343" i="13"/>
  <c r="L2343" i="13"/>
  <c r="K2343" i="13"/>
  <c r="J2343" i="13"/>
  <c r="I2343" i="13"/>
  <c r="H2343" i="13"/>
  <c r="G2343" i="13"/>
  <c r="AD2342" i="13"/>
  <c r="AC2342" i="13"/>
  <c r="AB2342" i="13"/>
  <c r="AA2342" i="13"/>
  <c r="Z2342" i="13"/>
  <c r="Y2342" i="13"/>
  <c r="X2342" i="13"/>
  <c r="W2342" i="13"/>
  <c r="V2342" i="13"/>
  <c r="U2342" i="13"/>
  <c r="T2342" i="13"/>
  <c r="S2342" i="13"/>
  <c r="R2342" i="13"/>
  <c r="Q2342" i="13"/>
  <c r="P2342" i="13"/>
  <c r="O2342" i="13"/>
  <c r="N2342" i="13"/>
  <c r="M2342" i="13"/>
  <c r="L2342" i="13"/>
  <c r="K2342" i="13"/>
  <c r="J2342" i="13"/>
  <c r="I2342" i="13"/>
  <c r="H2342" i="13"/>
  <c r="G2342" i="13"/>
  <c r="AD2341" i="13"/>
  <c r="AC2341" i="13"/>
  <c r="AB2341" i="13"/>
  <c r="AA2341" i="13"/>
  <c r="Z2341" i="13"/>
  <c r="Y2341" i="13"/>
  <c r="X2341" i="13"/>
  <c r="W2341" i="13"/>
  <c r="V2341" i="13"/>
  <c r="U2341" i="13"/>
  <c r="T2341" i="13"/>
  <c r="S2341" i="13"/>
  <c r="R2341" i="13"/>
  <c r="Q2341" i="13"/>
  <c r="P2341" i="13"/>
  <c r="O2341" i="13"/>
  <c r="N2341" i="13"/>
  <c r="M2341" i="13"/>
  <c r="L2341" i="13"/>
  <c r="K2341" i="13"/>
  <c r="J2341" i="13"/>
  <c r="I2341" i="13"/>
  <c r="H2341" i="13"/>
  <c r="G2341" i="13"/>
  <c r="AD2340" i="13"/>
  <c r="AC2340" i="13"/>
  <c r="AB2340" i="13"/>
  <c r="AA2340" i="13"/>
  <c r="Z2340" i="13"/>
  <c r="Y2340" i="13"/>
  <c r="X2340" i="13"/>
  <c r="W2340" i="13"/>
  <c r="V2340" i="13"/>
  <c r="U2340" i="13"/>
  <c r="T2340" i="13"/>
  <c r="S2340" i="13"/>
  <c r="R2340" i="13"/>
  <c r="Q2340" i="13"/>
  <c r="P2340" i="13"/>
  <c r="O2340" i="13"/>
  <c r="N2340" i="13"/>
  <c r="M2340" i="13"/>
  <c r="L2340" i="13"/>
  <c r="K2340" i="13"/>
  <c r="J2340" i="13"/>
  <c r="I2340" i="13"/>
  <c r="H2340" i="13"/>
  <c r="G2340" i="13"/>
  <c r="AD2339" i="13"/>
  <c r="AC2339" i="13"/>
  <c r="AB2339" i="13"/>
  <c r="AA2339" i="13"/>
  <c r="Z2339" i="13"/>
  <c r="Y2339" i="13"/>
  <c r="X2339" i="13"/>
  <c r="W2339" i="13"/>
  <c r="V2339" i="13"/>
  <c r="U2339" i="13"/>
  <c r="T2339" i="13"/>
  <c r="S2339" i="13"/>
  <c r="R2339" i="13"/>
  <c r="Q2339" i="13"/>
  <c r="P2339" i="13"/>
  <c r="O2339" i="13"/>
  <c r="N2339" i="13"/>
  <c r="M2339" i="13"/>
  <c r="L2339" i="13"/>
  <c r="K2339" i="13"/>
  <c r="J2339" i="13"/>
  <c r="I2339" i="13"/>
  <c r="H2339" i="13"/>
  <c r="G2339" i="13"/>
  <c r="AD2338" i="13"/>
  <c r="AC2338" i="13"/>
  <c r="AB2338" i="13"/>
  <c r="AA2338" i="13"/>
  <c r="Z2338" i="13"/>
  <c r="Y2338" i="13"/>
  <c r="X2338" i="13"/>
  <c r="W2338" i="13"/>
  <c r="V2338" i="13"/>
  <c r="U2338" i="13"/>
  <c r="T2338" i="13"/>
  <c r="S2338" i="13"/>
  <c r="R2338" i="13"/>
  <c r="Q2338" i="13"/>
  <c r="P2338" i="13"/>
  <c r="O2338" i="13"/>
  <c r="N2338" i="13"/>
  <c r="M2338" i="13"/>
  <c r="L2338" i="13"/>
  <c r="K2338" i="13"/>
  <c r="J2338" i="13"/>
  <c r="I2338" i="13"/>
  <c r="H2338" i="13"/>
  <c r="G2338" i="13"/>
  <c r="AD2337" i="13"/>
  <c r="AC2337" i="13"/>
  <c r="AB2337" i="13"/>
  <c r="AA2337" i="13"/>
  <c r="Z2337" i="13"/>
  <c r="Y2337" i="13"/>
  <c r="X2337" i="13"/>
  <c r="W2337" i="13"/>
  <c r="V2337" i="13"/>
  <c r="U2337" i="13"/>
  <c r="T2337" i="13"/>
  <c r="S2337" i="13"/>
  <c r="R2337" i="13"/>
  <c r="Q2337" i="13"/>
  <c r="P2337" i="13"/>
  <c r="O2337" i="13"/>
  <c r="N2337" i="13"/>
  <c r="M2337" i="13"/>
  <c r="L2337" i="13"/>
  <c r="K2337" i="13"/>
  <c r="J2337" i="13"/>
  <c r="I2337" i="13"/>
  <c r="H2337" i="13"/>
  <c r="G2337" i="13"/>
  <c r="AD2336" i="13"/>
  <c r="AC2336" i="13"/>
  <c r="AB2336" i="13"/>
  <c r="AA2336" i="13"/>
  <c r="Z2336" i="13"/>
  <c r="Y2336" i="13"/>
  <c r="X2336" i="13"/>
  <c r="W2336" i="13"/>
  <c r="V2336" i="13"/>
  <c r="U2336" i="13"/>
  <c r="T2336" i="13"/>
  <c r="S2336" i="13"/>
  <c r="R2336" i="13"/>
  <c r="Q2336" i="13"/>
  <c r="P2336" i="13"/>
  <c r="O2336" i="13"/>
  <c r="N2336" i="13"/>
  <c r="M2336" i="13"/>
  <c r="L2336" i="13"/>
  <c r="K2336" i="13"/>
  <c r="J2336" i="13"/>
  <c r="I2336" i="13"/>
  <c r="H2336" i="13"/>
  <c r="G2336" i="13"/>
  <c r="AD2335" i="13"/>
  <c r="AC2335" i="13"/>
  <c r="AB2335" i="13"/>
  <c r="AA2335" i="13"/>
  <c r="Z2335" i="13"/>
  <c r="Y2335" i="13"/>
  <c r="X2335" i="13"/>
  <c r="W2335" i="13"/>
  <c r="V2335" i="13"/>
  <c r="U2335" i="13"/>
  <c r="T2335" i="13"/>
  <c r="S2335" i="13"/>
  <c r="R2335" i="13"/>
  <c r="Q2335" i="13"/>
  <c r="P2335" i="13"/>
  <c r="O2335" i="13"/>
  <c r="N2335" i="13"/>
  <c r="M2335" i="13"/>
  <c r="L2335" i="13"/>
  <c r="K2335" i="13"/>
  <c r="J2335" i="13"/>
  <c r="I2335" i="13"/>
  <c r="H2335" i="13"/>
  <c r="G2335" i="13"/>
  <c r="AD2334" i="13"/>
  <c r="AC2334" i="13"/>
  <c r="AB2334" i="13"/>
  <c r="AA2334" i="13"/>
  <c r="Z2334" i="13"/>
  <c r="Y2334" i="13"/>
  <c r="X2334" i="13"/>
  <c r="W2334" i="13"/>
  <c r="V2334" i="13"/>
  <c r="U2334" i="13"/>
  <c r="T2334" i="13"/>
  <c r="S2334" i="13"/>
  <c r="R2334" i="13"/>
  <c r="Q2334" i="13"/>
  <c r="P2334" i="13"/>
  <c r="O2334" i="13"/>
  <c r="N2334" i="13"/>
  <c r="M2334" i="13"/>
  <c r="L2334" i="13"/>
  <c r="K2334" i="13"/>
  <c r="J2334" i="13"/>
  <c r="I2334" i="13"/>
  <c r="H2334" i="13"/>
  <c r="G2334" i="13"/>
  <c r="AD2333" i="13"/>
  <c r="AC2333" i="13"/>
  <c r="AB2333" i="13"/>
  <c r="AA2333" i="13"/>
  <c r="Z2333" i="13"/>
  <c r="Y2333" i="13"/>
  <c r="X2333" i="13"/>
  <c r="W2333" i="13"/>
  <c r="V2333" i="13"/>
  <c r="U2333" i="13"/>
  <c r="T2333" i="13"/>
  <c r="S2333" i="13"/>
  <c r="R2333" i="13"/>
  <c r="Q2333" i="13"/>
  <c r="P2333" i="13"/>
  <c r="O2333" i="13"/>
  <c r="N2333" i="13"/>
  <c r="M2333" i="13"/>
  <c r="L2333" i="13"/>
  <c r="K2333" i="13"/>
  <c r="J2333" i="13"/>
  <c r="I2333" i="13"/>
  <c r="H2333" i="13"/>
  <c r="G2333" i="13"/>
  <c r="AD2332" i="13"/>
  <c r="AC2332" i="13"/>
  <c r="AB2332" i="13"/>
  <c r="AA2332" i="13"/>
  <c r="Z2332" i="13"/>
  <c r="Y2332" i="13"/>
  <c r="X2332" i="13"/>
  <c r="W2332" i="13"/>
  <c r="V2332" i="13"/>
  <c r="U2332" i="13"/>
  <c r="T2332" i="13"/>
  <c r="S2332" i="13"/>
  <c r="R2332" i="13"/>
  <c r="Q2332" i="13"/>
  <c r="P2332" i="13"/>
  <c r="O2332" i="13"/>
  <c r="N2332" i="13"/>
  <c r="M2332" i="13"/>
  <c r="L2332" i="13"/>
  <c r="K2332" i="13"/>
  <c r="J2332" i="13"/>
  <c r="I2332" i="13"/>
  <c r="H2332" i="13"/>
  <c r="G2332" i="13"/>
  <c r="AD2331" i="13"/>
  <c r="AC2331" i="13"/>
  <c r="AB2331" i="13"/>
  <c r="AA2331" i="13"/>
  <c r="Z2331" i="13"/>
  <c r="Y2331" i="13"/>
  <c r="X2331" i="13"/>
  <c r="W2331" i="13"/>
  <c r="V2331" i="13"/>
  <c r="U2331" i="13"/>
  <c r="T2331" i="13"/>
  <c r="S2331" i="13"/>
  <c r="R2331" i="13"/>
  <c r="Q2331" i="13"/>
  <c r="P2331" i="13"/>
  <c r="O2331" i="13"/>
  <c r="N2331" i="13"/>
  <c r="M2331" i="13"/>
  <c r="L2331" i="13"/>
  <c r="K2331" i="13"/>
  <c r="J2331" i="13"/>
  <c r="I2331" i="13"/>
  <c r="H2331" i="13"/>
  <c r="G2331" i="13"/>
  <c r="AD2330" i="13"/>
  <c r="AC2330" i="13"/>
  <c r="AB2330" i="13"/>
  <c r="AA2330" i="13"/>
  <c r="Z2330" i="13"/>
  <c r="Y2330" i="13"/>
  <c r="X2330" i="13"/>
  <c r="W2330" i="13"/>
  <c r="V2330" i="13"/>
  <c r="U2330" i="13"/>
  <c r="T2330" i="13"/>
  <c r="S2330" i="13"/>
  <c r="R2330" i="13"/>
  <c r="Q2330" i="13"/>
  <c r="P2330" i="13"/>
  <c r="O2330" i="13"/>
  <c r="N2330" i="13"/>
  <c r="M2330" i="13"/>
  <c r="L2330" i="13"/>
  <c r="K2330" i="13"/>
  <c r="J2330" i="13"/>
  <c r="I2330" i="13"/>
  <c r="H2330" i="13"/>
  <c r="G2330" i="13"/>
  <c r="AD2329" i="13"/>
  <c r="AC2329" i="13"/>
  <c r="AB2329" i="13"/>
  <c r="AA2329" i="13"/>
  <c r="Z2329" i="13"/>
  <c r="Y2329" i="13"/>
  <c r="X2329" i="13"/>
  <c r="W2329" i="13"/>
  <c r="V2329" i="13"/>
  <c r="U2329" i="13"/>
  <c r="T2329" i="13"/>
  <c r="S2329" i="13"/>
  <c r="R2329" i="13"/>
  <c r="Q2329" i="13"/>
  <c r="P2329" i="13"/>
  <c r="O2329" i="13"/>
  <c r="N2329" i="13"/>
  <c r="M2329" i="13"/>
  <c r="L2329" i="13"/>
  <c r="K2329" i="13"/>
  <c r="J2329" i="13"/>
  <c r="I2329" i="13"/>
  <c r="H2329" i="13"/>
  <c r="G2329" i="13"/>
  <c r="AD2328" i="13"/>
  <c r="AC2328" i="13"/>
  <c r="AB2328" i="13"/>
  <c r="AA2328" i="13"/>
  <c r="Z2328" i="13"/>
  <c r="Y2328" i="13"/>
  <c r="X2328" i="13"/>
  <c r="W2328" i="13"/>
  <c r="V2328" i="13"/>
  <c r="U2328" i="13"/>
  <c r="T2328" i="13"/>
  <c r="S2328" i="13"/>
  <c r="R2328" i="13"/>
  <c r="Q2328" i="13"/>
  <c r="P2328" i="13"/>
  <c r="O2328" i="13"/>
  <c r="N2328" i="13"/>
  <c r="M2328" i="13"/>
  <c r="L2328" i="13"/>
  <c r="K2328" i="13"/>
  <c r="J2328" i="13"/>
  <c r="I2328" i="13"/>
  <c r="H2328" i="13"/>
  <c r="G2328" i="13"/>
  <c r="AD2327" i="13"/>
  <c r="AC2327" i="13"/>
  <c r="AB2327" i="13"/>
  <c r="AA2327" i="13"/>
  <c r="Z2327" i="13"/>
  <c r="Y2327" i="13"/>
  <c r="X2327" i="13"/>
  <c r="W2327" i="13"/>
  <c r="V2327" i="13"/>
  <c r="U2327" i="13"/>
  <c r="T2327" i="13"/>
  <c r="S2327" i="13"/>
  <c r="R2327" i="13"/>
  <c r="Q2327" i="13"/>
  <c r="P2327" i="13"/>
  <c r="O2327" i="13"/>
  <c r="N2327" i="13"/>
  <c r="M2327" i="13"/>
  <c r="L2327" i="13"/>
  <c r="K2327" i="13"/>
  <c r="J2327" i="13"/>
  <c r="I2327" i="13"/>
  <c r="H2327" i="13"/>
  <c r="G2327" i="13"/>
  <c r="AD2326" i="13"/>
  <c r="AC2326" i="13"/>
  <c r="AB2326" i="13"/>
  <c r="AA2326" i="13"/>
  <c r="Z2326" i="13"/>
  <c r="Y2326" i="13"/>
  <c r="X2326" i="13"/>
  <c r="W2326" i="13"/>
  <c r="V2326" i="13"/>
  <c r="U2326" i="13"/>
  <c r="T2326" i="13"/>
  <c r="S2326" i="13"/>
  <c r="R2326" i="13"/>
  <c r="Q2326" i="13"/>
  <c r="P2326" i="13"/>
  <c r="O2326" i="13"/>
  <c r="N2326" i="13"/>
  <c r="M2326" i="13"/>
  <c r="L2326" i="13"/>
  <c r="K2326" i="13"/>
  <c r="J2326" i="13"/>
  <c r="I2326" i="13"/>
  <c r="H2326" i="13"/>
  <c r="G2326" i="13"/>
  <c r="AD2325" i="13"/>
  <c r="AC2325" i="13"/>
  <c r="AB2325" i="13"/>
  <c r="AA2325" i="13"/>
  <c r="Z2325" i="13"/>
  <c r="Y2325" i="13"/>
  <c r="X2325" i="13"/>
  <c r="W2325" i="13"/>
  <c r="V2325" i="13"/>
  <c r="U2325" i="13"/>
  <c r="T2325" i="13"/>
  <c r="S2325" i="13"/>
  <c r="R2325" i="13"/>
  <c r="Q2325" i="13"/>
  <c r="P2325" i="13"/>
  <c r="O2325" i="13"/>
  <c r="N2325" i="13"/>
  <c r="M2325" i="13"/>
  <c r="L2325" i="13"/>
  <c r="K2325" i="13"/>
  <c r="J2325" i="13"/>
  <c r="I2325" i="13"/>
  <c r="H2325" i="13"/>
  <c r="G2325" i="13"/>
  <c r="AD2324" i="13"/>
  <c r="AC2324" i="13"/>
  <c r="AB2324" i="13"/>
  <c r="AA2324" i="13"/>
  <c r="Z2324" i="13"/>
  <c r="Y2324" i="13"/>
  <c r="X2324" i="13"/>
  <c r="W2324" i="13"/>
  <c r="V2324" i="13"/>
  <c r="U2324" i="13"/>
  <c r="T2324" i="13"/>
  <c r="S2324" i="13"/>
  <c r="R2324" i="13"/>
  <c r="Q2324" i="13"/>
  <c r="P2324" i="13"/>
  <c r="O2324" i="13"/>
  <c r="N2324" i="13"/>
  <c r="M2324" i="13"/>
  <c r="L2324" i="13"/>
  <c r="K2324" i="13"/>
  <c r="J2324" i="13"/>
  <c r="I2324" i="13"/>
  <c r="H2324" i="13"/>
  <c r="G2324" i="13"/>
  <c r="AD2323" i="13"/>
  <c r="AC2323" i="13"/>
  <c r="AB2323" i="13"/>
  <c r="AA2323" i="13"/>
  <c r="Z2323" i="13"/>
  <c r="Y2323" i="13"/>
  <c r="X2323" i="13"/>
  <c r="W2323" i="13"/>
  <c r="V2323" i="13"/>
  <c r="U2323" i="13"/>
  <c r="T2323" i="13"/>
  <c r="S2323" i="13"/>
  <c r="R2323" i="13"/>
  <c r="Q2323" i="13"/>
  <c r="P2323" i="13"/>
  <c r="O2323" i="13"/>
  <c r="N2323" i="13"/>
  <c r="M2323" i="13"/>
  <c r="L2323" i="13"/>
  <c r="K2323" i="13"/>
  <c r="J2323" i="13"/>
  <c r="I2323" i="13"/>
  <c r="H2323" i="13"/>
  <c r="G2323" i="13"/>
  <c r="AD2322" i="13"/>
  <c r="AC2322" i="13"/>
  <c r="AB2322" i="13"/>
  <c r="AA2322" i="13"/>
  <c r="Z2322" i="13"/>
  <c r="Y2322" i="13"/>
  <c r="X2322" i="13"/>
  <c r="W2322" i="13"/>
  <c r="V2322" i="13"/>
  <c r="U2322" i="13"/>
  <c r="T2322" i="13"/>
  <c r="S2322" i="13"/>
  <c r="R2322" i="13"/>
  <c r="Q2322" i="13"/>
  <c r="P2322" i="13"/>
  <c r="O2322" i="13"/>
  <c r="N2322" i="13"/>
  <c r="M2322" i="13"/>
  <c r="L2322" i="13"/>
  <c r="K2322" i="13"/>
  <c r="J2322" i="13"/>
  <c r="I2322" i="13"/>
  <c r="H2322" i="13"/>
  <c r="G2322" i="13"/>
  <c r="AD2321" i="13"/>
  <c r="AC2321" i="13"/>
  <c r="AB2321" i="13"/>
  <c r="AA2321" i="13"/>
  <c r="Z2321" i="13"/>
  <c r="Y2321" i="13"/>
  <c r="X2321" i="13"/>
  <c r="W2321" i="13"/>
  <c r="V2321" i="13"/>
  <c r="U2321" i="13"/>
  <c r="T2321" i="13"/>
  <c r="S2321" i="13"/>
  <c r="R2321" i="13"/>
  <c r="Q2321" i="13"/>
  <c r="P2321" i="13"/>
  <c r="O2321" i="13"/>
  <c r="N2321" i="13"/>
  <c r="M2321" i="13"/>
  <c r="L2321" i="13"/>
  <c r="K2321" i="13"/>
  <c r="J2321" i="13"/>
  <c r="I2321" i="13"/>
  <c r="H2321" i="13"/>
  <c r="G2321" i="13"/>
  <c r="AD2320" i="13"/>
  <c r="AC2320" i="13"/>
  <c r="AB2320" i="13"/>
  <c r="AA2320" i="13"/>
  <c r="Z2320" i="13"/>
  <c r="Y2320" i="13"/>
  <c r="X2320" i="13"/>
  <c r="W2320" i="13"/>
  <c r="V2320" i="13"/>
  <c r="U2320" i="13"/>
  <c r="T2320" i="13"/>
  <c r="S2320" i="13"/>
  <c r="R2320" i="13"/>
  <c r="Q2320" i="13"/>
  <c r="P2320" i="13"/>
  <c r="O2320" i="13"/>
  <c r="N2320" i="13"/>
  <c r="M2320" i="13"/>
  <c r="L2320" i="13"/>
  <c r="K2320" i="13"/>
  <c r="J2320" i="13"/>
  <c r="I2320" i="13"/>
  <c r="H2320" i="13"/>
  <c r="G2320" i="13"/>
  <c r="AD2319" i="13"/>
  <c r="AC2319" i="13"/>
  <c r="AB2319" i="13"/>
  <c r="AA2319" i="13"/>
  <c r="Z2319" i="13"/>
  <c r="Y2319" i="13"/>
  <c r="X2319" i="13"/>
  <c r="W2319" i="13"/>
  <c r="V2319" i="13"/>
  <c r="U2319" i="13"/>
  <c r="T2319" i="13"/>
  <c r="S2319" i="13"/>
  <c r="R2319" i="13"/>
  <c r="Q2319" i="13"/>
  <c r="P2319" i="13"/>
  <c r="O2319" i="13"/>
  <c r="N2319" i="13"/>
  <c r="M2319" i="13"/>
  <c r="L2319" i="13"/>
  <c r="K2319" i="13"/>
  <c r="J2319" i="13"/>
  <c r="I2319" i="13"/>
  <c r="H2319" i="13"/>
  <c r="G2319" i="13"/>
  <c r="AD2318" i="13"/>
  <c r="AC2318" i="13"/>
  <c r="AB2318" i="13"/>
  <c r="AA2318" i="13"/>
  <c r="Z2318" i="13"/>
  <c r="Y2318" i="13"/>
  <c r="X2318" i="13"/>
  <c r="W2318" i="13"/>
  <c r="V2318" i="13"/>
  <c r="U2318" i="13"/>
  <c r="T2318" i="13"/>
  <c r="S2318" i="13"/>
  <c r="R2318" i="13"/>
  <c r="Q2318" i="13"/>
  <c r="P2318" i="13"/>
  <c r="O2318" i="13"/>
  <c r="N2318" i="13"/>
  <c r="M2318" i="13"/>
  <c r="L2318" i="13"/>
  <c r="K2318" i="13"/>
  <c r="J2318" i="13"/>
  <c r="I2318" i="13"/>
  <c r="H2318" i="13"/>
  <c r="G2318" i="13"/>
  <c r="AD2317" i="13"/>
  <c r="AC2317" i="13"/>
  <c r="AB2317" i="13"/>
  <c r="AA2317" i="13"/>
  <c r="Z2317" i="13"/>
  <c r="Y2317" i="13"/>
  <c r="X2317" i="13"/>
  <c r="W2317" i="13"/>
  <c r="V2317" i="13"/>
  <c r="U2317" i="13"/>
  <c r="T2317" i="13"/>
  <c r="S2317" i="13"/>
  <c r="R2317" i="13"/>
  <c r="Q2317" i="13"/>
  <c r="P2317" i="13"/>
  <c r="O2317" i="13"/>
  <c r="N2317" i="13"/>
  <c r="M2317" i="13"/>
  <c r="L2317" i="13"/>
  <c r="K2317" i="13"/>
  <c r="J2317" i="13"/>
  <c r="I2317" i="13"/>
  <c r="H2317" i="13"/>
  <c r="G2317" i="13"/>
  <c r="AD2316" i="13"/>
  <c r="AC2316" i="13"/>
  <c r="AB2316" i="13"/>
  <c r="AA2316" i="13"/>
  <c r="Z2316" i="13"/>
  <c r="Y2316" i="13"/>
  <c r="X2316" i="13"/>
  <c r="W2316" i="13"/>
  <c r="V2316" i="13"/>
  <c r="U2316" i="13"/>
  <c r="T2316" i="13"/>
  <c r="S2316" i="13"/>
  <c r="R2316" i="13"/>
  <c r="Q2316" i="13"/>
  <c r="P2316" i="13"/>
  <c r="O2316" i="13"/>
  <c r="N2316" i="13"/>
  <c r="M2316" i="13"/>
  <c r="L2316" i="13"/>
  <c r="K2316" i="13"/>
  <c r="J2316" i="13"/>
  <c r="I2316" i="13"/>
  <c r="H2316" i="13"/>
  <c r="G2316" i="13"/>
  <c r="AD2315" i="13"/>
  <c r="AC2315" i="13"/>
  <c r="AB2315" i="13"/>
  <c r="AA2315" i="13"/>
  <c r="Z2315" i="13"/>
  <c r="Y2315" i="13"/>
  <c r="X2315" i="13"/>
  <c r="W2315" i="13"/>
  <c r="V2315" i="13"/>
  <c r="U2315" i="13"/>
  <c r="T2315" i="13"/>
  <c r="S2315" i="13"/>
  <c r="R2315" i="13"/>
  <c r="Q2315" i="13"/>
  <c r="P2315" i="13"/>
  <c r="O2315" i="13"/>
  <c r="N2315" i="13"/>
  <c r="M2315" i="13"/>
  <c r="L2315" i="13"/>
  <c r="K2315" i="13"/>
  <c r="J2315" i="13"/>
  <c r="I2315" i="13"/>
  <c r="H2315" i="13"/>
  <c r="G2315" i="13"/>
  <c r="AD2314" i="13"/>
  <c r="AC2314" i="13"/>
  <c r="AB2314" i="13"/>
  <c r="AA2314" i="13"/>
  <c r="Z2314" i="13"/>
  <c r="Y2314" i="13"/>
  <c r="X2314" i="13"/>
  <c r="W2314" i="13"/>
  <c r="V2314" i="13"/>
  <c r="U2314" i="13"/>
  <c r="T2314" i="13"/>
  <c r="S2314" i="13"/>
  <c r="R2314" i="13"/>
  <c r="Q2314" i="13"/>
  <c r="P2314" i="13"/>
  <c r="O2314" i="13"/>
  <c r="N2314" i="13"/>
  <c r="M2314" i="13"/>
  <c r="L2314" i="13"/>
  <c r="K2314" i="13"/>
  <c r="J2314" i="13"/>
  <c r="I2314" i="13"/>
  <c r="H2314" i="13"/>
  <c r="G2314" i="13"/>
  <c r="AD2313" i="13"/>
  <c r="AC2313" i="13"/>
  <c r="AB2313" i="13"/>
  <c r="AA2313" i="13"/>
  <c r="Z2313" i="13"/>
  <c r="Y2313" i="13"/>
  <c r="X2313" i="13"/>
  <c r="W2313" i="13"/>
  <c r="V2313" i="13"/>
  <c r="U2313" i="13"/>
  <c r="T2313" i="13"/>
  <c r="S2313" i="13"/>
  <c r="R2313" i="13"/>
  <c r="Q2313" i="13"/>
  <c r="P2313" i="13"/>
  <c r="O2313" i="13"/>
  <c r="N2313" i="13"/>
  <c r="M2313" i="13"/>
  <c r="L2313" i="13"/>
  <c r="K2313" i="13"/>
  <c r="J2313" i="13"/>
  <c r="I2313" i="13"/>
  <c r="H2313" i="13"/>
  <c r="G2313" i="13"/>
  <c r="AD2312" i="13"/>
  <c r="AC2312" i="13"/>
  <c r="AB2312" i="13"/>
  <c r="AA2312" i="13"/>
  <c r="Z2312" i="13"/>
  <c r="Y2312" i="13"/>
  <c r="X2312" i="13"/>
  <c r="W2312" i="13"/>
  <c r="V2312" i="13"/>
  <c r="U2312" i="13"/>
  <c r="T2312" i="13"/>
  <c r="S2312" i="13"/>
  <c r="R2312" i="13"/>
  <c r="Q2312" i="13"/>
  <c r="P2312" i="13"/>
  <c r="O2312" i="13"/>
  <c r="N2312" i="13"/>
  <c r="M2312" i="13"/>
  <c r="L2312" i="13"/>
  <c r="K2312" i="13"/>
  <c r="J2312" i="13"/>
  <c r="I2312" i="13"/>
  <c r="H2312" i="13"/>
  <c r="G2312" i="13"/>
  <c r="AD2311" i="13"/>
  <c r="AC2311" i="13"/>
  <c r="AB2311" i="13"/>
  <c r="AA2311" i="13"/>
  <c r="Z2311" i="13"/>
  <c r="Y2311" i="13"/>
  <c r="X2311" i="13"/>
  <c r="W2311" i="13"/>
  <c r="V2311" i="13"/>
  <c r="U2311" i="13"/>
  <c r="T2311" i="13"/>
  <c r="S2311" i="13"/>
  <c r="R2311" i="13"/>
  <c r="Q2311" i="13"/>
  <c r="P2311" i="13"/>
  <c r="O2311" i="13"/>
  <c r="N2311" i="13"/>
  <c r="M2311" i="13"/>
  <c r="L2311" i="13"/>
  <c r="K2311" i="13"/>
  <c r="J2311" i="13"/>
  <c r="I2311" i="13"/>
  <c r="H2311" i="13"/>
  <c r="G2311" i="13"/>
  <c r="AD2310" i="13"/>
  <c r="AC2310" i="13"/>
  <c r="AB2310" i="13"/>
  <c r="AA2310" i="13"/>
  <c r="Z2310" i="13"/>
  <c r="Y2310" i="13"/>
  <c r="X2310" i="13"/>
  <c r="W2310" i="13"/>
  <c r="V2310" i="13"/>
  <c r="U2310" i="13"/>
  <c r="T2310" i="13"/>
  <c r="S2310" i="13"/>
  <c r="R2310" i="13"/>
  <c r="Q2310" i="13"/>
  <c r="P2310" i="13"/>
  <c r="O2310" i="13"/>
  <c r="N2310" i="13"/>
  <c r="M2310" i="13"/>
  <c r="L2310" i="13"/>
  <c r="K2310" i="13"/>
  <c r="J2310" i="13"/>
  <c r="I2310" i="13"/>
  <c r="H2310" i="13"/>
  <c r="G2310" i="13"/>
  <c r="AD2309" i="13"/>
  <c r="AC2309" i="13"/>
  <c r="AB2309" i="13"/>
  <c r="AA2309" i="13"/>
  <c r="Z2309" i="13"/>
  <c r="Y2309" i="13"/>
  <c r="X2309" i="13"/>
  <c r="W2309" i="13"/>
  <c r="V2309" i="13"/>
  <c r="U2309" i="13"/>
  <c r="T2309" i="13"/>
  <c r="S2309" i="13"/>
  <c r="R2309" i="13"/>
  <c r="Q2309" i="13"/>
  <c r="P2309" i="13"/>
  <c r="O2309" i="13"/>
  <c r="N2309" i="13"/>
  <c r="M2309" i="13"/>
  <c r="L2309" i="13"/>
  <c r="K2309" i="13"/>
  <c r="J2309" i="13"/>
  <c r="I2309" i="13"/>
  <c r="H2309" i="13"/>
  <c r="G2309" i="13"/>
  <c r="AD2308" i="13"/>
  <c r="AC2308" i="13"/>
  <c r="AB2308" i="13"/>
  <c r="AA2308" i="13"/>
  <c r="Z2308" i="13"/>
  <c r="Y2308" i="13"/>
  <c r="X2308" i="13"/>
  <c r="W2308" i="13"/>
  <c r="V2308" i="13"/>
  <c r="U2308" i="13"/>
  <c r="T2308" i="13"/>
  <c r="S2308" i="13"/>
  <c r="R2308" i="13"/>
  <c r="Q2308" i="13"/>
  <c r="P2308" i="13"/>
  <c r="O2308" i="13"/>
  <c r="N2308" i="13"/>
  <c r="M2308" i="13"/>
  <c r="L2308" i="13"/>
  <c r="K2308" i="13"/>
  <c r="J2308" i="13"/>
  <c r="I2308" i="13"/>
  <c r="H2308" i="13"/>
  <c r="G2308" i="13"/>
  <c r="AD2307" i="13"/>
  <c r="AC2307" i="13"/>
  <c r="AB2307" i="13"/>
  <c r="AA2307" i="13"/>
  <c r="Z2307" i="13"/>
  <c r="Y2307" i="13"/>
  <c r="X2307" i="13"/>
  <c r="W2307" i="13"/>
  <c r="V2307" i="13"/>
  <c r="U2307" i="13"/>
  <c r="T2307" i="13"/>
  <c r="S2307" i="13"/>
  <c r="R2307" i="13"/>
  <c r="Q2307" i="13"/>
  <c r="P2307" i="13"/>
  <c r="O2307" i="13"/>
  <c r="N2307" i="13"/>
  <c r="M2307" i="13"/>
  <c r="L2307" i="13"/>
  <c r="K2307" i="13"/>
  <c r="J2307" i="13"/>
  <c r="I2307" i="13"/>
  <c r="H2307" i="13"/>
  <c r="G2307" i="13"/>
  <c r="AD2306" i="13"/>
  <c r="AC2306" i="13"/>
  <c r="AB2306" i="13"/>
  <c r="AA2306" i="13"/>
  <c r="Z2306" i="13"/>
  <c r="Y2306" i="13"/>
  <c r="X2306" i="13"/>
  <c r="W2306" i="13"/>
  <c r="V2306" i="13"/>
  <c r="U2306" i="13"/>
  <c r="T2306" i="13"/>
  <c r="S2306" i="13"/>
  <c r="R2306" i="13"/>
  <c r="Q2306" i="13"/>
  <c r="P2306" i="13"/>
  <c r="O2306" i="13"/>
  <c r="N2306" i="13"/>
  <c r="M2306" i="13"/>
  <c r="L2306" i="13"/>
  <c r="K2306" i="13"/>
  <c r="J2306" i="13"/>
  <c r="I2306" i="13"/>
  <c r="H2306" i="13"/>
  <c r="G2306" i="13"/>
  <c r="AD2305" i="13"/>
  <c r="AC2305" i="13"/>
  <c r="AB2305" i="13"/>
  <c r="AA2305" i="13"/>
  <c r="Z2305" i="13"/>
  <c r="Y2305" i="13"/>
  <c r="X2305" i="13"/>
  <c r="W2305" i="13"/>
  <c r="V2305" i="13"/>
  <c r="U2305" i="13"/>
  <c r="T2305" i="13"/>
  <c r="S2305" i="13"/>
  <c r="R2305" i="13"/>
  <c r="Q2305" i="13"/>
  <c r="P2305" i="13"/>
  <c r="O2305" i="13"/>
  <c r="N2305" i="13"/>
  <c r="M2305" i="13"/>
  <c r="L2305" i="13"/>
  <c r="K2305" i="13"/>
  <c r="J2305" i="13"/>
  <c r="I2305" i="13"/>
  <c r="H2305" i="13"/>
  <c r="G2305" i="13"/>
  <c r="AD2304" i="13"/>
  <c r="AC2304" i="13"/>
  <c r="AB2304" i="13"/>
  <c r="AA2304" i="13"/>
  <c r="Z2304" i="13"/>
  <c r="Y2304" i="13"/>
  <c r="X2304" i="13"/>
  <c r="W2304" i="13"/>
  <c r="V2304" i="13"/>
  <c r="U2304" i="13"/>
  <c r="T2304" i="13"/>
  <c r="S2304" i="13"/>
  <c r="R2304" i="13"/>
  <c r="Q2304" i="13"/>
  <c r="P2304" i="13"/>
  <c r="O2304" i="13"/>
  <c r="N2304" i="13"/>
  <c r="M2304" i="13"/>
  <c r="L2304" i="13"/>
  <c r="K2304" i="13"/>
  <c r="J2304" i="13"/>
  <c r="I2304" i="13"/>
  <c r="H2304" i="13"/>
  <c r="G2304" i="13"/>
  <c r="AD2303" i="13"/>
  <c r="AC2303" i="13"/>
  <c r="AB2303" i="13"/>
  <c r="AA2303" i="13"/>
  <c r="Z2303" i="13"/>
  <c r="Y2303" i="13"/>
  <c r="X2303" i="13"/>
  <c r="W2303" i="13"/>
  <c r="V2303" i="13"/>
  <c r="U2303" i="13"/>
  <c r="T2303" i="13"/>
  <c r="S2303" i="13"/>
  <c r="R2303" i="13"/>
  <c r="Q2303" i="13"/>
  <c r="P2303" i="13"/>
  <c r="O2303" i="13"/>
  <c r="N2303" i="13"/>
  <c r="M2303" i="13"/>
  <c r="L2303" i="13"/>
  <c r="K2303" i="13"/>
  <c r="J2303" i="13"/>
  <c r="I2303" i="13"/>
  <c r="H2303" i="13"/>
  <c r="G2303" i="13"/>
  <c r="AD2302" i="13"/>
  <c r="AC2302" i="13"/>
  <c r="AB2302" i="13"/>
  <c r="AA2302" i="13"/>
  <c r="Z2302" i="13"/>
  <c r="Y2302" i="13"/>
  <c r="X2302" i="13"/>
  <c r="W2302" i="13"/>
  <c r="V2302" i="13"/>
  <c r="U2302" i="13"/>
  <c r="T2302" i="13"/>
  <c r="S2302" i="13"/>
  <c r="R2302" i="13"/>
  <c r="Q2302" i="13"/>
  <c r="P2302" i="13"/>
  <c r="O2302" i="13"/>
  <c r="N2302" i="13"/>
  <c r="M2302" i="13"/>
  <c r="L2302" i="13"/>
  <c r="K2302" i="13"/>
  <c r="J2302" i="13"/>
  <c r="I2302" i="13"/>
  <c r="H2302" i="13"/>
  <c r="G2302" i="13"/>
  <c r="AD2301" i="13"/>
  <c r="AC2301" i="13"/>
  <c r="AB2301" i="13"/>
  <c r="AA2301" i="13"/>
  <c r="Z2301" i="13"/>
  <c r="Y2301" i="13"/>
  <c r="X2301" i="13"/>
  <c r="W2301" i="13"/>
  <c r="V2301" i="13"/>
  <c r="U2301" i="13"/>
  <c r="T2301" i="13"/>
  <c r="S2301" i="13"/>
  <c r="R2301" i="13"/>
  <c r="Q2301" i="13"/>
  <c r="P2301" i="13"/>
  <c r="O2301" i="13"/>
  <c r="N2301" i="13"/>
  <c r="M2301" i="13"/>
  <c r="L2301" i="13"/>
  <c r="K2301" i="13"/>
  <c r="J2301" i="13"/>
  <c r="I2301" i="13"/>
  <c r="H2301" i="13"/>
  <c r="G2301" i="13"/>
  <c r="AD2300" i="13"/>
  <c r="AC2300" i="13"/>
  <c r="AB2300" i="13"/>
  <c r="AA2300" i="13"/>
  <c r="Z2300" i="13"/>
  <c r="Y2300" i="13"/>
  <c r="X2300" i="13"/>
  <c r="W2300" i="13"/>
  <c r="V2300" i="13"/>
  <c r="U2300" i="13"/>
  <c r="T2300" i="13"/>
  <c r="S2300" i="13"/>
  <c r="R2300" i="13"/>
  <c r="Q2300" i="13"/>
  <c r="P2300" i="13"/>
  <c r="O2300" i="13"/>
  <c r="N2300" i="13"/>
  <c r="M2300" i="13"/>
  <c r="L2300" i="13"/>
  <c r="K2300" i="13"/>
  <c r="J2300" i="13"/>
  <c r="I2300" i="13"/>
  <c r="H2300" i="13"/>
  <c r="G2300" i="13"/>
  <c r="AD2299" i="13"/>
  <c r="AC2299" i="13"/>
  <c r="AB2299" i="13"/>
  <c r="AA2299" i="13"/>
  <c r="Z2299" i="13"/>
  <c r="Y2299" i="13"/>
  <c r="X2299" i="13"/>
  <c r="W2299" i="13"/>
  <c r="V2299" i="13"/>
  <c r="U2299" i="13"/>
  <c r="T2299" i="13"/>
  <c r="S2299" i="13"/>
  <c r="R2299" i="13"/>
  <c r="Q2299" i="13"/>
  <c r="P2299" i="13"/>
  <c r="O2299" i="13"/>
  <c r="N2299" i="13"/>
  <c r="M2299" i="13"/>
  <c r="L2299" i="13"/>
  <c r="K2299" i="13"/>
  <c r="J2299" i="13"/>
  <c r="I2299" i="13"/>
  <c r="H2299" i="13"/>
  <c r="G2299" i="13"/>
  <c r="AD2298" i="13"/>
  <c r="AC2298" i="13"/>
  <c r="AB2298" i="13"/>
  <c r="AA2298" i="13"/>
  <c r="Z2298" i="13"/>
  <c r="Y2298" i="13"/>
  <c r="X2298" i="13"/>
  <c r="W2298" i="13"/>
  <c r="V2298" i="13"/>
  <c r="U2298" i="13"/>
  <c r="T2298" i="13"/>
  <c r="S2298" i="13"/>
  <c r="R2298" i="13"/>
  <c r="Q2298" i="13"/>
  <c r="P2298" i="13"/>
  <c r="O2298" i="13"/>
  <c r="N2298" i="13"/>
  <c r="M2298" i="13"/>
  <c r="L2298" i="13"/>
  <c r="K2298" i="13"/>
  <c r="J2298" i="13"/>
  <c r="I2298" i="13"/>
  <c r="H2298" i="13"/>
  <c r="G2298" i="13"/>
  <c r="AD2297" i="13"/>
  <c r="AC2297" i="13"/>
  <c r="AB2297" i="13"/>
  <c r="AA2297" i="13"/>
  <c r="Z2297" i="13"/>
  <c r="Y2297" i="13"/>
  <c r="X2297" i="13"/>
  <c r="W2297" i="13"/>
  <c r="V2297" i="13"/>
  <c r="U2297" i="13"/>
  <c r="T2297" i="13"/>
  <c r="S2297" i="13"/>
  <c r="R2297" i="13"/>
  <c r="Q2297" i="13"/>
  <c r="P2297" i="13"/>
  <c r="O2297" i="13"/>
  <c r="N2297" i="13"/>
  <c r="M2297" i="13"/>
  <c r="L2297" i="13"/>
  <c r="K2297" i="13"/>
  <c r="J2297" i="13"/>
  <c r="I2297" i="13"/>
  <c r="H2297" i="13"/>
  <c r="G2297" i="13"/>
  <c r="AD2296" i="13"/>
  <c r="AC2296" i="13"/>
  <c r="AB2296" i="13"/>
  <c r="AA2296" i="13"/>
  <c r="Z2296" i="13"/>
  <c r="Y2296" i="13"/>
  <c r="X2296" i="13"/>
  <c r="W2296" i="13"/>
  <c r="V2296" i="13"/>
  <c r="U2296" i="13"/>
  <c r="T2296" i="13"/>
  <c r="S2296" i="13"/>
  <c r="R2296" i="13"/>
  <c r="Q2296" i="13"/>
  <c r="P2296" i="13"/>
  <c r="O2296" i="13"/>
  <c r="N2296" i="13"/>
  <c r="M2296" i="13"/>
  <c r="L2296" i="13"/>
  <c r="K2296" i="13"/>
  <c r="J2296" i="13"/>
  <c r="I2296" i="13"/>
  <c r="H2296" i="13"/>
  <c r="G2296" i="13"/>
  <c r="AD2295" i="13"/>
  <c r="AC2295" i="13"/>
  <c r="AB2295" i="13"/>
  <c r="AA2295" i="13"/>
  <c r="Z2295" i="13"/>
  <c r="Y2295" i="13"/>
  <c r="X2295" i="13"/>
  <c r="W2295" i="13"/>
  <c r="V2295" i="13"/>
  <c r="U2295" i="13"/>
  <c r="T2295" i="13"/>
  <c r="S2295" i="13"/>
  <c r="R2295" i="13"/>
  <c r="Q2295" i="13"/>
  <c r="P2295" i="13"/>
  <c r="O2295" i="13"/>
  <c r="N2295" i="13"/>
  <c r="M2295" i="13"/>
  <c r="L2295" i="13"/>
  <c r="K2295" i="13"/>
  <c r="J2295" i="13"/>
  <c r="I2295" i="13"/>
  <c r="H2295" i="13"/>
  <c r="G2295" i="13"/>
  <c r="AD2294" i="13"/>
  <c r="AC2294" i="13"/>
  <c r="AB2294" i="13"/>
  <c r="AA2294" i="13"/>
  <c r="Z2294" i="13"/>
  <c r="Y2294" i="13"/>
  <c r="X2294" i="13"/>
  <c r="W2294" i="13"/>
  <c r="V2294" i="13"/>
  <c r="U2294" i="13"/>
  <c r="T2294" i="13"/>
  <c r="S2294" i="13"/>
  <c r="R2294" i="13"/>
  <c r="Q2294" i="13"/>
  <c r="P2294" i="13"/>
  <c r="O2294" i="13"/>
  <c r="N2294" i="13"/>
  <c r="M2294" i="13"/>
  <c r="L2294" i="13"/>
  <c r="K2294" i="13"/>
  <c r="J2294" i="13"/>
  <c r="I2294" i="13"/>
  <c r="H2294" i="13"/>
  <c r="G2294" i="13"/>
  <c r="AD2293" i="13"/>
  <c r="AC2293" i="13"/>
  <c r="AB2293" i="13"/>
  <c r="AA2293" i="13"/>
  <c r="Z2293" i="13"/>
  <c r="Y2293" i="13"/>
  <c r="X2293" i="13"/>
  <c r="W2293" i="13"/>
  <c r="V2293" i="13"/>
  <c r="U2293" i="13"/>
  <c r="T2293" i="13"/>
  <c r="S2293" i="13"/>
  <c r="R2293" i="13"/>
  <c r="Q2293" i="13"/>
  <c r="P2293" i="13"/>
  <c r="O2293" i="13"/>
  <c r="N2293" i="13"/>
  <c r="M2293" i="13"/>
  <c r="L2293" i="13"/>
  <c r="K2293" i="13"/>
  <c r="J2293" i="13"/>
  <c r="I2293" i="13"/>
  <c r="H2293" i="13"/>
  <c r="G2293" i="13"/>
  <c r="AD2292" i="13"/>
  <c r="AC2292" i="13"/>
  <c r="AB2292" i="13"/>
  <c r="AA2292" i="13"/>
  <c r="Z2292" i="13"/>
  <c r="Y2292" i="13"/>
  <c r="X2292" i="13"/>
  <c r="W2292" i="13"/>
  <c r="V2292" i="13"/>
  <c r="U2292" i="13"/>
  <c r="T2292" i="13"/>
  <c r="S2292" i="13"/>
  <c r="R2292" i="13"/>
  <c r="Q2292" i="13"/>
  <c r="P2292" i="13"/>
  <c r="O2292" i="13"/>
  <c r="N2292" i="13"/>
  <c r="M2292" i="13"/>
  <c r="L2292" i="13"/>
  <c r="K2292" i="13"/>
  <c r="J2292" i="13"/>
  <c r="I2292" i="13"/>
  <c r="H2292" i="13"/>
  <c r="G2292" i="13"/>
  <c r="AD2291" i="13"/>
  <c r="AC2291" i="13"/>
  <c r="AB2291" i="13"/>
  <c r="AA2291" i="13"/>
  <c r="Z2291" i="13"/>
  <c r="Y2291" i="13"/>
  <c r="X2291" i="13"/>
  <c r="W2291" i="13"/>
  <c r="V2291" i="13"/>
  <c r="U2291" i="13"/>
  <c r="T2291" i="13"/>
  <c r="S2291" i="13"/>
  <c r="R2291" i="13"/>
  <c r="Q2291" i="13"/>
  <c r="P2291" i="13"/>
  <c r="O2291" i="13"/>
  <c r="N2291" i="13"/>
  <c r="M2291" i="13"/>
  <c r="L2291" i="13"/>
  <c r="K2291" i="13"/>
  <c r="J2291" i="13"/>
  <c r="I2291" i="13"/>
  <c r="H2291" i="13"/>
  <c r="G2291" i="13"/>
  <c r="AD2290" i="13"/>
  <c r="AC2290" i="13"/>
  <c r="AB2290" i="13"/>
  <c r="AA2290" i="13"/>
  <c r="Z2290" i="13"/>
  <c r="Y2290" i="13"/>
  <c r="X2290" i="13"/>
  <c r="W2290" i="13"/>
  <c r="V2290" i="13"/>
  <c r="U2290" i="13"/>
  <c r="T2290" i="13"/>
  <c r="S2290" i="13"/>
  <c r="R2290" i="13"/>
  <c r="Q2290" i="13"/>
  <c r="P2290" i="13"/>
  <c r="O2290" i="13"/>
  <c r="N2290" i="13"/>
  <c r="M2290" i="13"/>
  <c r="L2290" i="13"/>
  <c r="K2290" i="13"/>
  <c r="J2290" i="13"/>
  <c r="I2290" i="13"/>
  <c r="H2290" i="13"/>
  <c r="G2290" i="13"/>
  <c r="AD2289" i="13"/>
  <c r="AC2289" i="13"/>
  <c r="AB2289" i="13"/>
  <c r="AA2289" i="13"/>
  <c r="Z2289" i="13"/>
  <c r="Y2289" i="13"/>
  <c r="X2289" i="13"/>
  <c r="W2289" i="13"/>
  <c r="V2289" i="13"/>
  <c r="U2289" i="13"/>
  <c r="T2289" i="13"/>
  <c r="S2289" i="13"/>
  <c r="R2289" i="13"/>
  <c r="Q2289" i="13"/>
  <c r="P2289" i="13"/>
  <c r="O2289" i="13"/>
  <c r="N2289" i="13"/>
  <c r="M2289" i="13"/>
  <c r="L2289" i="13"/>
  <c r="K2289" i="13"/>
  <c r="J2289" i="13"/>
  <c r="I2289" i="13"/>
  <c r="H2289" i="13"/>
  <c r="G2289" i="13"/>
  <c r="AD2288" i="13"/>
  <c r="AC2288" i="13"/>
  <c r="AB2288" i="13"/>
  <c r="AA2288" i="13"/>
  <c r="Z2288" i="13"/>
  <c r="Y2288" i="13"/>
  <c r="X2288" i="13"/>
  <c r="W2288" i="13"/>
  <c r="V2288" i="13"/>
  <c r="U2288" i="13"/>
  <c r="T2288" i="13"/>
  <c r="S2288" i="13"/>
  <c r="R2288" i="13"/>
  <c r="Q2288" i="13"/>
  <c r="P2288" i="13"/>
  <c r="O2288" i="13"/>
  <c r="N2288" i="13"/>
  <c r="M2288" i="13"/>
  <c r="L2288" i="13"/>
  <c r="K2288" i="13"/>
  <c r="J2288" i="13"/>
  <c r="I2288" i="13"/>
  <c r="H2288" i="13"/>
  <c r="G2288" i="13"/>
  <c r="AD2287" i="13"/>
  <c r="AC2287" i="13"/>
  <c r="AB2287" i="13"/>
  <c r="AA2287" i="13"/>
  <c r="Z2287" i="13"/>
  <c r="Y2287" i="13"/>
  <c r="X2287" i="13"/>
  <c r="W2287" i="13"/>
  <c r="V2287" i="13"/>
  <c r="U2287" i="13"/>
  <c r="T2287" i="13"/>
  <c r="S2287" i="13"/>
  <c r="R2287" i="13"/>
  <c r="Q2287" i="13"/>
  <c r="P2287" i="13"/>
  <c r="O2287" i="13"/>
  <c r="N2287" i="13"/>
  <c r="M2287" i="13"/>
  <c r="L2287" i="13"/>
  <c r="K2287" i="13"/>
  <c r="J2287" i="13"/>
  <c r="I2287" i="13"/>
  <c r="H2287" i="13"/>
  <c r="G2287" i="13"/>
  <c r="AD2286" i="13"/>
  <c r="AC2286" i="13"/>
  <c r="AB2286" i="13"/>
  <c r="AA2286" i="13"/>
  <c r="Z2286" i="13"/>
  <c r="Y2286" i="13"/>
  <c r="X2286" i="13"/>
  <c r="W2286" i="13"/>
  <c r="V2286" i="13"/>
  <c r="U2286" i="13"/>
  <c r="T2286" i="13"/>
  <c r="S2286" i="13"/>
  <c r="R2286" i="13"/>
  <c r="Q2286" i="13"/>
  <c r="P2286" i="13"/>
  <c r="O2286" i="13"/>
  <c r="N2286" i="13"/>
  <c r="M2286" i="13"/>
  <c r="L2286" i="13"/>
  <c r="K2286" i="13"/>
  <c r="J2286" i="13"/>
  <c r="I2286" i="13"/>
  <c r="H2286" i="13"/>
  <c r="G2286" i="13"/>
  <c r="AD2285" i="13"/>
  <c r="AC2285" i="13"/>
  <c r="AB2285" i="13"/>
  <c r="AA2285" i="13"/>
  <c r="Z2285" i="13"/>
  <c r="Y2285" i="13"/>
  <c r="X2285" i="13"/>
  <c r="W2285" i="13"/>
  <c r="V2285" i="13"/>
  <c r="U2285" i="13"/>
  <c r="T2285" i="13"/>
  <c r="S2285" i="13"/>
  <c r="R2285" i="13"/>
  <c r="Q2285" i="13"/>
  <c r="P2285" i="13"/>
  <c r="O2285" i="13"/>
  <c r="N2285" i="13"/>
  <c r="M2285" i="13"/>
  <c r="L2285" i="13"/>
  <c r="K2285" i="13"/>
  <c r="J2285" i="13"/>
  <c r="I2285" i="13"/>
  <c r="H2285" i="13"/>
  <c r="G2285" i="13"/>
  <c r="AD2284" i="13"/>
  <c r="AC2284" i="13"/>
  <c r="AB2284" i="13"/>
  <c r="AA2284" i="13"/>
  <c r="Z2284" i="13"/>
  <c r="Y2284" i="13"/>
  <c r="X2284" i="13"/>
  <c r="W2284" i="13"/>
  <c r="V2284" i="13"/>
  <c r="U2284" i="13"/>
  <c r="T2284" i="13"/>
  <c r="S2284" i="13"/>
  <c r="R2284" i="13"/>
  <c r="Q2284" i="13"/>
  <c r="P2284" i="13"/>
  <c r="O2284" i="13"/>
  <c r="N2284" i="13"/>
  <c r="M2284" i="13"/>
  <c r="L2284" i="13"/>
  <c r="K2284" i="13"/>
  <c r="J2284" i="13"/>
  <c r="I2284" i="13"/>
  <c r="H2284" i="13"/>
  <c r="G2284" i="13"/>
  <c r="AD2283" i="13"/>
  <c r="AC2283" i="13"/>
  <c r="AB2283" i="13"/>
  <c r="AA2283" i="13"/>
  <c r="Z2283" i="13"/>
  <c r="Y2283" i="13"/>
  <c r="X2283" i="13"/>
  <c r="W2283" i="13"/>
  <c r="V2283" i="13"/>
  <c r="U2283" i="13"/>
  <c r="T2283" i="13"/>
  <c r="S2283" i="13"/>
  <c r="R2283" i="13"/>
  <c r="Q2283" i="13"/>
  <c r="P2283" i="13"/>
  <c r="O2283" i="13"/>
  <c r="N2283" i="13"/>
  <c r="M2283" i="13"/>
  <c r="L2283" i="13"/>
  <c r="K2283" i="13"/>
  <c r="J2283" i="13"/>
  <c r="I2283" i="13"/>
  <c r="H2283" i="13"/>
  <c r="G2283" i="13"/>
  <c r="AD2282" i="13"/>
  <c r="AC2282" i="13"/>
  <c r="AB2282" i="13"/>
  <c r="AA2282" i="13"/>
  <c r="Z2282" i="13"/>
  <c r="Y2282" i="13"/>
  <c r="X2282" i="13"/>
  <c r="W2282" i="13"/>
  <c r="V2282" i="13"/>
  <c r="U2282" i="13"/>
  <c r="T2282" i="13"/>
  <c r="S2282" i="13"/>
  <c r="R2282" i="13"/>
  <c r="Q2282" i="13"/>
  <c r="P2282" i="13"/>
  <c r="O2282" i="13"/>
  <c r="N2282" i="13"/>
  <c r="M2282" i="13"/>
  <c r="L2282" i="13"/>
  <c r="K2282" i="13"/>
  <c r="J2282" i="13"/>
  <c r="I2282" i="13"/>
  <c r="H2282" i="13"/>
  <c r="G2282" i="13"/>
  <c r="AD2281" i="13"/>
  <c r="AC2281" i="13"/>
  <c r="AB2281" i="13"/>
  <c r="AA2281" i="13"/>
  <c r="Z2281" i="13"/>
  <c r="Y2281" i="13"/>
  <c r="X2281" i="13"/>
  <c r="W2281" i="13"/>
  <c r="V2281" i="13"/>
  <c r="U2281" i="13"/>
  <c r="T2281" i="13"/>
  <c r="S2281" i="13"/>
  <c r="R2281" i="13"/>
  <c r="Q2281" i="13"/>
  <c r="P2281" i="13"/>
  <c r="O2281" i="13"/>
  <c r="N2281" i="13"/>
  <c r="M2281" i="13"/>
  <c r="L2281" i="13"/>
  <c r="K2281" i="13"/>
  <c r="J2281" i="13"/>
  <c r="I2281" i="13"/>
  <c r="H2281" i="13"/>
  <c r="G2281" i="13"/>
  <c r="AD2280" i="13"/>
  <c r="AC2280" i="13"/>
  <c r="AB2280" i="13"/>
  <c r="AA2280" i="13"/>
  <c r="Z2280" i="13"/>
  <c r="Y2280" i="13"/>
  <c r="X2280" i="13"/>
  <c r="W2280" i="13"/>
  <c r="V2280" i="13"/>
  <c r="U2280" i="13"/>
  <c r="T2280" i="13"/>
  <c r="S2280" i="13"/>
  <c r="R2280" i="13"/>
  <c r="Q2280" i="13"/>
  <c r="P2280" i="13"/>
  <c r="O2280" i="13"/>
  <c r="N2280" i="13"/>
  <c r="M2280" i="13"/>
  <c r="L2280" i="13"/>
  <c r="K2280" i="13"/>
  <c r="J2280" i="13"/>
  <c r="I2280" i="13"/>
  <c r="H2280" i="13"/>
  <c r="G2280" i="13"/>
  <c r="AD2279" i="13"/>
  <c r="AC2279" i="13"/>
  <c r="AB2279" i="13"/>
  <c r="AA2279" i="13"/>
  <c r="Z2279" i="13"/>
  <c r="Y2279" i="13"/>
  <c r="X2279" i="13"/>
  <c r="W2279" i="13"/>
  <c r="V2279" i="13"/>
  <c r="U2279" i="13"/>
  <c r="T2279" i="13"/>
  <c r="S2279" i="13"/>
  <c r="R2279" i="13"/>
  <c r="Q2279" i="13"/>
  <c r="P2279" i="13"/>
  <c r="O2279" i="13"/>
  <c r="N2279" i="13"/>
  <c r="M2279" i="13"/>
  <c r="L2279" i="13"/>
  <c r="K2279" i="13"/>
  <c r="J2279" i="13"/>
  <c r="I2279" i="13"/>
  <c r="H2279" i="13"/>
  <c r="G2279" i="13"/>
  <c r="AD2278" i="13"/>
  <c r="AC2278" i="13"/>
  <c r="AB2278" i="13"/>
  <c r="AA2278" i="13"/>
  <c r="Z2278" i="13"/>
  <c r="Y2278" i="13"/>
  <c r="X2278" i="13"/>
  <c r="W2278" i="13"/>
  <c r="V2278" i="13"/>
  <c r="U2278" i="13"/>
  <c r="T2278" i="13"/>
  <c r="S2278" i="13"/>
  <c r="R2278" i="13"/>
  <c r="Q2278" i="13"/>
  <c r="P2278" i="13"/>
  <c r="O2278" i="13"/>
  <c r="N2278" i="13"/>
  <c r="M2278" i="13"/>
  <c r="L2278" i="13"/>
  <c r="K2278" i="13"/>
  <c r="J2278" i="13"/>
  <c r="I2278" i="13"/>
  <c r="H2278" i="13"/>
  <c r="G2278" i="13"/>
  <c r="AD2277" i="13"/>
  <c r="AC2277" i="13"/>
  <c r="AB2277" i="13"/>
  <c r="AA2277" i="13"/>
  <c r="Z2277" i="13"/>
  <c r="Y2277" i="13"/>
  <c r="X2277" i="13"/>
  <c r="W2277" i="13"/>
  <c r="V2277" i="13"/>
  <c r="U2277" i="13"/>
  <c r="T2277" i="13"/>
  <c r="S2277" i="13"/>
  <c r="R2277" i="13"/>
  <c r="Q2277" i="13"/>
  <c r="P2277" i="13"/>
  <c r="O2277" i="13"/>
  <c r="N2277" i="13"/>
  <c r="M2277" i="13"/>
  <c r="L2277" i="13"/>
  <c r="K2277" i="13"/>
  <c r="J2277" i="13"/>
  <c r="I2277" i="13"/>
  <c r="H2277" i="13"/>
  <c r="G2277" i="13"/>
  <c r="AD2276" i="13"/>
  <c r="AC2276" i="13"/>
  <c r="AB2276" i="13"/>
  <c r="AA2276" i="13"/>
  <c r="Z2276" i="13"/>
  <c r="Y2276" i="13"/>
  <c r="X2276" i="13"/>
  <c r="W2276" i="13"/>
  <c r="V2276" i="13"/>
  <c r="U2276" i="13"/>
  <c r="T2276" i="13"/>
  <c r="S2276" i="13"/>
  <c r="R2276" i="13"/>
  <c r="Q2276" i="13"/>
  <c r="P2276" i="13"/>
  <c r="O2276" i="13"/>
  <c r="N2276" i="13"/>
  <c r="M2276" i="13"/>
  <c r="L2276" i="13"/>
  <c r="K2276" i="13"/>
  <c r="J2276" i="13"/>
  <c r="I2276" i="13"/>
  <c r="H2276" i="13"/>
  <c r="G2276" i="13"/>
  <c r="AD2275" i="13"/>
  <c r="AC2275" i="13"/>
  <c r="AB2275" i="13"/>
  <c r="AA2275" i="13"/>
  <c r="Z2275" i="13"/>
  <c r="Y2275" i="13"/>
  <c r="X2275" i="13"/>
  <c r="W2275" i="13"/>
  <c r="V2275" i="13"/>
  <c r="U2275" i="13"/>
  <c r="T2275" i="13"/>
  <c r="S2275" i="13"/>
  <c r="R2275" i="13"/>
  <c r="Q2275" i="13"/>
  <c r="P2275" i="13"/>
  <c r="O2275" i="13"/>
  <c r="N2275" i="13"/>
  <c r="M2275" i="13"/>
  <c r="L2275" i="13"/>
  <c r="K2275" i="13"/>
  <c r="J2275" i="13"/>
  <c r="I2275" i="13"/>
  <c r="H2275" i="13"/>
  <c r="G2275" i="13"/>
  <c r="AD2274" i="13"/>
  <c r="AC2274" i="13"/>
  <c r="AB2274" i="13"/>
  <c r="AA2274" i="13"/>
  <c r="Z2274" i="13"/>
  <c r="Y2274" i="13"/>
  <c r="X2274" i="13"/>
  <c r="W2274" i="13"/>
  <c r="V2274" i="13"/>
  <c r="U2274" i="13"/>
  <c r="T2274" i="13"/>
  <c r="S2274" i="13"/>
  <c r="R2274" i="13"/>
  <c r="Q2274" i="13"/>
  <c r="P2274" i="13"/>
  <c r="O2274" i="13"/>
  <c r="N2274" i="13"/>
  <c r="M2274" i="13"/>
  <c r="L2274" i="13"/>
  <c r="K2274" i="13"/>
  <c r="J2274" i="13"/>
  <c r="I2274" i="13"/>
  <c r="H2274" i="13"/>
  <c r="G2274" i="13"/>
  <c r="AD2273" i="13"/>
  <c r="AC2273" i="13"/>
  <c r="AB2273" i="13"/>
  <c r="AA2273" i="13"/>
  <c r="Z2273" i="13"/>
  <c r="Y2273" i="13"/>
  <c r="X2273" i="13"/>
  <c r="W2273" i="13"/>
  <c r="V2273" i="13"/>
  <c r="U2273" i="13"/>
  <c r="T2273" i="13"/>
  <c r="S2273" i="13"/>
  <c r="R2273" i="13"/>
  <c r="Q2273" i="13"/>
  <c r="P2273" i="13"/>
  <c r="O2273" i="13"/>
  <c r="N2273" i="13"/>
  <c r="M2273" i="13"/>
  <c r="L2273" i="13"/>
  <c r="K2273" i="13"/>
  <c r="J2273" i="13"/>
  <c r="I2273" i="13"/>
  <c r="H2273" i="13"/>
  <c r="G2273" i="13"/>
  <c r="AD2272" i="13"/>
  <c r="AC2272" i="13"/>
  <c r="AB2272" i="13"/>
  <c r="AA2272" i="13"/>
  <c r="Z2272" i="13"/>
  <c r="Y2272" i="13"/>
  <c r="X2272" i="13"/>
  <c r="W2272" i="13"/>
  <c r="V2272" i="13"/>
  <c r="U2272" i="13"/>
  <c r="T2272" i="13"/>
  <c r="S2272" i="13"/>
  <c r="R2272" i="13"/>
  <c r="Q2272" i="13"/>
  <c r="P2272" i="13"/>
  <c r="O2272" i="13"/>
  <c r="N2272" i="13"/>
  <c r="M2272" i="13"/>
  <c r="L2272" i="13"/>
  <c r="K2272" i="13"/>
  <c r="J2272" i="13"/>
  <c r="I2272" i="13"/>
  <c r="H2272" i="13"/>
  <c r="G2272" i="13"/>
  <c r="AD2271" i="13"/>
  <c r="AC2271" i="13"/>
  <c r="AB2271" i="13"/>
  <c r="AA2271" i="13"/>
  <c r="Z2271" i="13"/>
  <c r="Y2271" i="13"/>
  <c r="X2271" i="13"/>
  <c r="W2271" i="13"/>
  <c r="V2271" i="13"/>
  <c r="U2271" i="13"/>
  <c r="T2271" i="13"/>
  <c r="S2271" i="13"/>
  <c r="R2271" i="13"/>
  <c r="Q2271" i="13"/>
  <c r="P2271" i="13"/>
  <c r="O2271" i="13"/>
  <c r="N2271" i="13"/>
  <c r="M2271" i="13"/>
  <c r="L2271" i="13"/>
  <c r="K2271" i="13"/>
  <c r="J2271" i="13"/>
  <c r="I2271" i="13"/>
  <c r="H2271" i="13"/>
  <c r="G2271" i="13"/>
  <c r="AD2270" i="13"/>
  <c r="AC2270" i="13"/>
  <c r="AB2270" i="13"/>
  <c r="AA2270" i="13"/>
  <c r="Z2270" i="13"/>
  <c r="Y2270" i="13"/>
  <c r="X2270" i="13"/>
  <c r="W2270" i="13"/>
  <c r="V2270" i="13"/>
  <c r="U2270" i="13"/>
  <c r="T2270" i="13"/>
  <c r="S2270" i="13"/>
  <c r="R2270" i="13"/>
  <c r="Q2270" i="13"/>
  <c r="P2270" i="13"/>
  <c r="O2270" i="13"/>
  <c r="N2270" i="13"/>
  <c r="M2270" i="13"/>
  <c r="L2270" i="13"/>
  <c r="K2270" i="13"/>
  <c r="J2270" i="13"/>
  <c r="I2270" i="13"/>
  <c r="H2270" i="13"/>
  <c r="G2270" i="13"/>
  <c r="AD2269" i="13"/>
  <c r="AC2269" i="13"/>
  <c r="AB2269" i="13"/>
  <c r="AA2269" i="13"/>
  <c r="Z2269" i="13"/>
  <c r="Y2269" i="13"/>
  <c r="X2269" i="13"/>
  <c r="W2269" i="13"/>
  <c r="V2269" i="13"/>
  <c r="U2269" i="13"/>
  <c r="T2269" i="13"/>
  <c r="S2269" i="13"/>
  <c r="R2269" i="13"/>
  <c r="Q2269" i="13"/>
  <c r="P2269" i="13"/>
  <c r="O2269" i="13"/>
  <c r="N2269" i="13"/>
  <c r="M2269" i="13"/>
  <c r="L2269" i="13"/>
  <c r="K2269" i="13"/>
  <c r="J2269" i="13"/>
  <c r="I2269" i="13"/>
  <c r="H2269" i="13"/>
  <c r="G2269" i="13"/>
  <c r="AD2268" i="13"/>
  <c r="AC2268" i="13"/>
  <c r="AB2268" i="13"/>
  <c r="AA2268" i="13"/>
  <c r="Z2268" i="13"/>
  <c r="Y2268" i="13"/>
  <c r="X2268" i="13"/>
  <c r="W2268" i="13"/>
  <c r="V2268" i="13"/>
  <c r="U2268" i="13"/>
  <c r="T2268" i="13"/>
  <c r="S2268" i="13"/>
  <c r="R2268" i="13"/>
  <c r="Q2268" i="13"/>
  <c r="P2268" i="13"/>
  <c r="O2268" i="13"/>
  <c r="N2268" i="13"/>
  <c r="M2268" i="13"/>
  <c r="L2268" i="13"/>
  <c r="K2268" i="13"/>
  <c r="J2268" i="13"/>
  <c r="I2268" i="13"/>
  <c r="H2268" i="13"/>
  <c r="G2268" i="13"/>
  <c r="AD2267" i="13"/>
  <c r="AC2267" i="13"/>
  <c r="AB2267" i="13"/>
  <c r="AA2267" i="13"/>
  <c r="Z2267" i="13"/>
  <c r="Y2267" i="13"/>
  <c r="X2267" i="13"/>
  <c r="W2267" i="13"/>
  <c r="V2267" i="13"/>
  <c r="U2267" i="13"/>
  <c r="T2267" i="13"/>
  <c r="S2267" i="13"/>
  <c r="R2267" i="13"/>
  <c r="Q2267" i="13"/>
  <c r="P2267" i="13"/>
  <c r="O2267" i="13"/>
  <c r="N2267" i="13"/>
  <c r="M2267" i="13"/>
  <c r="L2267" i="13"/>
  <c r="K2267" i="13"/>
  <c r="J2267" i="13"/>
  <c r="I2267" i="13"/>
  <c r="H2267" i="13"/>
  <c r="G2267" i="13"/>
  <c r="AD2266" i="13"/>
  <c r="AC2266" i="13"/>
  <c r="AB2266" i="13"/>
  <c r="AA2266" i="13"/>
  <c r="Z2266" i="13"/>
  <c r="Y2266" i="13"/>
  <c r="X2266" i="13"/>
  <c r="W2266" i="13"/>
  <c r="V2266" i="13"/>
  <c r="U2266" i="13"/>
  <c r="T2266" i="13"/>
  <c r="S2266" i="13"/>
  <c r="R2266" i="13"/>
  <c r="Q2266" i="13"/>
  <c r="P2266" i="13"/>
  <c r="O2266" i="13"/>
  <c r="N2266" i="13"/>
  <c r="M2266" i="13"/>
  <c r="L2266" i="13"/>
  <c r="K2266" i="13"/>
  <c r="J2266" i="13"/>
  <c r="I2266" i="13"/>
  <c r="H2266" i="13"/>
  <c r="G2266" i="13"/>
  <c r="AD2265" i="13"/>
  <c r="AC2265" i="13"/>
  <c r="AB2265" i="13"/>
  <c r="AA2265" i="13"/>
  <c r="Z2265" i="13"/>
  <c r="Y2265" i="13"/>
  <c r="X2265" i="13"/>
  <c r="W2265" i="13"/>
  <c r="V2265" i="13"/>
  <c r="U2265" i="13"/>
  <c r="T2265" i="13"/>
  <c r="S2265" i="13"/>
  <c r="R2265" i="13"/>
  <c r="Q2265" i="13"/>
  <c r="P2265" i="13"/>
  <c r="O2265" i="13"/>
  <c r="N2265" i="13"/>
  <c r="M2265" i="13"/>
  <c r="L2265" i="13"/>
  <c r="K2265" i="13"/>
  <c r="J2265" i="13"/>
  <c r="I2265" i="13"/>
  <c r="H2265" i="13"/>
  <c r="G2265" i="13"/>
  <c r="AD2264" i="13"/>
  <c r="AC2264" i="13"/>
  <c r="AB2264" i="13"/>
  <c r="AA2264" i="13"/>
  <c r="Z2264" i="13"/>
  <c r="Y2264" i="13"/>
  <c r="X2264" i="13"/>
  <c r="W2264" i="13"/>
  <c r="V2264" i="13"/>
  <c r="U2264" i="13"/>
  <c r="T2264" i="13"/>
  <c r="S2264" i="13"/>
  <c r="R2264" i="13"/>
  <c r="Q2264" i="13"/>
  <c r="P2264" i="13"/>
  <c r="O2264" i="13"/>
  <c r="N2264" i="13"/>
  <c r="M2264" i="13"/>
  <c r="L2264" i="13"/>
  <c r="K2264" i="13"/>
  <c r="J2264" i="13"/>
  <c r="I2264" i="13"/>
  <c r="H2264" i="13"/>
  <c r="G2264" i="13"/>
  <c r="AD2263" i="13"/>
  <c r="AC2263" i="13"/>
  <c r="AB2263" i="13"/>
  <c r="AA2263" i="13"/>
  <c r="Z2263" i="13"/>
  <c r="Y2263" i="13"/>
  <c r="X2263" i="13"/>
  <c r="W2263" i="13"/>
  <c r="V2263" i="13"/>
  <c r="U2263" i="13"/>
  <c r="T2263" i="13"/>
  <c r="S2263" i="13"/>
  <c r="R2263" i="13"/>
  <c r="Q2263" i="13"/>
  <c r="P2263" i="13"/>
  <c r="O2263" i="13"/>
  <c r="N2263" i="13"/>
  <c r="M2263" i="13"/>
  <c r="L2263" i="13"/>
  <c r="K2263" i="13"/>
  <c r="J2263" i="13"/>
  <c r="I2263" i="13"/>
  <c r="H2263" i="13"/>
  <c r="G2263" i="13"/>
  <c r="AD2262" i="13"/>
  <c r="AC2262" i="13"/>
  <c r="AB2262" i="13"/>
  <c r="AA2262" i="13"/>
  <c r="Z2262" i="13"/>
  <c r="Y2262" i="13"/>
  <c r="X2262" i="13"/>
  <c r="W2262" i="13"/>
  <c r="V2262" i="13"/>
  <c r="U2262" i="13"/>
  <c r="T2262" i="13"/>
  <c r="S2262" i="13"/>
  <c r="R2262" i="13"/>
  <c r="Q2262" i="13"/>
  <c r="P2262" i="13"/>
  <c r="O2262" i="13"/>
  <c r="N2262" i="13"/>
  <c r="M2262" i="13"/>
  <c r="L2262" i="13"/>
  <c r="K2262" i="13"/>
  <c r="J2262" i="13"/>
  <c r="I2262" i="13"/>
  <c r="H2262" i="13"/>
  <c r="G2262" i="13"/>
  <c r="AD2261" i="13"/>
  <c r="AC2261" i="13"/>
  <c r="AB2261" i="13"/>
  <c r="AA2261" i="13"/>
  <c r="Z2261" i="13"/>
  <c r="Y2261" i="13"/>
  <c r="X2261" i="13"/>
  <c r="W2261" i="13"/>
  <c r="V2261" i="13"/>
  <c r="U2261" i="13"/>
  <c r="T2261" i="13"/>
  <c r="S2261" i="13"/>
  <c r="R2261" i="13"/>
  <c r="Q2261" i="13"/>
  <c r="P2261" i="13"/>
  <c r="O2261" i="13"/>
  <c r="N2261" i="13"/>
  <c r="M2261" i="13"/>
  <c r="L2261" i="13"/>
  <c r="K2261" i="13"/>
  <c r="J2261" i="13"/>
  <c r="I2261" i="13"/>
  <c r="H2261" i="13"/>
  <c r="G2261" i="13"/>
  <c r="AD2260" i="13"/>
  <c r="AC2260" i="13"/>
  <c r="AB2260" i="13"/>
  <c r="AA2260" i="13"/>
  <c r="Z2260" i="13"/>
  <c r="Y2260" i="13"/>
  <c r="X2260" i="13"/>
  <c r="W2260" i="13"/>
  <c r="V2260" i="13"/>
  <c r="U2260" i="13"/>
  <c r="T2260" i="13"/>
  <c r="S2260" i="13"/>
  <c r="R2260" i="13"/>
  <c r="Q2260" i="13"/>
  <c r="P2260" i="13"/>
  <c r="O2260" i="13"/>
  <c r="N2260" i="13"/>
  <c r="M2260" i="13"/>
  <c r="L2260" i="13"/>
  <c r="K2260" i="13"/>
  <c r="J2260" i="13"/>
  <c r="I2260" i="13"/>
  <c r="H2260" i="13"/>
  <c r="G2260" i="13"/>
  <c r="AD2259" i="13"/>
  <c r="AC2259" i="13"/>
  <c r="AB2259" i="13"/>
  <c r="AA2259" i="13"/>
  <c r="Z2259" i="13"/>
  <c r="Y2259" i="13"/>
  <c r="X2259" i="13"/>
  <c r="W2259" i="13"/>
  <c r="V2259" i="13"/>
  <c r="U2259" i="13"/>
  <c r="T2259" i="13"/>
  <c r="S2259" i="13"/>
  <c r="R2259" i="13"/>
  <c r="Q2259" i="13"/>
  <c r="P2259" i="13"/>
  <c r="O2259" i="13"/>
  <c r="N2259" i="13"/>
  <c r="M2259" i="13"/>
  <c r="L2259" i="13"/>
  <c r="K2259" i="13"/>
  <c r="J2259" i="13"/>
  <c r="I2259" i="13"/>
  <c r="H2259" i="13"/>
  <c r="G2259" i="13"/>
  <c r="AD2258" i="13"/>
  <c r="AC2258" i="13"/>
  <c r="AB2258" i="13"/>
  <c r="AA2258" i="13"/>
  <c r="Z2258" i="13"/>
  <c r="Y2258" i="13"/>
  <c r="X2258" i="13"/>
  <c r="W2258" i="13"/>
  <c r="V2258" i="13"/>
  <c r="U2258" i="13"/>
  <c r="T2258" i="13"/>
  <c r="S2258" i="13"/>
  <c r="R2258" i="13"/>
  <c r="Q2258" i="13"/>
  <c r="P2258" i="13"/>
  <c r="O2258" i="13"/>
  <c r="N2258" i="13"/>
  <c r="M2258" i="13"/>
  <c r="L2258" i="13"/>
  <c r="K2258" i="13"/>
  <c r="J2258" i="13"/>
  <c r="I2258" i="13"/>
  <c r="H2258" i="13"/>
  <c r="G2258" i="13"/>
  <c r="AD2257" i="13"/>
  <c r="AC2257" i="13"/>
  <c r="AB2257" i="13"/>
  <c r="AA2257" i="13"/>
  <c r="Z2257" i="13"/>
  <c r="Y2257" i="13"/>
  <c r="X2257" i="13"/>
  <c r="W2257" i="13"/>
  <c r="V2257" i="13"/>
  <c r="U2257" i="13"/>
  <c r="T2257" i="13"/>
  <c r="S2257" i="13"/>
  <c r="R2257" i="13"/>
  <c r="Q2257" i="13"/>
  <c r="P2257" i="13"/>
  <c r="O2257" i="13"/>
  <c r="N2257" i="13"/>
  <c r="M2257" i="13"/>
  <c r="L2257" i="13"/>
  <c r="K2257" i="13"/>
  <c r="J2257" i="13"/>
  <c r="I2257" i="13"/>
  <c r="H2257" i="13"/>
  <c r="G2257" i="13"/>
  <c r="AD2256" i="13"/>
  <c r="AC2256" i="13"/>
  <c r="AB2256" i="13"/>
  <c r="AA2256" i="13"/>
  <c r="Z2256" i="13"/>
  <c r="Y2256" i="13"/>
  <c r="X2256" i="13"/>
  <c r="W2256" i="13"/>
  <c r="V2256" i="13"/>
  <c r="U2256" i="13"/>
  <c r="T2256" i="13"/>
  <c r="S2256" i="13"/>
  <c r="R2256" i="13"/>
  <c r="Q2256" i="13"/>
  <c r="P2256" i="13"/>
  <c r="O2256" i="13"/>
  <c r="N2256" i="13"/>
  <c r="M2256" i="13"/>
  <c r="L2256" i="13"/>
  <c r="K2256" i="13"/>
  <c r="J2256" i="13"/>
  <c r="I2256" i="13"/>
  <c r="H2256" i="13"/>
  <c r="G2256" i="13"/>
  <c r="AD2255" i="13"/>
  <c r="AC2255" i="13"/>
  <c r="AB2255" i="13"/>
  <c r="AA2255" i="13"/>
  <c r="Z2255" i="13"/>
  <c r="Y2255" i="13"/>
  <c r="X2255" i="13"/>
  <c r="W2255" i="13"/>
  <c r="V2255" i="13"/>
  <c r="U2255" i="13"/>
  <c r="T2255" i="13"/>
  <c r="S2255" i="13"/>
  <c r="R2255" i="13"/>
  <c r="Q2255" i="13"/>
  <c r="P2255" i="13"/>
  <c r="O2255" i="13"/>
  <c r="N2255" i="13"/>
  <c r="M2255" i="13"/>
  <c r="L2255" i="13"/>
  <c r="K2255" i="13"/>
  <c r="J2255" i="13"/>
  <c r="I2255" i="13"/>
  <c r="H2255" i="13"/>
  <c r="G2255" i="13"/>
  <c r="AD2254" i="13"/>
  <c r="AC2254" i="13"/>
  <c r="AB2254" i="13"/>
  <c r="AA2254" i="13"/>
  <c r="Z2254" i="13"/>
  <c r="Y2254" i="13"/>
  <c r="X2254" i="13"/>
  <c r="W2254" i="13"/>
  <c r="V2254" i="13"/>
  <c r="U2254" i="13"/>
  <c r="T2254" i="13"/>
  <c r="S2254" i="13"/>
  <c r="R2254" i="13"/>
  <c r="Q2254" i="13"/>
  <c r="P2254" i="13"/>
  <c r="O2254" i="13"/>
  <c r="N2254" i="13"/>
  <c r="M2254" i="13"/>
  <c r="L2254" i="13"/>
  <c r="K2254" i="13"/>
  <c r="J2254" i="13"/>
  <c r="I2254" i="13"/>
  <c r="H2254" i="13"/>
  <c r="G2254" i="13"/>
  <c r="AD2253" i="13"/>
  <c r="AC2253" i="13"/>
  <c r="AB2253" i="13"/>
  <c r="AA2253" i="13"/>
  <c r="Z2253" i="13"/>
  <c r="Y2253" i="13"/>
  <c r="X2253" i="13"/>
  <c r="W2253" i="13"/>
  <c r="V2253" i="13"/>
  <c r="U2253" i="13"/>
  <c r="T2253" i="13"/>
  <c r="S2253" i="13"/>
  <c r="R2253" i="13"/>
  <c r="Q2253" i="13"/>
  <c r="P2253" i="13"/>
  <c r="O2253" i="13"/>
  <c r="N2253" i="13"/>
  <c r="M2253" i="13"/>
  <c r="L2253" i="13"/>
  <c r="K2253" i="13"/>
  <c r="J2253" i="13"/>
  <c r="I2253" i="13"/>
  <c r="H2253" i="13"/>
  <c r="G2253" i="13"/>
  <c r="AD2252" i="13"/>
  <c r="AC2252" i="13"/>
  <c r="AB2252" i="13"/>
  <c r="AA2252" i="13"/>
  <c r="Z2252" i="13"/>
  <c r="Y2252" i="13"/>
  <c r="X2252" i="13"/>
  <c r="W2252" i="13"/>
  <c r="V2252" i="13"/>
  <c r="U2252" i="13"/>
  <c r="T2252" i="13"/>
  <c r="S2252" i="13"/>
  <c r="R2252" i="13"/>
  <c r="Q2252" i="13"/>
  <c r="P2252" i="13"/>
  <c r="O2252" i="13"/>
  <c r="N2252" i="13"/>
  <c r="M2252" i="13"/>
  <c r="L2252" i="13"/>
  <c r="K2252" i="13"/>
  <c r="J2252" i="13"/>
  <c r="I2252" i="13"/>
  <c r="H2252" i="13"/>
  <c r="G2252" i="13"/>
  <c r="AD2251" i="13"/>
  <c r="AC2251" i="13"/>
  <c r="AB2251" i="13"/>
  <c r="AA2251" i="13"/>
  <c r="Z2251" i="13"/>
  <c r="Y2251" i="13"/>
  <c r="X2251" i="13"/>
  <c r="W2251" i="13"/>
  <c r="V2251" i="13"/>
  <c r="U2251" i="13"/>
  <c r="T2251" i="13"/>
  <c r="S2251" i="13"/>
  <c r="R2251" i="13"/>
  <c r="Q2251" i="13"/>
  <c r="P2251" i="13"/>
  <c r="O2251" i="13"/>
  <c r="N2251" i="13"/>
  <c r="M2251" i="13"/>
  <c r="L2251" i="13"/>
  <c r="K2251" i="13"/>
  <c r="J2251" i="13"/>
  <c r="I2251" i="13"/>
  <c r="H2251" i="13"/>
  <c r="G2251" i="13"/>
  <c r="AD2250" i="13"/>
  <c r="AC2250" i="13"/>
  <c r="AB2250" i="13"/>
  <c r="AA2250" i="13"/>
  <c r="Z2250" i="13"/>
  <c r="Y2250" i="13"/>
  <c r="X2250" i="13"/>
  <c r="W2250" i="13"/>
  <c r="V2250" i="13"/>
  <c r="U2250" i="13"/>
  <c r="T2250" i="13"/>
  <c r="S2250" i="13"/>
  <c r="R2250" i="13"/>
  <c r="Q2250" i="13"/>
  <c r="P2250" i="13"/>
  <c r="O2250" i="13"/>
  <c r="N2250" i="13"/>
  <c r="M2250" i="13"/>
  <c r="L2250" i="13"/>
  <c r="K2250" i="13"/>
  <c r="J2250" i="13"/>
  <c r="I2250" i="13"/>
  <c r="H2250" i="13"/>
  <c r="G2250" i="13"/>
  <c r="AD2249" i="13"/>
  <c r="AC2249" i="13"/>
  <c r="AB2249" i="13"/>
  <c r="AA2249" i="13"/>
  <c r="Z2249" i="13"/>
  <c r="Y2249" i="13"/>
  <c r="X2249" i="13"/>
  <c r="W2249" i="13"/>
  <c r="V2249" i="13"/>
  <c r="U2249" i="13"/>
  <c r="T2249" i="13"/>
  <c r="S2249" i="13"/>
  <c r="R2249" i="13"/>
  <c r="Q2249" i="13"/>
  <c r="P2249" i="13"/>
  <c r="O2249" i="13"/>
  <c r="N2249" i="13"/>
  <c r="M2249" i="13"/>
  <c r="L2249" i="13"/>
  <c r="K2249" i="13"/>
  <c r="J2249" i="13"/>
  <c r="I2249" i="13"/>
  <c r="H2249" i="13"/>
  <c r="G2249" i="13"/>
  <c r="AD2248" i="13"/>
  <c r="AC2248" i="13"/>
  <c r="AB2248" i="13"/>
  <c r="AA2248" i="13"/>
  <c r="Z2248" i="13"/>
  <c r="Y2248" i="13"/>
  <c r="X2248" i="13"/>
  <c r="W2248" i="13"/>
  <c r="V2248" i="13"/>
  <c r="U2248" i="13"/>
  <c r="T2248" i="13"/>
  <c r="S2248" i="13"/>
  <c r="R2248" i="13"/>
  <c r="Q2248" i="13"/>
  <c r="P2248" i="13"/>
  <c r="O2248" i="13"/>
  <c r="N2248" i="13"/>
  <c r="M2248" i="13"/>
  <c r="L2248" i="13"/>
  <c r="K2248" i="13"/>
  <c r="J2248" i="13"/>
  <c r="I2248" i="13"/>
  <c r="H2248" i="13"/>
  <c r="G2248" i="13"/>
  <c r="AD2247" i="13"/>
  <c r="AC2247" i="13"/>
  <c r="AB2247" i="13"/>
  <c r="AA2247" i="13"/>
  <c r="Z2247" i="13"/>
  <c r="Y2247" i="13"/>
  <c r="X2247" i="13"/>
  <c r="W2247" i="13"/>
  <c r="V2247" i="13"/>
  <c r="U2247" i="13"/>
  <c r="T2247" i="13"/>
  <c r="S2247" i="13"/>
  <c r="R2247" i="13"/>
  <c r="Q2247" i="13"/>
  <c r="P2247" i="13"/>
  <c r="O2247" i="13"/>
  <c r="N2247" i="13"/>
  <c r="M2247" i="13"/>
  <c r="L2247" i="13"/>
  <c r="K2247" i="13"/>
  <c r="J2247" i="13"/>
  <c r="I2247" i="13"/>
  <c r="H2247" i="13"/>
  <c r="G2247" i="13"/>
  <c r="AD2246" i="13"/>
  <c r="AC2246" i="13"/>
  <c r="AB2246" i="13"/>
  <c r="AA2246" i="13"/>
  <c r="Z2246" i="13"/>
  <c r="Y2246" i="13"/>
  <c r="X2246" i="13"/>
  <c r="W2246" i="13"/>
  <c r="V2246" i="13"/>
  <c r="U2246" i="13"/>
  <c r="T2246" i="13"/>
  <c r="S2246" i="13"/>
  <c r="R2246" i="13"/>
  <c r="Q2246" i="13"/>
  <c r="P2246" i="13"/>
  <c r="O2246" i="13"/>
  <c r="N2246" i="13"/>
  <c r="M2246" i="13"/>
  <c r="L2246" i="13"/>
  <c r="K2246" i="13"/>
  <c r="J2246" i="13"/>
  <c r="I2246" i="13"/>
  <c r="H2246" i="13"/>
  <c r="G2246" i="13"/>
  <c r="AD2245" i="13"/>
  <c r="AC2245" i="13"/>
  <c r="AB2245" i="13"/>
  <c r="AA2245" i="13"/>
  <c r="Z2245" i="13"/>
  <c r="Y2245" i="13"/>
  <c r="X2245" i="13"/>
  <c r="W2245" i="13"/>
  <c r="V2245" i="13"/>
  <c r="U2245" i="13"/>
  <c r="T2245" i="13"/>
  <c r="S2245" i="13"/>
  <c r="R2245" i="13"/>
  <c r="Q2245" i="13"/>
  <c r="P2245" i="13"/>
  <c r="O2245" i="13"/>
  <c r="N2245" i="13"/>
  <c r="M2245" i="13"/>
  <c r="L2245" i="13"/>
  <c r="K2245" i="13"/>
  <c r="J2245" i="13"/>
  <c r="I2245" i="13"/>
  <c r="H2245" i="13"/>
  <c r="G2245" i="13"/>
  <c r="AD2244" i="13"/>
  <c r="AC2244" i="13"/>
  <c r="AB2244" i="13"/>
  <c r="AA2244" i="13"/>
  <c r="Z2244" i="13"/>
  <c r="Y2244" i="13"/>
  <c r="X2244" i="13"/>
  <c r="W2244" i="13"/>
  <c r="V2244" i="13"/>
  <c r="U2244" i="13"/>
  <c r="T2244" i="13"/>
  <c r="S2244" i="13"/>
  <c r="R2244" i="13"/>
  <c r="Q2244" i="13"/>
  <c r="P2244" i="13"/>
  <c r="O2244" i="13"/>
  <c r="N2244" i="13"/>
  <c r="M2244" i="13"/>
  <c r="L2244" i="13"/>
  <c r="K2244" i="13"/>
  <c r="J2244" i="13"/>
  <c r="I2244" i="13"/>
  <c r="H2244" i="13"/>
  <c r="G2244" i="13"/>
  <c r="AD2243" i="13"/>
  <c r="AC2243" i="13"/>
  <c r="AB2243" i="13"/>
  <c r="AA2243" i="13"/>
  <c r="Z2243" i="13"/>
  <c r="Y2243" i="13"/>
  <c r="X2243" i="13"/>
  <c r="W2243" i="13"/>
  <c r="V2243" i="13"/>
  <c r="U2243" i="13"/>
  <c r="T2243" i="13"/>
  <c r="S2243" i="13"/>
  <c r="R2243" i="13"/>
  <c r="Q2243" i="13"/>
  <c r="P2243" i="13"/>
  <c r="O2243" i="13"/>
  <c r="N2243" i="13"/>
  <c r="M2243" i="13"/>
  <c r="L2243" i="13"/>
  <c r="K2243" i="13"/>
  <c r="J2243" i="13"/>
  <c r="I2243" i="13"/>
  <c r="H2243" i="13"/>
  <c r="G2243" i="13"/>
  <c r="AD2242" i="13"/>
  <c r="AC2242" i="13"/>
  <c r="AB2242" i="13"/>
  <c r="AA2242" i="13"/>
  <c r="Z2242" i="13"/>
  <c r="Y2242" i="13"/>
  <c r="X2242" i="13"/>
  <c r="W2242" i="13"/>
  <c r="V2242" i="13"/>
  <c r="U2242" i="13"/>
  <c r="T2242" i="13"/>
  <c r="S2242" i="13"/>
  <c r="R2242" i="13"/>
  <c r="Q2242" i="13"/>
  <c r="P2242" i="13"/>
  <c r="O2242" i="13"/>
  <c r="N2242" i="13"/>
  <c r="M2242" i="13"/>
  <c r="L2242" i="13"/>
  <c r="K2242" i="13"/>
  <c r="J2242" i="13"/>
  <c r="I2242" i="13"/>
  <c r="H2242" i="13"/>
  <c r="G2242" i="13"/>
  <c r="AD2241" i="13"/>
  <c r="AC2241" i="13"/>
  <c r="AB2241" i="13"/>
  <c r="AA2241" i="13"/>
  <c r="Z2241" i="13"/>
  <c r="Y2241" i="13"/>
  <c r="X2241" i="13"/>
  <c r="W2241" i="13"/>
  <c r="V2241" i="13"/>
  <c r="U2241" i="13"/>
  <c r="T2241" i="13"/>
  <c r="S2241" i="13"/>
  <c r="R2241" i="13"/>
  <c r="Q2241" i="13"/>
  <c r="P2241" i="13"/>
  <c r="O2241" i="13"/>
  <c r="N2241" i="13"/>
  <c r="M2241" i="13"/>
  <c r="L2241" i="13"/>
  <c r="K2241" i="13"/>
  <c r="J2241" i="13"/>
  <c r="I2241" i="13"/>
  <c r="H2241" i="13"/>
  <c r="G2241" i="13"/>
  <c r="AD2240" i="13"/>
  <c r="AC2240" i="13"/>
  <c r="AB2240" i="13"/>
  <c r="AA2240" i="13"/>
  <c r="Z2240" i="13"/>
  <c r="Y2240" i="13"/>
  <c r="X2240" i="13"/>
  <c r="W2240" i="13"/>
  <c r="V2240" i="13"/>
  <c r="U2240" i="13"/>
  <c r="T2240" i="13"/>
  <c r="S2240" i="13"/>
  <c r="R2240" i="13"/>
  <c r="Q2240" i="13"/>
  <c r="P2240" i="13"/>
  <c r="O2240" i="13"/>
  <c r="N2240" i="13"/>
  <c r="M2240" i="13"/>
  <c r="L2240" i="13"/>
  <c r="K2240" i="13"/>
  <c r="J2240" i="13"/>
  <c r="I2240" i="13"/>
  <c r="H2240" i="13"/>
  <c r="G2240" i="13"/>
  <c r="AD2239" i="13"/>
  <c r="AC2239" i="13"/>
  <c r="AB2239" i="13"/>
  <c r="AA2239" i="13"/>
  <c r="Z2239" i="13"/>
  <c r="Y2239" i="13"/>
  <c r="X2239" i="13"/>
  <c r="W2239" i="13"/>
  <c r="V2239" i="13"/>
  <c r="U2239" i="13"/>
  <c r="T2239" i="13"/>
  <c r="S2239" i="13"/>
  <c r="R2239" i="13"/>
  <c r="Q2239" i="13"/>
  <c r="P2239" i="13"/>
  <c r="O2239" i="13"/>
  <c r="N2239" i="13"/>
  <c r="M2239" i="13"/>
  <c r="L2239" i="13"/>
  <c r="K2239" i="13"/>
  <c r="J2239" i="13"/>
  <c r="I2239" i="13"/>
  <c r="H2239" i="13"/>
  <c r="G2239" i="13"/>
  <c r="AD2238" i="13"/>
  <c r="AC2238" i="13"/>
  <c r="AB2238" i="13"/>
  <c r="AA2238" i="13"/>
  <c r="Z2238" i="13"/>
  <c r="Y2238" i="13"/>
  <c r="X2238" i="13"/>
  <c r="W2238" i="13"/>
  <c r="V2238" i="13"/>
  <c r="U2238" i="13"/>
  <c r="T2238" i="13"/>
  <c r="S2238" i="13"/>
  <c r="R2238" i="13"/>
  <c r="Q2238" i="13"/>
  <c r="P2238" i="13"/>
  <c r="O2238" i="13"/>
  <c r="N2238" i="13"/>
  <c r="M2238" i="13"/>
  <c r="L2238" i="13"/>
  <c r="K2238" i="13"/>
  <c r="J2238" i="13"/>
  <c r="I2238" i="13"/>
  <c r="H2238" i="13"/>
  <c r="G2238" i="13"/>
  <c r="AD2237" i="13"/>
  <c r="AC2237" i="13"/>
  <c r="AB2237" i="13"/>
  <c r="AA2237" i="13"/>
  <c r="Z2237" i="13"/>
  <c r="Y2237" i="13"/>
  <c r="X2237" i="13"/>
  <c r="W2237" i="13"/>
  <c r="V2237" i="13"/>
  <c r="U2237" i="13"/>
  <c r="T2237" i="13"/>
  <c r="S2237" i="13"/>
  <c r="R2237" i="13"/>
  <c r="Q2237" i="13"/>
  <c r="P2237" i="13"/>
  <c r="O2237" i="13"/>
  <c r="N2237" i="13"/>
  <c r="M2237" i="13"/>
  <c r="L2237" i="13"/>
  <c r="K2237" i="13"/>
  <c r="J2237" i="13"/>
  <c r="I2237" i="13"/>
  <c r="H2237" i="13"/>
  <c r="G2237" i="13"/>
  <c r="AD2236" i="13"/>
  <c r="AC2236" i="13"/>
  <c r="AB2236" i="13"/>
  <c r="AA2236" i="13"/>
  <c r="Z2236" i="13"/>
  <c r="Y2236" i="13"/>
  <c r="X2236" i="13"/>
  <c r="W2236" i="13"/>
  <c r="V2236" i="13"/>
  <c r="U2236" i="13"/>
  <c r="T2236" i="13"/>
  <c r="S2236" i="13"/>
  <c r="R2236" i="13"/>
  <c r="Q2236" i="13"/>
  <c r="P2236" i="13"/>
  <c r="O2236" i="13"/>
  <c r="N2236" i="13"/>
  <c r="M2236" i="13"/>
  <c r="L2236" i="13"/>
  <c r="K2236" i="13"/>
  <c r="J2236" i="13"/>
  <c r="I2236" i="13"/>
  <c r="H2236" i="13"/>
  <c r="G2236" i="13"/>
  <c r="AD2235" i="13"/>
  <c r="AC2235" i="13"/>
  <c r="AB2235" i="13"/>
  <c r="AA2235" i="13"/>
  <c r="Z2235" i="13"/>
  <c r="Y2235" i="13"/>
  <c r="X2235" i="13"/>
  <c r="W2235" i="13"/>
  <c r="V2235" i="13"/>
  <c r="U2235" i="13"/>
  <c r="T2235" i="13"/>
  <c r="S2235" i="13"/>
  <c r="R2235" i="13"/>
  <c r="Q2235" i="13"/>
  <c r="P2235" i="13"/>
  <c r="O2235" i="13"/>
  <c r="N2235" i="13"/>
  <c r="M2235" i="13"/>
  <c r="L2235" i="13"/>
  <c r="K2235" i="13"/>
  <c r="J2235" i="13"/>
  <c r="I2235" i="13"/>
  <c r="H2235" i="13"/>
  <c r="G2235" i="13"/>
  <c r="AD2234" i="13"/>
  <c r="AC2234" i="13"/>
  <c r="AB2234" i="13"/>
  <c r="AA2234" i="13"/>
  <c r="Z2234" i="13"/>
  <c r="Y2234" i="13"/>
  <c r="X2234" i="13"/>
  <c r="W2234" i="13"/>
  <c r="V2234" i="13"/>
  <c r="U2234" i="13"/>
  <c r="T2234" i="13"/>
  <c r="S2234" i="13"/>
  <c r="R2234" i="13"/>
  <c r="Q2234" i="13"/>
  <c r="P2234" i="13"/>
  <c r="O2234" i="13"/>
  <c r="N2234" i="13"/>
  <c r="M2234" i="13"/>
  <c r="L2234" i="13"/>
  <c r="K2234" i="13"/>
  <c r="J2234" i="13"/>
  <c r="I2234" i="13"/>
  <c r="H2234" i="13"/>
  <c r="G2234" i="13"/>
  <c r="AD2233" i="13"/>
  <c r="AC2233" i="13"/>
  <c r="AB2233" i="13"/>
  <c r="AA2233" i="13"/>
  <c r="Z2233" i="13"/>
  <c r="Y2233" i="13"/>
  <c r="X2233" i="13"/>
  <c r="W2233" i="13"/>
  <c r="V2233" i="13"/>
  <c r="U2233" i="13"/>
  <c r="T2233" i="13"/>
  <c r="S2233" i="13"/>
  <c r="R2233" i="13"/>
  <c r="Q2233" i="13"/>
  <c r="P2233" i="13"/>
  <c r="O2233" i="13"/>
  <c r="N2233" i="13"/>
  <c r="M2233" i="13"/>
  <c r="L2233" i="13"/>
  <c r="K2233" i="13"/>
  <c r="J2233" i="13"/>
  <c r="I2233" i="13"/>
  <c r="H2233" i="13"/>
  <c r="G2233" i="13"/>
  <c r="AD2232" i="13"/>
  <c r="AC2232" i="13"/>
  <c r="AB2232" i="13"/>
  <c r="AA2232" i="13"/>
  <c r="Z2232" i="13"/>
  <c r="Y2232" i="13"/>
  <c r="X2232" i="13"/>
  <c r="W2232" i="13"/>
  <c r="V2232" i="13"/>
  <c r="U2232" i="13"/>
  <c r="T2232" i="13"/>
  <c r="S2232" i="13"/>
  <c r="R2232" i="13"/>
  <c r="Q2232" i="13"/>
  <c r="P2232" i="13"/>
  <c r="O2232" i="13"/>
  <c r="N2232" i="13"/>
  <c r="M2232" i="13"/>
  <c r="L2232" i="13"/>
  <c r="K2232" i="13"/>
  <c r="J2232" i="13"/>
  <c r="I2232" i="13"/>
  <c r="H2232" i="13"/>
  <c r="G2232" i="13"/>
  <c r="AD2231" i="13"/>
  <c r="AC2231" i="13"/>
  <c r="AB2231" i="13"/>
  <c r="AA2231" i="13"/>
  <c r="Z2231" i="13"/>
  <c r="Y2231" i="13"/>
  <c r="X2231" i="13"/>
  <c r="W2231" i="13"/>
  <c r="V2231" i="13"/>
  <c r="U2231" i="13"/>
  <c r="T2231" i="13"/>
  <c r="S2231" i="13"/>
  <c r="R2231" i="13"/>
  <c r="Q2231" i="13"/>
  <c r="P2231" i="13"/>
  <c r="O2231" i="13"/>
  <c r="N2231" i="13"/>
  <c r="M2231" i="13"/>
  <c r="L2231" i="13"/>
  <c r="K2231" i="13"/>
  <c r="J2231" i="13"/>
  <c r="I2231" i="13"/>
  <c r="H2231" i="13"/>
  <c r="G2231" i="13"/>
  <c r="AD2230" i="13"/>
  <c r="AC2230" i="13"/>
  <c r="AB2230" i="13"/>
  <c r="AA2230" i="13"/>
  <c r="Z2230" i="13"/>
  <c r="Y2230" i="13"/>
  <c r="X2230" i="13"/>
  <c r="W2230" i="13"/>
  <c r="V2230" i="13"/>
  <c r="U2230" i="13"/>
  <c r="T2230" i="13"/>
  <c r="S2230" i="13"/>
  <c r="R2230" i="13"/>
  <c r="Q2230" i="13"/>
  <c r="P2230" i="13"/>
  <c r="O2230" i="13"/>
  <c r="N2230" i="13"/>
  <c r="M2230" i="13"/>
  <c r="L2230" i="13"/>
  <c r="K2230" i="13"/>
  <c r="J2230" i="13"/>
  <c r="I2230" i="13"/>
  <c r="H2230" i="13"/>
  <c r="G2230" i="13"/>
  <c r="AD2229" i="13"/>
  <c r="AC2229" i="13"/>
  <c r="AB2229" i="13"/>
  <c r="AA2229" i="13"/>
  <c r="Z2229" i="13"/>
  <c r="Y2229" i="13"/>
  <c r="X2229" i="13"/>
  <c r="W2229" i="13"/>
  <c r="V2229" i="13"/>
  <c r="U2229" i="13"/>
  <c r="T2229" i="13"/>
  <c r="S2229" i="13"/>
  <c r="R2229" i="13"/>
  <c r="Q2229" i="13"/>
  <c r="P2229" i="13"/>
  <c r="O2229" i="13"/>
  <c r="N2229" i="13"/>
  <c r="M2229" i="13"/>
  <c r="L2229" i="13"/>
  <c r="K2229" i="13"/>
  <c r="J2229" i="13"/>
  <c r="I2229" i="13"/>
  <c r="H2229" i="13"/>
  <c r="G2229" i="13"/>
  <c r="AD2228" i="13"/>
  <c r="AC2228" i="13"/>
  <c r="AB2228" i="13"/>
  <c r="AA2228" i="13"/>
  <c r="Z2228" i="13"/>
  <c r="Y2228" i="13"/>
  <c r="X2228" i="13"/>
  <c r="W2228" i="13"/>
  <c r="V2228" i="13"/>
  <c r="U2228" i="13"/>
  <c r="T2228" i="13"/>
  <c r="S2228" i="13"/>
  <c r="R2228" i="13"/>
  <c r="Q2228" i="13"/>
  <c r="P2228" i="13"/>
  <c r="O2228" i="13"/>
  <c r="N2228" i="13"/>
  <c r="M2228" i="13"/>
  <c r="L2228" i="13"/>
  <c r="K2228" i="13"/>
  <c r="J2228" i="13"/>
  <c r="I2228" i="13"/>
  <c r="H2228" i="13"/>
  <c r="G2228" i="13"/>
  <c r="AD2227" i="13"/>
  <c r="AC2227" i="13"/>
  <c r="AB2227" i="13"/>
  <c r="AA2227" i="13"/>
  <c r="Z2227" i="13"/>
  <c r="Y2227" i="13"/>
  <c r="X2227" i="13"/>
  <c r="W2227" i="13"/>
  <c r="V2227" i="13"/>
  <c r="U2227" i="13"/>
  <c r="T2227" i="13"/>
  <c r="S2227" i="13"/>
  <c r="R2227" i="13"/>
  <c r="Q2227" i="13"/>
  <c r="P2227" i="13"/>
  <c r="O2227" i="13"/>
  <c r="N2227" i="13"/>
  <c r="M2227" i="13"/>
  <c r="L2227" i="13"/>
  <c r="K2227" i="13"/>
  <c r="J2227" i="13"/>
  <c r="I2227" i="13"/>
  <c r="H2227" i="13"/>
  <c r="G2227" i="13"/>
  <c r="AD2226" i="13"/>
  <c r="AC2226" i="13"/>
  <c r="AB2226" i="13"/>
  <c r="AA2226" i="13"/>
  <c r="Z2226" i="13"/>
  <c r="Y2226" i="13"/>
  <c r="X2226" i="13"/>
  <c r="W2226" i="13"/>
  <c r="V2226" i="13"/>
  <c r="U2226" i="13"/>
  <c r="T2226" i="13"/>
  <c r="S2226" i="13"/>
  <c r="R2226" i="13"/>
  <c r="Q2226" i="13"/>
  <c r="P2226" i="13"/>
  <c r="O2226" i="13"/>
  <c r="N2226" i="13"/>
  <c r="M2226" i="13"/>
  <c r="L2226" i="13"/>
  <c r="K2226" i="13"/>
  <c r="J2226" i="13"/>
  <c r="I2226" i="13"/>
  <c r="H2226" i="13"/>
  <c r="G2226" i="13"/>
  <c r="AD2225" i="13"/>
  <c r="AC2225" i="13"/>
  <c r="AB2225" i="13"/>
  <c r="AA2225" i="13"/>
  <c r="Z2225" i="13"/>
  <c r="Y2225" i="13"/>
  <c r="X2225" i="13"/>
  <c r="W2225" i="13"/>
  <c r="V2225" i="13"/>
  <c r="U2225" i="13"/>
  <c r="T2225" i="13"/>
  <c r="S2225" i="13"/>
  <c r="R2225" i="13"/>
  <c r="Q2225" i="13"/>
  <c r="P2225" i="13"/>
  <c r="O2225" i="13"/>
  <c r="N2225" i="13"/>
  <c r="M2225" i="13"/>
  <c r="L2225" i="13"/>
  <c r="K2225" i="13"/>
  <c r="J2225" i="13"/>
  <c r="I2225" i="13"/>
  <c r="H2225" i="13"/>
  <c r="G2225" i="13"/>
  <c r="AD2224" i="13"/>
  <c r="AC2224" i="13"/>
  <c r="AB2224" i="13"/>
  <c r="AA2224" i="13"/>
  <c r="Z2224" i="13"/>
  <c r="Y2224" i="13"/>
  <c r="X2224" i="13"/>
  <c r="W2224" i="13"/>
  <c r="V2224" i="13"/>
  <c r="U2224" i="13"/>
  <c r="T2224" i="13"/>
  <c r="S2224" i="13"/>
  <c r="R2224" i="13"/>
  <c r="Q2224" i="13"/>
  <c r="P2224" i="13"/>
  <c r="O2224" i="13"/>
  <c r="N2224" i="13"/>
  <c r="M2224" i="13"/>
  <c r="L2224" i="13"/>
  <c r="K2224" i="13"/>
  <c r="J2224" i="13"/>
  <c r="I2224" i="13"/>
  <c r="H2224" i="13"/>
  <c r="G2224" i="13"/>
  <c r="AD2223" i="13"/>
  <c r="AC2223" i="13"/>
  <c r="AB2223" i="13"/>
  <c r="AA2223" i="13"/>
  <c r="Z2223" i="13"/>
  <c r="Y2223" i="13"/>
  <c r="X2223" i="13"/>
  <c r="W2223" i="13"/>
  <c r="V2223" i="13"/>
  <c r="U2223" i="13"/>
  <c r="T2223" i="13"/>
  <c r="S2223" i="13"/>
  <c r="R2223" i="13"/>
  <c r="Q2223" i="13"/>
  <c r="P2223" i="13"/>
  <c r="O2223" i="13"/>
  <c r="N2223" i="13"/>
  <c r="M2223" i="13"/>
  <c r="L2223" i="13"/>
  <c r="K2223" i="13"/>
  <c r="J2223" i="13"/>
  <c r="I2223" i="13"/>
  <c r="H2223" i="13"/>
  <c r="G2223" i="13"/>
  <c r="AD2222" i="13"/>
  <c r="AC2222" i="13"/>
  <c r="AB2222" i="13"/>
  <c r="AA2222" i="13"/>
  <c r="Z2222" i="13"/>
  <c r="Y2222" i="13"/>
  <c r="X2222" i="13"/>
  <c r="W2222" i="13"/>
  <c r="V2222" i="13"/>
  <c r="U2222" i="13"/>
  <c r="T2222" i="13"/>
  <c r="S2222" i="13"/>
  <c r="R2222" i="13"/>
  <c r="Q2222" i="13"/>
  <c r="P2222" i="13"/>
  <c r="O2222" i="13"/>
  <c r="N2222" i="13"/>
  <c r="M2222" i="13"/>
  <c r="L2222" i="13"/>
  <c r="K2222" i="13"/>
  <c r="J2222" i="13"/>
  <c r="I2222" i="13"/>
  <c r="H2222" i="13"/>
  <c r="G2222" i="13"/>
  <c r="AD2221" i="13"/>
  <c r="AC2221" i="13"/>
  <c r="AB2221" i="13"/>
  <c r="AA2221" i="13"/>
  <c r="Z2221" i="13"/>
  <c r="Y2221" i="13"/>
  <c r="X2221" i="13"/>
  <c r="W2221" i="13"/>
  <c r="V2221" i="13"/>
  <c r="U2221" i="13"/>
  <c r="T2221" i="13"/>
  <c r="S2221" i="13"/>
  <c r="R2221" i="13"/>
  <c r="Q2221" i="13"/>
  <c r="P2221" i="13"/>
  <c r="O2221" i="13"/>
  <c r="N2221" i="13"/>
  <c r="M2221" i="13"/>
  <c r="L2221" i="13"/>
  <c r="K2221" i="13"/>
  <c r="J2221" i="13"/>
  <c r="I2221" i="13"/>
  <c r="H2221" i="13"/>
  <c r="G2221" i="13"/>
  <c r="AD2220" i="13"/>
  <c r="AC2220" i="13"/>
  <c r="AB2220" i="13"/>
  <c r="AA2220" i="13"/>
  <c r="Z2220" i="13"/>
  <c r="Y2220" i="13"/>
  <c r="X2220" i="13"/>
  <c r="W2220" i="13"/>
  <c r="V2220" i="13"/>
  <c r="U2220" i="13"/>
  <c r="T2220" i="13"/>
  <c r="S2220" i="13"/>
  <c r="R2220" i="13"/>
  <c r="Q2220" i="13"/>
  <c r="P2220" i="13"/>
  <c r="O2220" i="13"/>
  <c r="N2220" i="13"/>
  <c r="M2220" i="13"/>
  <c r="L2220" i="13"/>
  <c r="K2220" i="13"/>
  <c r="J2220" i="13"/>
  <c r="I2220" i="13"/>
  <c r="H2220" i="13"/>
  <c r="G2220" i="13"/>
  <c r="AD2219" i="13"/>
  <c r="AC2219" i="13"/>
  <c r="AB2219" i="13"/>
  <c r="AA2219" i="13"/>
  <c r="Z2219" i="13"/>
  <c r="Y2219" i="13"/>
  <c r="X2219" i="13"/>
  <c r="W2219" i="13"/>
  <c r="V2219" i="13"/>
  <c r="U2219" i="13"/>
  <c r="T2219" i="13"/>
  <c r="S2219" i="13"/>
  <c r="R2219" i="13"/>
  <c r="Q2219" i="13"/>
  <c r="P2219" i="13"/>
  <c r="O2219" i="13"/>
  <c r="N2219" i="13"/>
  <c r="M2219" i="13"/>
  <c r="L2219" i="13"/>
  <c r="K2219" i="13"/>
  <c r="J2219" i="13"/>
  <c r="I2219" i="13"/>
  <c r="H2219" i="13"/>
  <c r="G2219" i="13"/>
  <c r="AD2218" i="13"/>
  <c r="AC2218" i="13"/>
  <c r="AB2218" i="13"/>
  <c r="AA2218" i="13"/>
  <c r="Z2218" i="13"/>
  <c r="Y2218" i="13"/>
  <c r="X2218" i="13"/>
  <c r="W2218" i="13"/>
  <c r="V2218" i="13"/>
  <c r="U2218" i="13"/>
  <c r="T2218" i="13"/>
  <c r="S2218" i="13"/>
  <c r="R2218" i="13"/>
  <c r="Q2218" i="13"/>
  <c r="P2218" i="13"/>
  <c r="O2218" i="13"/>
  <c r="N2218" i="13"/>
  <c r="M2218" i="13"/>
  <c r="L2218" i="13"/>
  <c r="K2218" i="13"/>
  <c r="J2218" i="13"/>
  <c r="I2218" i="13"/>
  <c r="H2218" i="13"/>
  <c r="G2218" i="13"/>
  <c r="AD2217" i="13"/>
  <c r="AC2217" i="13"/>
  <c r="AB2217" i="13"/>
  <c r="AA2217" i="13"/>
  <c r="Z2217" i="13"/>
  <c r="Y2217" i="13"/>
  <c r="X2217" i="13"/>
  <c r="W2217" i="13"/>
  <c r="V2217" i="13"/>
  <c r="U2217" i="13"/>
  <c r="T2217" i="13"/>
  <c r="S2217" i="13"/>
  <c r="R2217" i="13"/>
  <c r="Q2217" i="13"/>
  <c r="P2217" i="13"/>
  <c r="O2217" i="13"/>
  <c r="N2217" i="13"/>
  <c r="M2217" i="13"/>
  <c r="L2217" i="13"/>
  <c r="K2217" i="13"/>
  <c r="J2217" i="13"/>
  <c r="I2217" i="13"/>
  <c r="H2217" i="13"/>
  <c r="G2217" i="13"/>
  <c r="AD2216" i="13"/>
  <c r="AC2216" i="13"/>
  <c r="AB2216" i="13"/>
  <c r="AA2216" i="13"/>
  <c r="Z2216" i="13"/>
  <c r="Y2216" i="13"/>
  <c r="X2216" i="13"/>
  <c r="W2216" i="13"/>
  <c r="V2216" i="13"/>
  <c r="U2216" i="13"/>
  <c r="T2216" i="13"/>
  <c r="S2216" i="13"/>
  <c r="R2216" i="13"/>
  <c r="Q2216" i="13"/>
  <c r="P2216" i="13"/>
  <c r="O2216" i="13"/>
  <c r="N2216" i="13"/>
  <c r="M2216" i="13"/>
  <c r="L2216" i="13"/>
  <c r="K2216" i="13"/>
  <c r="J2216" i="13"/>
  <c r="I2216" i="13"/>
  <c r="H2216" i="13"/>
  <c r="G2216" i="13"/>
  <c r="AD2215" i="13"/>
  <c r="AC2215" i="13"/>
  <c r="AB2215" i="13"/>
  <c r="AA2215" i="13"/>
  <c r="Z2215" i="13"/>
  <c r="Y2215" i="13"/>
  <c r="X2215" i="13"/>
  <c r="W2215" i="13"/>
  <c r="V2215" i="13"/>
  <c r="U2215" i="13"/>
  <c r="T2215" i="13"/>
  <c r="S2215" i="13"/>
  <c r="R2215" i="13"/>
  <c r="Q2215" i="13"/>
  <c r="P2215" i="13"/>
  <c r="O2215" i="13"/>
  <c r="N2215" i="13"/>
  <c r="M2215" i="13"/>
  <c r="L2215" i="13"/>
  <c r="K2215" i="13"/>
  <c r="J2215" i="13"/>
  <c r="I2215" i="13"/>
  <c r="H2215" i="13"/>
  <c r="G2215" i="13"/>
  <c r="AD2214" i="13"/>
  <c r="AC2214" i="13"/>
  <c r="AB2214" i="13"/>
  <c r="AA2214" i="13"/>
  <c r="Z2214" i="13"/>
  <c r="Y2214" i="13"/>
  <c r="X2214" i="13"/>
  <c r="W2214" i="13"/>
  <c r="V2214" i="13"/>
  <c r="U2214" i="13"/>
  <c r="T2214" i="13"/>
  <c r="S2214" i="13"/>
  <c r="R2214" i="13"/>
  <c r="Q2214" i="13"/>
  <c r="P2214" i="13"/>
  <c r="O2214" i="13"/>
  <c r="N2214" i="13"/>
  <c r="M2214" i="13"/>
  <c r="L2214" i="13"/>
  <c r="K2214" i="13"/>
  <c r="J2214" i="13"/>
  <c r="I2214" i="13"/>
  <c r="H2214" i="13"/>
  <c r="G2214" i="13"/>
  <c r="AD2213" i="13"/>
  <c r="AC2213" i="13"/>
  <c r="AB2213" i="13"/>
  <c r="AA2213" i="13"/>
  <c r="Z2213" i="13"/>
  <c r="Y2213" i="13"/>
  <c r="X2213" i="13"/>
  <c r="W2213" i="13"/>
  <c r="V2213" i="13"/>
  <c r="U2213" i="13"/>
  <c r="T2213" i="13"/>
  <c r="S2213" i="13"/>
  <c r="R2213" i="13"/>
  <c r="Q2213" i="13"/>
  <c r="P2213" i="13"/>
  <c r="O2213" i="13"/>
  <c r="N2213" i="13"/>
  <c r="M2213" i="13"/>
  <c r="L2213" i="13"/>
  <c r="K2213" i="13"/>
  <c r="J2213" i="13"/>
  <c r="I2213" i="13"/>
  <c r="H2213" i="13"/>
  <c r="G2213" i="13"/>
  <c r="AD2212" i="13"/>
  <c r="AC2212" i="13"/>
  <c r="AB2212" i="13"/>
  <c r="AA2212" i="13"/>
  <c r="Z2212" i="13"/>
  <c r="Y2212" i="13"/>
  <c r="X2212" i="13"/>
  <c r="W2212" i="13"/>
  <c r="V2212" i="13"/>
  <c r="U2212" i="13"/>
  <c r="T2212" i="13"/>
  <c r="S2212" i="13"/>
  <c r="R2212" i="13"/>
  <c r="Q2212" i="13"/>
  <c r="P2212" i="13"/>
  <c r="O2212" i="13"/>
  <c r="N2212" i="13"/>
  <c r="M2212" i="13"/>
  <c r="L2212" i="13"/>
  <c r="K2212" i="13"/>
  <c r="J2212" i="13"/>
  <c r="I2212" i="13"/>
  <c r="H2212" i="13"/>
  <c r="G2212" i="13"/>
  <c r="AD2211" i="13"/>
  <c r="AC2211" i="13"/>
  <c r="AB2211" i="13"/>
  <c r="AA2211" i="13"/>
  <c r="Z2211" i="13"/>
  <c r="Y2211" i="13"/>
  <c r="X2211" i="13"/>
  <c r="W2211" i="13"/>
  <c r="V2211" i="13"/>
  <c r="U2211" i="13"/>
  <c r="T2211" i="13"/>
  <c r="S2211" i="13"/>
  <c r="R2211" i="13"/>
  <c r="Q2211" i="13"/>
  <c r="P2211" i="13"/>
  <c r="O2211" i="13"/>
  <c r="N2211" i="13"/>
  <c r="M2211" i="13"/>
  <c r="L2211" i="13"/>
  <c r="K2211" i="13"/>
  <c r="J2211" i="13"/>
  <c r="I2211" i="13"/>
  <c r="H2211" i="13"/>
  <c r="G2211" i="13"/>
  <c r="AD2210" i="13"/>
  <c r="AC2210" i="13"/>
  <c r="AB2210" i="13"/>
  <c r="AA2210" i="13"/>
  <c r="Z2210" i="13"/>
  <c r="Y2210" i="13"/>
  <c r="X2210" i="13"/>
  <c r="W2210" i="13"/>
  <c r="V2210" i="13"/>
  <c r="U2210" i="13"/>
  <c r="T2210" i="13"/>
  <c r="S2210" i="13"/>
  <c r="R2210" i="13"/>
  <c r="Q2210" i="13"/>
  <c r="P2210" i="13"/>
  <c r="O2210" i="13"/>
  <c r="N2210" i="13"/>
  <c r="M2210" i="13"/>
  <c r="L2210" i="13"/>
  <c r="K2210" i="13"/>
  <c r="J2210" i="13"/>
  <c r="I2210" i="13"/>
  <c r="H2210" i="13"/>
  <c r="G2210" i="13"/>
  <c r="AD2209" i="13"/>
  <c r="AC2209" i="13"/>
  <c r="AB2209" i="13"/>
  <c r="AA2209" i="13"/>
  <c r="Z2209" i="13"/>
  <c r="Y2209" i="13"/>
  <c r="X2209" i="13"/>
  <c r="W2209" i="13"/>
  <c r="V2209" i="13"/>
  <c r="U2209" i="13"/>
  <c r="T2209" i="13"/>
  <c r="S2209" i="13"/>
  <c r="R2209" i="13"/>
  <c r="Q2209" i="13"/>
  <c r="P2209" i="13"/>
  <c r="O2209" i="13"/>
  <c r="N2209" i="13"/>
  <c r="M2209" i="13"/>
  <c r="L2209" i="13"/>
  <c r="K2209" i="13"/>
  <c r="J2209" i="13"/>
  <c r="I2209" i="13"/>
  <c r="H2209" i="13"/>
  <c r="G2209" i="13"/>
  <c r="AD2208" i="13"/>
  <c r="AC2208" i="13"/>
  <c r="AB2208" i="13"/>
  <c r="AA2208" i="13"/>
  <c r="Z2208" i="13"/>
  <c r="Y2208" i="13"/>
  <c r="X2208" i="13"/>
  <c r="W2208" i="13"/>
  <c r="V2208" i="13"/>
  <c r="U2208" i="13"/>
  <c r="T2208" i="13"/>
  <c r="S2208" i="13"/>
  <c r="R2208" i="13"/>
  <c r="Q2208" i="13"/>
  <c r="P2208" i="13"/>
  <c r="O2208" i="13"/>
  <c r="N2208" i="13"/>
  <c r="M2208" i="13"/>
  <c r="L2208" i="13"/>
  <c r="K2208" i="13"/>
  <c r="J2208" i="13"/>
  <c r="I2208" i="13"/>
  <c r="H2208" i="13"/>
  <c r="G2208" i="13"/>
  <c r="AD2207" i="13"/>
  <c r="AC2207" i="13"/>
  <c r="AB2207" i="13"/>
  <c r="AA2207" i="13"/>
  <c r="Z2207" i="13"/>
  <c r="Y2207" i="13"/>
  <c r="X2207" i="13"/>
  <c r="W2207" i="13"/>
  <c r="V2207" i="13"/>
  <c r="U2207" i="13"/>
  <c r="T2207" i="13"/>
  <c r="S2207" i="13"/>
  <c r="R2207" i="13"/>
  <c r="Q2207" i="13"/>
  <c r="P2207" i="13"/>
  <c r="O2207" i="13"/>
  <c r="N2207" i="13"/>
  <c r="M2207" i="13"/>
  <c r="L2207" i="13"/>
  <c r="K2207" i="13"/>
  <c r="J2207" i="13"/>
  <c r="I2207" i="13"/>
  <c r="H2207" i="13"/>
  <c r="G2207" i="13"/>
  <c r="AD2206" i="13"/>
  <c r="AC2206" i="13"/>
  <c r="AB2206" i="13"/>
  <c r="AA2206" i="13"/>
  <c r="Z2206" i="13"/>
  <c r="Y2206" i="13"/>
  <c r="X2206" i="13"/>
  <c r="W2206" i="13"/>
  <c r="V2206" i="13"/>
  <c r="U2206" i="13"/>
  <c r="T2206" i="13"/>
  <c r="S2206" i="13"/>
  <c r="R2206" i="13"/>
  <c r="Q2206" i="13"/>
  <c r="P2206" i="13"/>
  <c r="O2206" i="13"/>
  <c r="N2206" i="13"/>
  <c r="M2206" i="13"/>
  <c r="L2206" i="13"/>
  <c r="K2206" i="13"/>
  <c r="J2206" i="13"/>
  <c r="I2206" i="13"/>
  <c r="H2206" i="13"/>
  <c r="G2206" i="13"/>
  <c r="AD2205" i="13"/>
  <c r="AC2205" i="13"/>
  <c r="AB2205" i="13"/>
  <c r="AA2205" i="13"/>
  <c r="Z2205" i="13"/>
  <c r="Y2205" i="13"/>
  <c r="X2205" i="13"/>
  <c r="W2205" i="13"/>
  <c r="V2205" i="13"/>
  <c r="U2205" i="13"/>
  <c r="T2205" i="13"/>
  <c r="S2205" i="13"/>
  <c r="R2205" i="13"/>
  <c r="Q2205" i="13"/>
  <c r="P2205" i="13"/>
  <c r="O2205" i="13"/>
  <c r="N2205" i="13"/>
  <c r="M2205" i="13"/>
  <c r="L2205" i="13"/>
  <c r="K2205" i="13"/>
  <c r="J2205" i="13"/>
  <c r="I2205" i="13"/>
  <c r="H2205" i="13"/>
  <c r="G2205" i="13"/>
  <c r="AD2204" i="13"/>
  <c r="AC2204" i="13"/>
  <c r="AB2204" i="13"/>
  <c r="AA2204" i="13"/>
  <c r="Z2204" i="13"/>
  <c r="Y2204" i="13"/>
  <c r="X2204" i="13"/>
  <c r="W2204" i="13"/>
  <c r="V2204" i="13"/>
  <c r="U2204" i="13"/>
  <c r="T2204" i="13"/>
  <c r="S2204" i="13"/>
  <c r="R2204" i="13"/>
  <c r="Q2204" i="13"/>
  <c r="P2204" i="13"/>
  <c r="O2204" i="13"/>
  <c r="N2204" i="13"/>
  <c r="M2204" i="13"/>
  <c r="L2204" i="13"/>
  <c r="K2204" i="13"/>
  <c r="J2204" i="13"/>
  <c r="I2204" i="13"/>
  <c r="H2204" i="13"/>
  <c r="G2204" i="13"/>
  <c r="AD2203" i="13"/>
  <c r="AC2203" i="13"/>
  <c r="AB2203" i="13"/>
  <c r="AA2203" i="13"/>
  <c r="Z2203" i="13"/>
  <c r="Y2203" i="13"/>
  <c r="X2203" i="13"/>
  <c r="W2203" i="13"/>
  <c r="V2203" i="13"/>
  <c r="U2203" i="13"/>
  <c r="T2203" i="13"/>
  <c r="S2203" i="13"/>
  <c r="R2203" i="13"/>
  <c r="Q2203" i="13"/>
  <c r="P2203" i="13"/>
  <c r="O2203" i="13"/>
  <c r="N2203" i="13"/>
  <c r="M2203" i="13"/>
  <c r="L2203" i="13"/>
  <c r="K2203" i="13"/>
  <c r="J2203" i="13"/>
  <c r="I2203" i="13"/>
  <c r="H2203" i="13"/>
  <c r="G2203" i="13"/>
  <c r="AD2202" i="13"/>
  <c r="AC2202" i="13"/>
  <c r="AB2202" i="13"/>
  <c r="AA2202" i="13"/>
  <c r="Z2202" i="13"/>
  <c r="Y2202" i="13"/>
  <c r="X2202" i="13"/>
  <c r="W2202" i="13"/>
  <c r="V2202" i="13"/>
  <c r="U2202" i="13"/>
  <c r="T2202" i="13"/>
  <c r="S2202" i="13"/>
  <c r="R2202" i="13"/>
  <c r="Q2202" i="13"/>
  <c r="P2202" i="13"/>
  <c r="O2202" i="13"/>
  <c r="N2202" i="13"/>
  <c r="M2202" i="13"/>
  <c r="L2202" i="13"/>
  <c r="K2202" i="13"/>
  <c r="J2202" i="13"/>
  <c r="I2202" i="13"/>
  <c r="H2202" i="13"/>
  <c r="G2202" i="13"/>
  <c r="AD2201" i="13"/>
  <c r="AC2201" i="13"/>
  <c r="AB2201" i="13"/>
  <c r="AA2201" i="13"/>
  <c r="Z2201" i="13"/>
  <c r="Y2201" i="13"/>
  <c r="X2201" i="13"/>
  <c r="W2201" i="13"/>
  <c r="V2201" i="13"/>
  <c r="U2201" i="13"/>
  <c r="T2201" i="13"/>
  <c r="S2201" i="13"/>
  <c r="R2201" i="13"/>
  <c r="Q2201" i="13"/>
  <c r="P2201" i="13"/>
  <c r="O2201" i="13"/>
  <c r="N2201" i="13"/>
  <c r="M2201" i="13"/>
  <c r="L2201" i="13"/>
  <c r="K2201" i="13"/>
  <c r="J2201" i="13"/>
  <c r="I2201" i="13"/>
  <c r="H2201" i="13"/>
  <c r="G2201" i="13"/>
  <c r="AD2200" i="13"/>
  <c r="AC2200" i="13"/>
  <c r="AB2200" i="13"/>
  <c r="AA2200" i="13"/>
  <c r="Z2200" i="13"/>
  <c r="Y2200" i="13"/>
  <c r="X2200" i="13"/>
  <c r="W2200" i="13"/>
  <c r="V2200" i="13"/>
  <c r="U2200" i="13"/>
  <c r="T2200" i="13"/>
  <c r="S2200" i="13"/>
  <c r="R2200" i="13"/>
  <c r="Q2200" i="13"/>
  <c r="P2200" i="13"/>
  <c r="O2200" i="13"/>
  <c r="N2200" i="13"/>
  <c r="M2200" i="13"/>
  <c r="L2200" i="13"/>
  <c r="K2200" i="13"/>
  <c r="J2200" i="13"/>
  <c r="I2200" i="13"/>
  <c r="H2200" i="13"/>
  <c r="G2200" i="13"/>
  <c r="AD2199" i="13"/>
  <c r="AC2199" i="13"/>
  <c r="AB2199" i="13"/>
  <c r="AA2199" i="13"/>
  <c r="Z2199" i="13"/>
  <c r="Y2199" i="13"/>
  <c r="X2199" i="13"/>
  <c r="W2199" i="13"/>
  <c r="V2199" i="13"/>
  <c r="U2199" i="13"/>
  <c r="T2199" i="13"/>
  <c r="S2199" i="13"/>
  <c r="R2199" i="13"/>
  <c r="Q2199" i="13"/>
  <c r="P2199" i="13"/>
  <c r="O2199" i="13"/>
  <c r="N2199" i="13"/>
  <c r="M2199" i="13"/>
  <c r="L2199" i="13"/>
  <c r="K2199" i="13"/>
  <c r="J2199" i="13"/>
  <c r="I2199" i="13"/>
  <c r="H2199" i="13"/>
  <c r="G2199" i="13"/>
  <c r="AD2198" i="13"/>
  <c r="AC2198" i="13"/>
  <c r="AB2198" i="13"/>
  <c r="AA2198" i="13"/>
  <c r="Z2198" i="13"/>
  <c r="Y2198" i="13"/>
  <c r="X2198" i="13"/>
  <c r="W2198" i="13"/>
  <c r="V2198" i="13"/>
  <c r="U2198" i="13"/>
  <c r="T2198" i="13"/>
  <c r="S2198" i="13"/>
  <c r="R2198" i="13"/>
  <c r="Q2198" i="13"/>
  <c r="P2198" i="13"/>
  <c r="O2198" i="13"/>
  <c r="N2198" i="13"/>
  <c r="M2198" i="13"/>
  <c r="L2198" i="13"/>
  <c r="K2198" i="13"/>
  <c r="J2198" i="13"/>
  <c r="I2198" i="13"/>
  <c r="H2198" i="13"/>
  <c r="G2198" i="13"/>
  <c r="AD2197" i="13"/>
  <c r="AC2197" i="13"/>
  <c r="AB2197" i="13"/>
  <c r="AA2197" i="13"/>
  <c r="Z2197" i="13"/>
  <c r="Y2197" i="13"/>
  <c r="X2197" i="13"/>
  <c r="W2197" i="13"/>
  <c r="V2197" i="13"/>
  <c r="U2197" i="13"/>
  <c r="T2197" i="13"/>
  <c r="S2197" i="13"/>
  <c r="R2197" i="13"/>
  <c r="Q2197" i="13"/>
  <c r="P2197" i="13"/>
  <c r="O2197" i="13"/>
  <c r="N2197" i="13"/>
  <c r="M2197" i="13"/>
  <c r="L2197" i="13"/>
  <c r="K2197" i="13"/>
  <c r="J2197" i="13"/>
  <c r="I2197" i="13"/>
  <c r="H2197" i="13"/>
  <c r="G2197" i="13"/>
  <c r="AD2196" i="13"/>
  <c r="AC2196" i="13"/>
  <c r="AB2196" i="13"/>
  <c r="AA2196" i="13"/>
  <c r="Z2196" i="13"/>
  <c r="Y2196" i="13"/>
  <c r="X2196" i="13"/>
  <c r="W2196" i="13"/>
  <c r="V2196" i="13"/>
  <c r="U2196" i="13"/>
  <c r="T2196" i="13"/>
  <c r="S2196" i="13"/>
  <c r="R2196" i="13"/>
  <c r="Q2196" i="13"/>
  <c r="P2196" i="13"/>
  <c r="O2196" i="13"/>
  <c r="N2196" i="13"/>
  <c r="M2196" i="13"/>
  <c r="L2196" i="13"/>
  <c r="K2196" i="13"/>
  <c r="J2196" i="13"/>
  <c r="I2196" i="13"/>
  <c r="H2196" i="13"/>
  <c r="G2196" i="13"/>
  <c r="AD2195" i="13"/>
  <c r="AC2195" i="13"/>
  <c r="AB2195" i="13"/>
  <c r="AA2195" i="13"/>
  <c r="Z2195" i="13"/>
  <c r="Y2195" i="13"/>
  <c r="X2195" i="13"/>
  <c r="W2195" i="13"/>
  <c r="V2195" i="13"/>
  <c r="U2195" i="13"/>
  <c r="T2195" i="13"/>
  <c r="S2195" i="13"/>
  <c r="R2195" i="13"/>
  <c r="Q2195" i="13"/>
  <c r="P2195" i="13"/>
  <c r="O2195" i="13"/>
  <c r="N2195" i="13"/>
  <c r="M2195" i="13"/>
  <c r="L2195" i="13"/>
  <c r="K2195" i="13"/>
  <c r="J2195" i="13"/>
  <c r="I2195" i="13"/>
  <c r="H2195" i="13"/>
  <c r="G2195" i="13"/>
  <c r="AD2194" i="13"/>
  <c r="AC2194" i="13"/>
  <c r="AB2194" i="13"/>
  <c r="AA2194" i="13"/>
  <c r="Z2194" i="13"/>
  <c r="Y2194" i="13"/>
  <c r="X2194" i="13"/>
  <c r="W2194" i="13"/>
  <c r="V2194" i="13"/>
  <c r="U2194" i="13"/>
  <c r="T2194" i="13"/>
  <c r="S2194" i="13"/>
  <c r="R2194" i="13"/>
  <c r="Q2194" i="13"/>
  <c r="P2194" i="13"/>
  <c r="O2194" i="13"/>
  <c r="N2194" i="13"/>
  <c r="M2194" i="13"/>
  <c r="L2194" i="13"/>
  <c r="K2194" i="13"/>
  <c r="J2194" i="13"/>
  <c r="I2194" i="13"/>
  <c r="H2194" i="13"/>
  <c r="G2194" i="13"/>
  <c r="AD2193" i="13"/>
  <c r="AC2193" i="13"/>
  <c r="AB2193" i="13"/>
  <c r="AA2193" i="13"/>
  <c r="Z2193" i="13"/>
  <c r="Y2193" i="13"/>
  <c r="X2193" i="13"/>
  <c r="W2193" i="13"/>
  <c r="V2193" i="13"/>
  <c r="U2193" i="13"/>
  <c r="T2193" i="13"/>
  <c r="S2193" i="13"/>
  <c r="R2193" i="13"/>
  <c r="Q2193" i="13"/>
  <c r="P2193" i="13"/>
  <c r="O2193" i="13"/>
  <c r="N2193" i="13"/>
  <c r="M2193" i="13"/>
  <c r="L2193" i="13"/>
  <c r="K2193" i="13"/>
  <c r="J2193" i="13"/>
  <c r="I2193" i="13"/>
  <c r="H2193" i="13"/>
  <c r="G2193" i="13"/>
  <c r="AD2192" i="13"/>
  <c r="AC2192" i="13"/>
  <c r="AB2192" i="13"/>
  <c r="AA2192" i="13"/>
  <c r="Z2192" i="13"/>
  <c r="Y2192" i="13"/>
  <c r="X2192" i="13"/>
  <c r="W2192" i="13"/>
  <c r="V2192" i="13"/>
  <c r="U2192" i="13"/>
  <c r="T2192" i="13"/>
  <c r="S2192" i="13"/>
  <c r="R2192" i="13"/>
  <c r="Q2192" i="13"/>
  <c r="P2192" i="13"/>
  <c r="O2192" i="13"/>
  <c r="N2192" i="13"/>
  <c r="M2192" i="13"/>
  <c r="L2192" i="13"/>
  <c r="K2192" i="13"/>
  <c r="J2192" i="13"/>
  <c r="I2192" i="13"/>
  <c r="H2192" i="13"/>
  <c r="G2192" i="13"/>
  <c r="AI2191" i="13"/>
  <c r="AH2191" i="13"/>
  <c r="AG2191" i="13"/>
  <c r="AF2191" i="13"/>
  <c r="F2191" i="13"/>
  <c r="AI2190" i="13"/>
  <c r="AH2190" i="13"/>
  <c r="AG2190" i="13"/>
  <c r="AF2190" i="13"/>
  <c r="F2190" i="13"/>
  <c r="AI2189" i="13"/>
  <c r="AH2189" i="13"/>
  <c r="AG2189" i="13"/>
  <c r="AF2189" i="13"/>
  <c r="F2189" i="13"/>
  <c r="AI2188" i="13"/>
  <c r="AH2188" i="13"/>
  <c r="AG2188" i="13" s="1"/>
  <c r="AF2188" i="13"/>
  <c r="F2188" i="13"/>
  <c r="AI2187" i="13"/>
  <c r="AH2187" i="13"/>
  <c r="AG2187" i="13"/>
  <c r="AF2187" i="13"/>
  <c r="F2187" i="13"/>
  <c r="AI2186" i="13"/>
  <c r="AH2186" i="13"/>
  <c r="AG2186" i="13" s="1"/>
  <c r="AF2186" i="13"/>
  <c r="F2186" i="13"/>
  <c r="AI2185" i="13"/>
  <c r="AH2185" i="13"/>
  <c r="AG2185" i="13"/>
  <c r="AF2185" i="13"/>
  <c r="F2185" i="13"/>
  <c r="AI2184" i="13"/>
  <c r="AH2184" i="13"/>
  <c r="AG2184" i="13" s="1"/>
  <c r="AF2184" i="13"/>
  <c r="F2184" i="13"/>
  <c r="AI2183" i="13"/>
  <c r="AH2183" i="13"/>
  <c r="AG2183" i="13"/>
  <c r="AF2183" i="13"/>
  <c r="F2183" i="13"/>
  <c r="AI2182" i="13"/>
  <c r="AH2182" i="13"/>
  <c r="AG2182" i="13"/>
  <c r="AF2182" i="13"/>
  <c r="F2182" i="13"/>
  <c r="AI2181" i="13"/>
  <c r="AH2181" i="13"/>
  <c r="AG2181" i="13"/>
  <c r="AF2181" i="13"/>
  <c r="F2181" i="13"/>
  <c r="AI2180" i="13"/>
  <c r="AH2180" i="13"/>
  <c r="AG2180" i="13" s="1"/>
  <c r="AF2180" i="13"/>
  <c r="F2180" i="13"/>
  <c r="AI2179" i="13"/>
  <c r="AH2179" i="13"/>
  <c r="AG2179" i="13"/>
  <c r="AF2179" i="13"/>
  <c r="F2179" i="13"/>
  <c r="AI2178" i="13"/>
  <c r="AH2178" i="13"/>
  <c r="AG2178" i="13" s="1"/>
  <c r="AF2178" i="13"/>
  <c r="F2178" i="13"/>
  <c r="AI2177" i="13"/>
  <c r="AH2177" i="13"/>
  <c r="AG2177" i="13" s="1"/>
  <c r="AF2177" i="13"/>
  <c r="F2177" i="13"/>
  <c r="AI2176" i="13"/>
  <c r="AH2176" i="13"/>
  <c r="AG2176" i="13" s="1"/>
  <c r="AF2176" i="13"/>
  <c r="F2176" i="13"/>
  <c r="AI2175" i="13"/>
  <c r="AH2175" i="13"/>
  <c r="AG2175" i="13"/>
  <c r="AF2175" i="13"/>
  <c r="F2175" i="13"/>
  <c r="AI2174" i="13"/>
  <c r="AH2174" i="13"/>
  <c r="AG2174" i="13"/>
  <c r="AF2174" i="13"/>
  <c r="F2174" i="13"/>
  <c r="AI2173" i="13"/>
  <c r="AH2173" i="13"/>
  <c r="AG2173" i="13"/>
  <c r="AF2173" i="13"/>
  <c r="F2173" i="13"/>
  <c r="AI2172" i="13"/>
  <c r="AH2172" i="13"/>
  <c r="AG2172" i="13" s="1"/>
  <c r="AF2172" i="13"/>
  <c r="F2172" i="13"/>
  <c r="AI2171" i="13"/>
  <c r="AH2171" i="13"/>
  <c r="AG2171" i="13"/>
  <c r="AF2171" i="13"/>
  <c r="F2171" i="13"/>
  <c r="AI2170" i="13"/>
  <c r="AH2170" i="13"/>
  <c r="AG2170" i="13" s="1"/>
  <c r="AF2170" i="13"/>
  <c r="F2170" i="13"/>
  <c r="AI2169" i="13"/>
  <c r="AH2169" i="13"/>
  <c r="AG2169" i="13" s="1"/>
  <c r="AF2169" i="13"/>
  <c r="F2169" i="13"/>
  <c r="AI2168" i="13"/>
  <c r="AH2168" i="13"/>
  <c r="AG2168" i="13" s="1"/>
  <c r="AF2168" i="13"/>
  <c r="F2168" i="13"/>
  <c r="AI2167" i="13"/>
  <c r="AH2167" i="13"/>
  <c r="AG2167" i="13"/>
  <c r="AF2167" i="13"/>
  <c r="F2167" i="13"/>
  <c r="AI2166" i="13"/>
  <c r="AH2166" i="13"/>
  <c r="AG2166" i="13"/>
  <c r="AF2166" i="13"/>
  <c r="F2166" i="13"/>
  <c r="AI2165" i="13"/>
  <c r="AH2165" i="13"/>
  <c r="AG2165" i="13"/>
  <c r="AF2165" i="13"/>
  <c r="F2165" i="13"/>
  <c r="AI2164" i="13"/>
  <c r="AH2164" i="13"/>
  <c r="AG2164" i="13" s="1"/>
  <c r="AF2164" i="13"/>
  <c r="F2164" i="13"/>
  <c r="AI2163" i="13"/>
  <c r="AH2163" i="13"/>
  <c r="AG2163" i="13"/>
  <c r="AF2163" i="13"/>
  <c r="F2163" i="13"/>
  <c r="AI2162" i="13"/>
  <c r="AH2162" i="13"/>
  <c r="AG2162" i="13" s="1"/>
  <c r="AF2162" i="13"/>
  <c r="F2162" i="13"/>
  <c r="AI2161" i="13"/>
  <c r="AH2161" i="13"/>
  <c r="AG2161" i="13" s="1"/>
  <c r="AF2161" i="13"/>
  <c r="F2161" i="13"/>
  <c r="AI2160" i="13"/>
  <c r="AH2160" i="13"/>
  <c r="AG2160" i="13" s="1"/>
  <c r="AF2160" i="13"/>
  <c r="F2160" i="13"/>
  <c r="AI2159" i="13"/>
  <c r="AH2159" i="13"/>
  <c r="AG2159" i="13"/>
  <c r="AF2159" i="13"/>
  <c r="F2159" i="13"/>
  <c r="AI2158" i="13"/>
  <c r="AH2158" i="13"/>
  <c r="AG2158" i="13"/>
  <c r="AF2158" i="13"/>
  <c r="F2158" i="13"/>
  <c r="AI2157" i="13"/>
  <c r="AH2157" i="13"/>
  <c r="AG2157" i="13"/>
  <c r="AF2157" i="13"/>
  <c r="F2157" i="13"/>
  <c r="AI2156" i="13"/>
  <c r="AH2156" i="13"/>
  <c r="AG2156" i="13" s="1"/>
  <c r="AF2156" i="13"/>
  <c r="F2156" i="13"/>
  <c r="AI2155" i="13"/>
  <c r="AH2155" i="13"/>
  <c r="AG2155" i="13"/>
  <c r="AF2155" i="13"/>
  <c r="F2155" i="13"/>
  <c r="AI2154" i="13"/>
  <c r="AH2154" i="13"/>
  <c r="AG2154" i="13" s="1"/>
  <c r="AF2154" i="13"/>
  <c r="F2154" i="13"/>
  <c r="AI2153" i="13"/>
  <c r="AH2153" i="13"/>
  <c r="AG2153" i="13"/>
  <c r="AF2153" i="13"/>
  <c r="F2153" i="13"/>
  <c r="AI2152" i="13"/>
  <c r="AH2152" i="13"/>
  <c r="AG2152" i="13" s="1"/>
  <c r="AF2152" i="13"/>
  <c r="F2152" i="13"/>
  <c r="AI2151" i="13"/>
  <c r="AH2151" i="13"/>
  <c r="AG2151" i="13"/>
  <c r="AF2151" i="13"/>
  <c r="F2151" i="13"/>
  <c r="AI2150" i="13"/>
  <c r="AH2150" i="13"/>
  <c r="AG2150" i="13"/>
  <c r="AF2150" i="13"/>
  <c r="F2150" i="13"/>
  <c r="AI2149" i="13"/>
  <c r="AH2149" i="13"/>
  <c r="AG2149" i="13"/>
  <c r="AF2149" i="13"/>
  <c r="F2149" i="13"/>
  <c r="AI2148" i="13"/>
  <c r="AH2148" i="13"/>
  <c r="AG2148" i="13" s="1"/>
  <c r="AF2148" i="13"/>
  <c r="F2148" i="13"/>
  <c r="AI2147" i="13"/>
  <c r="AH2147" i="13"/>
  <c r="AG2147" i="13" s="1"/>
  <c r="AF2147" i="13"/>
  <c r="F2147" i="13"/>
  <c r="AI2146" i="13"/>
  <c r="AH2146" i="13"/>
  <c r="AG2146" i="13" s="1"/>
  <c r="AF2146" i="13"/>
  <c r="F2146" i="13"/>
  <c r="AI2145" i="13"/>
  <c r="AH2145" i="13"/>
  <c r="AG2145" i="13"/>
  <c r="AF2145" i="13"/>
  <c r="F2145" i="13"/>
  <c r="AI2144" i="13"/>
  <c r="AH2144" i="13"/>
  <c r="AG2144" i="13" s="1"/>
  <c r="AF2144" i="13"/>
  <c r="F2144" i="13"/>
  <c r="AI2143" i="13"/>
  <c r="AH2143" i="13"/>
  <c r="AG2143" i="13"/>
  <c r="AF2143" i="13"/>
  <c r="F2143" i="13"/>
  <c r="AI2142" i="13"/>
  <c r="AH2142" i="13"/>
  <c r="AG2142" i="13"/>
  <c r="AF2142" i="13"/>
  <c r="F2142" i="13"/>
  <c r="AI2141" i="13"/>
  <c r="AH2141" i="13"/>
  <c r="AG2141" i="13"/>
  <c r="AF2141" i="13"/>
  <c r="F2141" i="13"/>
  <c r="AI2140" i="13"/>
  <c r="AH2140" i="13"/>
  <c r="AG2140" i="13" s="1"/>
  <c r="AF2140" i="13"/>
  <c r="F2140" i="13"/>
  <c r="AI2139" i="13"/>
  <c r="AH2139" i="13"/>
  <c r="AG2139" i="13"/>
  <c r="AF2139" i="13"/>
  <c r="F2139" i="13"/>
  <c r="AI2138" i="13"/>
  <c r="AH2138" i="13"/>
  <c r="AG2138" i="13" s="1"/>
  <c r="AF2138" i="13"/>
  <c r="F2138" i="13"/>
  <c r="AI2137" i="13"/>
  <c r="AH2137" i="13"/>
  <c r="AG2137" i="13" s="1"/>
  <c r="AF2137" i="13"/>
  <c r="F2137" i="13"/>
  <c r="AI2136" i="13"/>
  <c r="AH2136" i="13"/>
  <c r="AG2136" i="13" s="1"/>
  <c r="AF2136" i="13"/>
  <c r="F2136" i="13"/>
  <c r="AI2135" i="13"/>
  <c r="AH2135" i="13"/>
  <c r="AG2135" i="13"/>
  <c r="AF2135" i="13"/>
  <c r="F2135" i="13"/>
  <c r="AI2134" i="13"/>
  <c r="AH2134" i="13"/>
  <c r="AG2134" i="13"/>
  <c r="AF2134" i="13"/>
  <c r="F2134" i="13"/>
  <c r="AI2133" i="13"/>
  <c r="AH2133" i="13"/>
  <c r="AG2133" i="13"/>
  <c r="AF2133" i="13"/>
  <c r="F2133" i="13"/>
  <c r="AI2132" i="13"/>
  <c r="AH2132" i="13"/>
  <c r="AG2132" i="13" s="1"/>
  <c r="AF2132" i="13"/>
  <c r="F2132" i="13"/>
  <c r="AI2131" i="13"/>
  <c r="AH2131" i="13"/>
  <c r="AG2131" i="13"/>
  <c r="AF2131" i="13"/>
  <c r="F2131" i="13"/>
  <c r="AI2130" i="13"/>
  <c r="AH2130" i="13"/>
  <c r="AG2130" i="13" s="1"/>
  <c r="AF2130" i="13"/>
  <c r="F2130" i="13"/>
  <c r="AI2129" i="13"/>
  <c r="AH2129" i="13"/>
  <c r="AG2129" i="13" s="1"/>
  <c r="AF2129" i="13"/>
  <c r="F2129" i="13"/>
  <c r="AI2128" i="13"/>
  <c r="AH2128" i="13"/>
  <c r="AG2128" i="13" s="1"/>
  <c r="AF2128" i="13"/>
  <c r="F2128" i="13"/>
  <c r="AI2127" i="13"/>
  <c r="AH2127" i="13"/>
  <c r="AG2127" i="13"/>
  <c r="AF2127" i="13"/>
  <c r="F2127" i="13"/>
  <c r="AI2126" i="13"/>
  <c r="AH2126" i="13"/>
  <c r="AG2126" i="13"/>
  <c r="AF2126" i="13"/>
  <c r="F2126" i="13"/>
  <c r="AI2125" i="13"/>
  <c r="AH2125" i="13"/>
  <c r="AG2125" i="13"/>
  <c r="AF2125" i="13"/>
  <c r="F2125" i="13"/>
  <c r="AI2124" i="13"/>
  <c r="AH2124" i="13"/>
  <c r="AG2124" i="13" s="1"/>
  <c r="AF2124" i="13"/>
  <c r="F2124" i="13"/>
  <c r="AI2123" i="13"/>
  <c r="AH2123" i="13"/>
  <c r="AG2123" i="13"/>
  <c r="AF2123" i="13"/>
  <c r="F2123" i="13"/>
  <c r="AI2122" i="13"/>
  <c r="AH2122" i="13"/>
  <c r="AG2122" i="13" s="1"/>
  <c r="AF2122" i="13"/>
  <c r="F2122" i="13"/>
  <c r="AI2121" i="13"/>
  <c r="AH2121" i="13"/>
  <c r="AG2121" i="13" s="1"/>
  <c r="AF2121" i="13"/>
  <c r="F2121" i="13"/>
  <c r="AI2120" i="13"/>
  <c r="AH2120" i="13"/>
  <c r="AG2120" i="13" s="1"/>
  <c r="AF2120" i="13"/>
  <c r="F2120" i="13"/>
  <c r="AI2119" i="13"/>
  <c r="AH2119" i="13"/>
  <c r="AG2119" i="13"/>
  <c r="AF2119" i="13"/>
  <c r="F2119" i="13"/>
  <c r="AI2118" i="13"/>
  <c r="AH2118" i="13"/>
  <c r="AG2118" i="13"/>
  <c r="AF2118" i="13"/>
  <c r="F2118" i="13"/>
  <c r="AI2117" i="13"/>
  <c r="AH2117" i="13"/>
  <c r="AG2117" i="13"/>
  <c r="AF2117" i="13"/>
  <c r="F2117" i="13"/>
  <c r="AI2116" i="13"/>
  <c r="AH2116" i="13"/>
  <c r="AG2116" i="13" s="1"/>
  <c r="AF2116" i="13"/>
  <c r="F2116" i="13"/>
  <c r="AI2115" i="13"/>
  <c r="AH2115" i="13"/>
  <c r="AG2115" i="13"/>
  <c r="AF2115" i="13"/>
  <c r="F2115" i="13"/>
  <c r="AI2114" i="13"/>
  <c r="AH2114" i="13"/>
  <c r="AG2114" i="13" s="1"/>
  <c r="AF2114" i="13"/>
  <c r="F2114" i="13"/>
  <c r="AI2113" i="13"/>
  <c r="AH2113" i="13"/>
  <c r="AG2113" i="13"/>
  <c r="AF2113" i="13"/>
  <c r="F2113" i="13"/>
  <c r="AI2112" i="13"/>
  <c r="AH2112" i="13"/>
  <c r="AG2112" i="13" s="1"/>
  <c r="AF2112" i="13"/>
  <c r="F2112" i="13"/>
  <c r="AI2111" i="13"/>
  <c r="AH2111" i="13"/>
  <c r="AG2111" i="13"/>
  <c r="AF2111" i="13"/>
  <c r="F2111" i="13"/>
  <c r="AI2110" i="13"/>
  <c r="AH2110" i="13"/>
  <c r="AG2110" i="13"/>
  <c r="AF2110" i="13"/>
  <c r="F2110" i="13"/>
  <c r="AI2109" i="13"/>
  <c r="AH2109" i="13"/>
  <c r="AG2109" i="13"/>
  <c r="AF2109" i="13"/>
  <c r="F2109" i="13"/>
  <c r="AI2108" i="13"/>
  <c r="AH2108" i="13"/>
  <c r="AG2108" i="13" s="1"/>
  <c r="AF2108" i="13"/>
  <c r="F2108" i="13"/>
  <c r="AI2107" i="13"/>
  <c r="AH2107" i="13"/>
  <c r="AG2107" i="13"/>
  <c r="AF2107" i="13"/>
  <c r="F2107" i="13"/>
  <c r="AI2106" i="13"/>
  <c r="AH2106" i="13"/>
  <c r="AG2106" i="13" s="1"/>
  <c r="AF2106" i="13"/>
  <c r="F2106" i="13"/>
  <c r="AI2105" i="13"/>
  <c r="AH2105" i="13"/>
  <c r="AG2105" i="13"/>
  <c r="AF2105" i="13"/>
  <c r="F2105" i="13"/>
  <c r="AI2104" i="13"/>
  <c r="AH2104" i="13"/>
  <c r="AG2104" i="13" s="1"/>
  <c r="AF2104" i="13"/>
  <c r="F2104" i="13"/>
  <c r="AI2103" i="13"/>
  <c r="AH2103" i="13"/>
  <c r="AG2103" i="13"/>
  <c r="AF2103" i="13"/>
  <c r="F2103" i="13"/>
  <c r="AI2102" i="13"/>
  <c r="AH2102" i="13"/>
  <c r="AG2102" i="13"/>
  <c r="AF2102" i="13"/>
  <c r="F2102" i="13"/>
  <c r="AI2101" i="13"/>
  <c r="AH2101" i="13"/>
  <c r="AG2101" i="13"/>
  <c r="AF2101" i="13"/>
  <c r="F2101" i="13"/>
  <c r="AI2100" i="13"/>
  <c r="AH2100" i="13"/>
  <c r="AG2100" i="13" s="1"/>
  <c r="AF2100" i="13"/>
  <c r="F2100" i="13"/>
  <c r="AI2099" i="13"/>
  <c r="AH2099" i="13"/>
  <c r="AG2099" i="13"/>
  <c r="AF2099" i="13"/>
  <c r="F2099" i="13"/>
  <c r="AI2098" i="13"/>
  <c r="AH2098" i="13"/>
  <c r="AG2098" i="13" s="1"/>
  <c r="AF2098" i="13"/>
  <c r="F2098" i="13"/>
  <c r="AI2097" i="13"/>
  <c r="AH2097" i="13"/>
  <c r="AG2097" i="13" s="1"/>
  <c r="AF2097" i="13"/>
  <c r="F2097" i="13"/>
  <c r="AI2096" i="13"/>
  <c r="AH2096" i="13"/>
  <c r="AG2096" i="13" s="1"/>
  <c r="AF2096" i="13"/>
  <c r="F2096" i="13"/>
  <c r="AI2095" i="13"/>
  <c r="AH2095" i="13"/>
  <c r="AG2095" i="13"/>
  <c r="AF2095" i="13"/>
  <c r="F2095" i="13"/>
  <c r="AI2094" i="13"/>
  <c r="AH2094" i="13"/>
  <c r="AG2094" i="13"/>
  <c r="AF2094" i="13"/>
  <c r="F2094" i="13"/>
  <c r="AI2093" i="13"/>
  <c r="AH2093" i="13"/>
  <c r="AG2093" i="13"/>
  <c r="AF2093" i="13"/>
  <c r="F2093" i="13"/>
  <c r="AI2092" i="13"/>
  <c r="AH2092" i="13"/>
  <c r="AG2092" i="13" s="1"/>
  <c r="AF2092" i="13"/>
  <c r="F2092" i="13"/>
  <c r="AI2091" i="13"/>
  <c r="AH2091" i="13"/>
  <c r="AG2091" i="13"/>
  <c r="AF2091" i="13"/>
  <c r="F2091" i="13"/>
  <c r="AI2090" i="13"/>
  <c r="AH2090" i="13"/>
  <c r="AG2090" i="13" s="1"/>
  <c r="AF2090" i="13"/>
  <c r="F2090" i="13"/>
  <c r="AI2089" i="13"/>
  <c r="AH2089" i="13"/>
  <c r="AG2089" i="13" s="1"/>
  <c r="AF2089" i="13"/>
  <c r="F2089" i="13"/>
  <c r="AI2088" i="13"/>
  <c r="AH2088" i="13"/>
  <c r="AG2088" i="13" s="1"/>
  <c r="AF2088" i="13"/>
  <c r="F2088" i="13"/>
  <c r="AI2087" i="13"/>
  <c r="AH2087" i="13"/>
  <c r="AG2087" i="13"/>
  <c r="AF2087" i="13"/>
  <c r="F2087" i="13"/>
  <c r="AI2086" i="13"/>
  <c r="AH2086" i="13"/>
  <c r="AG2086" i="13"/>
  <c r="AF2086" i="13"/>
  <c r="F2086" i="13"/>
  <c r="AI2085" i="13"/>
  <c r="AH2085" i="13"/>
  <c r="AG2085" i="13"/>
  <c r="AF2085" i="13"/>
  <c r="F2085" i="13"/>
  <c r="AI2084" i="13"/>
  <c r="AH2084" i="13"/>
  <c r="AG2084" i="13" s="1"/>
  <c r="AF2084" i="13"/>
  <c r="F2084" i="13"/>
  <c r="AI2083" i="13"/>
  <c r="AH2083" i="13"/>
  <c r="AG2083" i="13"/>
  <c r="AF2083" i="13"/>
  <c r="F2083" i="13"/>
  <c r="AI2082" i="13"/>
  <c r="AH2082" i="13"/>
  <c r="AG2082" i="13" s="1"/>
  <c r="AF2082" i="13"/>
  <c r="F2082" i="13"/>
  <c r="AI2081" i="13"/>
  <c r="AH2081" i="13"/>
  <c r="AG2081" i="13"/>
  <c r="AF2081" i="13"/>
  <c r="F2081" i="13"/>
  <c r="AI2080" i="13"/>
  <c r="AH2080" i="13"/>
  <c r="AG2080" i="13" s="1"/>
  <c r="AF2080" i="13"/>
  <c r="F2080" i="13"/>
  <c r="AI2079" i="13"/>
  <c r="AH2079" i="13"/>
  <c r="AG2079" i="13"/>
  <c r="AF2079" i="13"/>
  <c r="F2079" i="13"/>
  <c r="AI2078" i="13"/>
  <c r="AH2078" i="13"/>
  <c r="AG2078" i="13"/>
  <c r="AF2078" i="13"/>
  <c r="F2078" i="13"/>
  <c r="AI2077" i="13"/>
  <c r="AH2077" i="13"/>
  <c r="AG2077" i="13"/>
  <c r="AF2077" i="13"/>
  <c r="F2077" i="13"/>
  <c r="AI2076" i="13"/>
  <c r="AH2076" i="13"/>
  <c r="AG2076" i="13" s="1"/>
  <c r="AF2076" i="13"/>
  <c r="F2076" i="13"/>
  <c r="AI2075" i="13"/>
  <c r="AH2075" i="13"/>
  <c r="AG2075" i="13"/>
  <c r="AF2075" i="13"/>
  <c r="F2075" i="13"/>
  <c r="AI2074" i="13"/>
  <c r="AH2074" i="13"/>
  <c r="AG2074" i="13" s="1"/>
  <c r="AF2074" i="13"/>
  <c r="F2074" i="13"/>
  <c r="AI2073" i="13"/>
  <c r="AH2073" i="13"/>
  <c r="AG2073" i="13"/>
  <c r="AF2073" i="13"/>
  <c r="F2073" i="13"/>
  <c r="AI2072" i="13"/>
  <c r="AH2072" i="13"/>
  <c r="AG2072" i="13" s="1"/>
  <c r="AF2072" i="13"/>
  <c r="F2072" i="13"/>
  <c r="AI2071" i="13"/>
  <c r="AH2071" i="13"/>
  <c r="AG2071" i="13"/>
  <c r="AF2071" i="13"/>
  <c r="F2071" i="13"/>
  <c r="AI2070" i="13"/>
  <c r="AH2070" i="13"/>
  <c r="AG2070" i="13"/>
  <c r="AF2070" i="13"/>
  <c r="F2070" i="13"/>
  <c r="AI2069" i="13"/>
  <c r="AH2069" i="13"/>
  <c r="AG2069" i="13"/>
  <c r="AF2069" i="13"/>
  <c r="F2069" i="13"/>
  <c r="AI2068" i="13"/>
  <c r="AH2068" i="13"/>
  <c r="AG2068" i="13" s="1"/>
  <c r="AF2068" i="13"/>
  <c r="F2068" i="13"/>
  <c r="AI2067" i="13"/>
  <c r="AH2067" i="13"/>
  <c r="AG2067" i="13"/>
  <c r="AF2067" i="13"/>
  <c r="F2067" i="13"/>
  <c r="AI2066" i="13"/>
  <c r="AH2066" i="13"/>
  <c r="AG2066" i="13" s="1"/>
  <c r="AF2066" i="13"/>
  <c r="F2066" i="13"/>
  <c r="AI2065" i="13"/>
  <c r="AH2065" i="13"/>
  <c r="AG2065" i="13" s="1"/>
  <c r="AF2065" i="13"/>
  <c r="F2065" i="13"/>
  <c r="AI2064" i="13"/>
  <c r="AH2064" i="13"/>
  <c r="AG2064" i="13" s="1"/>
  <c r="AF2064" i="13"/>
  <c r="F2064" i="13"/>
  <c r="AI2063" i="13"/>
  <c r="AH2063" i="13"/>
  <c r="AG2063" i="13"/>
  <c r="AF2063" i="13"/>
  <c r="F2063" i="13"/>
  <c r="AI2062" i="13"/>
  <c r="AH2062" i="13"/>
  <c r="AG2062" i="13"/>
  <c r="AF2062" i="13"/>
  <c r="F2062" i="13"/>
  <c r="AI2061" i="13"/>
  <c r="AH2061" i="13"/>
  <c r="AG2061" i="13"/>
  <c r="AF2061" i="13"/>
  <c r="F2061" i="13"/>
  <c r="AI2060" i="13"/>
  <c r="AH2060" i="13"/>
  <c r="AG2060" i="13" s="1"/>
  <c r="AF2060" i="13"/>
  <c r="F2060" i="13"/>
  <c r="AI2059" i="13"/>
  <c r="AH2059" i="13"/>
  <c r="AG2059" i="13"/>
  <c r="AF2059" i="13"/>
  <c r="F2059" i="13"/>
  <c r="AI2058" i="13"/>
  <c r="AH2058" i="13"/>
  <c r="AG2058" i="13" s="1"/>
  <c r="AF2058" i="13"/>
  <c r="F2058" i="13"/>
  <c r="AI2057" i="13"/>
  <c r="AH2057" i="13"/>
  <c r="AG2057" i="13" s="1"/>
  <c r="AF2057" i="13"/>
  <c r="F2057" i="13"/>
  <c r="AI2056" i="13"/>
  <c r="AH2056" i="13"/>
  <c r="AG2056" i="13" s="1"/>
  <c r="AF2056" i="13"/>
  <c r="F2056" i="13"/>
  <c r="AI2055" i="13"/>
  <c r="AH2055" i="13"/>
  <c r="AG2055" i="13"/>
  <c r="AF2055" i="13"/>
  <c r="F2055" i="13"/>
  <c r="AI2054" i="13"/>
  <c r="AH2054" i="13"/>
  <c r="AG2054" i="13"/>
  <c r="AF2054" i="13"/>
  <c r="F2054" i="13"/>
  <c r="AI2053" i="13"/>
  <c r="AH2053" i="13"/>
  <c r="AG2053" i="13"/>
  <c r="AF2053" i="13"/>
  <c r="F2053" i="13"/>
  <c r="AI2052" i="13"/>
  <c r="AH2052" i="13"/>
  <c r="AG2052" i="13" s="1"/>
  <c r="AF2052" i="13"/>
  <c r="F2052" i="13"/>
  <c r="AI2051" i="13"/>
  <c r="AH2051" i="13"/>
  <c r="AG2051" i="13"/>
  <c r="AF2051" i="13"/>
  <c r="F2051" i="13"/>
  <c r="AI2050" i="13"/>
  <c r="AH2050" i="13"/>
  <c r="AG2050" i="13" s="1"/>
  <c r="AF2050" i="13"/>
  <c r="F2050" i="13"/>
  <c r="AI2049" i="13"/>
  <c r="AH2049" i="13"/>
  <c r="AG2049" i="13"/>
  <c r="AF2049" i="13"/>
  <c r="F2049" i="13"/>
  <c r="AI2048" i="13"/>
  <c r="AH2048" i="13"/>
  <c r="AG2048" i="13" s="1"/>
  <c r="AF2048" i="13"/>
  <c r="F2048" i="13"/>
  <c r="AI2047" i="13"/>
  <c r="AH2047" i="13"/>
  <c r="AG2047" i="13"/>
  <c r="AF2047" i="13"/>
  <c r="F2047" i="13"/>
  <c r="AI2046" i="13"/>
  <c r="AH2046" i="13"/>
  <c r="AG2046" i="13"/>
  <c r="AF2046" i="13"/>
  <c r="F2046" i="13"/>
  <c r="AI2045" i="13"/>
  <c r="AH2045" i="13"/>
  <c r="AG2045" i="13"/>
  <c r="AF2045" i="13"/>
  <c r="F2045" i="13"/>
  <c r="AI2044" i="13"/>
  <c r="AH2044" i="13"/>
  <c r="AG2044" i="13" s="1"/>
  <c r="AF2044" i="13"/>
  <c r="F2044" i="13"/>
  <c r="AI2043" i="13"/>
  <c r="AH2043" i="13"/>
  <c r="AG2043" i="13"/>
  <c r="AF2043" i="13"/>
  <c r="F2043" i="13"/>
  <c r="AI2042" i="13"/>
  <c r="AH2042" i="13"/>
  <c r="AG2042" i="13" s="1"/>
  <c r="AF2042" i="13"/>
  <c r="F2042" i="13"/>
  <c r="AI2041" i="13"/>
  <c r="AH2041" i="13"/>
  <c r="AG2041" i="13"/>
  <c r="AF2041" i="13"/>
  <c r="F2041" i="13"/>
  <c r="AI2040" i="13"/>
  <c r="AH2040" i="13"/>
  <c r="AG2040" i="13" s="1"/>
  <c r="AF2040" i="13"/>
  <c r="F2040" i="13"/>
  <c r="AI2039" i="13"/>
  <c r="AH2039" i="13"/>
  <c r="AG2039" i="13"/>
  <c r="AF2039" i="13"/>
  <c r="F2039" i="13"/>
  <c r="AI2038" i="13"/>
  <c r="AH2038" i="13"/>
  <c r="AG2038" i="13"/>
  <c r="AF2038" i="13"/>
  <c r="F2038" i="13"/>
  <c r="AI2037" i="13"/>
  <c r="AH2037" i="13"/>
  <c r="AG2037" i="13"/>
  <c r="AF2037" i="13"/>
  <c r="F2037" i="13"/>
  <c r="AI2036" i="13"/>
  <c r="AH2036" i="13"/>
  <c r="AG2036" i="13" s="1"/>
  <c r="AF2036" i="13"/>
  <c r="F2036" i="13"/>
  <c r="AI2035" i="13"/>
  <c r="AH2035" i="13"/>
  <c r="AG2035" i="13"/>
  <c r="AF2035" i="13"/>
  <c r="F2035" i="13"/>
  <c r="AI2034" i="13"/>
  <c r="AH2034" i="13"/>
  <c r="AG2034" i="13" s="1"/>
  <c r="AF2034" i="13"/>
  <c r="F2034" i="13"/>
  <c r="AI2033" i="13"/>
  <c r="AH2033" i="13"/>
  <c r="AG2033" i="13" s="1"/>
  <c r="AF2033" i="13"/>
  <c r="F2033" i="13"/>
  <c r="AI2032" i="13"/>
  <c r="AH2032" i="13"/>
  <c r="AG2032" i="13" s="1"/>
  <c r="AF2032" i="13"/>
  <c r="F2032" i="13"/>
  <c r="AI2031" i="13"/>
  <c r="AH2031" i="13"/>
  <c r="AG2031" i="13"/>
  <c r="AF2031" i="13"/>
  <c r="F2031" i="13"/>
  <c r="AI2030" i="13"/>
  <c r="AH2030" i="13"/>
  <c r="AG2030" i="13"/>
  <c r="AF2030" i="13"/>
  <c r="F2030" i="13"/>
  <c r="AI2029" i="13"/>
  <c r="AH2029" i="13"/>
  <c r="AG2029" i="13"/>
  <c r="AF2029" i="13"/>
  <c r="F2029" i="13"/>
  <c r="AI2028" i="13"/>
  <c r="AH2028" i="13"/>
  <c r="AG2028" i="13" s="1"/>
  <c r="AF2028" i="13"/>
  <c r="F2028" i="13"/>
  <c r="AI2027" i="13"/>
  <c r="AH2027" i="13"/>
  <c r="AG2027" i="13"/>
  <c r="AF2027" i="13"/>
  <c r="F2027" i="13"/>
  <c r="AI2026" i="13"/>
  <c r="AH2026" i="13"/>
  <c r="AG2026" i="13" s="1"/>
  <c r="AF2026" i="13"/>
  <c r="F2026" i="13"/>
  <c r="AI2025" i="13"/>
  <c r="AH2025" i="13"/>
  <c r="AG2025" i="13" s="1"/>
  <c r="AF2025" i="13"/>
  <c r="F2025" i="13"/>
  <c r="AI2024" i="13"/>
  <c r="AH2024" i="13"/>
  <c r="AG2024" i="13" s="1"/>
  <c r="AF2024" i="13"/>
  <c r="F2024" i="13"/>
  <c r="AI2023" i="13"/>
  <c r="AH2023" i="13"/>
  <c r="AG2023" i="13"/>
  <c r="AF2023" i="13"/>
  <c r="F2023" i="13"/>
  <c r="AI2022" i="13"/>
  <c r="AH2022" i="13"/>
  <c r="AG2022" i="13"/>
  <c r="AF2022" i="13"/>
  <c r="F2022" i="13"/>
  <c r="AI2021" i="13"/>
  <c r="AH2021" i="13"/>
  <c r="AG2021" i="13"/>
  <c r="AF2021" i="13"/>
  <c r="F2021" i="13"/>
  <c r="AI2020" i="13"/>
  <c r="AH2020" i="13"/>
  <c r="AG2020" i="13" s="1"/>
  <c r="AF2020" i="13"/>
  <c r="F2020" i="13"/>
  <c r="AI2019" i="13"/>
  <c r="AH2019" i="13"/>
  <c r="AG2019" i="13"/>
  <c r="AF2019" i="13"/>
  <c r="F2019" i="13"/>
  <c r="AI2018" i="13"/>
  <c r="AH2018" i="13"/>
  <c r="AG2018" i="13" s="1"/>
  <c r="AF2018" i="13"/>
  <c r="F2018" i="13"/>
  <c r="AI2017" i="13"/>
  <c r="AH2017" i="13"/>
  <c r="AG2017" i="13"/>
  <c r="AF2017" i="13"/>
  <c r="F2017" i="13"/>
  <c r="AI2016" i="13"/>
  <c r="AH2016" i="13"/>
  <c r="AG2016" i="13" s="1"/>
  <c r="AF2016" i="13"/>
  <c r="F2016" i="13"/>
  <c r="AI2015" i="13"/>
  <c r="AH2015" i="13"/>
  <c r="AG2015" i="13"/>
  <c r="AF2015" i="13"/>
  <c r="F2015" i="13"/>
  <c r="AI2014" i="13"/>
  <c r="AH2014" i="13"/>
  <c r="AG2014" i="13"/>
  <c r="AF2014" i="13"/>
  <c r="F2014" i="13"/>
  <c r="AI2013" i="13"/>
  <c r="AH2013" i="13"/>
  <c r="AG2013" i="13"/>
  <c r="AF2013" i="13"/>
  <c r="F2013" i="13"/>
  <c r="AI2012" i="13"/>
  <c r="AH2012" i="13"/>
  <c r="AG2012" i="13" s="1"/>
  <c r="AF2012" i="13"/>
  <c r="F2012" i="13"/>
  <c r="AI2011" i="13"/>
  <c r="AH2011" i="13"/>
  <c r="AG2011" i="13"/>
  <c r="AF2011" i="13"/>
  <c r="F2011" i="13"/>
  <c r="AI2010" i="13"/>
  <c r="AH2010" i="13"/>
  <c r="AG2010" i="13" s="1"/>
  <c r="AF2010" i="13"/>
  <c r="F2010" i="13"/>
  <c r="AI2009" i="13"/>
  <c r="AH2009" i="13"/>
  <c r="AG2009" i="13" s="1"/>
  <c r="AF2009" i="13"/>
  <c r="F2009" i="13"/>
  <c r="AI2008" i="13"/>
  <c r="AH2008" i="13"/>
  <c r="AG2008" i="13" s="1"/>
  <c r="AF2008" i="13"/>
  <c r="F2008" i="13"/>
  <c r="AI2007" i="13"/>
  <c r="AH2007" i="13"/>
  <c r="AG2007" i="13"/>
  <c r="AF2007" i="13"/>
  <c r="F2007" i="13"/>
  <c r="AI2006" i="13"/>
  <c r="AH2006" i="13"/>
  <c r="AG2006" i="13"/>
  <c r="AF2006" i="13"/>
  <c r="F2006" i="13"/>
  <c r="AI2005" i="13"/>
  <c r="AH2005" i="13"/>
  <c r="AG2005" i="13"/>
  <c r="AF2005" i="13"/>
  <c r="F2005" i="13"/>
  <c r="AI2004" i="13"/>
  <c r="AH2004" i="13"/>
  <c r="AG2004" i="13" s="1"/>
  <c r="AF2004" i="13"/>
  <c r="F2004" i="13"/>
  <c r="AI2003" i="13"/>
  <c r="AH2003" i="13"/>
  <c r="AG2003" i="13"/>
  <c r="AF2003" i="13"/>
  <c r="F2003" i="13"/>
  <c r="AI2002" i="13"/>
  <c r="AH2002" i="13"/>
  <c r="AG2002" i="13" s="1"/>
  <c r="AF2002" i="13"/>
  <c r="F2002" i="13"/>
  <c r="AI2001" i="13"/>
  <c r="AH2001" i="13"/>
  <c r="AG2001" i="13" s="1"/>
  <c r="AF2001" i="13"/>
  <c r="F2001" i="13"/>
  <c r="AI2000" i="13"/>
  <c r="AH2000" i="13"/>
  <c r="AG2000" i="13" s="1"/>
  <c r="AF2000" i="13"/>
  <c r="F2000" i="13"/>
  <c r="AI1999" i="13"/>
  <c r="AH1999" i="13"/>
  <c r="AG1999" i="13"/>
  <c r="AF1999" i="13"/>
  <c r="F1999" i="13"/>
  <c r="AI1998" i="13"/>
  <c r="AH1998" i="13"/>
  <c r="AG1998" i="13"/>
  <c r="AF1998" i="13"/>
  <c r="F1998" i="13"/>
  <c r="AI1997" i="13"/>
  <c r="AH1997" i="13"/>
  <c r="AG1997" i="13"/>
  <c r="AF1997" i="13"/>
  <c r="F1997" i="13"/>
  <c r="AI1996" i="13"/>
  <c r="AH1996" i="13"/>
  <c r="AG1996" i="13" s="1"/>
  <c r="AF1996" i="13"/>
  <c r="F1996" i="13"/>
  <c r="AI1995" i="13"/>
  <c r="AH1995" i="13"/>
  <c r="AG1995" i="13"/>
  <c r="AF1995" i="13"/>
  <c r="F1995" i="13"/>
  <c r="AI1994" i="13"/>
  <c r="AH1994" i="13"/>
  <c r="AG1994" i="13" s="1"/>
  <c r="AF1994" i="13"/>
  <c r="F1994" i="13"/>
  <c r="AI1993" i="13"/>
  <c r="AH1993" i="13"/>
  <c r="AG1993" i="13" s="1"/>
  <c r="AF1993" i="13"/>
  <c r="F1993" i="13"/>
  <c r="AI1992" i="13"/>
  <c r="AH1992" i="13"/>
  <c r="AG1992" i="13" s="1"/>
  <c r="AF1992" i="13"/>
  <c r="F1992" i="13"/>
  <c r="AI1991" i="13"/>
  <c r="AH1991" i="13"/>
  <c r="AG1991" i="13"/>
  <c r="AF1991" i="13"/>
  <c r="F1991" i="13"/>
  <c r="AI1990" i="13"/>
  <c r="AH1990" i="13"/>
  <c r="AG1990" i="13"/>
  <c r="AF1990" i="13"/>
  <c r="F1990" i="13"/>
  <c r="AI1989" i="13"/>
  <c r="AH1989" i="13"/>
  <c r="AG1989" i="13"/>
  <c r="AF1989" i="13"/>
  <c r="F1989" i="13"/>
  <c r="AI1988" i="13"/>
  <c r="AH1988" i="13"/>
  <c r="AG1988" i="13" s="1"/>
  <c r="AF1988" i="13"/>
  <c r="F1988" i="13"/>
  <c r="AI1987" i="13"/>
  <c r="AH1987" i="13"/>
  <c r="AG1987" i="13"/>
  <c r="AF1987" i="13"/>
  <c r="F1987" i="13"/>
  <c r="AI1986" i="13"/>
  <c r="AH1986" i="13"/>
  <c r="AG1986" i="13" s="1"/>
  <c r="AF1986" i="13"/>
  <c r="F1986" i="13"/>
  <c r="AI1985" i="13"/>
  <c r="AH1985" i="13"/>
  <c r="AG1985" i="13"/>
  <c r="AF1985" i="13"/>
  <c r="F1985" i="13"/>
  <c r="AI1984" i="13"/>
  <c r="AH1984" i="13"/>
  <c r="AG1984" i="13" s="1"/>
  <c r="AF1984" i="13"/>
  <c r="F1984" i="13"/>
  <c r="AI1983" i="13"/>
  <c r="AH1983" i="13"/>
  <c r="AG1983" i="13"/>
  <c r="AF1983" i="13"/>
  <c r="F1983" i="13"/>
  <c r="AI1982" i="13"/>
  <c r="AH1982" i="13"/>
  <c r="AG1982" i="13"/>
  <c r="AF1982" i="13"/>
  <c r="F1982" i="13"/>
  <c r="AI1981" i="13"/>
  <c r="AH1981" i="13"/>
  <c r="AG1981" i="13"/>
  <c r="AF1981" i="13"/>
  <c r="F1981" i="13"/>
  <c r="AI1980" i="13"/>
  <c r="AH1980" i="13"/>
  <c r="AG1980" i="13" s="1"/>
  <c r="AF1980" i="13"/>
  <c r="F1980" i="13"/>
  <c r="AI1979" i="13"/>
  <c r="AH1979" i="13"/>
  <c r="AG1979" i="13"/>
  <c r="AF1979" i="13"/>
  <c r="F1979" i="13"/>
  <c r="AI1978" i="13"/>
  <c r="AH1978" i="13"/>
  <c r="AG1978" i="13" s="1"/>
  <c r="AF1978" i="13"/>
  <c r="F1978" i="13"/>
  <c r="AI1977" i="13"/>
  <c r="AH1977" i="13"/>
  <c r="AG1977" i="13"/>
  <c r="AF1977" i="13"/>
  <c r="F1977" i="13"/>
  <c r="AI1976" i="13"/>
  <c r="AH1976" i="13"/>
  <c r="AG1976" i="13" s="1"/>
  <c r="AF1976" i="13"/>
  <c r="F1976" i="13"/>
  <c r="AI1975" i="13"/>
  <c r="AH1975" i="13"/>
  <c r="AG1975" i="13"/>
  <c r="AF1975" i="13"/>
  <c r="F1975" i="13"/>
  <c r="AI1974" i="13"/>
  <c r="AH1974" i="13"/>
  <c r="AG1974" i="13"/>
  <c r="AF1974" i="13"/>
  <c r="F1974" i="13"/>
  <c r="AI1973" i="13"/>
  <c r="AH1973" i="13"/>
  <c r="AG1973" i="13"/>
  <c r="AF1973" i="13"/>
  <c r="F1973" i="13"/>
  <c r="AI1972" i="13"/>
  <c r="AH1972" i="13"/>
  <c r="AG1972" i="13" s="1"/>
  <c r="AF1972" i="13"/>
  <c r="F1972" i="13"/>
  <c r="AI1971" i="13"/>
  <c r="AH1971" i="13"/>
  <c r="AG1971" i="13"/>
  <c r="AF1971" i="13"/>
  <c r="F1971" i="13"/>
  <c r="AI1970" i="13"/>
  <c r="AH1970" i="13"/>
  <c r="AG1970" i="13" s="1"/>
  <c r="AF1970" i="13"/>
  <c r="F1970" i="13"/>
  <c r="AI1969" i="13"/>
  <c r="AH1969" i="13"/>
  <c r="AG1969" i="13" s="1"/>
  <c r="AF1969" i="13"/>
  <c r="F1969" i="13"/>
  <c r="AI1968" i="13"/>
  <c r="AH1968" i="13"/>
  <c r="AG1968" i="13" s="1"/>
  <c r="AF1968" i="13"/>
  <c r="F1968" i="13"/>
  <c r="AI1967" i="13"/>
  <c r="AH1967" i="13"/>
  <c r="AG1967" i="13"/>
  <c r="AF1967" i="13"/>
  <c r="F1967" i="13"/>
  <c r="AI1966" i="13"/>
  <c r="AH1966" i="13"/>
  <c r="AG1966" i="13"/>
  <c r="AF1966" i="13"/>
  <c r="F1966" i="13"/>
  <c r="AI1965" i="13"/>
  <c r="AH1965" i="13"/>
  <c r="AG1965" i="13"/>
  <c r="AF1965" i="13"/>
  <c r="F1965" i="13"/>
  <c r="AI1964" i="13"/>
  <c r="AH1964" i="13"/>
  <c r="AG1964" i="13" s="1"/>
  <c r="AF1964" i="13"/>
  <c r="F1964" i="13"/>
  <c r="AI1963" i="13"/>
  <c r="AH1963" i="13"/>
  <c r="AG1963" i="13"/>
  <c r="AF1963" i="13"/>
  <c r="F1963" i="13"/>
  <c r="AI1962" i="13"/>
  <c r="AH1962" i="13"/>
  <c r="AG1962" i="13" s="1"/>
  <c r="AF1962" i="13"/>
  <c r="F1962" i="13"/>
  <c r="AI1961" i="13"/>
  <c r="AH1961" i="13"/>
  <c r="AG1961" i="13" s="1"/>
  <c r="AF1961" i="13"/>
  <c r="F1961" i="13"/>
  <c r="AI1960" i="13"/>
  <c r="AH1960" i="13"/>
  <c r="AG1960" i="13" s="1"/>
  <c r="AF1960" i="13"/>
  <c r="F1960" i="13"/>
  <c r="AI1959" i="13"/>
  <c r="AH1959" i="13"/>
  <c r="AG1959" i="13"/>
  <c r="AF1959" i="13"/>
  <c r="F1959" i="13"/>
  <c r="AI1958" i="13"/>
  <c r="AH1958" i="13"/>
  <c r="AG1958" i="13"/>
  <c r="AF1958" i="13"/>
  <c r="F1958" i="13"/>
  <c r="AI1957" i="13"/>
  <c r="AH1957" i="13"/>
  <c r="AG1957" i="13"/>
  <c r="AF1957" i="13"/>
  <c r="F1957" i="13"/>
  <c r="AI1956" i="13"/>
  <c r="AH1956" i="13"/>
  <c r="AG1956" i="13" s="1"/>
  <c r="AF1956" i="13"/>
  <c r="F1956" i="13"/>
  <c r="AI1955" i="13"/>
  <c r="AH1955" i="13"/>
  <c r="AG1955" i="13"/>
  <c r="AF1955" i="13"/>
  <c r="F1955" i="13"/>
  <c r="AI1954" i="13"/>
  <c r="AH1954" i="13"/>
  <c r="AG1954" i="13" s="1"/>
  <c r="AF1954" i="13"/>
  <c r="F1954" i="13"/>
  <c r="AI1953" i="13"/>
  <c r="AH1953" i="13"/>
  <c r="AG1953" i="13"/>
  <c r="AF1953" i="13"/>
  <c r="F1953" i="13"/>
  <c r="AI1952" i="13"/>
  <c r="AH1952" i="13"/>
  <c r="AG1952" i="13" s="1"/>
  <c r="AF1952" i="13"/>
  <c r="F1952" i="13"/>
  <c r="AI1951" i="13"/>
  <c r="AH1951" i="13"/>
  <c r="AG1951" i="13"/>
  <c r="AF1951" i="13"/>
  <c r="F1951" i="13"/>
  <c r="AI1950" i="13"/>
  <c r="AH1950" i="13"/>
  <c r="AG1950" i="13"/>
  <c r="AF1950" i="13"/>
  <c r="F1950" i="13"/>
  <c r="AI1949" i="13"/>
  <c r="AH1949" i="13"/>
  <c r="AG1949" i="13"/>
  <c r="AF1949" i="13"/>
  <c r="F1949" i="13"/>
  <c r="AI1948" i="13"/>
  <c r="AH1948" i="13"/>
  <c r="AG1948" i="13" s="1"/>
  <c r="AF1948" i="13"/>
  <c r="F1948" i="13"/>
  <c r="AI1947" i="13"/>
  <c r="AH1947" i="13"/>
  <c r="AG1947" i="13"/>
  <c r="AF1947" i="13"/>
  <c r="F1947" i="13"/>
  <c r="AI1946" i="13"/>
  <c r="AH1946" i="13"/>
  <c r="AG1946" i="13" s="1"/>
  <c r="AF1946" i="13"/>
  <c r="F1946" i="13"/>
  <c r="AI1945" i="13"/>
  <c r="AH1945" i="13"/>
  <c r="AG1945" i="13"/>
  <c r="AF1945" i="13"/>
  <c r="F1945" i="13"/>
  <c r="AI1944" i="13"/>
  <c r="AH1944" i="13"/>
  <c r="AG1944" i="13" s="1"/>
  <c r="AF1944" i="13"/>
  <c r="F1944" i="13"/>
  <c r="AI1943" i="13"/>
  <c r="AH1943" i="13"/>
  <c r="AG1943" i="13"/>
  <c r="AF1943" i="13"/>
  <c r="F1943" i="13"/>
  <c r="AI1942" i="13"/>
  <c r="AH1942" i="13"/>
  <c r="AG1942" i="13"/>
  <c r="AF1942" i="13"/>
  <c r="F1942" i="13"/>
  <c r="AI1941" i="13"/>
  <c r="AH1941" i="13"/>
  <c r="AG1941" i="13"/>
  <c r="AF1941" i="13"/>
  <c r="F1941" i="13"/>
  <c r="AI1940" i="13"/>
  <c r="AH1940" i="13"/>
  <c r="AG1940" i="13" s="1"/>
  <c r="AF1940" i="13"/>
  <c r="F1940" i="13"/>
  <c r="AI1939" i="13"/>
  <c r="AH1939" i="13"/>
  <c r="AG1939" i="13"/>
  <c r="AF1939" i="13"/>
  <c r="F1939" i="13"/>
  <c r="AI1938" i="13"/>
  <c r="AH1938" i="13"/>
  <c r="AG1938" i="13" s="1"/>
  <c r="AF1938" i="13"/>
  <c r="F1938" i="13"/>
  <c r="AI1937" i="13"/>
  <c r="AH1937" i="13"/>
  <c r="AG1937" i="13" s="1"/>
  <c r="AF1937" i="13"/>
  <c r="F1937" i="13"/>
  <c r="AI1936" i="13"/>
  <c r="AH1936" i="13"/>
  <c r="AG1936" i="13" s="1"/>
  <c r="AF1936" i="13"/>
  <c r="F1936" i="13"/>
  <c r="AI1935" i="13"/>
  <c r="AH1935" i="13"/>
  <c r="AG1935" i="13"/>
  <c r="AF1935" i="13"/>
  <c r="F1935" i="13"/>
  <c r="AI1934" i="13"/>
  <c r="AH1934" i="13"/>
  <c r="AG1934" i="13"/>
  <c r="AF1934" i="13"/>
  <c r="F1934" i="13"/>
  <c r="AI1933" i="13"/>
  <c r="AH1933" i="13"/>
  <c r="AG1933" i="13"/>
  <c r="AF1933" i="13"/>
  <c r="F1933" i="13"/>
  <c r="AI1932" i="13"/>
  <c r="AH1932" i="13"/>
  <c r="AG1932" i="13" s="1"/>
  <c r="AF1932" i="13"/>
  <c r="F1932" i="13"/>
  <c r="AI1931" i="13"/>
  <c r="AH1931" i="13"/>
  <c r="AG1931" i="13"/>
  <c r="AF1931" i="13"/>
  <c r="F1931" i="13"/>
  <c r="AI1930" i="13"/>
  <c r="AH1930" i="13"/>
  <c r="AG1930" i="13" s="1"/>
  <c r="AF1930" i="13"/>
  <c r="F1930" i="13"/>
  <c r="AI1929" i="13"/>
  <c r="AH1929" i="13"/>
  <c r="AG1929" i="13" s="1"/>
  <c r="AF1929" i="13"/>
  <c r="F1929" i="13"/>
  <c r="AI1928" i="13"/>
  <c r="AH1928" i="13"/>
  <c r="AG1928" i="13" s="1"/>
  <c r="AF1928" i="13"/>
  <c r="F1928" i="13"/>
  <c r="AI1927" i="13"/>
  <c r="AH1927" i="13"/>
  <c r="AG1927" i="13"/>
  <c r="AF1927" i="13"/>
  <c r="F1927" i="13"/>
  <c r="AI1926" i="13"/>
  <c r="AH1926" i="13"/>
  <c r="AG1926" i="13"/>
  <c r="AF1926" i="13"/>
  <c r="F1926" i="13"/>
  <c r="AI1925" i="13"/>
  <c r="AH1925" i="13"/>
  <c r="AG1925" i="13" s="1"/>
  <c r="AF1925" i="13"/>
  <c r="F1925" i="13"/>
  <c r="AI1924" i="13"/>
  <c r="AH1924" i="13"/>
  <c r="AG1924" i="13" s="1"/>
  <c r="AF1924" i="13"/>
  <c r="F1924" i="13"/>
  <c r="AI1923" i="13"/>
  <c r="AH1923" i="13"/>
  <c r="AG1923" i="13"/>
  <c r="AF1923" i="13"/>
  <c r="F1923" i="13"/>
  <c r="AI1922" i="13"/>
  <c r="AH1922" i="13"/>
  <c r="AG1922" i="13"/>
  <c r="AF1922" i="13"/>
  <c r="F1922" i="13"/>
  <c r="AI1921" i="13"/>
  <c r="AH1921" i="13"/>
  <c r="AG1921" i="13"/>
  <c r="AF1921" i="13"/>
  <c r="F1921" i="13"/>
  <c r="AI1920" i="13"/>
  <c r="AH1920" i="13"/>
  <c r="AG1920" i="13" s="1"/>
  <c r="AF1920" i="13"/>
  <c r="F1920" i="13"/>
  <c r="AI1919" i="13"/>
  <c r="AH1919" i="13"/>
  <c r="AG1919" i="13"/>
  <c r="AF1919" i="13"/>
  <c r="F1919" i="13"/>
  <c r="AI1918" i="13"/>
  <c r="AH1918" i="13"/>
  <c r="AG1918" i="13"/>
  <c r="AF1918" i="13"/>
  <c r="F1918" i="13"/>
  <c r="AI1917" i="13"/>
  <c r="AH1917" i="13"/>
  <c r="AG1917" i="13"/>
  <c r="AF1917" i="13"/>
  <c r="F1917" i="13"/>
  <c r="AI1916" i="13"/>
  <c r="AH1916" i="13"/>
  <c r="AG1916" i="13" s="1"/>
  <c r="AF1916" i="13"/>
  <c r="F1916" i="13"/>
  <c r="AI1915" i="13"/>
  <c r="AH1915" i="13"/>
  <c r="AG1915" i="13"/>
  <c r="AF1915" i="13"/>
  <c r="F1915" i="13"/>
  <c r="AI1914" i="13"/>
  <c r="AH1914" i="13"/>
  <c r="AG1914" i="13" s="1"/>
  <c r="AF1914" i="13"/>
  <c r="F1914" i="13"/>
  <c r="AI1913" i="13"/>
  <c r="AH1913" i="13"/>
  <c r="AG1913" i="13" s="1"/>
  <c r="AF1913" i="13"/>
  <c r="F1913" i="13"/>
  <c r="AI1912" i="13"/>
  <c r="AH1912" i="13"/>
  <c r="AG1912" i="13" s="1"/>
  <c r="AF1912" i="13"/>
  <c r="F1912" i="13"/>
  <c r="AI1911" i="13"/>
  <c r="AH1911" i="13"/>
  <c r="AG1911" i="13"/>
  <c r="AF1911" i="13"/>
  <c r="F1911" i="13"/>
  <c r="AI1910" i="13"/>
  <c r="AH1910" i="13"/>
  <c r="AG1910" i="13"/>
  <c r="AF1910" i="13"/>
  <c r="F1910" i="13"/>
  <c r="AI1909" i="13"/>
  <c r="AH1909" i="13"/>
  <c r="AG1909" i="13" s="1"/>
  <c r="AF1909" i="13"/>
  <c r="F1909" i="13"/>
  <c r="AI1908" i="13"/>
  <c r="AH1908" i="13"/>
  <c r="AG1908" i="13" s="1"/>
  <c r="AF1908" i="13"/>
  <c r="F1908" i="13"/>
  <c r="AI1907" i="13"/>
  <c r="AH1907" i="13"/>
  <c r="AG1907" i="13"/>
  <c r="AF1907" i="13"/>
  <c r="F1907" i="13"/>
  <c r="AI1906" i="13"/>
  <c r="AH1906" i="13"/>
  <c r="AG1906" i="13"/>
  <c r="AF1906" i="13"/>
  <c r="F1906" i="13"/>
  <c r="AI1905" i="13"/>
  <c r="AH1905" i="13"/>
  <c r="AG1905" i="13"/>
  <c r="AF1905" i="13"/>
  <c r="F1905" i="13"/>
  <c r="AI1904" i="13"/>
  <c r="AH1904" i="13"/>
  <c r="AG1904" i="13" s="1"/>
  <c r="AF1904" i="13"/>
  <c r="F1904" i="13"/>
  <c r="AI1903" i="13"/>
  <c r="AH1903" i="13"/>
  <c r="AG1903" i="13"/>
  <c r="AF1903" i="13"/>
  <c r="F1903" i="13"/>
  <c r="AI1902" i="13"/>
  <c r="AH1902" i="13"/>
  <c r="AG1902" i="13"/>
  <c r="AF1902" i="13"/>
  <c r="F1902" i="13"/>
  <c r="AI1901" i="13"/>
  <c r="AH1901" i="13"/>
  <c r="AG1901" i="13"/>
  <c r="AF1901" i="13"/>
  <c r="F1901" i="13"/>
  <c r="AI1900" i="13"/>
  <c r="AH1900" i="13"/>
  <c r="AG1900" i="13" s="1"/>
  <c r="AF1900" i="13"/>
  <c r="F1900" i="13"/>
  <c r="AI1899" i="13"/>
  <c r="AH1899" i="13"/>
  <c r="AG1899" i="13"/>
  <c r="AF1899" i="13"/>
  <c r="F1899" i="13"/>
  <c r="AI1898" i="13"/>
  <c r="AH1898" i="13"/>
  <c r="AG1898" i="13" s="1"/>
  <c r="AF1898" i="13"/>
  <c r="F1898" i="13"/>
  <c r="AI1897" i="13"/>
  <c r="AH1897" i="13"/>
  <c r="AG1897" i="13" s="1"/>
  <c r="AF1897" i="13"/>
  <c r="F1897" i="13"/>
  <c r="AI1896" i="13"/>
  <c r="AH1896" i="13"/>
  <c r="AG1896" i="13" s="1"/>
  <c r="AF1896" i="13"/>
  <c r="F1896" i="13"/>
  <c r="AI1895" i="13"/>
  <c r="AH1895" i="13"/>
  <c r="AG1895" i="13"/>
  <c r="AF1895" i="13"/>
  <c r="F1895" i="13"/>
  <c r="AI1894" i="13"/>
  <c r="AH1894" i="13"/>
  <c r="AG1894" i="13"/>
  <c r="AF1894" i="13"/>
  <c r="F1894" i="13"/>
  <c r="AI1893" i="13"/>
  <c r="AH1893" i="13"/>
  <c r="AG1893" i="13" s="1"/>
  <c r="AF1893" i="13"/>
  <c r="F1893" i="13"/>
  <c r="AI1892" i="13"/>
  <c r="AH1892" i="13"/>
  <c r="AG1892" i="13" s="1"/>
  <c r="AF1892" i="13"/>
  <c r="F1892" i="13"/>
  <c r="AI1891" i="13"/>
  <c r="AH1891" i="13"/>
  <c r="AG1891" i="13"/>
  <c r="AF1891" i="13"/>
  <c r="F1891" i="13"/>
  <c r="AI1890" i="13"/>
  <c r="AH1890" i="13"/>
  <c r="AG1890" i="13"/>
  <c r="AF1890" i="13"/>
  <c r="F1890" i="13"/>
  <c r="AI1889" i="13"/>
  <c r="AH1889" i="13"/>
  <c r="AG1889" i="13" s="1"/>
  <c r="AF1889" i="13"/>
  <c r="F1889" i="13"/>
  <c r="AI1888" i="13"/>
  <c r="AH1888" i="13"/>
  <c r="AG1888" i="13" s="1"/>
  <c r="AF1888" i="13"/>
  <c r="F1888" i="13"/>
  <c r="AI1887" i="13"/>
  <c r="AH1887" i="13"/>
  <c r="AG1887" i="13" s="1"/>
  <c r="AF1887" i="13"/>
  <c r="F1887" i="13"/>
  <c r="AI1886" i="13"/>
  <c r="AH1886" i="13"/>
  <c r="AG1886" i="13"/>
  <c r="AF1886" i="13"/>
  <c r="F1886" i="13"/>
  <c r="AI1885" i="13"/>
  <c r="AH1885" i="13"/>
  <c r="AG1885" i="13"/>
  <c r="AF1885" i="13"/>
  <c r="F1885" i="13"/>
  <c r="AI1884" i="13"/>
  <c r="AH1884" i="13"/>
  <c r="AG1884" i="13" s="1"/>
  <c r="AF1884" i="13"/>
  <c r="F1884" i="13"/>
  <c r="AI1883" i="13"/>
  <c r="AH1883" i="13"/>
  <c r="AG1883" i="13" s="1"/>
  <c r="AF1883" i="13"/>
  <c r="F1883" i="13"/>
  <c r="AI1882" i="13"/>
  <c r="AH1882" i="13"/>
  <c r="AG1882" i="13"/>
  <c r="AF1882" i="13"/>
  <c r="F1882" i="13"/>
  <c r="AI1881" i="13"/>
  <c r="AH1881" i="13"/>
  <c r="AG1881" i="13"/>
  <c r="AF1881" i="13"/>
  <c r="F1881" i="13"/>
  <c r="AI1880" i="13"/>
  <c r="AH1880" i="13"/>
  <c r="AG1880" i="13" s="1"/>
  <c r="AF1880" i="13"/>
  <c r="F1880" i="13"/>
  <c r="AI1879" i="13"/>
  <c r="AH1879" i="13"/>
  <c r="AG1879" i="13" s="1"/>
  <c r="AF1879" i="13"/>
  <c r="F1879" i="13"/>
  <c r="AI1878" i="13"/>
  <c r="AH1878" i="13"/>
  <c r="AG1878" i="13"/>
  <c r="AF1878" i="13"/>
  <c r="F1878" i="13"/>
  <c r="AI1877" i="13"/>
  <c r="AH1877" i="13"/>
  <c r="AG1877" i="13"/>
  <c r="AF1877" i="13"/>
  <c r="F1877" i="13"/>
  <c r="AI1876" i="13"/>
  <c r="AH1876" i="13"/>
  <c r="AG1876" i="13" s="1"/>
  <c r="AF1876" i="13"/>
  <c r="F1876" i="13"/>
  <c r="AI1875" i="13"/>
  <c r="AH1875" i="13"/>
  <c r="AG1875" i="13" s="1"/>
  <c r="AF1875" i="13"/>
  <c r="F1875" i="13"/>
  <c r="AI1874" i="13"/>
  <c r="AH1874" i="13"/>
  <c r="AG1874" i="13"/>
  <c r="AF1874" i="13"/>
  <c r="F1874" i="13"/>
  <c r="AI1873" i="13"/>
  <c r="AH1873" i="13"/>
  <c r="AG1873" i="13" s="1"/>
  <c r="AF1873" i="13"/>
  <c r="F1873" i="13"/>
  <c r="AI1872" i="13"/>
  <c r="AH1872" i="13"/>
  <c r="AG1872" i="13" s="1"/>
  <c r="AF1872" i="13"/>
  <c r="F1872" i="13"/>
  <c r="AI1871" i="13"/>
  <c r="AH1871" i="13"/>
  <c r="AG1871" i="13" s="1"/>
  <c r="AF1871" i="13"/>
  <c r="F1871" i="13"/>
  <c r="AI1870" i="13"/>
  <c r="AH1870" i="13"/>
  <c r="AG1870" i="13"/>
  <c r="AF1870" i="13"/>
  <c r="F1870" i="13"/>
  <c r="AI1869" i="13"/>
  <c r="AH1869" i="13"/>
  <c r="AG1869" i="13"/>
  <c r="AF1869" i="13"/>
  <c r="F1869" i="13"/>
  <c r="AI1868" i="13"/>
  <c r="AH1868" i="13"/>
  <c r="AG1868" i="13" s="1"/>
  <c r="AF1868" i="13"/>
  <c r="F1868" i="13"/>
  <c r="AI1867" i="13"/>
  <c r="AH1867" i="13"/>
  <c r="AG1867" i="13" s="1"/>
  <c r="AF1867" i="13"/>
  <c r="F1867" i="13"/>
  <c r="AI1866" i="13"/>
  <c r="AH1866" i="13"/>
  <c r="AG1866" i="13"/>
  <c r="AF1866" i="13"/>
  <c r="F1866" i="13"/>
  <c r="AI1865" i="13"/>
  <c r="AH1865" i="13"/>
  <c r="AG1865" i="13"/>
  <c r="AF1865" i="13"/>
  <c r="F1865" i="13"/>
  <c r="AI1864" i="13"/>
  <c r="AH1864" i="13"/>
  <c r="AG1864" i="13" s="1"/>
  <c r="AF1864" i="13"/>
  <c r="F1864" i="13"/>
  <c r="AI1863" i="13"/>
  <c r="AH1863" i="13"/>
  <c r="AG1863" i="13" s="1"/>
  <c r="AF1863" i="13"/>
  <c r="F1863" i="13"/>
  <c r="AI1862" i="13"/>
  <c r="AH1862" i="13"/>
  <c r="AG1862" i="13"/>
  <c r="AF1862" i="13"/>
  <c r="F1862" i="13"/>
  <c r="AI1861" i="13"/>
  <c r="AH1861" i="13"/>
  <c r="AG1861" i="13"/>
  <c r="AF1861" i="13"/>
  <c r="F1861" i="13"/>
  <c r="AI1860" i="13"/>
  <c r="AH1860" i="13"/>
  <c r="AG1860" i="13" s="1"/>
  <c r="AF1860" i="13"/>
  <c r="F1860" i="13"/>
  <c r="AI1859" i="13"/>
  <c r="AH1859" i="13"/>
  <c r="AG1859" i="13" s="1"/>
  <c r="AF1859" i="13"/>
  <c r="F1859" i="13"/>
  <c r="AI1858" i="13"/>
  <c r="AH1858" i="13"/>
  <c r="AG1858" i="13"/>
  <c r="AF1858" i="13"/>
  <c r="F1858" i="13"/>
  <c r="AI1857" i="13"/>
  <c r="AH1857" i="13"/>
  <c r="AG1857" i="13" s="1"/>
  <c r="AF1857" i="13"/>
  <c r="F1857" i="13"/>
  <c r="AI1856" i="13"/>
  <c r="AH1856" i="13"/>
  <c r="AG1856" i="13" s="1"/>
  <c r="AF1856" i="13"/>
  <c r="F1856" i="13"/>
  <c r="AI1855" i="13"/>
  <c r="AH1855" i="13"/>
  <c r="AG1855" i="13" s="1"/>
  <c r="AF1855" i="13"/>
  <c r="F1855" i="13"/>
  <c r="AI1854" i="13"/>
  <c r="AH1854" i="13"/>
  <c r="AG1854" i="13"/>
  <c r="AF1854" i="13"/>
  <c r="F1854" i="13"/>
  <c r="AI1853" i="13"/>
  <c r="AH1853" i="13"/>
  <c r="AG1853" i="13"/>
  <c r="AF1853" i="13"/>
  <c r="F1853" i="13"/>
  <c r="AI1852" i="13"/>
  <c r="AH1852" i="13"/>
  <c r="AG1852" i="13" s="1"/>
  <c r="AF1852" i="13"/>
  <c r="F1852" i="13"/>
  <c r="AI1851" i="13"/>
  <c r="AH1851" i="13"/>
  <c r="AG1851" i="13" s="1"/>
  <c r="AF1851" i="13"/>
  <c r="F1851" i="13"/>
  <c r="AI1850" i="13"/>
  <c r="AH1850" i="13"/>
  <c r="AG1850" i="13"/>
  <c r="AF1850" i="13"/>
  <c r="F1850" i="13"/>
  <c r="AI1849" i="13"/>
  <c r="AH1849" i="13"/>
  <c r="AG1849" i="13"/>
  <c r="AF1849" i="13"/>
  <c r="F1849" i="13"/>
  <c r="AI1848" i="13"/>
  <c r="AH1848" i="13"/>
  <c r="AG1848" i="13" s="1"/>
  <c r="AF1848" i="13"/>
  <c r="F1848" i="13"/>
  <c r="AI1847" i="13"/>
  <c r="AH1847" i="13"/>
  <c r="AG1847" i="13" s="1"/>
  <c r="AF1847" i="13"/>
  <c r="F1847" i="13"/>
  <c r="AI1846" i="13"/>
  <c r="AH1846" i="13"/>
  <c r="AG1846" i="13"/>
  <c r="AF1846" i="13"/>
  <c r="F1846" i="13"/>
  <c r="AI1845" i="13"/>
  <c r="AH1845" i="13"/>
  <c r="AG1845" i="13"/>
  <c r="AF1845" i="13"/>
  <c r="F1845" i="13"/>
  <c r="AI1844" i="13"/>
  <c r="AH1844" i="13"/>
  <c r="AG1844" i="13" s="1"/>
  <c r="AF1844" i="13"/>
  <c r="F1844" i="13"/>
  <c r="AI1843" i="13"/>
  <c r="AH1843" i="13"/>
  <c r="AG1843" i="13" s="1"/>
  <c r="AF1843" i="13"/>
  <c r="F1843" i="13"/>
  <c r="AI1842" i="13"/>
  <c r="AH1842" i="13"/>
  <c r="AG1842" i="13"/>
  <c r="AF1842" i="13"/>
  <c r="F1842" i="13"/>
  <c r="AI1841" i="13"/>
  <c r="AH1841" i="13"/>
  <c r="AG1841" i="13" s="1"/>
  <c r="AF1841" i="13"/>
  <c r="F1841" i="13"/>
  <c r="AI1840" i="13"/>
  <c r="AH1840" i="13"/>
  <c r="AG1840" i="13" s="1"/>
  <c r="AF1840" i="13"/>
  <c r="F1840" i="13"/>
  <c r="AI1839" i="13"/>
  <c r="AH1839" i="13"/>
  <c r="AG1839" i="13" s="1"/>
  <c r="AF1839" i="13"/>
  <c r="F1839" i="13"/>
  <c r="AI1838" i="13"/>
  <c r="AH1838" i="13"/>
  <c r="AG1838" i="13"/>
  <c r="AF1838" i="13"/>
  <c r="F1838" i="13"/>
  <c r="AI1837" i="13"/>
  <c r="AH1837" i="13"/>
  <c r="AG1837" i="13"/>
  <c r="AF1837" i="13"/>
  <c r="F1837" i="13"/>
  <c r="AI1836" i="13"/>
  <c r="AH1836" i="13"/>
  <c r="AG1836" i="13" s="1"/>
  <c r="AF1836" i="13"/>
  <c r="F1836" i="13"/>
  <c r="AI1835" i="13"/>
  <c r="AH1835" i="13"/>
  <c r="AG1835" i="13" s="1"/>
  <c r="AF1835" i="13"/>
  <c r="F1835" i="13"/>
  <c r="AI1834" i="13"/>
  <c r="AH1834" i="13"/>
  <c r="AG1834" i="13"/>
  <c r="AF1834" i="13"/>
  <c r="F1834" i="13"/>
  <c r="AI1833" i="13"/>
  <c r="AH1833" i="13"/>
  <c r="AG1833" i="13"/>
  <c r="AF1833" i="13"/>
  <c r="F1833" i="13"/>
  <c r="AI1832" i="13"/>
  <c r="AH1832" i="13"/>
  <c r="AG1832" i="13" s="1"/>
  <c r="AF1832" i="13"/>
  <c r="F1832" i="13"/>
  <c r="AI1831" i="13"/>
  <c r="AH1831" i="13"/>
  <c r="AG1831" i="13" s="1"/>
  <c r="AF1831" i="13"/>
  <c r="F1831" i="13"/>
  <c r="AI1830" i="13"/>
  <c r="AH1830" i="13"/>
  <c r="AG1830" i="13"/>
  <c r="AF1830" i="13"/>
  <c r="F1830" i="13"/>
  <c r="AI1829" i="13"/>
  <c r="AH1829" i="13"/>
  <c r="AG1829" i="13"/>
  <c r="AF1829" i="13"/>
  <c r="F1829" i="13"/>
  <c r="AI1828" i="13"/>
  <c r="AH1828" i="13"/>
  <c r="AG1828" i="13" s="1"/>
  <c r="AF1828" i="13"/>
  <c r="F1828" i="13"/>
  <c r="AI1827" i="13"/>
  <c r="AH1827" i="13"/>
  <c r="AG1827" i="13" s="1"/>
  <c r="AF1827" i="13"/>
  <c r="F1827" i="13"/>
  <c r="AI1826" i="13"/>
  <c r="AH1826" i="13"/>
  <c r="AG1826" i="13"/>
  <c r="AF1826" i="13"/>
  <c r="F1826" i="13"/>
  <c r="AI1825" i="13"/>
  <c r="AH1825" i="13"/>
  <c r="AG1825" i="13" s="1"/>
  <c r="AF1825" i="13"/>
  <c r="F1825" i="13"/>
  <c r="AI1824" i="13"/>
  <c r="AH1824" i="13"/>
  <c r="AG1824" i="13" s="1"/>
  <c r="AF1824" i="13"/>
  <c r="F1824" i="13"/>
  <c r="AI1823" i="13"/>
  <c r="AH1823" i="13"/>
  <c r="AG1823" i="13" s="1"/>
  <c r="AF1823" i="13"/>
  <c r="F1823" i="13"/>
  <c r="AI1822" i="13"/>
  <c r="AH1822" i="13"/>
  <c r="AG1822" i="13"/>
  <c r="AF1822" i="13"/>
  <c r="F1822" i="13"/>
  <c r="AI1821" i="13"/>
  <c r="AH1821" i="13"/>
  <c r="AG1821" i="13"/>
  <c r="AF1821" i="13"/>
  <c r="F1821" i="13"/>
  <c r="AI1820" i="13"/>
  <c r="AH1820" i="13"/>
  <c r="AG1820" i="13" s="1"/>
  <c r="AF1820" i="13"/>
  <c r="F1820" i="13"/>
  <c r="AI1819" i="13"/>
  <c r="AH1819" i="13"/>
  <c r="AG1819" i="13" s="1"/>
  <c r="AF1819" i="13"/>
  <c r="F1819" i="13"/>
  <c r="AI1818" i="13"/>
  <c r="AH1818" i="13"/>
  <c r="AG1818" i="13"/>
  <c r="AF1818" i="13"/>
  <c r="F1818" i="13"/>
  <c r="AI1817" i="13"/>
  <c r="AH1817" i="13"/>
  <c r="AG1817" i="13"/>
  <c r="AF1817" i="13"/>
  <c r="F1817" i="13"/>
  <c r="AI1816" i="13"/>
  <c r="AH1816" i="13"/>
  <c r="AG1816" i="13" s="1"/>
  <c r="AF1816" i="13"/>
  <c r="F1816" i="13"/>
  <c r="AI1815" i="13"/>
  <c r="AH1815" i="13"/>
  <c r="AG1815" i="13" s="1"/>
  <c r="AF1815" i="13"/>
  <c r="F1815" i="13"/>
  <c r="AI1814" i="13"/>
  <c r="AH1814" i="13"/>
  <c r="AG1814" i="13"/>
  <c r="AF1814" i="13"/>
  <c r="F1814" i="13"/>
  <c r="AI1813" i="13"/>
  <c r="AH1813" i="13"/>
  <c r="AG1813" i="13"/>
  <c r="AF1813" i="13"/>
  <c r="F1813" i="13"/>
  <c r="AI1812" i="13"/>
  <c r="AH1812" i="13"/>
  <c r="AG1812" i="13" s="1"/>
  <c r="AF1812" i="13"/>
  <c r="F1812" i="13"/>
  <c r="AI1811" i="13"/>
  <c r="AH1811" i="13"/>
  <c r="AG1811" i="13" s="1"/>
  <c r="AF1811" i="13"/>
  <c r="F1811" i="13"/>
  <c r="AI1810" i="13"/>
  <c r="AH1810" i="13"/>
  <c r="AG1810" i="13"/>
  <c r="AF1810" i="13"/>
  <c r="F1810" i="13"/>
  <c r="AI1809" i="13"/>
  <c r="AH1809" i="13"/>
  <c r="AG1809" i="13" s="1"/>
  <c r="AF1809" i="13"/>
  <c r="F1809" i="13"/>
  <c r="AI1808" i="13"/>
  <c r="AH1808" i="13"/>
  <c r="AG1808" i="13" s="1"/>
  <c r="AF1808" i="13"/>
  <c r="F1808" i="13"/>
  <c r="AI1807" i="13"/>
  <c r="AH1807" i="13"/>
  <c r="AG1807" i="13" s="1"/>
  <c r="AF1807" i="13"/>
  <c r="F1807" i="13"/>
  <c r="AI1806" i="13"/>
  <c r="AH1806" i="13"/>
  <c r="AG1806" i="13"/>
  <c r="AF1806" i="13"/>
  <c r="F1806" i="13"/>
  <c r="AI1805" i="13"/>
  <c r="AH1805" i="13"/>
  <c r="AG1805" i="13"/>
  <c r="AF1805" i="13"/>
  <c r="F1805" i="13"/>
  <c r="AI1804" i="13"/>
  <c r="AH1804" i="13"/>
  <c r="AG1804" i="13" s="1"/>
  <c r="AF1804" i="13"/>
  <c r="F1804" i="13"/>
  <c r="AI1803" i="13"/>
  <c r="AH1803" i="13"/>
  <c r="AG1803" i="13" s="1"/>
  <c r="AF1803" i="13"/>
  <c r="F1803" i="13"/>
  <c r="AI1802" i="13"/>
  <c r="AH1802" i="13"/>
  <c r="AG1802" i="13"/>
  <c r="AF1802" i="13"/>
  <c r="F1802" i="13"/>
  <c r="AI1801" i="13"/>
  <c r="AH1801" i="13"/>
  <c r="AG1801" i="13"/>
  <c r="AF1801" i="13"/>
  <c r="F1801" i="13"/>
  <c r="AI1800" i="13"/>
  <c r="AH1800" i="13"/>
  <c r="AG1800" i="13" s="1"/>
  <c r="AF1800" i="13"/>
  <c r="F1800" i="13"/>
  <c r="AI1799" i="13"/>
  <c r="AH1799" i="13"/>
  <c r="AG1799" i="13" s="1"/>
  <c r="AF1799" i="13"/>
  <c r="F1799" i="13"/>
  <c r="AI1798" i="13"/>
  <c r="AH1798" i="13"/>
  <c r="AG1798" i="13"/>
  <c r="AF1798" i="13"/>
  <c r="F1798" i="13"/>
  <c r="AI1797" i="13"/>
  <c r="AH1797" i="13"/>
  <c r="AG1797" i="13"/>
  <c r="AF1797" i="13"/>
  <c r="F1797" i="13"/>
  <c r="AI1796" i="13"/>
  <c r="AH1796" i="13"/>
  <c r="AG1796" i="13" s="1"/>
  <c r="AF1796" i="13"/>
  <c r="F1796" i="13"/>
  <c r="AI1795" i="13"/>
  <c r="AH1795" i="13"/>
  <c r="AG1795" i="13" s="1"/>
  <c r="AF1795" i="13"/>
  <c r="F1795" i="13"/>
  <c r="AI1794" i="13"/>
  <c r="AH1794" i="13"/>
  <c r="AG1794" i="13"/>
  <c r="AF1794" i="13"/>
  <c r="F1794" i="13"/>
  <c r="AI1793" i="13"/>
  <c r="AH1793" i="13"/>
  <c r="AG1793" i="13" s="1"/>
  <c r="AF1793" i="13"/>
  <c r="F1793" i="13"/>
  <c r="AI1792" i="13"/>
  <c r="AH1792" i="13"/>
  <c r="AG1792" i="13" s="1"/>
  <c r="AF1792" i="13"/>
  <c r="F1792" i="13"/>
  <c r="AI1791" i="13"/>
  <c r="AH1791" i="13"/>
  <c r="AG1791" i="13" s="1"/>
  <c r="AF1791" i="13"/>
  <c r="F1791" i="13"/>
  <c r="AI1790" i="13"/>
  <c r="AH1790" i="13"/>
  <c r="AG1790" i="13"/>
  <c r="AF1790" i="13"/>
  <c r="F1790" i="13"/>
  <c r="AI1789" i="13"/>
  <c r="AH1789" i="13"/>
  <c r="AG1789" i="13"/>
  <c r="AF1789" i="13"/>
  <c r="F1789" i="13"/>
  <c r="AI1788" i="13"/>
  <c r="AH1788" i="13"/>
  <c r="AG1788" i="13" s="1"/>
  <c r="AF1788" i="13"/>
  <c r="F1788" i="13"/>
  <c r="AI1787" i="13"/>
  <c r="AH1787" i="13"/>
  <c r="AG1787" i="13" s="1"/>
  <c r="AF1787" i="13"/>
  <c r="F1787" i="13"/>
  <c r="AI1786" i="13"/>
  <c r="AH1786" i="13"/>
  <c r="AG1786" i="13"/>
  <c r="AF1786" i="13"/>
  <c r="F1786" i="13"/>
  <c r="AI1785" i="13"/>
  <c r="AH1785" i="13"/>
  <c r="AG1785" i="13"/>
  <c r="AF1785" i="13"/>
  <c r="F1785" i="13"/>
  <c r="AI1784" i="13"/>
  <c r="AH1784" i="13"/>
  <c r="AG1784" i="13" s="1"/>
  <c r="AF1784" i="13"/>
  <c r="F1784" i="13"/>
  <c r="AI1783" i="13"/>
  <c r="AH1783" i="13"/>
  <c r="AG1783" i="13" s="1"/>
  <c r="AF1783" i="13"/>
  <c r="F1783" i="13"/>
  <c r="AI1782" i="13"/>
  <c r="AH1782" i="13"/>
  <c r="AG1782" i="13"/>
  <c r="AF1782" i="13"/>
  <c r="F1782" i="13"/>
  <c r="AI1781" i="13"/>
  <c r="AH1781" i="13"/>
  <c r="AG1781" i="13"/>
  <c r="AF1781" i="13"/>
  <c r="F1781" i="13"/>
  <c r="AI1780" i="13"/>
  <c r="AH1780" i="13"/>
  <c r="AG1780" i="13" s="1"/>
  <c r="AF1780" i="13"/>
  <c r="F1780" i="13"/>
  <c r="AI1779" i="13"/>
  <c r="AH1779" i="13"/>
  <c r="AG1779" i="13" s="1"/>
  <c r="AF1779" i="13"/>
  <c r="F1779" i="13"/>
  <c r="AI1778" i="13"/>
  <c r="AH1778" i="13"/>
  <c r="AG1778" i="13"/>
  <c r="AF1778" i="13"/>
  <c r="F1778" i="13"/>
  <c r="AI1777" i="13"/>
  <c r="AH1777" i="13"/>
  <c r="AG1777" i="13" s="1"/>
  <c r="AF1777" i="13"/>
  <c r="F1777" i="13"/>
  <c r="AI1776" i="13"/>
  <c r="AH1776" i="13"/>
  <c r="AG1776" i="13" s="1"/>
  <c r="AF1776" i="13"/>
  <c r="F1776" i="13"/>
  <c r="AI1775" i="13"/>
  <c r="AH1775" i="13"/>
  <c r="AG1775" i="13" s="1"/>
  <c r="AF1775" i="13"/>
  <c r="F1775" i="13"/>
  <c r="AI1774" i="13"/>
  <c r="AH1774" i="13"/>
  <c r="AG1774" i="13"/>
  <c r="AF1774" i="13"/>
  <c r="F1774" i="13"/>
  <c r="AI1773" i="13"/>
  <c r="AH1773" i="13"/>
  <c r="AG1773" i="13"/>
  <c r="AF1773" i="13"/>
  <c r="F1773" i="13"/>
  <c r="AI1772" i="13"/>
  <c r="AH1772" i="13"/>
  <c r="AG1772" i="13" s="1"/>
  <c r="AF1772" i="13"/>
  <c r="F1772" i="13"/>
  <c r="AI1771" i="13"/>
  <c r="AH1771" i="13"/>
  <c r="AG1771" i="13" s="1"/>
  <c r="AF1771" i="13"/>
  <c r="F1771" i="13"/>
  <c r="AI1770" i="13"/>
  <c r="AH1770" i="13"/>
  <c r="AG1770" i="13"/>
  <c r="AF1770" i="13"/>
  <c r="F1770" i="13"/>
  <c r="AI1769" i="13"/>
  <c r="AH1769" i="13"/>
  <c r="AG1769" i="13"/>
  <c r="AF1769" i="13"/>
  <c r="F1769" i="13"/>
  <c r="AI1768" i="13"/>
  <c r="AH1768" i="13"/>
  <c r="AG1768" i="13" s="1"/>
  <c r="AF1768" i="13"/>
  <c r="F1768" i="13"/>
  <c r="AI1767" i="13"/>
  <c r="AH1767" i="13"/>
  <c r="AG1767" i="13" s="1"/>
  <c r="AF1767" i="13"/>
  <c r="F1767" i="13"/>
  <c r="AI1766" i="13"/>
  <c r="AH1766" i="13"/>
  <c r="AG1766" i="13"/>
  <c r="AF1766" i="13"/>
  <c r="F1766" i="13"/>
  <c r="AI1765" i="13"/>
  <c r="AH1765" i="13"/>
  <c r="AG1765" i="13"/>
  <c r="AF1765" i="13"/>
  <c r="F1765" i="13"/>
  <c r="AI1764" i="13"/>
  <c r="AH1764" i="13"/>
  <c r="AG1764" i="13" s="1"/>
  <c r="AF1764" i="13"/>
  <c r="F1764" i="13"/>
  <c r="AI1763" i="13"/>
  <c r="AH1763" i="13"/>
  <c r="AG1763" i="13" s="1"/>
  <c r="AF1763" i="13"/>
  <c r="F1763" i="13"/>
  <c r="AI1762" i="13"/>
  <c r="AH1762" i="13"/>
  <c r="AG1762" i="13"/>
  <c r="AF1762" i="13"/>
  <c r="F1762" i="13"/>
  <c r="AI1761" i="13"/>
  <c r="AH1761" i="13"/>
  <c r="AG1761" i="13" s="1"/>
  <c r="AF1761" i="13"/>
  <c r="F1761" i="13"/>
  <c r="AI1760" i="13"/>
  <c r="AH1760" i="13"/>
  <c r="AG1760" i="13" s="1"/>
  <c r="AF1760" i="13"/>
  <c r="F1760" i="13"/>
  <c r="AI1759" i="13"/>
  <c r="AH1759" i="13"/>
  <c r="AG1759" i="13" s="1"/>
  <c r="AF1759" i="13"/>
  <c r="F1759" i="13"/>
  <c r="AI1758" i="13"/>
  <c r="AH1758" i="13"/>
  <c r="AG1758" i="13"/>
  <c r="AF1758" i="13"/>
  <c r="F1758" i="13"/>
  <c r="AI1757" i="13"/>
  <c r="AH1757" i="13"/>
  <c r="AG1757" i="13"/>
  <c r="AF1757" i="13"/>
  <c r="F1757" i="13"/>
  <c r="AI1756" i="13"/>
  <c r="AH1756" i="13"/>
  <c r="AG1756" i="13" s="1"/>
  <c r="AF1756" i="13"/>
  <c r="F1756" i="13"/>
  <c r="AI1755" i="13"/>
  <c r="AH1755" i="13"/>
  <c r="AG1755" i="13" s="1"/>
  <c r="AF1755" i="13"/>
  <c r="F1755" i="13"/>
  <c r="AI1754" i="13"/>
  <c r="AH1754" i="13"/>
  <c r="AG1754" i="13"/>
  <c r="AF1754" i="13"/>
  <c r="F1754" i="13"/>
  <c r="AI1753" i="13"/>
  <c r="AH1753" i="13"/>
  <c r="AG1753" i="13"/>
  <c r="AF1753" i="13"/>
  <c r="F1753" i="13"/>
  <c r="AI1752" i="13"/>
  <c r="AH1752" i="13"/>
  <c r="AG1752" i="13" s="1"/>
  <c r="AF1752" i="13"/>
  <c r="F1752" i="13"/>
  <c r="AI1751" i="13"/>
  <c r="AH1751" i="13"/>
  <c r="AG1751" i="13" s="1"/>
  <c r="AF1751" i="13"/>
  <c r="F1751" i="13"/>
  <c r="AI1750" i="13"/>
  <c r="AH1750" i="13"/>
  <c r="AG1750" i="13"/>
  <c r="AF1750" i="13"/>
  <c r="F1750" i="13"/>
  <c r="AI1749" i="13"/>
  <c r="AH1749" i="13"/>
  <c r="AG1749" i="13"/>
  <c r="AF1749" i="13"/>
  <c r="F1749" i="13"/>
  <c r="AI1748" i="13"/>
  <c r="AH1748" i="13"/>
  <c r="AG1748" i="13" s="1"/>
  <c r="AF1748" i="13"/>
  <c r="F1748" i="13"/>
  <c r="AI1747" i="13"/>
  <c r="AH1747" i="13"/>
  <c r="AG1747" i="13" s="1"/>
  <c r="AF1747" i="13"/>
  <c r="F1747" i="13"/>
  <c r="AI1746" i="13"/>
  <c r="AH1746" i="13"/>
  <c r="AG1746" i="13"/>
  <c r="AF1746" i="13"/>
  <c r="F1746" i="13"/>
  <c r="AI1745" i="13"/>
  <c r="AH1745" i="13"/>
  <c r="AG1745" i="13" s="1"/>
  <c r="AF1745" i="13"/>
  <c r="F1745" i="13"/>
  <c r="AI1744" i="13"/>
  <c r="AH1744" i="13"/>
  <c r="AG1744" i="13" s="1"/>
  <c r="AF1744" i="13"/>
  <c r="F1744" i="13"/>
  <c r="AI1743" i="13"/>
  <c r="AH1743" i="13"/>
  <c r="AG1743" i="13" s="1"/>
  <c r="AF1743" i="13"/>
  <c r="F1743" i="13"/>
  <c r="AI1742" i="13"/>
  <c r="AH1742" i="13"/>
  <c r="AG1742" i="13"/>
  <c r="AF1742" i="13"/>
  <c r="F1742" i="13"/>
  <c r="AI1741" i="13"/>
  <c r="AH1741" i="13"/>
  <c r="AG1741" i="13"/>
  <c r="AF1741" i="13"/>
  <c r="F1741" i="13"/>
  <c r="AI1740" i="13"/>
  <c r="AH1740" i="13"/>
  <c r="AG1740" i="13" s="1"/>
  <c r="AF1740" i="13"/>
  <c r="F1740" i="13"/>
  <c r="AI1739" i="13"/>
  <c r="AH1739" i="13"/>
  <c r="AG1739" i="13" s="1"/>
  <c r="AF1739" i="13"/>
  <c r="F1739" i="13"/>
  <c r="AI1738" i="13"/>
  <c r="AH1738" i="13"/>
  <c r="AG1738" i="13"/>
  <c r="AF1738" i="13"/>
  <c r="F1738" i="13"/>
  <c r="AI1737" i="13"/>
  <c r="AH1737" i="13"/>
  <c r="AG1737" i="13"/>
  <c r="AF1737" i="13"/>
  <c r="F1737" i="13"/>
  <c r="AI1736" i="13"/>
  <c r="AH1736" i="13"/>
  <c r="AG1736" i="13" s="1"/>
  <c r="AF1736" i="13"/>
  <c r="F1736" i="13"/>
  <c r="AI1735" i="13"/>
  <c r="AH1735" i="13"/>
  <c r="AG1735" i="13" s="1"/>
  <c r="AF1735" i="13"/>
  <c r="F1735" i="13"/>
  <c r="AI1734" i="13"/>
  <c r="AH1734" i="13"/>
  <c r="AG1734" i="13"/>
  <c r="AF1734" i="13"/>
  <c r="F1734" i="13"/>
  <c r="AI1733" i="13"/>
  <c r="AH1733" i="13"/>
  <c r="AG1733" i="13"/>
  <c r="AF1733" i="13"/>
  <c r="F1733" i="13"/>
  <c r="AI1732" i="13"/>
  <c r="AH1732" i="13"/>
  <c r="AG1732" i="13" s="1"/>
  <c r="AF1732" i="13"/>
  <c r="F1732" i="13"/>
  <c r="AI1731" i="13"/>
  <c r="AH1731" i="13"/>
  <c r="AG1731" i="13" s="1"/>
  <c r="AF1731" i="13"/>
  <c r="F1731" i="13"/>
  <c r="AI1730" i="13"/>
  <c r="AH1730" i="13"/>
  <c r="AG1730" i="13"/>
  <c r="AF1730" i="13"/>
  <c r="F1730" i="13"/>
  <c r="AI1729" i="13"/>
  <c r="AH1729" i="13"/>
  <c r="AG1729" i="13" s="1"/>
  <c r="AF1729" i="13"/>
  <c r="F1729" i="13"/>
  <c r="AI1728" i="13"/>
  <c r="AH1728" i="13"/>
  <c r="AG1728" i="13" s="1"/>
  <c r="AF1728" i="13"/>
  <c r="F1728" i="13"/>
  <c r="AI1727" i="13"/>
  <c r="AH1727" i="13"/>
  <c r="AG1727" i="13" s="1"/>
  <c r="AF1727" i="13"/>
  <c r="F1727" i="13"/>
  <c r="AI1726" i="13"/>
  <c r="AH1726" i="13"/>
  <c r="AG1726" i="13"/>
  <c r="AF1726" i="13"/>
  <c r="F1726" i="13"/>
  <c r="AI1725" i="13"/>
  <c r="AH1725" i="13"/>
  <c r="AG1725" i="13"/>
  <c r="AF1725" i="13"/>
  <c r="F1725" i="13"/>
  <c r="AI1724" i="13"/>
  <c r="AH1724" i="13"/>
  <c r="AG1724" i="13" s="1"/>
  <c r="AF1724" i="13"/>
  <c r="F1724" i="13"/>
  <c r="AI1723" i="13"/>
  <c r="AH1723" i="13"/>
  <c r="AG1723" i="13" s="1"/>
  <c r="AF1723" i="13"/>
  <c r="F1723" i="13"/>
  <c r="AI1722" i="13"/>
  <c r="AH1722" i="13"/>
  <c r="AG1722" i="13"/>
  <c r="AF1722" i="13"/>
  <c r="F1722" i="13"/>
  <c r="AI1721" i="13"/>
  <c r="AH1721" i="13"/>
  <c r="AG1721" i="13"/>
  <c r="AF1721" i="13"/>
  <c r="F1721" i="13"/>
  <c r="AI1720" i="13"/>
  <c r="AH1720" i="13"/>
  <c r="AG1720" i="13" s="1"/>
  <c r="AF1720" i="13"/>
  <c r="F1720" i="13"/>
  <c r="AI1719" i="13"/>
  <c r="AH1719" i="13"/>
  <c r="AG1719" i="13" s="1"/>
  <c r="AF1719" i="13"/>
  <c r="F1719" i="13"/>
  <c r="AI1718" i="13"/>
  <c r="AH1718" i="13"/>
  <c r="AG1718" i="13"/>
  <c r="AF1718" i="13"/>
  <c r="F1718" i="13"/>
  <c r="AI1717" i="13"/>
  <c r="AH1717" i="13"/>
  <c r="AG1717" i="13"/>
  <c r="AF1717" i="13"/>
  <c r="F1717" i="13"/>
  <c r="AI1716" i="13"/>
  <c r="AH1716" i="13"/>
  <c r="AG1716" i="13" s="1"/>
  <c r="AF1716" i="13"/>
  <c r="F1716" i="13"/>
  <c r="AI1715" i="13"/>
  <c r="AH1715" i="13"/>
  <c r="AG1715" i="13" s="1"/>
  <c r="AF1715" i="13"/>
  <c r="F1715" i="13"/>
  <c r="AI1714" i="13"/>
  <c r="AH1714" i="13"/>
  <c r="AG1714" i="13"/>
  <c r="AF1714" i="13"/>
  <c r="F1714" i="13"/>
  <c r="AI1713" i="13"/>
  <c r="AH1713" i="13"/>
  <c r="AG1713" i="13" s="1"/>
  <c r="AF1713" i="13"/>
  <c r="F1713" i="13"/>
  <c r="AI1712" i="13"/>
  <c r="AH1712" i="13"/>
  <c r="AG1712" i="13" s="1"/>
  <c r="AF1712" i="13"/>
  <c r="F1712" i="13"/>
  <c r="AI1711" i="13"/>
  <c r="AH1711" i="13"/>
  <c r="AG1711" i="13" s="1"/>
  <c r="AF1711" i="13"/>
  <c r="F1711" i="13"/>
  <c r="AI1710" i="13"/>
  <c r="AH1710" i="13"/>
  <c r="AG1710" i="13"/>
  <c r="AF1710" i="13"/>
  <c r="F1710" i="13"/>
  <c r="AI1709" i="13"/>
  <c r="AH1709" i="13"/>
  <c r="AG1709" i="13"/>
  <c r="AF1709" i="13"/>
  <c r="F1709" i="13"/>
  <c r="AI1708" i="13"/>
  <c r="AH1708" i="13"/>
  <c r="AG1708" i="13" s="1"/>
  <c r="AF1708" i="13"/>
  <c r="F1708" i="13"/>
  <c r="AI1707" i="13"/>
  <c r="AH1707" i="13"/>
  <c r="AG1707" i="13" s="1"/>
  <c r="AF1707" i="13"/>
  <c r="F1707" i="13"/>
  <c r="AI1706" i="13"/>
  <c r="AH1706" i="13"/>
  <c r="AG1706" i="13"/>
  <c r="AF1706" i="13"/>
  <c r="F1706" i="13"/>
  <c r="AI1705" i="13"/>
  <c r="AH1705" i="13"/>
  <c r="AG1705" i="13"/>
  <c r="AF1705" i="13"/>
  <c r="F1705" i="13"/>
  <c r="AI1704" i="13"/>
  <c r="AH1704" i="13"/>
  <c r="AG1704" i="13" s="1"/>
  <c r="AF1704" i="13"/>
  <c r="F1704" i="13"/>
  <c r="AI1703" i="13"/>
  <c r="AH1703" i="13"/>
  <c r="AG1703" i="13" s="1"/>
  <c r="AF1703" i="13"/>
  <c r="F1703" i="13"/>
  <c r="AI1702" i="13"/>
  <c r="AH1702" i="13"/>
  <c r="AG1702" i="13"/>
  <c r="AF1702" i="13"/>
  <c r="F1702" i="13"/>
  <c r="AI1701" i="13"/>
  <c r="AH1701" i="13"/>
  <c r="AG1701" i="13"/>
  <c r="AF1701" i="13"/>
  <c r="F1701" i="13"/>
  <c r="AI1700" i="13"/>
  <c r="AH1700" i="13"/>
  <c r="AG1700" i="13" s="1"/>
  <c r="AF1700" i="13"/>
  <c r="F1700" i="13"/>
  <c r="AI1699" i="13"/>
  <c r="AH1699" i="13"/>
  <c r="AG1699" i="13" s="1"/>
  <c r="AF1699" i="13"/>
  <c r="F1699" i="13"/>
  <c r="AI1698" i="13"/>
  <c r="AH1698" i="13"/>
  <c r="AG1698" i="13"/>
  <c r="AF1698" i="13"/>
  <c r="F1698" i="13"/>
  <c r="AI1697" i="13"/>
  <c r="AH1697" i="13"/>
  <c r="AG1697" i="13" s="1"/>
  <c r="AF1697" i="13"/>
  <c r="F1697" i="13"/>
  <c r="AI1696" i="13"/>
  <c r="AH1696" i="13"/>
  <c r="AG1696" i="13" s="1"/>
  <c r="AF1696" i="13"/>
  <c r="F1696" i="13"/>
  <c r="AI1695" i="13"/>
  <c r="AH1695" i="13"/>
  <c r="AG1695" i="13" s="1"/>
  <c r="AF1695" i="13"/>
  <c r="F1695" i="13"/>
  <c r="AI1694" i="13"/>
  <c r="AH1694" i="13"/>
  <c r="AG1694" i="13"/>
  <c r="AF1694" i="13"/>
  <c r="F1694" i="13"/>
  <c r="AI1693" i="13"/>
  <c r="AH1693" i="13"/>
  <c r="AG1693" i="13"/>
  <c r="AF1693" i="13"/>
  <c r="F1693" i="13"/>
  <c r="AI1692" i="13"/>
  <c r="AH1692" i="13"/>
  <c r="AG1692" i="13" s="1"/>
  <c r="AF1692" i="13"/>
  <c r="F1692" i="13"/>
  <c r="AI1691" i="13"/>
  <c r="AH1691" i="13"/>
  <c r="AG1691" i="13" s="1"/>
  <c r="AF1691" i="13"/>
  <c r="F1691" i="13"/>
  <c r="AI1690" i="13"/>
  <c r="AH1690" i="13"/>
  <c r="AG1690" i="13"/>
  <c r="AF1690" i="13"/>
  <c r="F1690" i="13"/>
  <c r="AI1689" i="13"/>
  <c r="AH1689" i="13"/>
  <c r="AG1689" i="13"/>
  <c r="AF1689" i="13"/>
  <c r="F1689" i="13"/>
  <c r="AI1688" i="13"/>
  <c r="AH1688" i="13"/>
  <c r="AG1688" i="13" s="1"/>
  <c r="AF1688" i="13"/>
  <c r="F1688" i="13"/>
  <c r="AI1687" i="13"/>
  <c r="AH1687" i="13"/>
  <c r="AG1687" i="13" s="1"/>
  <c r="AF1687" i="13"/>
  <c r="F1687" i="13"/>
  <c r="AI1686" i="13"/>
  <c r="AH1686" i="13"/>
  <c r="AG1686" i="13"/>
  <c r="AF1686" i="13"/>
  <c r="F1686" i="13"/>
  <c r="AI1685" i="13"/>
  <c r="AH1685" i="13"/>
  <c r="AG1685" i="13"/>
  <c r="AF1685" i="13"/>
  <c r="F1685" i="13"/>
  <c r="AI1684" i="13"/>
  <c r="AH1684" i="13"/>
  <c r="AG1684" i="13" s="1"/>
  <c r="AF1684" i="13"/>
  <c r="F1684" i="13"/>
  <c r="AI1683" i="13"/>
  <c r="AH1683" i="13"/>
  <c r="AG1683" i="13" s="1"/>
  <c r="AF1683" i="13"/>
  <c r="F1683" i="13"/>
  <c r="AI1682" i="13"/>
  <c r="AH1682" i="13"/>
  <c r="AG1682" i="13"/>
  <c r="AF1682" i="13"/>
  <c r="F1682" i="13"/>
  <c r="AI1681" i="13"/>
  <c r="AH1681" i="13"/>
  <c r="AG1681" i="13" s="1"/>
  <c r="AF1681" i="13"/>
  <c r="F1681" i="13"/>
  <c r="AI1680" i="13"/>
  <c r="AH1680" i="13"/>
  <c r="AG1680" i="13" s="1"/>
  <c r="AF1680" i="13"/>
  <c r="F1680" i="13"/>
  <c r="AI1679" i="13"/>
  <c r="AH1679" i="13"/>
  <c r="AG1679" i="13" s="1"/>
  <c r="AF1679" i="13"/>
  <c r="F1679" i="13"/>
  <c r="AI1678" i="13"/>
  <c r="AH1678" i="13"/>
  <c r="AG1678" i="13"/>
  <c r="AF1678" i="13"/>
  <c r="F1678" i="13"/>
  <c r="AI1677" i="13"/>
  <c r="AH1677" i="13"/>
  <c r="AG1677" i="13"/>
  <c r="AF1677" i="13"/>
  <c r="F1677" i="13"/>
  <c r="AI1676" i="13"/>
  <c r="AH1676" i="13"/>
  <c r="AG1676" i="13" s="1"/>
  <c r="AF1676" i="13"/>
  <c r="F1676" i="13"/>
  <c r="AI1675" i="13"/>
  <c r="AH1675" i="13"/>
  <c r="AG1675" i="13" s="1"/>
  <c r="AF1675" i="13"/>
  <c r="F1675" i="13"/>
  <c r="AI1674" i="13"/>
  <c r="AH1674" i="13"/>
  <c r="AG1674" i="13"/>
  <c r="AF1674" i="13"/>
  <c r="F1674" i="13"/>
  <c r="AI1673" i="13"/>
  <c r="AH1673" i="13"/>
  <c r="AG1673" i="13"/>
  <c r="AF1673" i="13"/>
  <c r="F1673" i="13"/>
  <c r="AI1672" i="13"/>
  <c r="AH1672" i="13"/>
  <c r="AG1672" i="13" s="1"/>
  <c r="AF1672" i="13"/>
  <c r="F1672" i="13"/>
  <c r="AI1671" i="13"/>
  <c r="AH1671" i="13"/>
  <c r="AG1671" i="13" s="1"/>
  <c r="AF1671" i="13"/>
  <c r="F1671" i="13"/>
  <c r="AI1670" i="13"/>
  <c r="AH1670" i="13"/>
  <c r="AG1670" i="13"/>
  <c r="AF1670" i="13"/>
  <c r="F1670" i="13"/>
  <c r="AI1669" i="13"/>
  <c r="AH1669" i="13"/>
  <c r="AG1669" i="13"/>
  <c r="AF1669" i="13"/>
  <c r="F1669" i="13"/>
  <c r="AI1668" i="13"/>
  <c r="AH1668" i="13"/>
  <c r="AG1668" i="13" s="1"/>
  <c r="AF1668" i="13"/>
  <c r="F1668" i="13"/>
  <c r="AI1667" i="13"/>
  <c r="AH1667" i="13"/>
  <c r="AG1667" i="13" s="1"/>
  <c r="AF1667" i="13"/>
  <c r="F1667" i="13"/>
  <c r="AI1666" i="13"/>
  <c r="AH1666" i="13"/>
  <c r="AG1666" i="13"/>
  <c r="AF1666" i="13"/>
  <c r="F1666" i="13"/>
  <c r="AI1665" i="13"/>
  <c r="AH1665" i="13"/>
  <c r="AG1665" i="13" s="1"/>
  <c r="AF1665" i="13"/>
  <c r="F1665" i="13"/>
  <c r="AI1664" i="13"/>
  <c r="AH1664" i="13"/>
  <c r="AG1664" i="13" s="1"/>
  <c r="AF1664" i="13"/>
  <c r="F1664" i="13"/>
  <c r="AI1663" i="13"/>
  <c r="AH1663" i="13"/>
  <c r="AG1663" i="13" s="1"/>
  <c r="AF1663" i="13"/>
  <c r="F1663" i="13"/>
  <c r="AI1662" i="13"/>
  <c r="AH1662" i="13"/>
  <c r="AG1662" i="13"/>
  <c r="AF1662" i="13"/>
  <c r="F1662" i="13"/>
  <c r="AI1661" i="13"/>
  <c r="AH1661" i="13"/>
  <c r="AG1661" i="13"/>
  <c r="AF1661" i="13"/>
  <c r="F1661" i="13"/>
  <c r="AI1660" i="13"/>
  <c r="AH1660" i="13"/>
  <c r="AG1660" i="13" s="1"/>
  <c r="AF1660" i="13"/>
  <c r="F1660" i="13"/>
  <c r="AI1659" i="13"/>
  <c r="AH1659" i="13"/>
  <c r="AG1659" i="13" s="1"/>
  <c r="AF1659" i="13"/>
  <c r="F1659" i="13"/>
  <c r="AI1658" i="13"/>
  <c r="AH1658" i="13"/>
  <c r="AG1658" i="13"/>
  <c r="AF1658" i="13"/>
  <c r="F1658" i="13"/>
  <c r="AI1657" i="13"/>
  <c r="AH1657" i="13"/>
  <c r="AG1657" i="13"/>
  <c r="AF1657" i="13"/>
  <c r="F1657" i="13"/>
  <c r="AI1656" i="13"/>
  <c r="AH1656" i="13"/>
  <c r="AG1656" i="13" s="1"/>
  <c r="AF1656" i="13"/>
  <c r="F1656" i="13"/>
  <c r="AI1655" i="13"/>
  <c r="AH1655" i="13"/>
  <c r="AG1655" i="13" s="1"/>
  <c r="AF1655" i="13"/>
  <c r="F1655" i="13"/>
  <c r="AI1654" i="13"/>
  <c r="AH1654" i="13"/>
  <c r="AG1654" i="13"/>
  <c r="AF1654" i="13"/>
  <c r="F1654" i="13"/>
  <c r="AI1653" i="13"/>
  <c r="AH1653" i="13"/>
  <c r="AG1653" i="13"/>
  <c r="AF1653" i="13"/>
  <c r="F1653" i="13"/>
  <c r="AI1652" i="13"/>
  <c r="AH1652" i="13"/>
  <c r="AG1652" i="13" s="1"/>
  <c r="AF1652" i="13"/>
  <c r="F1652" i="13"/>
  <c r="AI1651" i="13"/>
  <c r="AH1651" i="13"/>
  <c r="AG1651" i="13" s="1"/>
  <c r="AF1651" i="13"/>
  <c r="F1651" i="13"/>
  <c r="AI1650" i="13"/>
  <c r="AH1650" i="13"/>
  <c r="AG1650" i="13"/>
  <c r="AF1650" i="13"/>
  <c r="F1650" i="13"/>
  <c r="AI1649" i="13"/>
  <c r="AH1649" i="13"/>
  <c r="AG1649" i="13" s="1"/>
  <c r="AF1649" i="13"/>
  <c r="F1649" i="13"/>
  <c r="AI1648" i="13"/>
  <c r="AH1648" i="13"/>
  <c r="AG1648" i="13" s="1"/>
  <c r="AF1648" i="13"/>
  <c r="F1648" i="13"/>
  <c r="AI1647" i="13"/>
  <c r="AH1647" i="13"/>
  <c r="AG1647" i="13" s="1"/>
  <c r="AF1647" i="13"/>
  <c r="F1647" i="13"/>
  <c r="AI1646" i="13"/>
  <c r="AH1646" i="13"/>
  <c r="AG1646" i="13"/>
  <c r="AF1646" i="13"/>
  <c r="F1646" i="13"/>
  <c r="AI1645" i="13"/>
  <c r="AH1645" i="13"/>
  <c r="AG1645" i="13"/>
  <c r="AF1645" i="13"/>
  <c r="F1645" i="13"/>
  <c r="AI1644" i="13"/>
  <c r="AH1644" i="13"/>
  <c r="AG1644" i="13" s="1"/>
  <c r="AF1644" i="13"/>
  <c r="F1644" i="13"/>
  <c r="AI1643" i="13"/>
  <c r="AH1643" i="13"/>
  <c r="AG1643" i="13" s="1"/>
  <c r="AF1643" i="13"/>
  <c r="F1643" i="13"/>
  <c r="AI1642" i="13"/>
  <c r="AH1642" i="13"/>
  <c r="AG1642" i="13"/>
  <c r="AF1642" i="13"/>
  <c r="F1642" i="13"/>
  <c r="AI1641" i="13"/>
  <c r="AH1641" i="13"/>
  <c r="AG1641" i="13"/>
  <c r="AF1641" i="13"/>
  <c r="F1641" i="13"/>
  <c r="AI1640" i="13"/>
  <c r="AH1640" i="13"/>
  <c r="AG1640" i="13" s="1"/>
  <c r="AF1640" i="13"/>
  <c r="F1640" i="13"/>
  <c r="AI1639" i="13"/>
  <c r="AH1639" i="13"/>
  <c r="AG1639" i="13" s="1"/>
  <c r="AF1639" i="13"/>
  <c r="F1639" i="13"/>
  <c r="AI1638" i="13"/>
  <c r="AH1638" i="13"/>
  <c r="AG1638" i="13"/>
  <c r="AF1638" i="13"/>
  <c r="F1638" i="13"/>
  <c r="AI1637" i="13"/>
  <c r="AH1637" i="13"/>
  <c r="AG1637" i="13"/>
  <c r="AF1637" i="13"/>
  <c r="F1637" i="13"/>
  <c r="AI1636" i="13"/>
  <c r="AH1636" i="13"/>
  <c r="AG1636" i="13" s="1"/>
  <c r="AF1636" i="13"/>
  <c r="F1636" i="13"/>
  <c r="AI1635" i="13"/>
  <c r="AH1635" i="13"/>
  <c r="AG1635" i="13" s="1"/>
  <c r="AF1635" i="13"/>
  <c r="F1635" i="13"/>
  <c r="AI1634" i="13"/>
  <c r="AH1634" i="13"/>
  <c r="AG1634" i="13"/>
  <c r="AF1634" i="13"/>
  <c r="F1634" i="13"/>
  <c r="AI1633" i="13"/>
  <c r="AH1633" i="13"/>
  <c r="AG1633" i="13" s="1"/>
  <c r="AF1633" i="13"/>
  <c r="F1633" i="13"/>
  <c r="AI1632" i="13"/>
  <c r="AH1632" i="13"/>
  <c r="AG1632" i="13" s="1"/>
  <c r="AF1632" i="13"/>
  <c r="F1632" i="13"/>
  <c r="AI1631" i="13"/>
  <c r="AH1631" i="13"/>
  <c r="AG1631" i="13" s="1"/>
  <c r="AF1631" i="13"/>
  <c r="F1631" i="13"/>
  <c r="AI1630" i="13"/>
  <c r="AH1630" i="13"/>
  <c r="AG1630" i="13"/>
  <c r="AF1630" i="13"/>
  <c r="F1630" i="13"/>
  <c r="AI1629" i="13"/>
  <c r="AH1629" i="13"/>
  <c r="AG1629" i="13"/>
  <c r="AF1629" i="13"/>
  <c r="F1629" i="13"/>
  <c r="AI1628" i="13"/>
  <c r="AH1628" i="13"/>
  <c r="AG1628" i="13" s="1"/>
  <c r="AF1628" i="13"/>
  <c r="F1628" i="13"/>
  <c r="AI1627" i="13"/>
  <c r="AH1627" i="13"/>
  <c r="AG1627" i="13" s="1"/>
  <c r="AF1627" i="13"/>
  <c r="F1627" i="13"/>
  <c r="AI1626" i="13"/>
  <c r="AH1626" i="13"/>
  <c r="AG1626" i="13"/>
  <c r="AF1626" i="13"/>
  <c r="F1626" i="13"/>
  <c r="AI1625" i="13"/>
  <c r="AH1625" i="13"/>
  <c r="AG1625" i="13"/>
  <c r="AF1625" i="13"/>
  <c r="F1625" i="13"/>
  <c r="AI1624" i="13"/>
  <c r="AH1624" i="13"/>
  <c r="AG1624" i="13" s="1"/>
  <c r="AF1624" i="13"/>
  <c r="F1624" i="13"/>
  <c r="AI1623" i="13"/>
  <c r="AH1623" i="13"/>
  <c r="AG1623" i="13" s="1"/>
  <c r="AF1623" i="13"/>
  <c r="F1623" i="13"/>
  <c r="AI1622" i="13"/>
  <c r="AH1622" i="13"/>
  <c r="AG1622" i="13"/>
  <c r="AF1622" i="13"/>
  <c r="F1622" i="13"/>
  <c r="AI1621" i="13"/>
  <c r="AH1621" i="13"/>
  <c r="AG1621" i="13"/>
  <c r="AF1621" i="13"/>
  <c r="F1621" i="13"/>
  <c r="AI1620" i="13"/>
  <c r="AH1620" i="13"/>
  <c r="AG1620" i="13" s="1"/>
  <c r="AF1620" i="13"/>
  <c r="F1620" i="13"/>
  <c r="AI1619" i="13"/>
  <c r="AH1619" i="13"/>
  <c r="AG1619" i="13" s="1"/>
  <c r="AF1619" i="13"/>
  <c r="F1619" i="13"/>
  <c r="AI1618" i="13"/>
  <c r="AH1618" i="13"/>
  <c r="AG1618" i="13"/>
  <c r="AF1618" i="13"/>
  <c r="F1618" i="13"/>
  <c r="AI1617" i="13"/>
  <c r="AH1617" i="13"/>
  <c r="AG1617" i="13" s="1"/>
  <c r="AF1617" i="13"/>
  <c r="F1617" i="13"/>
  <c r="AI1616" i="13"/>
  <c r="AH1616" i="13"/>
  <c r="AG1616" i="13" s="1"/>
  <c r="AF1616" i="13"/>
  <c r="F1616" i="13"/>
  <c r="AI1615" i="13"/>
  <c r="AH1615" i="13"/>
  <c r="AG1615" i="13" s="1"/>
  <c r="AF1615" i="13"/>
  <c r="F1615" i="13"/>
  <c r="AI1614" i="13"/>
  <c r="AH1614" i="13"/>
  <c r="AG1614" i="13"/>
  <c r="AF1614" i="13"/>
  <c r="F1614" i="13"/>
  <c r="AI1613" i="13"/>
  <c r="AH1613" i="13"/>
  <c r="AG1613" i="13"/>
  <c r="AF1613" i="13"/>
  <c r="F1613" i="13"/>
  <c r="AI1612" i="13"/>
  <c r="AH1612" i="13"/>
  <c r="AG1612" i="13" s="1"/>
  <c r="AF1612" i="13"/>
  <c r="F1612" i="13"/>
  <c r="AI1611" i="13"/>
  <c r="AH1611" i="13"/>
  <c r="AG1611" i="13" s="1"/>
  <c r="AF1611" i="13"/>
  <c r="F1611" i="13"/>
  <c r="AI1610" i="13"/>
  <c r="AH1610" i="13"/>
  <c r="AG1610" i="13"/>
  <c r="AF1610" i="13"/>
  <c r="F1610" i="13"/>
  <c r="AI1609" i="13"/>
  <c r="AH1609" i="13"/>
  <c r="AG1609" i="13"/>
  <c r="AF1609" i="13"/>
  <c r="F1609" i="13"/>
  <c r="AI1608" i="13"/>
  <c r="AH1608" i="13"/>
  <c r="AG1608" i="13" s="1"/>
  <c r="AF1608" i="13"/>
  <c r="F1608" i="13"/>
  <c r="AI1607" i="13"/>
  <c r="AH1607" i="13"/>
  <c r="AG1607" i="13" s="1"/>
  <c r="AF1607" i="13"/>
  <c r="F1607" i="13"/>
  <c r="AI1606" i="13"/>
  <c r="AH1606" i="13"/>
  <c r="AG1606" i="13"/>
  <c r="AF1606" i="13"/>
  <c r="F1606" i="13"/>
  <c r="AI1605" i="13"/>
  <c r="AH1605" i="13"/>
  <c r="AG1605" i="13"/>
  <c r="AF1605" i="13"/>
  <c r="F1605" i="13"/>
  <c r="AI1604" i="13"/>
  <c r="AH1604" i="13"/>
  <c r="AG1604" i="13" s="1"/>
  <c r="AF1604" i="13"/>
  <c r="F1604" i="13"/>
  <c r="AI1603" i="13"/>
  <c r="AH1603" i="13"/>
  <c r="AG1603" i="13" s="1"/>
  <c r="AF1603" i="13"/>
  <c r="F1603" i="13"/>
  <c r="AI1602" i="13"/>
  <c r="AH1602" i="13"/>
  <c r="AG1602" i="13"/>
  <c r="AF1602" i="13"/>
  <c r="F1602" i="13"/>
  <c r="AI1601" i="13"/>
  <c r="AH1601" i="13"/>
  <c r="AG1601" i="13" s="1"/>
  <c r="AF1601" i="13"/>
  <c r="F1601" i="13"/>
  <c r="AI1600" i="13"/>
  <c r="AH1600" i="13"/>
  <c r="AG1600" i="13" s="1"/>
  <c r="AF1600" i="13"/>
  <c r="F1600" i="13"/>
  <c r="AI1599" i="13"/>
  <c r="AH1599" i="13"/>
  <c r="AG1599" i="13" s="1"/>
  <c r="AF1599" i="13"/>
  <c r="F1599" i="13"/>
  <c r="AI1598" i="13"/>
  <c r="AH1598" i="13"/>
  <c r="AG1598" i="13"/>
  <c r="AF1598" i="13"/>
  <c r="F1598" i="13"/>
  <c r="AI1597" i="13"/>
  <c r="AH1597" i="13"/>
  <c r="AG1597" i="13"/>
  <c r="AF1597" i="13"/>
  <c r="F1597" i="13"/>
  <c r="AI1596" i="13"/>
  <c r="AH1596" i="13"/>
  <c r="AG1596" i="13" s="1"/>
  <c r="AF1596" i="13"/>
  <c r="F1596" i="13"/>
  <c r="AI1595" i="13"/>
  <c r="AH1595" i="13"/>
  <c r="AG1595" i="13" s="1"/>
  <c r="AF1595" i="13"/>
  <c r="F1595" i="13"/>
  <c r="AI1594" i="13"/>
  <c r="AH1594" i="13"/>
  <c r="AG1594" i="13"/>
  <c r="AF1594" i="13"/>
  <c r="F1594" i="13"/>
  <c r="AI1593" i="13"/>
  <c r="AH1593" i="13"/>
  <c r="AG1593" i="13"/>
  <c r="AF1593" i="13"/>
  <c r="F1593" i="13"/>
  <c r="AI1592" i="13"/>
  <c r="AH1592" i="13"/>
  <c r="AG1592" i="13" s="1"/>
  <c r="AF1592" i="13"/>
  <c r="F1592" i="13"/>
  <c r="AI1591" i="13"/>
  <c r="AH1591" i="13"/>
  <c r="AG1591" i="13" s="1"/>
  <c r="AF1591" i="13"/>
  <c r="F1591" i="13"/>
  <c r="AI1590" i="13"/>
  <c r="AH1590" i="13"/>
  <c r="AG1590" i="13"/>
  <c r="AF1590" i="13"/>
  <c r="F1590" i="13"/>
  <c r="AI1589" i="13"/>
  <c r="AH1589" i="13"/>
  <c r="AG1589" i="13"/>
  <c r="AF1589" i="13"/>
  <c r="F1589" i="13"/>
  <c r="AI1588" i="13"/>
  <c r="AH1588" i="13"/>
  <c r="AG1588" i="13" s="1"/>
  <c r="AF1588" i="13"/>
  <c r="F1588" i="13"/>
  <c r="AI1587" i="13"/>
  <c r="AH1587" i="13"/>
  <c r="AG1587" i="13" s="1"/>
  <c r="AF1587" i="13"/>
  <c r="F1587" i="13"/>
  <c r="AI1586" i="13"/>
  <c r="AH1586" i="13"/>
  <c r="AG1586" i="13"/>
  <c r="AF1586" i="13"/>
  <c r="F1586" i="13"/>
  <c r="AI1585" i="13"/>
  <c r="AH1585" i="13"/>
  <c r="AG1585" i="13" s="1"/>
  <c r="AF1585" i="13"/>
  <c r="F1585" i="13"/>
  <c r="AI1584" i="13"/>
  <c r="AH1584" i="13"/>
  <c r="AG1584" i="13" s="1"/>
  <c r="AF1584" i="13"/>
  <c r="F1584" i="13"/>
  <c r="AI1583" i="13"/>
  <c r="AH1583" i="13"/>
  <c r="AG1583" i="13" s="1"/>
  <c r="AF1583" i="13"/>
  <c r="F1583" i="13"/>
  <c r="AI1582" i="13"/>
  <c r="AH1582" i="13"/>
  <c r="AG1582" i="13"/>
  <c r="AF1582" i="13"/>
  <c r="F1582" i="13"/>
  <c r="AI1581" i="13"/>
  <c r="AH1581" i="13"/>
  <c r="AG1581" i="13"/>
  <c r="AF1581" i="13"/>
  <c r="F1581" i="13"/>
  <c r="AI1580" i="13"/>
  <c r="AH1580" i="13"/>
  <c r="AG1580" i="13" s="1"/>
  <c r="AF1580" i="13"/>
  <c r="F1580" i="13"/>
  <c r="AI1579" i="13"/>
  <c r="AH1579" i="13"/>
  <c r="AG1579" i="13" s="1"/>
  <c r="AF1579" i="13"/>
  <c r="F1579" i="13"/>
  <c r="AI1578" i="13"/>
  <c r="AH1578" i="13"/>
  <c r="AG1578" i="13"/>
  <c r="AF1578" i="13"/>
  <c r="F1578" i="13"/>
  <c r="AI1577" i="13"/>
  <c r="AH1577" i="13"/>
  <c r="AG1577" i="13"/>
  <c r="AF1577" i="13"/>
  <c r="F1577" i="13"/>
  <c r="AI1576" i="13"/>
  <c r="AH1576" i="13"/>
  <c r="AG1576" i="13" s="1"/>
  <c r="AF1576" i="13"/>
  <c r="F1576" i="13"/>
  <c r="AI1575" i="13"/>
  <c r="AH1575" i="13"/>
  <c r="AG1575" i="13" s="1"/>
  <c r="AF1575" i="13"/>
  <c r="F1575" i="13"/>
  <c r="AI1574" i="13"/>
  <c r="AH1574" i="13"/>
  <c r="AG1574" i="13"/>
  <c r="AF1574" i="13"/>
  <c r="F1574" i="13"/>
  <c r="AI1573" i="13"/>
  <c r="AH1573" i="13"/>
  <c r="AG1573" i="13"/>
  <c r="AF1573" i="13"/>
  <c r="F1573" i="13"/>
  <c r="AI1572" i="13"/>
  <c r="AH1572" i="13"/>
  <c r="AG1572" i="13" s="1"/>
  <c r="AF1572" i="13"/>
  <c r="F1572" i="13"/>
  <c r="AI1571" i="13"/>
  <c r="AH1571" i="13"/>
  <c r="AG1571" i="13" s="1"/>
  <c r="AF1571" i="13"/>
  <c r="F1571" i="13"/>
  <c r="AI1570" i="13"/>
  <c r="AH1570" i="13"/>
  <c r="AG1570" i="13"/>
  <c r="AF1570" i="13"/>
  <c r="F1570" i="13"/>
  <c r="AI1569" i="13"/>
  <c r="AH1569" i="13"/>
  <c r="AG1569" i="13" s="1"/>
  <c r="AF1569" i="13"/>
  <c r="F1569" i="13"/>
  <c r="AI1568" i="13"/>
  <c r="AH1568" i="13"/>
  <c r="AG1568" i="13" s="1"/>
  <c r="AF1568" i="13"/>
  <c r="F1568" i="13"/>
  <c r="AI1567" i="13"/>
  <c r="AH1567" i="13"/>
  <c r="AG1567" i="13" s="1"/>
  <c r="AF1567" i="13"/>
  <c r="F1567" i="13"/>
  <c r="AI1566" i="13"/>
  <c r="AH1566" i="13"/>
  <c r="AG1566" i="13"/>
  <c r="AF1566" i="13"/>
  <c r="F1566" i="13"/>
  <c r="AI1565" i="13"/>
  <c r="AH1565" i="13"/>
  <c r="AG1565" i="13"/>
  <c r="AF1565" i="13"/>
  <c r="F1565" i="13"/>
  <c r="AI1564" i="13"/>
  <c r="AH1564" i="13"/>
  <c r="AG1564" i="13" s="1"/>
  <c r="AF1564" i="13"/>
  <c r="F1564" i="13"/>
  <c r="AI1563" i="13"/>
  <c r="AH1563" i="13"/>
  <c r="AG1563" i="13" s="1"/>
  <c r="AF1563" i="13"/>
  <c r="F1563" i="13"/>
  <c r="AI1562" i="13"/>
  <c r="AH1562" i="13"/>
  <c r="AG1562" i="13"/>
  <c r="AF1562" i="13"/>
  <c r="F1562" i="13"/>
  <c r="AI1561" i="13"/>
  <c r="AH1561" i="13"/>
  <c r="AG1561" i="13"/>
  <c r="AF1561" i="13"/>
  <c r="F1561" i="13"/>
  <c r="AI1560" i="13"/>
  <c r="AH1560" i="13"/>
  <c r="AG1560" i="13" s="1"/>
  <c r="AF1560" i="13"/>
  <c r="F1560" i="13"/>
  <c r="AI1559" i="13"/>
  <c r="AH1559" i="13"/>
  <c r="AG1559" i="13" s="1"/>
  <c r="AF1559" i="13"/>
  <c r="F1559" i="13"/>
  <c r="AI1558" i="13"/>
  <c r="AH1558" i="13"/>
  <c r="AG1558" i="13"/>
  <c r="AF1558" i="13"/>
  <c r="F1558" i="13"/>
  <c r="AI1557" i="13"/>
  <c r="AH1557" i="13"/>
  <c r="AG1557" i="13"/>
  <c r="AF1557" i="13"/>
  <c r="F1557" i="13"/>
  <c r="AI1556" i="13"/>
  <c r="AH1556" i="13"/>
  <c r="AG1556" i="13" s="1"/>
  <c r="AF1556" i="13"/>
  <c r="F1556" i="13"/>
  <c r="AI1555" i="13"/>
  <c r="AH1555" i="13"/>
  <c r="AG1555" i="13" s="1"/>
  <c r="AF1555" i="13"/>
  <c r="F1555" i="13"/>
  <c r="AI1554" i="13"/>
  <c r="AH1554" i="13"/>
  <c r="AG1554" i="13"/>
  <c r="AF1554" i="13"/>
  <c r="F1554" i="13"/>
  <c r="AI1553" i="13"/>
  <c r="AH1553" i="13"/>
  <c r="AG1553" i="13" s="1"/>
  <c r="AF1553" i="13"/>
  <c r="F1553" i="13"/>
  <c r="AI1552" i="13"/>
  <c r="AH1552" i="13"/>
  <c r="AG1552" i="13" s="1"/>
  <c r="AF1552" i="13"/>
  <c r="F1552" i="13"/>
  <c r="AI1551" i="13"/>
  <c r="AH1551" i="13"/>
  <c r="AG1551" i="13" s="1"/>
  <c r="AF1551" i="13"/>
  <c r="F1551" i="13"/>
  <c r="AI1550" i="13"/>
  <c r="AH1550" i="13"/>
  <c r="AG1550" i="13"/>
  <c r="AF1550" i="13"/>
  <c r="F1550" i="13"/>
  <c r="AI1549" i="13"/>
  <c r="AH1549" i="13"/>
  <c r="AG1549" i="13"/>
  <c r="AF1549" i="13"/>
  <c r="F1549" i="13"/>
  <c r="AI1548" i="13"/>
  <c r="AH1548" i="13"/>
  <c r="AG1548" i="13" s="1"/>
  <c r="AF1548" i="13"/>
  <c r="F1548" i="13"/>
  <c r="AI1547" i="13"/>
  <c r="AH1547" i="13"/>
  <c r="AG1547" i="13" s="1"/>
  <c r="AF1547" i="13"/>
  <c r="F1547" i="13"/>
  <c r="AI1546" i="13"/>
  <c r="AH1546" i="13"/>
  <c r="AG1546" i="13"/>
  <c r="AF1546" i="13"/>
  <c r="F1546" i="13"/>
  <c r="AI1545" i="13"/>
  <c r="AH1545" i="13"/>
  <c r="AG1545" i="13"/>
  <c r="AF1545" i="13"/>
  <c r="F1545" i="13"/>
  <c r="AI1544" i="13"/>
  <c r="AH1544" i="13"/>
  <c r="AG1544" i="13" s="1"/>
  <c r="AF1544" i="13"/>
  <c r="F1544" i="13"/>
  <c r="AI1543" i="13"/>
  <c r="AH1543" i="13"/>
  <c r="AG1543" i="13" s="1"/>
  <c r="AF1543" i="13"/>
  <c r="F1543" i="13"/>
  <c r="AI1542" i="13"/>
  <c r="AH1542" i="13"/>
  <c r="AG1542" i="13"/>
  <c r="AF1542" i="13"/>
  <c r="F1542" i="13"/>
  <c r="AI1541" i="13"/>
  <c r="AH1541" i="13"/>
  <c r="AG1541" i="13"/>
  <c r="AF1541" i="13"/>
  <c r="F1541" i="13"/>
  <c r="AI1540" i="13"/>
  <c r="AH1540" i="13"/>
  <c r="AG1540" i="13" s="1"/>
  <c r="AF1540" i="13"/>
  <c r="F1540" i="13"/>
  <c r="AI1539" i="13"/>
  <c r="AH1539" i="13"/>
  <c r="AG1539" i="13" s="1"/>
  <c r="AF1539" i="13"/>
  <c r="F1539" i="13"/>
  <c r="AI1538" i="13"/>
  <c r="AH1538" i="13"/>
  <c r="AG1538" i="13"/>
  <c r="AF1538" i="13"/>
  <c r="F1538" i="13"/>
  <c r="AI1537" i="13"/>
  <c r="AH1537" i="13"/>
  <c r="AG1537" i="13" s="1"/>
  <c r="AF1537" i="13"/>
  <c r="F1537" i="13"/>
  <c r="AI1536" i="13"/>
  <c r="AH1536" i="13"/>
  <c r="AG1536" i="13" s="1"/>
  <c r="AF1536" i="13"/>
  <c r="F1536" i="13"/>
  <c r="AI1535" i="13"/>
  <c r="AH1535" i="13"/>
  <c r="AG1535" i="13" s="1"/>
  <c r="AF1535" i="13"/>
  <c r="F1535" i="13"/>
  <c r="AI1534" i="13"/>
  <c r="AH1534" i="13"/>
  <c r="AG1534" i="13"/>
  <c r="AF1534" i="13"/>
  <c r="F1534" i="13"/>
  <c r="AI1533" i="13"/>
  <c r="AH1533" i="13"/>
  <c r="AG1533" i="13"/>
  <c r="AF1533" i="13"/>
  <c r="F1533" i="13"/>
  <c r="AI1532" i="13"/>
  <c r="AH1532" i="13"/>
  <c r="AG1532" i="13" s="1"/>
  <c r="AF1532" i="13"/>
  <c r="F1532" i="13"/>
  <c r="AI1531" i="13"/>
  <c r="AH1531" i="13"/>
  <c r="AG1531" i="13" s="1"/>
  <c r="AF1531" i="13"/>
  <c r="F1531" i="13"/>
  <c r="AI1530" i="13"/>
  <c r="AH1530" i="13"/>
  <c r="AG1530" i="13"/>
  <c r="AF1530" i="13"/>
  <c r="F1530" i="13"/>
  <c r="AI1529" i="13"/>
  <c r="AH1529" i="13"/>
  <c r="AG1529" i="13"/>
  <c r="AF1529" i="13"/>
  <c r="F1529" i="13"/>
  <c r="AI1528" i="13"/>
  <c r="AH1528" i="13"/>
  <c r="AG1528" i="13" s="1"/>
  <c r="AF1528" i="13"/>
  <c r="F1528" i="13"/>
  <c r="AI1527" i="13"/>
  <c r="AH1527" i="13"/>
  <c r="AG1527" i="13" s="1"/>
  <c r="AF1527" i="13"/>
  <c r="F1527" i="13"/>
  <c r="AI1526" i="13"/>
  <c r="AH1526" i="13"/>
  <c r="AG1526" i="13"/>
  <c r="AF1526" i="13"/>
  <c r="F1526" i="13"/>
  <c r="AI1525" i="13"/>
  <c r="AH1525" i="13"/>
  <c r="AG1525" i="13"/>
  <c r="AF1525" i="13"/>
  <c r="F1525" i="13"/>
  <c r="AI1524" i="13"/>
  <c r="AH1524" i="13"/>
  <c r="AG1524" i="13" s="1"/>
  <c r="AF1524" i="13"/>
  <c r="F1524" i="13"/>
  <c r="AI1523" i="13"/>
  <c r="AH1523" i="13"/>
  <c r="AG1523" i="13" s="1"/>
  <c r="AF1523" i="13"/>
  <c r="F1523" i="13"/>
  <c r="AI1522" i="13"/>
  <c r="AH1522" i="13"/>
  <c r="AG1522" i="13"/>
  <c r="AF1522" i="13"/>
  <c r="F1522" i="13"/>
  <c r="AI1521" i="13"/>
  <c r="AH1521" i="13"/>
  <c r="AG1521" i="13" s="1"/>
  <c r="AF1521" i="13"/>
  <c r="F1521" i="13"/>
  <c r="AI1520" i="13"/>
  <c r="AH1520" i="13"/>
  <c r="AG1520" i="13" s="1"/>
  <c r="AF1520" i="13"/>
  <c r="F1520" i="13"/>
  <c r="AI1519" i="13"/>
  <c r="AH1519" i="13"/>
  <c r="AG1519" i="13" s="1"/>
  <c r="AF1519" i="13"/>
  <c r="F1519" i="13"/>
  <c r="AI1518" i="13"/>
  <c r="AH1518" i="13"/>
  <c r="AG1518" i="13"/>
  <c r="AF1518" i="13"/>
  <c r="F1518" i="13"/>
  <c r="AI1517" i="13"/>
  <c r="AH1517" i="13"/>
  <c r="AG1517" i="13"/>
  <c r="AF1517" i="13"/>
  <c r="F1517" i="13"/>
  <c r="AI1516" i="13"/>
  <c r="AH1516" i="13"/>
  <c r="AG1516" i="13" s="1"/>
  <c r="AF1516" i="13"/>
  <c r="F1516" i="13"/>
  <c r="AI1515" i="13"/>
  <c r="AH1515" i="13"/>
  <c r="AG1515" i="13" s="1"/>
  <c r="AF1515" i="13"/>
  <c r="F1515" i="13"/>
  <c r="AI1514" i="13"/>
  <c r="AH1514" i="13"/>
  <c r="AG1514" i="13"/>
  <c r="AF1514" i="13"/>
  <c r="F1514" i="13"/>
  <c r="AI1513" i="13"/>
  <c r="AH1513" i="13"/>
  <c r="AG1513" i="13"/>
  <c r="AF1513" i="13"/>
  <c r="F1513" i="13"/>
  <c r="AI1512" i="13"/>
  <c r="AH1512" i="13"/>
  <c r="AG1512" i="13" s="1"/>
  <c r="AF1512" i="13"/>
  <c r="F1512" i="13"/>
  <c r="AI1511" i="13"/>
  <c r="AH1511" i="13"/>
  <c r="AG1511" i="13" s="1"/>
  <c r="AF1511" i="13"/>
  <c r="F1511" i="13"/>
  <c r="AI1510" i="13"/>
  <c r="AH1510" i="13"/>
  <c r="AG1510" i="13"/>
  <c r="AF1510" i="13"/>
  <c r="F1510" i="13"/>
  <c r="AI1509" i="13"/>
  <c r="AH1509" i="13"/>
  <c r="AG1509" i="13"/>
  <c r="AF1509" i="13"/>
  <c r="F1509" i="13"/>
  <c r="AI1508" i="13"/>
  <c r="AH1508" i="13"/>
  <c r="AG1508" i="13" s="1"/>
  <c r="AF1508" i="13"/>
  <c r="F1508" i="13"/>
  <c r="AI1507" i="13"/>
  <c r="AH1507" i="13"/>
  <c r="AG1507" i="13" s="1"/>
  <c r="AF1507" i="13"/>
  <c r="F1507" i="13"/>
  <c r="AI1506" i="13"/>
  <c r="AH1506" i="13"/>
  <c r="AG1506" i="13"/>
  <c r="AF1506" i="13"/>
  <c r="F1506" i="13"/>
  <c r="AI1505" i="13"/>
  <c r="AH1505" i="13"/>
  <c r="AG1505" i="13" s="1"/>
  <c r="AF1505" i="13"/>
  <c r="F1505" i="13"/>
  <c r="AI1504" i="13"/>
  <c r="AH1504" i="13"/>
  <c r="AG1504" i="13" s="1"/>
  <c r="AF1504" i="13"/>
  <c r="F1504" i="13"/>
  <c r="AI1503" i="13"/>
  <c r="AH1503" i="13"/>
  <c r="AG1503" i="13" s="1"/>
  <c r="AF1503" i="13"/>
  <c r="F1503" i="13"/>
  <c r="AI1502" i="13"/>
  <c r="AH1502" i="13"/>
  <c r="AG1502" i="13"/>
  <c r="AF1502" i="13"/>
  <c r="F1502" i="13"/>
  <c r="AI1501" i="13"/>
  <c r="AH1501" i="13"/>
  <c r="AG1501" i="13"/>
  <c r="AF1501" i="13"/>
  <c r="F1501" i="13"/>
  <c r="AI1500" i="13"/>
  <c r="AH1500" i="13"/>
  <c r="AG1500" i="13" s="1"/>
  <c r="AF1500" i="13"/>
  <c r="F1500" i="13"/>
  <c r="AI1499" i="13"/>
  <c r="AH1499" i="13"/>
  <c r="AG1499" i="13" s="1"/>
  <c r="AF1499" i="13"/>
  <c r="F1499" i="13"/>
  <c r="AI1498" i="13"/>
  <c r="AH1498" i="13"/>
  <c r="AG1498" i="13"/>
  <c r="AF1498" i="13"/>
  <c r="F1498" i="13"/>
  <c r="AI1497" i="13"/>
  <c r="AH1497" i="13"/>
  <c r="AG1497" i="13"/>
  <c r="AF1497" i="13"/>
  <c r="F1497" i="13"/>
  <c r="AI1496" i="13"/>
  <c r="AH1496" i="13"/>
  <c r="AG1496" i="13" s="1"/>
  <c r="AF1496" i="13"/>
  <c r="F1496" i="13"/>
  <c r="AI1495" i="13"/>
  <c r="AH1495" i="13"/>
  <c r="AG1495" i="13" s="1"/>
  <c r="AF1495" i="13"/>
  <c r="F1495" i="13"/>
  <c r="AI1494" i="13"/>
  <c r="AH1494" i="13"/>
  <c r="AG1494" i="13"/>
  <c r="AF1494" i="13"/>
  <c r="F1494" i="13"/>
  <c r="AI1493" i="13"/>
  <c r="AH1493" i="13"/>
  <c r="AG1493" i="13"/>
  <c r="AF1493" i="13"/>
  <c r="F1493" i="13"/>
  <c r="AI1492" i="13"/>
  <c r="AH1492" i="13"/>
  <c r="AG1492" i="13" s="1"/>
  <c r="AF1492" i="13"/>
  <c r="F1492" i="13"/>
  <c r="AI1491" i="13"/>
  <c r="AH1491" i="13"/>
  <c r="AG1491" i="13" s="1"/>
  <c r="AF1491" i="13"/>
  <c r="F1491" i="13"/>
  <c r="AI1490" i="13"/>
  <c r="AH1490" i="13"/>
  <c r="AG1490" i="13"/>
  <c r="AF1490" i="13"/>
  <c r="F1490" i="13"/>
  <c r="AI1489" i="13"/>
  <c r="AH1489" i="13"/>
  <c r="AG1489" i="13" s="1"/>
  <c r="AF1489" i="13"/>
  <c r="F1489" i="13"/>
  <c r="AI1488" i="13"/>
  <c r="AH1488" i="13"/>
  <c r="AG1488" i="13" s="1"/>
  <c r="AF1488" i="13"/>
  <c r="F1488" i="13"/>
  <c r="AI1487" i="13"/>
  <c r="AH1487" i="13"/>
  <c r="AG1487" i="13" s="1"/>
  <c r="AF1487" i="13"/>
  <c r="F1487" i="13"/>
  <c r="AI1486" i="13"/>
  <c r="AH1486" i="13"/>
  <c r="AG1486" i="13"/>
  <c r="AF1486" i="13"/>
  <c r="F1486" i="13"/>
  <c r="AI1485" i="13"/>
  <c r="AH1485" i="13"/>
  <c r="AG1485" i="13"/>
  <c r="AF1485" i="13"/>
  <c r="F1485" i="13"/>
  <c r="AI1484" i="13"/>
  <c r="AH1484" i="13"/>
  <c r="AG1484" i="13" s="1"/>
  <c r="AF1484" i="13"/>
  <c r="F1484" i="13"/>
  <c r="AI1483" i="13"/>
  <c r="AH1483" i="13"/>
  <c r="AG1483" i="13" s="1"/>
  <c r="AF1483" i="13"/>
  <c r="F1483" i="13"/>
  <c r="AI1482" i="13"/>
  <c r="AH1482" i="13"/>
  <c r="AG1482" i="13"/>
  <c r="AF1482" i="13"/>
  <c r="F1482" i="13"/>
  <c r="AI1481" i="13"/>
  <c r="AH1481" i="13"/>
  <c r="AG1481" i="13"/>
  <c r="AF1481" i="13"/>
  <c r="F1481" i="13"/>
  <c r="AI1480" i="13"/>
  <c r="AH1480" i="13"/>
  <c r="AG1480" i="13" s="1"/>
  <c r="AF1480" i="13"/>
  <c r="F1480" i="13"/>
  <c r="AI1479" i="13"/>
  <c r="AH1479" i="13"/>
  <c r="AG1479" i="13" s="1"/>
  <c r="AF1479" i="13"/>
  <c r="F1479" i="13"/>
  <c r="AI1478" i="13"/>
  <c r="AH1478" i="13"/>
  <c r="AG1478" i="13"/>
  <c r="AF1478" i="13"/>
  <c r="F1478" i="13"/>
  <c r="AI1477" i="13"/>
  <c r="AH1477" i="13"/>
  <c r="AG1477" i="13"/>
  <c r="AF1477" i="13"/>
  <c r="F1477" i="13"/>
  <c r="AI1476" i="13"/>
  <c r="AH1476" i="13"/>
  <c r="AG1476" i="13" s="1"/>
  <c r="AF1476" i="13"/>
  <c r="F1476" i="13"/>
  <c r="AI1475" i="13"/>
  <c r="AH1475" i="13"/>
  <c r="AG1475" i="13" s="1"/>
  <c r="AF1475" i="13"/>
  <c r="F1475" i="13"/>
  <c r="AI1474" i="13"/>
  <c r="AH1474" i="13"/>
  <c r="AG1474" i="13"/>
  <c r="AF1474" i="13"/>
  <c r="F1474" i="13"/>
  <c r="AI1473" i="13"/>
  <c r="AH1473" i="13"/>
  <c r="AG1473" i="13" s="1"/>
  <c r="AF1473" i="13"/>
  <c r="F1473" i="13"/>
  <c r="AI1472" i="13"/>
  <c r="AH1472" i="13"/>
  <c r="AG1472" i="13" s="1"/>
  <c r="AF1472" i="13"/>
  <c r="F1472" i="13"/>
  <c r="AI1471" i="13"/>
  <c r="AH1471" i="13"/>
  <c r="AG1471" i="13" s="1"/>
  <c r="AF1471" i="13"/>
  <c r="F1471" i="13"/>
  <c r="AI1470" i="13"/>
  <c r="AH1470" i="13"/>
  <c r="AG1470" i="13"/>
  <c r="AF1470" i="13"/>
  <c r="F1470" i="13"/>
  <c r="AI1469" i="13"/>
  <c r="AH1469" i="13"/>
  <c r="AG1469" i="13"/>
  <c r="AF1469" i="13"/>
  <c r="F1469" i="13"/>
  <c r="AI1468" i="13"/>
  <c r="AH1468" i="13"/>
  <c r="AG1468" i="13" s="1"/>
  <c r="AF1468" i="13"/>
  <c r="F1468" i="13"/>
  <c r="AI1467" i="13"/>
  <c r="AH1467" i="13"/>
  <c r="AG1467" i="13" s="1"/>
  <c r="AF1467" i="13"/>
  <c r="F1467" i="13"/>
  <c r="AI1466" i="13"/>
  <c r="AH1466" i="13"/>
  <c r="AG1466" i="13"/>
  <c r="AF1466" i="13"/>
  <c r="F1466" i="13"/>
  <c r="AI1465" i="13"/>
  <c r="AH1465" i="13"/>
  <c r="AG1465" i="13"/>
  <c r="AF1465" i="13"/>
  <c r="F1465" i="13"/>
  <c r="AI1464" i="13"/>
  <c r="AH1464" i="13"/>
  <c r="AG1464" i="13" s="1"/>
  <c r="AF1464" i="13"/>
  <c r="F1464" i="13"/>
  <c r="AI1463" i="13"/>
  <c r="AH1463" i="13"/>
  <c r="AG1463" i="13" s="1"/>
  <c r="AF1463" i="13"/>
  <c r="F1463" i="13"/>
  <c r="AI1462" i="13"/>
  <c r="AH1462" i="13"/>
  <c r="AG1462" i="13"/>
  <c r="AF1462" i="13"/>
  <c r="F1462" i="13"/>
  <c r="AI1461" i="13"/>
  <c r="AH1461" i="13"/>
  <c r="AG1461" i="13"/>
  <c r="AF1461" i="13"/>
  <c r="F1461" i="13"/>
  <c r="AI1460" i="13"/>
  <c r="AH1460" i="13"/>
  <c r="AG1460" i="13" s="1"/>
  <c r="AF1460" i="13"/>
  <c r="F1460" i="13"/>
  <c r="AI1459" i="13"/>
  <c r="AH1459" i="13"/>
  <c r="AG1459" i="13" s="1"/>
  <c r="AF1459" i="13"/>
  <c r="F1459" i="13"/>
  <c r="AI1458" i="13"/>
  <c r="AH1458" i="13"/>
  <c r="AG1458" i="13"/>
  <c r="AF1458" i="13"/>
  <c r="F1458" i="13"/>
  <c r="AI1457" i="13"/>
  <c r="AH1457" i="13"/>
  <c r="AG1457" i="13" s="1"/>
  <c r="AF1457" i="13"/>
  <c r="F1457" i="13"/>
  <c r="AI1456" i="13"/>
  <c r="AH1456" i="13"/>
  <c r="AG1456" i="13" s="1"/>
  <c r="AF1456" i="13"/>
  <c r="F1456" i="13"/>
  <c r="AI1455" i="13"/>
  <c r="AH1455" i="13"/>
  <c r="AG1455" i="13" s="1"/>
  <c r="AF1455" i="13"/>
  <c r="F1455" i="13"/>
  <c r="AI1454" i="13"/>
  <c r="AH1454" i="13"/>
  <c r="AG1454" i="13"/>
  <c r="AF1454" i="13"/>
  <c r="F1454" i="13"/>
  <c r="AI1453" i="13"/>
  <c r="AH1453" i="13"/>
  <c r="AG1453" i="13"/>
  <c r="AF1453" i="13"/>
  <c r="F1453" i="13"/>
  <c r="AI1452" i="13"/>
  <c r="AH1452" i="13"/>
  <c r="AG1452" i="13" s="1"/>
  <c r="AF1452" i="13"/>
  <c r="F1452" i="13"/>
  <c r="AI1451" i="13"/>
  <c r="AH1451" i="13"/>
  <c r="AG1451" i="13" s="1"/>
  <c r="AF1451" i="13"/>
  <c r="F1451" i="13"/>
  <c r="AI1450" i="13"/>
  <c r="AH1450" i="13"/>
  <c r="AG1450" i="13"/>
  <c r="AF1450" i="13"/>
  <c r="F1450" i="13"/>
  <c r="AI1449" i="13"/>
  <c r="AH1449" i="13"/>
  <c r="AG1449" i="13"/>
  <c r="AF1449" i="13"/>
  <c r="F1449" i="13"/>
  <c r="AI1448" i="13"/>
  <c r="AH1448" i="13"/>
  <c r="AG1448" i="13" s="1"/>
  <c r="AF1448" i="13"/>
  <c r="F1448" i="13"/>
  <c r="AI1447" i="13"/>
  <c r="AH1447" i="13"/>
  <c r="AG1447" i="13" s="1"/>
  <c r="AF1447" i="13"/>
  <c r="F1447" i="13"/>
  <c r="AI1446" i="13"/>
  <c r="AH1446" i="13"/>
  <c r="AG1446" i="13"/>
  <c r="AF1446" i="13"/>
  <c r="F1446" i="13"/>
  <c r="AI1445" i="13"/>
  <c r="AH1445" i="13"/>
  <c r="AG1445" i="13"/>
  <c r="AF1445" i="13"/>
  <c r="F1445" i="13"/>
  <c r="AI1444" i="13"/>
  <c r="AH1444" i="13"/>
  <c r="AG1444" i="13" s="1"/>
  <c r="AF1444" i="13"/>
  <c r="F1444" i="13"/>
  <c r="AI1443" i="13"/>
  <c r="AH1443" i="13"/>
  <c r="AG1443" i="13" s="1"/>
  <c r="AF1443" i="13"/>
  <c r="F1443" i="13"/>
  <c r="AI1442" i="13"/>
  <c r="AH1442" i="13"/>
  <c r="AG1442" i="13"/>
  <c r="AF1442" i="13"/>
  <c r="F1442" i="13"/>
  <c r="AI1441" i="13"/>
  <c r="AH1441" i="13"/>
  <c r="AG1441" i="13" s="1"/>
  <c r="AF1441" i="13"/>
  <c r="F1441" i="13"/>
  <c r="AI1440" i="13"/>
  <c r="AH1440" i="13"/>
  <c r="AG1440" i="13" s="1"/>
  <c r="AF1440" i="13"/>
  <c r="F1440" i="13"/>
  <c r="AI1439" i="13"/>
  <c r="AH1439" i="13"/>
  <c r="AG1439" i="13" s="1"/>
  <c r="AF1439" i="13"/>
  <c r="F1439" i="13"/>
  <c r="AI1438" i="13"/>
  <c r="AH1438" i="13"/>
  <c r="AG1438" i="13"/>
  <c r="AF1438" i="13"/>
  <c r="F1438" i="13"/>
  <c r="AI1437" i="13"/>
  <c r="AH1437" i="13"/>
  <c r="AG1437" i="13"/>
  <c r="AF1437" i="13"/>
  <c r="F1437" i="13"/>
  <c r="AI1436" i="13"/>
  <c r="AH1436" i="13"/>
  <c r="AG1436" i="13" s="1"/>
  <c r="AF1436" i="13"/>
  <c r="F1436" i="13"/>
  <c r="AI1435" i="13"/>
  <c r="AH1435" i="13"/>
  <c r="AG1435" i="13" s="1"/>
  <c r="AF1435" i="13"/>
  <c r="F1435" i="13"/>
  <c r="AI1434" i="13"/>
  <c r="AH1434" i="13"/>
  <c r="AG1434" i="13"/>
  <c r="AF1434" i="13"/>
  <c r="F1434" i="13"/>
  <c r="AI1433" i="13"/>
  <c r="AH1433" i="13"/>
  <c r="AG1433" i="13"/>
  <c r="AF1433" i="13"/>
  <c r="F1433" i="13"/>
  <c r="AI1432" i="13"/>
  <c r="AH1432" i="13"/>
  <c r="AG1432" i="13" s="1"/>
  <c r="AF1432" i="13"/>
  <c r="F1432" i="13"/>
  <c r="AI1431" i="13"/>
  <c r="AH1431" i="13"/>
  <c r="AG1431" i="13" s="1"/>
  <c r="AF1431" i="13"/>
  <c r="F1431" i="13"/>
  <c r="AI1430" i="13"/>
  <c r="AH1430" i="13"/>
  <c r="AG1430" i="13"/>
  <c r="AF1430" i="13"/>
  <c r="F1430" i="13"/>
  <c r="AI1429" i="13"/>
  <c r="AH1429" i="13"/>
  <c r="AG1429" i="13"/>
  <c r="AF1429" i="13"/>
  <c r="F1429" i="13"/>
  <c r="AI1428" i="13"/>
  <c r="AH1428" i="13"/>
  <c r="AG1428" i="13" s="1"/>
  <c r="AF1428" i="13"/>
  <c r="F1428" i="13"/>
  <c r="AI1427" i="13"/>
  <c r="AH1427" i="13"/>
  <c r="AG1427" i="13" s="1"/>
  <c r="AF1427" i="13"/>
  <c r="F1427" i="13"/>
  <c r="AI1426" i="13"/>
  <c r="AH1426" i="13"/>
  <c r="AG1426" i="13"/>
  <c r="AF1426" i="13"/>
  <c r="F1426" i="13"/>
  <c r="AI1425" i="13"/>
  <c r="AH1425" i="13"/>
  <c r="AG1425" i="13" s="1"/>
  <c r="AF1425" i="13"/>
  <c r="F1425" i="13"/>
  <c r="AI1424" i="13"/>
  <c r="AH1424" i="13"/>
  <c r="AG1424" i="13" s="1"/>
  <c r="AF1424" i="13"/>
  <c r="F1424" i="13"/>
  <c r="AI1423" i="13"/>
  <c r="AH1423" i="13"/>
  <c r="AG1423" i="13" s="1"/>
  <c r="AF1423" i="13"/>
  <c r="F1423" i="13"/>
  <c r="AI1422" i="13"/>
  <c r="AH1422" i="13"/>
  <c r="AG1422" i="13"/>
  <c r="AF1422" i="13"/>
  <c r="F1422" i="13"/>
  <c r="AI1421" i="13"/>
  <c r="AH1421" i="13"/>
  <c r="AG1421" i="13"/>
  <c r="AF1421" i="13"/>
  <c r="F1421" i="13"/>
  <c r="AI1420" i="13"/>
  <c r="AH1420" i="13"/>
  <c r="AG1420" i="13" s="1"/>
  <c r="AF1420" i="13"/>
  <c r="F1420" i="13"/>
  <c r="AI1419" i="13"/>
  <c r="AH1419" i="13"/>
  <c r="AG1419" i="13" s="1"/>
  <c r="AF1419" i="13"/>
  <c r="F1419" i="13"/>
  <c r="AI1418" i="13"/>
  <c r="AH1418" i="13"/>
  <c r="AG1418" i="13"/>
  <c r="AF1418" i="13"/>
  <c r="F1418" i="13"/>
  <c r="AI1417" i="13"/>
  <c r="AH1417" i="13"/>
  <c r="AG1417" i="13"/>
  <c r="AF1417" i="13"/>
  <c r="F1417" i="13"/>
  <c r="AI1416" i="13"/>
  <c r="AH1416" i="13"/>
  <c r="AG1416" i="13" s="1"/>
  <c r="AF1416" i="13"/>
  <c r="F1416" i="13"/>
  <c r="AI1415" i="13"/>
  <c r="AH1415" i="13"/>
  <c r="AG1415" i="13" s="1"/>
  <c r="AF1415" i="13"/>
  <c r="F1415" i="13"/>
  <c r="AI1414" i="13"/>
  <c r="AH1414" i="13"/>
  <c r="AG1414" i="13"/>
  <c r="AF1414" i="13"/>
  <c r="F1414" i="13"/>
  <c r="AI1413" i="13"/>
  <c r="AH1413" i="13"/>
  <c r="AG1413" i="13"/>
  <c r="AF1413" i="13"/>
  <c r="F1413" i="13"/>
  <c r="AI1412" i="13"/>
  <c r="AH1412" i="13"/>
  <c r="AG1412" i="13" s="1"/>
  <c r="AF1412" i="13"/>
  <c r="F1412" i="13"/>
  <c r="AI1411" i="13"/>
  <c r="AH1411" i="13"/>
  <c r="AG1411" i="13" s="1"/>
  <c r="AF1411" i="13"/>
  <c r="F1411" i="13"/>
  <c r="AI1410" i="13"/>
  <c r="AH1410" i="13"/>
  <c r="AG1410" i="13"/>
  <c r="AF1410" i="13"/>
  <c r="F1410" i="13"/>
  <c r="AI1409" i="13"/>
  <c r="AH1409" i="13"/>
  <c r="AG1409" i="13" s="1"/>
  <c r="AF1409" i="13"/>
  <c r="F1409" i="13"/>
  <c r="AI1408" i="13"/>
  <c r="AH1408" i="13"/>
  <c r="AG1408" i="13" s="1"/>
  <c r="AF1408" i="13"/>
  <c r="F1408" i="13"/>
  <c r="AI1407" i="13"/>
  <c r="AH1407" i="13"/>
  <c r="AG1407" i="13" s="1"/>
  <c r="AF1407" i="13"/>
  <c r="F1407" i="13"/>
  <c r="AI1406" i="13"/>
  <c r="AH1406" i="13"/>
  <c r="AG1406" i="13"/>
  <c r="AF1406" i="13"/>
  <c r="F1406" i="13"/>
  <c r="AI1405" i="13"/>
  <c r="AH1405" i="13"/>
  <c r="AG1405" i="13"/>
  <c r="AF1405" i="13"/>
  <c r="F1405" i="13"/>
  <c r="AI1404" i="13"/>
  <c r="AH1404" i="13"/>
  <c r="AG1404" i="13" s="1"/>
  <c r="AF1404" i="13"/>
  <c r="F1404" i="13"/>
  <c r="AI1403" i="13"/>
  <c r="AH1403" i="13"/>
  <c r="AG1403" i="13" s="1"/>
  <c r="AF1403" i="13"/>
  <c r="F1403" i="13"/>
  <c r="AI1402" i="13"/>
  <c r="AH1402" i="13"/>
  <c r="AG1402" i="13"/>
  <c r="AF1402" i="13"/>
  <c r="F1402" i="13"/>
  <c r="AI1401" i="13"/>
  <c r="AH1401" i="13"/>
  <c r="AG1401" i="13"/>
  <c r="AF1401" i="13"/>
  <c r="F1401" i="13"/>
  <c r="AI1400" i="13"/>
  <c r="AH1400" i="13"/>
  <c r="AG1400" i="13" s="1"/>
  <c r="AF1400" i="13"/>
  <c r="F1400" i="13"/>
  <c r="AI1399" i="13"/>
  <c r="AH1399" i="13"/>
  <c r="AG1399" i="13" s="1"/>
  <c r="AF1399" i="13"/>
  <c r="F1399" i="13"/>
  <c r="AI1398" i="13"/>
  <c r="AH1398" i="13"/>
  <c r="AG1398" i="13"/>
  <c r="AF1398" i="13"/>
  <c r="F1398" i="13"/>
  <c r="AI1397" i="13"/>
  <c r="AH1397" i="13"/>
  <c r="AG1397" i="13"/>
  <c r="AF1397" i="13"/>
  <c r="F1397" i="13"/>
  <c r="AI1396" i="13"/>
  <c r="AH1396" i="13"/>
  <c r="AG1396" i="13" s="1"/>
  <c r="AF1396" i="13"/>
  <c r="F1396" i="13"/>
  <c r="AI1395" i="13"/>
  <c r="AH1395" i="13"/>
  <c r="AG1395" i="13" s="1"/>
  <c r="AF1395" i="13"/>
  <c r="F1395" i="13"/>
  <c r="AI1394" i="13"/>
  <c r="AH1394" i="13"/>
  <c r="AG1394" i="13"/>
  <c r="AF1394" i="13"/>
  <c r="F1394" i="13"/>
  <c r="AI1393" i="13"/>
  <c r="AH1393" i="13"/>
  <c r="AG1393" i="13" s="1"/>
  <c r="AF1393" i="13"/>
  <c r="F1393" i="13"/>
  <c r="AI1392" i="13"/>
  <c r="AH1392" i="13"/>
  <c r="AG1392" i="13" s="1"/>
  <c r="AF1392" i="13"/>
  <c r="F1392" i="13"/>
  <c r="AI1391" i="13"/>
  <c r="AH1391" i="13"/>
  <c r="AG1391" i="13" s="1"/>
  <c r="AF1391" i="13"/>
  <c r="F1391" i="13"/>
  <c r="AI1390" i="13"/>
  <c r="AH1390" i="13"/>
  <c r="AG1390" i="13"/>
  <c r="AF1390" i="13"/>
  <c r="F1390" i="13"/>
  <c r="AI1389" i="13"/>
  <c r="AH1389" i="13"/>
  <c r="AG1389" i="13"/>
  <c r="AF1389" i="13"/>
  <c r="F1389" i="13"/>
  <c r="AI1388" i="13"/>
  <c r="AH1388" i="13"/>
  <c r="AG1388" i="13" s="1"/>
  <c r="AF1388" i="13"/>
  <c r="F1388" i="13"/>
  <c r="AI1387" i="13"/>
  <c r="AH1387" i="13"/>
  <c r="AG1387" i="13" s="1"/>
  <c r="AF1387" i="13"/>
  <c r="F1387" i="13"/>
  <c r="AI1386" i="13"/>
  <c r="AH1386" i="13"/>
  <c r="AG1386" i="13"/>
  <c r="AF1386" i="13"/>
  <c r="F1386" i="13"/>
  <c r="AI1385" i="13"/>
  <c r="AH1385" i="13"/>
  <c r="AG1385" i="13"/>
  <c r="AF1385" i="13"/>
  <c r="F1385" i="13"/>
  <c r="AI1384" i="13"/>
  <c r="AH1384" i="13"/>
  <c r="AG1384" i="13" s="1"/>
  <c r="AF1384" i="13"/>
  <c r="F1384" i="13"/>
  <c r="AI1383" i="13"/>
  <c r="AH1383" i="13"/>
  <c r="AG1383" i="13" s="1"/>
  <c r="AF1383" i="13"/>
  <c r="F1383" i="13"/>
  <c r="AI1382" i="13"/>
  <c r="AH1382" i="13"/>
  <c r="AG1382" i="13"/>
  <c r="AF1382" i="13"/>
  <c r="F1382" i="13"/>
  <c r="AI1381" i="13"/>
  <c r="AH1381" i="13"/>
  <c r="AG1381" i="13"/>
  <c r="AF1381" i="13"/>
  <c r="F1381" i="13"/>
  <c r="AI1380" i="13"/>
  <c r="AH1380" i="13"/>
  <c r="AG1380" i="13" s="1"/>
  <c r="AF1380" i="13"/>
  <c r="F1380" i="13"/>
  <c r="AI1379" i="13"/>
  <c r="AH1379" i="13"/>
  <c r="AG1379" i="13" s="1"/>
  <c r="AF1379" i="13"/>
  <c r="F1379" i="13"/>
  <c r="AI1378" i="13"/>
  <c r="AH1378" i="13"/>
  <c r="AG1378" i="13"/>
  <c r="AF1378" i="13"/>
  <c r="F1378" i="13"/>
  <c r="AI1377" i="13"/>
  <c r="AH1377" i="13"/>
  <c r="AG1377" i="13" s="1"/>
  <c r="AF1377" i="13"/>
  <c r="F1377" i="13"/>
  <c r="AI1376" i="13"/>
  <c r="AH1376" i="13"/>
  <c r="AG1376" i="13" s="1"/>
  <c r="AF1376" i="13"/>
  <c r="F1376" i="13"/>
  <c r="AI1375" i="13"/>
  <c r="AH1375" i="13"/>
  <c r="AG1375" i="13" s="1"/>
  <c r="AF1375" i="13"/>
  <c r="F1375" i="13"/>
  <c r="AI1374" i="13"/>
  <c r="AH1374" i="13"/>
  <c r="AG1374" i="13"/>
  <c r="AF1374" i="13"/>
  <c r="F1374" i="13"/>
  <c r="AI1373" i="13"/>
  <c r="AH1373" i="13"/>
  <c r="AG1373" i="13"/>
  <c r="AF1373" i="13"/>
  <c r="F1373" i="13"/>
  <c r="AI1372" i="13"/>
  <c r="AH1372" i="13"/>
  <c r="AG1372" i="13" s="1"/>
  <c r="AF1372" i="13"/>
  <c r="F1372" i="13"/>
  <c r="AI1371" i="13"/>
  <c r="AH1371" i="13"/>
  <c r="AG1371" i="13" s="1"/>
  <c r="AF1371" i="13"/>
  <c r="F1371" i="13"/>
  <c r="AI1370" i="13"/>
  <c r="AH1370" i="13"/>
  <c r="AG1370" i="13"/>
  <c r="AF1370" i="13"/>
  <c r="F1370" i="13"/>
  <c r="AI1369" i="13"/>
  <c r="AH1369" i="13"/>
  <c r="AG1369" i="13"/>
  <c r="AF1369" i="13"/>
  <c r="F1369" i="13"/>
  <c r="AI1368" i="13"/>
  <c r="AH1368" i="13"/>
  <c r="AG1368" i="13" s="1"/>
  <c r="AF1368" i="13"/>
  <c r="F1368" i="13"/>
  <c r="AI1367" i="13"/>
  <c r="AH1367" i="13"/>
  <c r="AG1367" i="13" s="1"/>
  <c r="AF1367" i="13"/>
  <c r="F1367" i="13"/>
  <c r="AI1366" i="13"/>
  <c r="AH1366" i="13"/>
  <c r="AG1366" i="13"/>
  <c r="AF1366" i="13"/>
  <c r="F1366" i="13"/>
  <c r="AI1365" i="13"/>
  <c r="AH1365" i="13"/>
  <c r="AG1365" i="13"/>
  <c r="AF1365" i="13"/>
  <c r="F1365" i="13"/>
  <c r="AI1364" i="13"/>
  <c r="AH1364" i="13"/>
  <c r="AG1364" i="13" s="1"/>
  <c r="AF1364" i="13"/>
  <c r="F1364" i="13"/>
  <c r="AI1363" i="13"/>
  <c r="AH1363" i="13"/>
  <c r="AG1363" i="13" s="1"/>
  <c r="AF1363" i="13"/>
  <c r="F1363" i="13"/>
  <c r="AI1362" i="13"/>
  <c r="AH1362" i="13"/>
  <c r="AG1362" i="13"/>
  <c r="AF1362" i="13"/>
  <c r="F1362" i="13"/>
  <c r="AI1361" i="13"/>
  <c r="AH1361" i="13"/>
  <c r="AG1361" i="13" s="1"/>
  <c r="AF1361" i="13"/>
  <c r="F1361" i="13"/>
  <c r="AI1360" i="13"/>
  <c r="AH1360" i="13"/>
  <c r="AG1360" i="13" s="1"/>
  <c r="AF1360" i="13"/>
  <c r="F1360" i="13"/>
  <c r="AI1359" i="13"/>
  <c r="AH1359" i="13"/>
  <c r="AG1359" i="13" s="1"/>
  <c r="AF1359" i="13"/>
  <c r="F1359" i="13"/>
  <c r="AI1358" i="13"/>
  <c r="AH1358" i="13"/>
  <c r="AG1358" i="13"/>
  <c r="AF1358" i="13"/>
  <c r="F1358" i="13"/>
  <c r="AI1357" i="13"/>
  <c r="AH1357" i="13"/>
  <c r="AG1357" i="13"/>
  <c r="AF1357" i="13"/>
  <c r="F1357" i="13"/>
  <c r="AI1356" i="13"/>
  <c r="AH1356" i="13"/>
  <c r="AG1356" i="13" s="1"/>
  <c r="AF1356" i="13"/>
  <c r="F1356" i="13"/>
  <c r="AI1355" i="13"/>
  <c r="AH1355" i="13"/>
  <c r="AG1355" i="13" s="1"/>
  <c r="AF1355" i="13"/>
  <c r="F1355" i="13"/>
  <c r="AI1354" i="13"/>
  <c r="AH1354" i="13"/>
  <c r="AG1354" i="13"/>
  <c r="AF1354" i="13"/>
  <c r="F1354" i="13"/>
  <c r="AI1353" i="13"/>
  <c r="AH1353" i="13"/>
  <c r="AG1353" i="13"/>
  <c r="AF1353" i="13"/>
  <c r="F1353" i="13"/>
  <c r="AI1352" i="13"/>
  <c r="AH1352" i="13"/>
  <c r="AG1352" i="13" s="1"/>
  <c r="AF1352" i="13"/>
  <c r="F1352" i="13"/>
  <c r="AI1351" i="13"/>
  <c r="AH1351" i="13"/>
  <c r="AG1351" i="13" s="1"/>
  <c r="AF1351" i="13"/>
  <c r="F1351" i="13"/>
  <c r="AI1350" i="13"/>
  <c r="AH1350" i="13"/>
  <c r="AG1350" i="13"/>
  <c r="AF1350" i="13"/>
  <c r="F1350" i="13"/>
  <c r="AI1349" i="13"/>
  <c r="AH1349" i="13"/>
  <c r="AG1349" i="13"/>
  <c r="AF1349" i="13"/>
  <c r="F1349" i="13"/>
  <c r="AI1348" i="13"/>
  <c r="AH1348" i="13"/>
  <c r="AG1348" i="13" s="1"/>
  <c r="AF1348" i="13"/>
  <c r="F1348" i="13"/>
  <c r="AI1347" i="13"/>
  <c r="AH1347" i="13"/>
  <c r="AG1347" i="13" s="1"/>
  <c r="AF1347" i="13"/>
  <c r="F1347" i="13"/>
  <c r="AI1346" i="13"/>
  <c r="AH1346" i="13"/>
  <c r="AG1346" i="13"/>
  <c r="AF1346" i="13"/>
  <c r="F1346" i="13"/>
  <c r="AI1345" i="13"/>
  <c r="AH1345" i="13"/>
  <c r="AG1345" i="13" s="1"/>
  <c r="AF1345" i="13"/>
  <c r="F1345" i="13"/>
  <c r="AI1344" i="13"/>
  <c r="AH1344" i="13"/>
  <c r="AG1344" i="13" s="1"/>
  <c r="AF1344" i="13"/>
  <c r="F1344" i="13"/>
  <c r="AI1343" i="13"/>
  <c r="AH1343" i="13"/>
  <c r="AG1343" i="13" s="1"/>
  <c r="AF1343" i="13"/>
  <c r="F1343" i="13"/>
  <c r="AI1342" i="13"/>
  <c r="AH1342" i="13"/>
  <c r="AG1342" i="13"/>
  <c r="AF1342" i="13"/>
  <c r="F1342" i="13"/>
  <c r="AI1341" i="13"/>
  <c r="AH1341" i="13"/>
  <c r="AG1341" i="13"/>
  <c r="AF1341" i="13"/>
  <c r="F1341" i="13"/>
  <c r="AI1340" i="13"/>
  <c r="AH1340" i="13"/>
  <c r="AG1340" i="13" s="1"/>
  <c r="AF1340" i="13"/>
  <c r="F1340" i="13"/>
  <c r="AI1339" i="13"/>
  <c r="AH1339" i="13"/>
  <c r="AG1339" i="13" s="1"/>
  <c r="AF1339" i="13"/>
  <c r="F1339" i="13"/>
  <c r="AI1338" i="13"/>
  <c r="AH1338" i="13"/>
  <c r="AG1338" i="13"/>
  <c r="AF1338" i="13"/>
  <c r="F1338" i="13"/>
  <c r="AI1337" i="13"/>
  <c r="AH1337" i="13"/>
  <c r="AG1337" i="13"/>
  <c r="AF1337" i="13"/>
  <c r="F1337" i="13"/>
  <c r="AI1336" i="13"/>
  <c r="AH1336" i="13"/>
  <c r="AG1336" i="13" s="1"/>
  <c r="AF1336" i="13"/>
  <c r="F1336" i="13"/>
  <c r="AI1335" i="13"/>
  <c r="AH1335" i="13"/>
  <c r="AG1335" i="13" s="1"/>
  <c r="AF1335" i="13"/>
  <c r="F1335" i="13"/>
  <c r="AI1334" i="13"/>
  <c r="AH1334" i="13"/>
  <c r="AG1334" i="13"/>
  <c r="AF1334" i="13"/>
  <c r="F1334" i="13"/>
  <c r="AI1333" i="13"/>
  <c r="AH1333" i="13"/>
  <c r="AG1333" i="13"/>
  <c r="AF1333" i="13"/>
  <c r="F1333" i="13"/>
  <c r="AI1332" i="13"/>
  <c r="AH1332" i="13"/>
  <c r="AG1332" i="13" s="1"/>
  <c r="AF1332" i="13"/>
  <c r="F1332" i="13"/>
  <c r="AI1331" i="13"/>
  <c r="AH1331" i="13"/>
  <c r="AG1331" i="13" s="1"/>
  <c r="AF1331" i="13"/>
  <c r="F1331" i="13"/>
  <c r="AI1330" i="13"/>
  <c r="AH1330" i="13"/>
  <c r="AG1330" i="13"/>
  <c r="AF1330" i="13"/>
  <c r="F1330" i="13"/>
  <c r="AI1329" i="13"/>
  <c r="AH1329" i="13"/>
  <c r="AG1329" i="13" s="1"/>
  <c r="AF1329" i="13"/>
  <c r="F1329" i="13"/>
  <c r="AI1328" i="13"/>
  <c r="AH1328" i="13"/>
  <c r="AG1328" i="13" s="1"/>
  <c r="AF1328" i="13"/>
  <c r="F1328" i="13"/>
  <c r="AI1327" i="13"/>
  <c r="AH1327" i="13"/>
  <c r="AG1327" i="13" s="1"/>
  <c r="AF1327" i="13"/>
  <c r="F1327" i="13"/>
  <c r="AI1326" i="13"/>
  <c r="AH1326" i="13"/>
  <c r="AG1326" i="13"/>
  <c r="AF1326" i="13"/>
  <c r="F1326" i="13"/>
  <c r="AI1325" i="13"/>
  <c r="AH1325" i="13"/>
  <c r="AG1325" i="13"/>
  <c r="AF1325" i="13"/>
  <c r="F1325" i="13"/>
  <c r="AI1324" i="13"/>
  <c r="AH1324" i="13"/>
  <c r="AG1324" i="13" s="1"/>
  <c r="AF1324" i="13"/>
  <c r="F1324" i="13"/>
  <c r="AI1323" i="13"/>
  <c r="AH1323" i="13"/>
  <c r="AG1323" i="13" s="1"/>
  <c r="AF1323" i="13"/>
  <c r="F1323" i="13"/>
  <c r="AI1322" i="13"/>
  <c r="AH1322" i="13"/>
  <c r="AG1322" i="13"/>
  <c r="AF1322" i="13"/>
  <c r="F1322" i="13"/>
  <c r="AI1321" i="13"/>
  <c r="AH1321" i="13"/>
  <c r="AG1321" i="13"/>
  <c r="AF1321" i="13"/>
  <c r="F1321" i="13"/>
  <c r="AI1320" i="13"/>
  <c r="AH1320" i="13"/>
  <c r="AG1320" i="13" s="1"/>
  <c r="AF1320" i="13"/>
  <c r="F1320" i="13"/>
  <c r="AI1319" i="13"/>
  <c r="AH1319" i="13"/>
  <c r="AG1319" i="13" s="1"/>
  <c r="AF1319" i="13"/>
  <c r="F1319" i="13"/>
  <c r="AI1318" i="13"/>
  <c r="AH1318" i="13"/>
  <c r="AG1318" i="13"/>
  <c r="AF1318" i="13"/>
  <c r="F1318" i="13"/>
  <c r="AI1317" i="13"/>
  <c r="AH1317" i="13"/>
  <c r="AG1317" i="13"/>
  <c r="AF1317" i="13"/>
  <c r="F1317" i="13"/>
  <c r="AI1316" i="13"/>
  <c r="AH1316" i="13"/>
  <c r="AG1316" i="13" s="1"/>
  <c r="AF1316" i="13"/>
  <c r="F1316" i="13"/>
  <c r="AI1315" i="13"/>
  <c r="AH1315" i="13"/>
  <c r="AG1315" i="13" s="1"/>
  <c r="AF1315" i="13"/>
  <c r="F1315" i="13"/>
  <c r="AI1314" i="13"/>
  <c r="AH1314" i="13"/>
  <c r="AG1314" i="13"/>
  <c r="AF1314" i="13"/>
  <c r="F1314" i="13"/>
  <c r="AI1313" i="13"/>
  <c r="AH1313" i="13"/>
  <c r="AG1313" i="13" s="1"/>
  <c r="AF1313" i="13"/>
  <c r="F1313" i="13"/>
  <c r="AI1312" i="13"/>
  <c r="AH1312" i="13"/>
  <c r="AG1312" i="13" s="1"/>
  <c r="AF1312" i="13"/>
  <c r="F1312" i="13"/>
  <c r="AI1311" i="13"/>
  <c r="AH1311" i="13"/>
  <c r="AG1311" i="13" s="1"/>
  <c r="AF1311" i="13"/>
  <c r="F1311" i="13"/>
  <c r="AI1310" i="13"/>
  <c r="AH1310" i="13"/>
  <c r="AG1310" i="13"/>
  <c r="AF1310" i="13"/>
  <c r="F1310" i="13"/>
  <c r="AI1309" i="13"/>
  <c r="AH1309" i="13"/>
  <c r="AG1309" i="13"/>
  <c r="AF1309" i="13"/>
  <c r="F1309" i="13"/>
  <c r="AI1308" i="13"/>
  <c r="AH1308" i="13"/>
  <c r="AG1308" i="13" s="1"/>
  <c r="AF1308" i="13"/>
  <c r="F1308" i="13"/>
  <c r="AI1307" i="13"/>
  <c r="AH1307" i="13"/>
  <c r="AG1307" i="13" s="1"/>
  <c r="AF1307" i="13"/>
  <c r="F1307" i="13"/>
  <c r="AI1306" i="13"/>
  <c r="AH1306" i="13"/>
  <c r="AG1306" i="13"/>
  <c r="AF1306" i="13"/>
  <c r="F1306" i="13"/>
  <c r="AI1305" i="13"/>
  <c r="AH1305" i="13"/>
  <c r="AG1305" i="13"/>
  <c r="AF1305" i="13"/>
  <c r="F1305" i="13"/>
  <c r="AI1304" i="13"/>
  <c r="AH1304" i="13"/>
  <c r="AG1304" i="13" s="1"/>
  <c r="AF1304" i="13"/>
  <c r="F1304" i="13"/>
  <c r="AI1303" i="13"/>
  <c r="AH1303" i="13"/>
  <c r="AG1303" i="13" s="1"/>
  <c r="AF1303" i="13"/>
  <c r="F1303" i="13"/>
  <c r="AI1302" i="13"/>
  <c r="AH1302" i="13"/>
  <c r="AG1302" i="13"/>
  <c r="AF1302" i="13"/>
  <c r="F1302" i="13"/>
  <c r="AI1301" i="13"/>
  <c r="AH1301" i="13"/>
  <c r="AG1301" i="13"/>
  <c r="AF1301" i="13"/>
  <c r="F1301" i="13"/>
  <c r="AI1300" i="13"/>
  <c r="AH1300" i="13"/>
  <c r="AG1300" i="13" s="1"/>
  <c r="AF1300" i="13"/>
  <c r="F1300" i="13"/>
  <c r="AI1299" i="13"/>
  <c r="AH1299" i="13"/>
  <c r="AG1299" i="13" s="1"/>
  <c r="AF1299" i="13"/>
  <c r="F1299" i="13"/>
  <c r="AI1298" i="13"/>
  <c r="AH1298" i="13"/>
  <c r="AG1298" i="13"/>
  <c r="AF1298" i="13"/>
  <c r="F1298" i="13"/>
  <c r="AI1297" i="13"/>
  <c r="AH1297" i="13"/>
  <c r="AG1297" i="13" s="1"/>
  <c r="AF1297" i="13"/>
  <c r="F1297" i="13"/>
  <c r="AI1296" i="13"/>
  <c r="AH1296" i="13"/>
  <c r="AG1296" i="13" s="1"/>
  <c r="AF1296" i="13"/>
  <c r="F1296" i="13"/>
  <c r="AI1295" i="13"/>
  <c r="AH1295" i="13"/>
  <c r="AG1295" i="13" s="1"/>
  <c r="AF1295" i="13"/>
  <c r="F1295" i="13"/>
  <c r="AI1294" i="13"/>
  <c r="AH1294" i="13"/>
  <c r="AG1294" i="13"/>
  <c r="AF1294" i="13"/>
  <c r="F1294" i="13"/>
  <c r="AI1293" i="13"/>
  <c r="AH1293" i="13"/>
  <c r="AG1293" i="13"/>
  <c r="AF1293" i="13"/>
  <c r="F1293" i="13"/>
  <c r="AI1292" i="13"/>
  <c r="AH1292" i="13"/>
  <c r="AG1292" i="13" s="1"/>
  <c r="AF1292" i="13"/>
  <c r="F1292" i="13"/>
  <c r="AI1291" i="13"/>
  <c r="AH1291" i="13"/>
  <c r="AG1291" i="13" s="1"/>
  <c r="AF1291" i="13"/>
  <c r="F1291" i="13"/>
  <c r="AI1290" i="13"/>
  <c r="AH1290" i="13"/>
  <c r="AG1290" i="13"/>
  <c r="AF1290" i="13"/>
  <c r="F1290" i="13"/>
  <c r="AI1289" i="13"/>
  <c r="AH1289" i="13"/>
  <c r="AG1289" i="13"/>
  <c r="AF1289" i="13"/>
  <c r="F1289" i="13"/>
  <c r="AI1288" i="13"/>
  <c r="AH1288" i="13"/>
  <c r="AG1288" i="13" s="1"/>
  <c r="AF1288" i="13"/>
  <c r="F1288" i="13"/>
  <c r="AI1287" i="13"/>
  <c r="AH1287" i="13"/>
  <c r="AG1287" i="13" s="1"/>
  <c r="AF1287" i="13"/>
  <c r="F1287" i="13"/>
  <c r="AI1286" i="13"/>
  <c r="AH1286" i="13"/>
  <c r="AG1286" i="13"/>
  <c r="AF1286" i="13"/>
  <c r="F1286" i="13"/>
  <c r="AI1285" i="13"/>
  <c r="AH1285" i="13"/>
  <c r="AG1285" i="13"/>
  <c r="AF1285" i="13"/>
  <c r="F1285" i="13"/>
  <c r="AI1284" i="13"/>
  <c r="AH1284" i="13"/>
  <c r="AG1284" i="13" s="1"/>
  <c r="AF1284" i="13"/>
  <c r="F1284" i="13"/>
  <c r="AI1283" i="13"/>
  <c r="AH1283" i="13"/>
  <c r="AG1283" i="13"/>
  <c r="AF1283" i="13"/>
  <c r="F1283" i="13"/>
  <c r="AI1282" i="13"/>
  <c r="AH1282" i="13"/>
  <c r="AG1282" i="13"/>
  <c r="AF1282" i="13"/>
  <c r="F1282" i="13"/>
  <c r="AI1281" i="13"/>
  <c r="AH1281" i="13"/>
  <c r="AG1281" i="13" s="1"/>
  <c r="AF1281" i="13"/>
  <c r="F1281" i="13"/>
  <c r="AI1280" i="13"/>
  <c r="AH1280" i="13"/>
  <c r="AG1280" i="13" s="1"/>
  <c r="AF1280" i="13"/>
  <c r="F1280" i="13"/>
  <c r="AI1279" i="13"/>
  <c r="AH1279" i="13"/>
  <c r="AG1279" i="13" s="1"/>
  <c r="AF1279" i="13"/>
  <c r="F1279" i="13"/>
  <c r="AI1278" i="13"/>
  <c r="AH1278" i="13"/>
  <c r="AG1278" i="13"/>
  <c r="AF1278" i="13"/>
  <c r="F1278" i="13"/>
  <c r="AI1277" i="13"/>
  <c r="AH1277" i="13"/>
  <c r="AG1277" i="13"/>
  <c r="AF1277" i="13"/>
  <c r="F1277" i="13"/>
  <c r="AI1276" i="13"/>
  <c r="AH1276" i="13"/>
  <c r="AG1276" i="13" s="1"/>
  <c r="AF1276" i="13"/>
  <c r="F1276" i="13"/>
  <c r="AI1275" i="13"/>
  <c r="AH1275" i="13"/>
  <c r="AG1275" i="13"/>
  <c r="AF1275" i="13"/>
  <c r="F1275" i="13"/>
  <c r="AI1274" i="13"/>
  <c r="AH1274" i="13"/>
  <c r="AG1274" i="13"/>
  <c r="AF1274" i="13"/>
  <c r="F1274" i="13"/>
  <c r="AI1273" i="13"/>
  <c r="AH1273" i="13"/>
  <c r="AG1273" i="13" s="1"/>
  <c r="AF1273" i="13"/>
  <c r="F1273" i="13"/>
  <c r="AI1272" i="13"/>
  <c r="AH1272" i="13"/>
  <c r="AG1272" i="13" s="1"/>
  <c r="AF1272" i="13"/>
  <c r="F1272" i="13"/>
  <c r="AI1271" i="13"/>
  <c r="AH1271" i="13"/>
  <c r="AG1271" i="13" s="1"/>
  <c r="AF1271" i="13"/>
  <c r="F1271" i="13"/>
  <c r="AI1270" i="13"/>
  <c r="AH1270" i="13"/>
  <c r="AG1270" i="13"/>
  <c r="AF1270" i="13"/>
  <c r="F1270" i="13"/>
  <c r="AI1269" i="13"/>
  <c r="AH1269" i="13"/>
  <c r="AG1269" i="13"/>
  <c r="AF1269" i="13"/>
  <c r="F1269" i="13"/>
  <c r="AI1268" i="13"/>
  <c r="AH1268" i="13"/>
  <c r="AG1268" i="13" s="1"/>
  <c r="AF1268" i="13"/>
  <c r="F1268" i="13"/>
  <c r="AI1267" i="13"/>
  <c r="AH1267" i="13"/>
  <c r="AG1267" i="13"/>
  <c r="AF1267" i="13"/>
  <c r="F1267" i="13"/>
  <c r="AI1266" i="13"/>
  <c r="AH1266" i="13"/>
  <c r="AG1266" i="13"/>
  <c r="AF1266" i="13"/>
  <c r="F1266" i="13"/>
  <c r="AI1265" i="13"/>
  <c r="AH1265" i="13"/>
  <c r="AG1265" i="13" s="1"/>
  <c r="AF1265" i="13"/>
  <c r="F1265" i="13"/>
  <c r="AI1264" i="13"/>
  <c r="AH1264" i="13"/>
  <c r="AG1264" i="13" s="1"/>
  <c r="AF1264" i="13"/>
  <c r="F1264" i="13"/>
  <c r="AI1263" i="13"/>
  <c r="AH1263" i="13"/>
  <c r="AG1263" i="13" s="1"/>
  <c r="AF1263" i="13"/>
  <c r="F1263" i="13"/>
  <c r="AI1262" i="13"/>
  <c r="AH1262" i="13"/>
  <c r="AG1262" i="13"/>
  <c r="AF1262" i="13"/>
  <c r="F1262" i="13"/>
  <c r="AI1261" i="13"/>
  <c r="AH1261" i="13"/>
  <c r="AG1261" i="13"/>
  <c r="AF1261" i="13"/>
  <c r="F1261" i="13"/>
  <c r="AI1260" i="13"/>
  <c r="AH1260" i="13"/>
  <c r="AG1260" i="13" s="1"/>
  <c r="AF1260" i="13"/>
  <c r="F1260" i="13"/>
  <c r="AI1259" i="13"/>
  <c r="AH1259" i="13"/>
  <c r="AG1259" i="13"/>
  <c r="AF1259" i="13"/>
  <c r="F1259" i="13"/>
  <c r="AI1258" i="13"/>
  <c r="AH1258" i="13"/>
  <c r="AG1258" i="13"/>
  <c r="AF1258" i="13"/>
  <c r="F1258" i="13"/>
  <c r="AI1257" i="13"/>
  <c r="AH1257" i="13"/>
  <c r="AG1257" i="13" s="1"/>
  <c r="AF1257" i="13"/>
  <c r="F1257" i="13"/>
  <c r="AI1256" i="13"/>
  <c r="AH1256" i="13"/>
  <c r="AG1256" i="13" s="1"/>
  <c r="AF1256" i="13"/>
  <c r="F1256" i="13"/>
  <c r="AI1255" i="13"/>
  <c r="AH1255" i="13"/>
  <c r="AG1255" i="13" s="1"/>
  <c r="AF1255" i="13"/>
  <c r="F1255" i="13"/>
  <c r="AI1254" i="13"/>
  <c r="AH1254" i="13"/>
  <c r="AG1254" i="13"/>
  <c r="AF1254" i="13"/>
  <c r="F1254" i="13"/>
  <c r="AI1253" i="13"/>
  <c r="AH1253" i="13"/>
  <c r="AG1253" i="13"/>
  <c r="AF1253" i="13"/>
  <c r="F1253" i="13"/>
  <c r="AI1252" i="13"/>
  <c r="AH1252" i="13"/>
  <c r="AG1252" i="13" s="1"/>
  <c r="AF1252" i="13"/>
  <c r="F1252" i="13"/>
  <c r="AI1251" i="13"/>
  <c r="AH1251" i="13"/>
  <c r="AG1251" i="13"/>
  <c r="AF1251" i="13"/>
  <c r="F1251" i="13"/>
  <c r="AI1250" i="13"/>
  <c r="AH1250" i="13"/>
  <c r="AG1250" i="13"/>
  <c r="AF1250" i="13"/>
  <c r="F1250" i="13"/>
  <c r="AI1249" i="13"/>
  <c r="AH1249" i="13"/>
  <c r="AG1249" i="13"/>
  <c r="AF1249" i="13"/>
  <c r="F1249" i="13"/>
  <c r="AI1248" i="13"/>
  <c r="AH1248" i="13"/>
  <c r="AG1248" i="13" s="1"/>
  <c r="AF1248" i="13"/>
  <c r="F1248" i="13"/>
  <c r="AI1247" i="13"/>
  <c r="AH1247" i="13"/>
  <c r="AG1247" i="13" s="1"/>
  <c r="AF1247" i="13"/>
  <c r="F1247" i="13"/>
  <c r="AI1246" i="13"/>
  <c r="AH1246" i="13"/>
  <c r="AG1246" i="13"/>
  <c r="AF1246" i="13"/>
  <c r="F1246" i="13"/>
  <c r="AI1245" i="13"/>
  <c r="AH1245" i="13"/>
  <c r="AG1245" i="13"/>
  <c r="AF1245" i="13"/>
  <c r="F1245" i="13"/>
  <c r="AI1244" i="13"/>
  <c r="AH1244" i="13"/>
  <c r="AG1244" i="13" s="1"/>
  <c r="AF1244" i="13"/>
  <c r="F1244" i="13"/>
  <c r="AI1243" i="13"/>
  <c r="AH1243" i="13"/>
  <c r="AG1243" i="13"/>
  <c r="AF1243" i="13"/>
  <c r="F1243" i="13"/>
  <c r="AI1242" i="13"/>
  <c r="AH1242" i="13"/>
  <c r="AG1242" i="13"/>
  <c r="AF1242" i="13"/>
  <c r="F1242" i="13"/>
  <c r="AI1241" i="13"/>
  <c r="AH1241" i="13"/>
  <c r="AG1241" i="13"/>
  <c r="AF1241" i="13"/>
  <c r="F1241" i="13"/>
  <c r="AI1240" i="13"/>
  <c r="AH1240" i="13"/>
  <c r="AG1240" i="13" s="1"/>
  <c r="AF1240" i="13"/>
  <c r="F1240" i="13"/>
  <c r="AI1239" i="13"/>
  <c r="AH1239" i="13"/>
  <c r="AG1239" i="13" s="1"/>
  <c r="AF1239" i="13"/>
  <c r="F1239" i="13"/>
  <c r="AI1238" i="13"/>
  <c r="AH1238" i="13"/>
  <c r="AG1238" i="13"/>
  <c r="AF1238" i="13"/>
  <c r="F1238" i="13"/>
  <c r="AI1237" i="13"/>
  <c r="AH1237" i="13"/>
  <c r="AG1237" i="13"/>
  <c r="AF1237" i="13"/>
  <c r="F1237" i="13"/>
  <c r="AI1236" i="13"/>
  <c r="AH1236" i="13"/>
  <c r="AG1236" i="13" s="1"/>
  <c r="AF1236" i="13"/>
  <c r="F1236" i="13"/>
  <c r="AI1235" i="13"/>
  <c r="AH1235" i="13"/>
  <c r="AG1235" i="13"/>
  <c r="AF1235" i="13"/>
  <c r="F1235" i="13"/>
  <c r="AI1234" i="13"/>
  <c r="AH1234" i="13"/>
  <c r="AG1234" i="13"/>
  <c r="AF1234" i="13"/>
  <c r="F1234" i="13"/>
  <c r="AI1233" i="13"/>
  <c r="AH1233" i="13"/>
  <c r="AG1233" i="13"/>
  <c r="AF1233" i="13"/>
  <c r="F1233" i="13"/>
  <c r="AI1232" i="13"/>
  <c r="AH1232" i="13"/>
  <c r="AG1232" i="13" s="1"/>
  <c r="AF1232" i="13"/>
  <c r="F1232" i="13"/>
  <c r="AI1231" i="13"/>
  <c r="AH1231" i="13"/>
  <c r="AG1231" i="13" s="1"/>
  <c r="AF1231" i="13"/>
  <c r="F1231" i="13"/>
  <c r="AI1230" i="13"/>
  <c r="AH1230" i="13"/>
  <c r="AG1230" i="13"/>
  <c r="AF1230" i="13"/>
  <c r="F1230" i="13"/>
  <c r="AI1229" i="13"/>
  <c r="AH1229" i="13"/>
  <c r="AG1229" i="13"/>
  <c r="AF1229" i="13"/>
  <c r="F1229" i="13"/>
  <c r="AI1228" i="13"/>
  <c r="AH1228" i="13"/>
  <c r="AG1228" i="13" s="1"/>
  <c r="AF1228" i="13"/>
  <c r="F1228" i="13"/>
  <c r="AI1227" i="13"/>
  <c r="AH1227" i="13"/>
  <c r="AG1227" i="13"/>
  <c r="AF1227" i="13"/>
  <c r="F1227" i="13"/>
  <c r="AI1226" i="13"/>
  <c r="AH1226" i="13"/>
  <c r="AG1226" i="13"/>
  <c r="AF1226" i="13"/>
  <c r="F1226" i="13"/>
  <c r="AI1225" i="13"/>
  <c r="AH1225" i="13"/>
  <c r="AG1225" i="13"/>
  <c r="AF1225" i="13"/>
  <c r="F1225" i="13"/>
  <c r="AI1224" i="13"/>
  <c r="AH1224" i="13"/>
  <c r="AG1224" i="13" s="1"/>
  <c r="AF1224" i="13"/>
  <c r="F1224" i="13"/>
  <c r="AI1223" i="13"/>
  <c r="AH1223" i="13"/>
  <c r="AG1223" i="13" s="1"/>
  <c r="AF1223" i="13"/>
  <c r="F1223" i="13"/>
  <c r="AI1222" i="13"/>
  <c r="AH1222" i="13"/>
  <c r="AG1222" i="13"/>
  <c r="AF1222" i="13"/>
  <c r="F1222" i="13"/>
  <c r="AI1221" i="13"/>
  <c r="AH1221" i="13"/>
  <c r="AG1221" i="13"/>
  <c r="AF1221" i="13"/>
  <c r="F1221" i="13"/>
  <c r="AI1220" i="13"/>
  <c r="AH1220" i="13"/>
  <c r="AG1220" i="13" s="1"/>
  <c r="AF1220" i="13"/>
  <c r="F1220" i="13"/>
  <c r="AI1219" i="13"/>
  <c r="AH1219" i="13"/>
  <c r="AG1219" i="13"/>
  <c r="AF1219" i="13"/>
  <c r="F1219" i="13"/>
  <c r="AI1218" i="13"/>
  <c r="AH1218" i="13"/>
  <c r="AG1218" i="13"/>
  <c r="AF1218" i="13"/>
  <c r="F1218" i="13"/>
  <c r="AI1217" i="13"/>
  <c r="AH1217" i="13"/>
  <c r="AG1217" i="13" s="1"/>
  <c r="AF1217" i="13"/>
  <c r="F1217" i="13"/>
  <c r="AI1216" i="13"/>
  <c r="AH1216" i="13"/>
  <c r="AG1216" i="13" s="1"/>
  <c r="AF1216" i="13"/>
  <c r="F1216" i="13"/>
  <c r="AI1215" i="13"/>
  <c r="AH1215" i="13"/>
  <c r="AG1215" i="13" s="1"/>
  <c r="AF1215" i="13"/>
  <c r="F1215" i="13"/>
  <c r="AI1214" i="13"/>
  <c r="AH1214" i="13"/>
  <c r="AG1214" i="13"/>
  <c r="AF1214" i="13"/>
  <c r="F1214" i="13"/>
  <c r="AI1213" i="13"/>
  <c r="AH1213" i="13"/>
  <c r="AG1213" i="13"/>
  <c r="AF1213" i="13"/>
  <c r="F1213" i="13"/>
  <c r="AI1212" i="13"/>
  <c r="AH1212" i="13"/>
  <c r="AG1212" i="13" s="1"/>
  <c r="AF1212" i="13"/>
  <c r="F1212" i="13"/>
  <c r="AI1211" i="13"/>
  <c r="AH1211" i="13"/>
  <c r="AG1211" i="13"/>
  <c r="AF1211" i="13"/>
  <c r="F1211" i="13"/>
  <c r="AI1210" i="13"/>
  <c r="AH1210" i="13"/>
  <c r="AG1210" i="13"/>
  <c r="AF1210" i="13"/>
  <c r="F1210" i="13"/>
  <c r="AI1209" i="13"/>
  <c r="AH1209" i="13"/>
  <c r="AG1209" i="13" s="1"/>
  <c r="AF1209" i="13"/>
  <c r="F1209" i="13"/>
  <c r="AI1208" i="13"/>
  <c r="AH1208" i="13"/>
  <c r="AG1208" i="13" s="1"/>
  <c r="AF1208" i="13"/>
  <c r="F1208" i="13"/>
  <c r="AI1207" i="13"/>
  <c r="AH1207" i="13"/>
  <c r="AG1207" i="13" s="1"/>
  <c r="AF1207" i="13"/>
  <c r="F1207" i="13"/>
  <c r="AI1206" i="13"/>
  <c r="AH1206" i="13"/>
  <c r="AG1206" i="13" s="1"/>
  <c r="AF1206" i="13"/>
  <c r="F1206" i="13"/>
  <c r="AI1205" i="13"/>
  <c r="AH1205" i="13"/>
  <c r="AG1205" i="13"/>
  <c r="AF1205" i="13"/>
  <c r="F1205" i="13"/>
  <c r="AI1204" i="13"/>
  <c r="AH1204" i="13"/>
  <c r="AG1204" i="13" s="1"/>
  <c r="AF1204" i="13"/>
  <c r="F1204" i="13"/>
  <c r="AI1203" i="13"/>
  <c r="AH1203" i="13"/>
  <c r="AG1203" i="13"/>
  <c r="AF1203" i="13"/>
  <c r="F1203" i="13"/>
  <c r="AI1202" i="13"/>
  <c r="AH1202" i="13"/>
  <c r="AG1202" i="13"/>
  <c r="AF1202" i="13"/>
  <c r="F1202" i="13"/>
  <c r="AI1201" i="13"/>
  <c r="AH1201" i="13"/>
  <c r="AG1201" i="13" s="1"/>
  <c r="AF1201" i="13"/>
  <c r="F1201" i="13"/>
  <c r="AI1200" i="13"/>
  <c r="AH1200" i="13"/>
  <c r="AG1200" i="13" s="1"/>
  <c r="AF1200" i="13"/>
  <c r="F1200" i="13"/>
  <c r="AI1199" i="13"/>
  <c r="AH1199" i="13"/>
  <c r="AG1199" i="13" s="1"/>
  <c r="AF1199" i="13"/>
  <c r="F1199" i="13"/>
  <c r="AI1198" i="13"/>
  <c r="AH1198" i="13"/>
  <c r="AG1198" i="13" s="1"/>
  <c r="AF1198" i="13"/>
  <c r="F1198" i="13"/>
  <c r="AI1197" i="13"/>
  <c r="AH1197" i="13"/>
  <c r="AG1197" i="13"/>
  <c r="AF1197" i="13"/>
  <c r="F1197" i="13"/>
  <c r="AI1196" i="13"/>
  <c r="AH1196" i="13"/>
  <c r="AG1196" i="13" s="1"/>
  <c r="AF1196" i="13"/>
  <c r="F1196" i="13"/>
  <c r="AI1195" i="13"/>
  <c r="AH1195" i="13"/>
  <c r="AG1195" i="13"/>
  <c r="AF1195" i="13"/>
  <c r="F1195" i="13"/>
  <c r="AI1194" i="13"/>
  <c r="AH1194" i="13"/>
  <c r="AG1194" i="13"/>
  <c r="AF1194" i="13"/>
  <c r="F1194" i="13"/>
  <c r="AI1193" i="13"/>
  <c r="AH1193" i="13"/>
  <c r="AG1193" i="13" s="1"/>
  <c r="AF1193" i="13"/>
  <c r="F1193" i="13"/>
  <c r="AI1192" i="13"/>
  <c r="AH1192" i="13"/>
  <c r="AG1192" i="13" s="1"/>
  <c r="AF1192" i="13"/>
  <c r="F1192" i="13"/>
  <c r="AI1191" i="13"/>
  <c r="AH1191" i="13"/>
  <c r="AG1191" i="13" s="1"/>
  <c r="AF1191" i="13"/>
  <c r="F1191" i="13"/>
  <c r="AI1190" i="13"/>
  <c r="AH1190" i="13"/>
  <c r="AG1190" i="13"/>
  <c r="AF1190" i="13"/>
  <c r="F1190" i="13"/>
  <c r="AI1189" i="13"/>
  <c r="AH1189" i="13"/>
  <c r="AG1189" i="13"/>
  <c r="AF1189" i="13"/>
  <c r="F1189" i="13"/>
  <c r="AI1188" i="13"/>
  <c r="AH1188" i="13"/>
  <c r="AG1188" i="13" s="1"/>
  <c r="AF1188" i="13"/>
  <c r="F1188" i="13"/>
  <c r="AI1187" i="13"/>
  <c r="AH1187" i="13"/>
  <c r="AG1187" i="13"/>
  <c r="AF1187" i="13"/>
  <c r="F1187" i="13"/>
  <c r="AI1186" i="13"/>
  <c r="AH1186" i="13"/>
  <c r="AG1186" i="13"/>
  <c r="AF1186" i="13"/>
  <c r="F1186" i="13"/>
  <c r="AI1185" i="13"/>
  <c r="AH1185" i="13"/>
  <c r="AG1185" i="13"/>
  <c r="AF1185" i="13"/>
  <c r="F1185" i="13"/>
  <c r="AI1184" i="13"/>
  <c r="AH1184" i="13"/>
  <c r="AG1184" i="13" s="1"/>
  <c r="AF1184" i="13"/>
  <c r="F1184" i="13"/>
  <c r="AI1183" i="13"/>
  <c r="AH1183" i="13"/>
  <c r="AG1183" i="13" s="1"/>
  <c r="AF1183" i="13"/>
  <c r="F1183" i="13"/>
  <c r="AI1182" i="13"/>
  <c r="AH1182" i="13"/>
  <c r="AG1182" i="13"/>
  <c r="AF1182" i="13"/>
  <c r="F1182" i="13"/>
  <c r="AI1181" i="13"/>
  <c r="AH1181" i="13"/>
  <c r="AG1181" i="13"/>
  <c r="AF1181" i="13"/>
  <c r="F1181" i="13"/>
  <c r="AI1180" i="13"/>
  <c r="AH1180" i="13"/>
  <c r="AG1180" i="13" s="1"/>
  <c r="AF1180" i="13"/>
  <c r="F1180" i="13"/>
  <c r="AI1179" i="13"/>
  <c r="AH1179" i="13"/>
  <c r="AG1179" i="13"/>
  <c r="AF1179" i="13"/>
  <c r="F1179" i="13"/>
  <c r="AI1178" i="13"/>
  <c r="AH1178" i="13"/>
  <c r="AG1178" i="13"/>
  <c r="AF1178" i="13"/>
  <c r="F1178" i="13"/>
  <c r="AI1177" i="13"/>
  <c r="AH1177" i="13"/>
  <c r="AG1177" i="13"/>
  <c r="AF1177" i="13"/>
  <c r="F1177" i="13"/>
  <c r="AI1176" i="13"/>
  <c r="AH1176" i="13"/>
  <c r="AG1176" i="13" s="1"/>
  <c r="AF1176" i="13"/>
  <c r="F1176" i="13"/>
  <c r="AI1175" i="13"/>
  <c r="AH1175" i="13"/>
  <c r="AG1175" i="13" s="1"/>
  <c r="AF1175" i="13"/>
  <c r="F1175" i="13"/>
  <c r="AI1174" i="13"/>
  <c r="AH1174" i="13"/>
  <c r="AG1174" i="13"/>
  <c r="AF1174" i="13"/>
  <c r="F1174" i="13"/>
  <c r="AI1173" i="13"/>
  <c r="AH1173" i="13"/>
  <c r="AG1173" i="13"/>
  <c r="AF1173" i="13"/>
  <c r="F1173" i="13"/>
  <c r="AI1172" i="13"/>
  <c r="AH1172" i="13"/>
  <c r="AG1172" i="13" s="1"/>
  <c r="AF1172" i="13"/>
  <c r="F1172" i="13"/>
  <c r="AI1171" i="13"/>
  <c r="AH1171" i="13"/>
  <c r="AG1171" i="13"/>
  <c r="AF1171" i="13"/>
  <c r="F1171" i="13"/>
  <c r="AI1170" i="13"/>
  <c r="AH1170" i="13"/>
  <c r="AG1170" i="13"/>
  <c r="AF1170" i="13"/>
  <c r="F1170" i="13"/>
  <c r="AI1169" i="13"/>
  <c r="AH1169" i="13"/>
  <c r="AG1169" i="13"/>
  <c r="AF1169" i="13"/>
  <c r="F1169" i="13"/>
  <c r="AI1168" i="13"/>
  <c r="AH1168" i="13"/>
  <c r="AG1168" i="13" s="1"/>
  <c r="AF1168" i="13"/>
  <c r="F1168" i="13"/>
  <c r="AI1167" i="13"/>
  <c r="AH1167" i="13"/>
  <c r="AG1167" i="13" s="1"/>
  <c r="AF1167" i="13"/>
  <c r="F1167" i="13"/>
  <c r="AI1166" i="13"/>
  <c r="AH1166" i="13"/>
  <c r="AG1166" i="13"/>
  <c r="AF1166" i="13"/>
  <c r="F1166" i="13"/>
  <c r="AI1165" i="13"/>
  <c r="AH1165" i="13"/>
  <c r="AG1165" i="13"/>
  <c r="AF1165" i="13"/>
  <c r="F1165" i="13"/>
  <c r="AI1164" i="13"/>
  <c r="AH1164" i="13"/>
  <c r="AG1164" i="13" s="1"/>
  <c r="AF1164" i="13"/>
  <c r="F1164" i="13"/>
  <c r="AI1163" i="13"/>
  <c r="AH1163" i="13"/>
  <c r="AG1163" i="13"/>
  <c r="AF1163" i="13"/>
  <c r="F1163" i="13"/>
  <c r="AI1162" i="13"/>
  <c r="AH1162" i="13"/>
  <c r="AG1162" i="13"/>
  <c r="AF1162" i="13"/>
  <c r="F1162" i="13"/>
  <c r="AI1161" i="13"/>
  <c r="AH1161" i="13"/>
  <c r="AG1161" i="13"/>
  <c r="AF1161" i="13"/>
  <c r="F1161" i="13"/>
  <c r="AI1160" i="13"/>
  <c r="AH1160" i="13"/>
  <c r="AG1160" i="13" s="1"/>
  <c r="AF1160" i="13"/>
  <c r="F1160" i="13"/>
  <c r="AI1159" i="13"/>
  <c r="AH1159" i="13"/>
  <c r="AG1159" i="13" s="1"/>
  <c r="AF1159" i="13"/>
  <c r="F1159" i="13"/>
  <c r="AI1158" i="13"/>
  <c r="AH1158" i="13"/>
  <c r="AG1158" i="13" s="1"/>
  <c r="AF1158" i="13"/>
  <c r="F1158" i="13"/>
  <c r="AI1157" i="13"/>
  <c r="AH1157" i="13"/>
  <c r="AG1157" i="13"/>
  <c r="AF1157" i="13"/>
  <c r="F1157" i="13"/>
  <c r="AI1156" i="13"/>
  <c r="AH1156" i="13"/>
  <c r="AG1156" i="13" s="1"/>
  <c r="AF1156" i="13"/>
  <c r="F1156" i="13"/>
  <c r="AI1155" i="13"/>
  <c r="AH1155" i="13"/>
  <c r="AG1155" i="13"/>
  <c r="AF1155" i="13"/>
  <c r="F1155" i="13"/>
  <c r="AI1154" i="13"/>
  <c r="AH1154" i="13"/>
  <c r="AG1154" i="13"/>
  <c r="AF1154" i="13"/>
  <c r="F1154" i="13"/>
  <c r="AI1153" i="13"/>
  <c r="AH1153" i="13"/>
  <c r="AG1153" i="13" s="1"/>
  <c r="AF1153" i="13"/>
  <c r="F1153" i="13"/>
  <c r="AI1152" i="13"/>
  <c r="AH1152" i="13"/>
  <c r="AG1152" i="13" s="1"/>
  <c r="AF1152" i="13"/>
  <c r="F1152" i="13"/>
  <c r="AI1151" i="13"/>
  <c r="AH1151" i="13"/>
  <c r="AG1151" i="13" s="1"/>
  <c r="AF1151" i="13"/>
  <c r="F1151" i="13"/>
  <c r="AI1150" i="13"/>
  <c r="AH1150" i="13"/>
  <c r="AG1150" i="13" s="1"/>
  <c r="AF1150" i="13"/>
  <c r="F1150" i="13"/>
  <c r="AI1149" i="13"/>
  <c r="AH1149" i="13"/>
  <c r="AG1149" i="13"/>
  <c r="AF1149" i="13"/>
  <c r="F1149" i="13"/>
  <c r="AI1148" i="13"/>
  <c r="AH1148" i="13"/>
  <c r="AG1148" i="13" s="1"/>
  <c r="AF1148" i="13"/>
  <c r="F1148" i="13"/>
  <c r="AI1147" i="13"/>
  <c r="AH1147" i="13"/>
  <c r="AG1147" i="13"/>
  <c r="AF1147" i="13"/>
  <c r="F1147" i="13"/>
  <c r="AI1146" i="13"/>
  <c r="AH1146" i="13"/>
  <c r="AG1146" i="13"/>
  <c r="AF1146" i="13"/>
  <c r="F1146" i="13"/>
  <c r="AI1145" i="13"/>
  <c r="AH1145" i="13"/>
  <c r="AG1145" i="13" s="1"/>
  <c r="AF1145" i="13"/>
  <c r="F1145" i="13"/>
  <c r="AI1144" i="13"/>
  <c r="AH1144" i="13"/>
  <c r="AG1144" i="13" s="1"/>
  <c r="AF1144" i="13"/>
  <c r="F1144" i="13"/>
  <c r="AI1143" i="13"/>
  <c r="AH1143" i="13"/>
  <c r="AG1143" i="13" s="1"/>
  <c r="AF1143" i="13"/>
  <c r="F1143" i="13"/>
  <c r="AI1142" i="13"/>
  <c r="AH1142" i="13"/>
  <c r="AG1142" i="13" s="1"/>
  <c r="AF1142" i="13"/>
  <c r="F1142" i="13"/>
  <c r="AI1141" i="13"/>
  <c r="AH1141" i="13"/>
  <c r="AG1141" i="13"/>
  <c r="AF1141" i="13"/>
  <c r="F1141" i="13"/>
  <c r="AI1140" i="13"/>
  <c r="AH1140" i="13"/>
  <c r="AG1140" i="13" s="1"/>
  <c r="AF1140" i="13"/>
  <c r="F1140" i="13"/>
  <c r="AI1139" i="13"/>
  <c r="AH1139" i="13"/>
  <c r="AG1139" i="13"/>
  <c r="AF1139" i="13"/>
  <c r="F1139" i="13"/>
  <c r="AI1138" i="13"/>
  <c r="AH1138" i="13"/>
  <c r="AG1138" i="13"/>
  <c r="AF1138" i="13"/>
  <c r="F1138" i="13"/>
  <c r="AI1137" i="13"/>
  <c r="AH1137" i="13"/>
  <c r="AG1137" i="13" s="1"/>
  <c r="AF1137" i="13"/>
  <c r="F1137" i="13"/>
  <c r="AI1136" i="13"/>
  <c r="AH1136" i="13"/>
  <c r="AG1136" i="13" s="1"/>
  <c r="AF1136" i="13"/>
  <c r="F1136" i="13"/>
  <c r="AI1135" i="13"/>
  <c r="AH1135" i="13"/>
  <c r="AG1135" i="13" s="1"/>
  <c r="AF1135" i="13"/>
  <c r="F1135" i="13"/>
  <c r="AI1134" i="13"/>
  <c r="AH1134" i="13"/>
  <c r="AG1134" i="13" s="1"/>
  <c r="AF1134" i="13"/>
  <c r="F1134" i="13"/>
  <c r="AI1133" i="13"/>
  <c r="AH1133" i="13"/>
  <c r="AG1133" i="13"/>
  <c r="AF1133" i="13"/>
  <c r="F1133" i="13"/>
  <c r="AI1132" i="13"/>
  <c r="AH1132" i="13"/>
  <c r="AG1132" i="13" s="1"/>
  <c r="AF1132" i="13"/>
  <c r="F1132" i="13"/>
  <c r="AI1131" i="13"/>
  <c r="AH1131" i="13"/>
  <c r="AG1131" i="13" s="1"/>
  <c r="AF1131" i="13"/>
  <c r="F1131" i="13"/>
  <c r="AI1130" i="13"/>
  <c r="AH1130" i="13"/>
  <c r="AG1130" i="13"/>
  <c r="AF1130" i="13"/>
  <c r="F1130" i="13"/>
  <c r="AI1129" i="13"/>
  <c r="AH1129" i="13"/>
  <c r="AG1129" i="13" s="1"/>
  <c r="AF1129" i="13"/>
  <c r="F1129" i="13"/>
  <c r="AI1128" i="13"/>
  <c r="AH1128" i="13"/>
  <c r="AG1128" i="13"/>
  <c r="AF1128" i="13"/>
  <c r="F1128" i="13"/>
  <c r="AI1127" i="13"/>
  <c r="AH1127" i="13"/>
  <c r="AG1127" i="13" s="1"/>
  <c r="AF1127" i="13"/>
  <c r="F1127" i="13"/>
  <c r="AI1126" i="13"/>
  <c r="AH1126" i="13"/>
  <c r="AG1126" i="13" s="1"/>
  <c r="AF1126" i="13"/>
  <c r="F1126" i="13"/>
  <c r="AI1125" i="13"/>
  <c r="AH1125" i="13"/>
  <c r="AG1125" i="13"/>
  <c r="AF1125" i="13"/>
  <c r="F1125" i="13"/>
  <c r="AI1124" i="13"/>
  <c r="AH1124" i="13"/>
  <c r="AG1124" i="13" s="1"/>
  <c r="AF1124" i="13"/>
  <c r="F1124" i="13"/>
  <c r="AI1123" i="13"/>
  <c r="AH1123" i="13"/>
  <c r="AG1123" i="13"/>
  <c r="AF1123" i="13"/>
  <c r="F1123" i="13"/>
  <c r="AI1122" i="13"/>
  <c r="AH1122" i="13"/>
  <c r="AG1122" i="13"/>
  <c r="AF1122" i="13"/>
  <c r="F1122" i="13"/>
  <c r="AI1121" i="13"/>
  <c r="AH1121" i="13"/>
  <c r="AG1121" i="13" s="1"/>
  <c r="AF1121" i="13"/>
  <c r="F1121" i="13"/>
  <c r="AI1120" i="13"/>
  <c r="AH1120" i="13"/>
  <c r="AG1120" i="13" s="1"/>
  <c r="AF1120" i="13"/>
  <c r="F1120" i="13"/>
  <c r="AI1119" i="13"/>
  <c r="AH1119" i="13"/>
  <c r="AG1119" i="13" s="1"/>
  <c r="AF1119" i="13"/>
  <c r="F1119" i="13"/>
  <c r="AI1118" i="13"/>
  <c r="AH1118" i="13"/>
  <c r="AG1118" i="13"/>
  <c r="AF1118" i="13"/>
  <c r="F1118" i="13"/>
  <c r="AI1117" i="13"/>
  <c r="AH1117" i="13"/>
  <c r="AG1117" i="13"/>
  <c r="AF1117" i="13"/>
  <c r="F1117" i="13"/>
  <c r="AI1116" i="13"/>
  <c r="AH1116" i="13"/>
  <c r="AG1116" i="13" s="1"/>
  <c r="AF1116" i="13"/>
  <c r="F1116" i="13"/>
  <c r="AI1115" i="13"/>
  <c r="AH1115" i="13"/>
  <c r="AG1115" i="13"/>
  <c r="AF1115" i="13"/>
  <c r="F1115" i="13"/>
  <c r="AI1114" i="13"/>
  <c r="AH1114" i="13"/>
  <c r="AG1114" i="13"/>
  <c r="AF1114" i="13"/>
  <c r="F1114" i="13"/>
  <c r="AI1113" i="13"/>
  <c r="AH1113" i="13"/>
  <c r="AG1113" i="13"/>
  <c r="AF1113" i="13"/>
  <c r="F1113" i="13"/>
  <c r="AI1112" i="13"/>
  <c r="AH1112" i="13"/>
  <c r="AG1112" i="13" s="1"/>
  <c r="AF1112" i="13"/>
  <c r="F1112" i="13"/>
  <c r="AI1111" i="13"/>
  <c r="AH1111" i="13"/>
  <c r="AG1111" i="13" s="1"/>
  <c r="AF1111" i="13"/>
  <c r="F1111" i="13"/>
  <c r="AI1110" i="13"/>
  <c r="AH1110" i="13"/>
  <c r="AG1110" i="13"/>
  <c r="AF1110" i="13"/>
  <c r="F1110" i="13"/>
  <c r="AI1109" i="13"/>
  <c r="AH1109" i="13"/>
  <c r="AG1109" i="13"/>
  <c r="AF1109" i="13"/>
  <c r="F1109" i="13"/>
  <c r="AI1108" i="13"/>
  <c r="AH1108" i="13"/>
  <c r="AG1108" i="13" s="1"/>
  <c r="AF1108" i="13"/>
  <c r="F1108" i="13"/>
  <c r="AI1107" i="13"/>
  <c r="AH1107" i="13"/>
  <c r="AG1107" i="13" s="1"/>
  <c r="AF1107" i="13"/>
  <c r="F1107" i="13"/>
  <c r="AI1106" i="13"/>
  <c r="AH1106" i="13"/>
  <c r="AG1106" i="13"/>
  <c r="AF1106" i="13"/>
  <c r="F1106" i="13"/>
  <c r="AI1105" i="13"/>
  <c r="AH1105" i="13"/>
  <c r="AG1105" i="13"/>
  <c r="AF1105" i="13"/>
  <c r="F1105" i="13"/>
  <c r="AI1104" i="13"/>
  <c r="AH1104" i="13"/>
  <c r="AG1104" i="13"/>
  <c r="AF1104" i="13"/>
  <c r="F1104" i="13"/>
  <c r="AI1103" i="13"/>
  <c r="AH1103" i="13"/>
  <c r="AG1103" i="13" s="1"/>
  <c r="AF1103" i="13"/>
  <c r="F1103" i="13"/>
  <c r="AI1102" i="13"/>
  <c r="AH1102" i="13"/>
  <c r="AG1102" i="13" s="1"/>
  <c r="AF1102" i="13"/>
  <c r="F1102" i="13"/>
  <c r="AI1101" i="13"/>
  <c r="AH1101" i="13"/>
  <c r="AG1101" i="13"/>
  <c r="AF1101" i="13"/>
  <c r="F1101" i="13"/>
  <c r="AI1100" i="13"/>
  <c r="AH1100" i="13"/>
  <c r="AG1100" i="13" s="1"/>
  <c r="AF1100" i="13"/>
  <c r="F1100" i="13"/>
  <c r="AI1099" i="13"/>
  <c r="AH1099" i="13"/>
  <c r="AG1099" i="13" s="1"/>
  <c r="AF1099" i="13"/>
  <c r="F1099" i="13"/>
  <c r="AI1098" i="13"/>
  <c r="AH1098" i="13"/>
  <c r="AG1098" i="13"/>
  <c r="AF1098" i="13"/>
  <c r="F1098" i="13"/>
  <c r="AI1097" i="13"/>
  <c r="AH1097" i="13"/>
  <c r="AG1097" i="13" s="1"/>
  <c r="AF1097" i="13"/>
  <c r="F1097" i="13"/>
  <c r="AI1096" i="13"/>
  <c r="AH1096" i="13"/>
  <c r="AG1096" i="13"/>
  <c r="AF1096" i="13"/>
  <c r="F1096" i="13"/>
  <c r="AI1095" i="13"/>
  <c r="AH1095" i="13"/>
  <c r="AG1095" i="13" s="1"/>
  <c r="AF1095" i="13"/>
  <c r="F1095" i="13"/>
  <c r="AI1094" i="13"/>
  <c r="AH1094" i="13"/>
  <c r="AG1094" i="13" s="1"/>
  <c r="AF1094" i="13"/>
  <c r="F1094" i="13"/>
  <c r="AI1093" i="13"/>
  <c r="AH1093" i="13"/>
  <c r="AG1093" i="13" s="1"/>
  <c r="AF1093" i="13"/>
  <c r="F1093" i="13"/>
  <c r="AI1092" i="13"/>
  <c r="AH1092" i="13"/>
  <c r="AG1092" i="13" s="1"/>
  <c r="AF1092" i="13"/>
  <c r="F1092" i="13"/>
  <c r="AI1091" i="13"/>
  <c r="AH1091" i="13"/>
  <c r="AG1091" i="13"/>
  <c r="AF1091" i="13"/>
  <c r="F1091" i="13"/>
  <c r="AI1090" i="13"/>
  <c r="AH1090" i="13"/>
  <c r="AG1090" i="13"/>
  <c r="AF1090" i="13"/>
  <c r="F1090" i="13"/>
  <c r="AI1089" i="13"/>
  <c r="AH1089" i="13"/>
  <c r="AG1089" i="13" s="1"/>
  <c r="AF1089" i="13"/>
  <c r="F1089" i="13"/>
  <c r="AI1088" i="13"/>
  <c r="AH1088" i="13"/>
  <c r="AG1088" i="13" s="1"/>
  <c r="AF1088" i="13"/>
  <c r="F1088" i="13"/>
  <c r="AI1087" i="13"/>
  <c r="AH1087" i="13"/>
  <c r="AG1087" i="13" s="1"/>
  <c r="AF1087" i="13"/>
  <c r="F1087" i="13"/>
  <c r="AI1086" i="13"/>
  <c r="AH1086" i="13"/>
  <c r="AG1086" i="13"/>
  <c r="AF1086" i="13"/>
  <c r="F1086" i="13"/>
  <c r="AI1085" i="13"/>
  <c r="AH1085" i="13"/>
  <c r="AG1085" i="13" s="1"/>
  <c r="AF1085" i="13"/>
  <c r="F1085" i="13"/>
  <c r="AI1084" i="13"/>
  <c r="AH1084" i="13"/>
  <c r="AG1084" i="13" s="1"/>
  <c r="AF1084" i="13"/>
  <c r="F1084" i="13"/>
  <c r="AI1083" i="13"/>
  <c r="AH1083" i="13"/>
  <c r="AG1083" i="13"/>
  <c r="AF1083" i="13"/>
  <c r="F1083" i="13"/>
  <c r="AI1082" i="13"/>
  <c r="AH1082" i="13"/>
  <c r="AG1082" i="13"/>
  <c r="AF1082" i="13"/>
  <c r="F1082" i="13"/>
  <c r="AI1081" i="13"/>
  <c r="AH1081" i="13"/>
  <c r="AG1081" i="13"/>
  <c r="AF1081" i="13"/>
  <c r="F1081" i="13"/>
  <c r="AI1080" i="13"/>
  <c r="AH1080" i="13"/>
  <c r="AG1080" i="13" s="1"/>
  <c r="AF1080" i="13"/>
  <c r="F1080" i="13"/>
  <c r="AI1079" i="13"/>
  <c r="AH1079" i="13"/>
  <c r="AG1079" i="13" s="1"/>
  <c r="AF1079" i="13"/>
  <c r="F1079" i="13"/>
  <c r="AI1078" i="13"/>
  <c r="AH1078" i="13"/>
  <c r="AG1078" i="13"/>
  <c r="AF1078" i="13"/>
  <c r="F1078" i="13"/>
  <c r="AI1077" i="13"/>
  <c r="AH1077" i="13"/>
  <c r="AG1077" i="13"/>
  <c r="AF1077" i="13"/>
  <c r="F1077" i="13"/>
  <c r="AI1076" i="13"/>
  <c r="AH1076" i="13"/>
  <c r="AG1076" i="13" s="1"/>
  <c r="AF1076" i="13"/>
  <c r="F1076" i="13"/>
  <c r="AI1075" i="13"/>
  <c r="AH1075" i="13"/>
  <c r="AG1075" i="13" s="1"/>
  <c r="AF1075" i="13"/>
  <c r="F1075" i="13"/>
  <c r="AI1074" i="13"/>
  <c r="AH1074" i="13"/>
  <c r="AG1074" i="13"/>
  <c r="AF1074" i="13"/>
  <c r="F1074" i="13"/>
  <c r="AI1073" i="13"/>
  <c r="AH1073" i="13"/>
  <c r="AG1073" i="13"/>
  <c r="AF1073" i="13"/>
  <c r="F1073" i="13"/>
  <c r="AI1072" i="13"/>
  <c r="AH1072" i="13"/>
  <c r="AG1072" i="13"/>
  <c r="AF1072" i="13"/>
  <c r="F1072" i="13"/>
  <c r="AI1071" i="13"/>
  <c r="AH1071" i="13"/>
  <c r="AG1071" i="13" s="1"/>
  <c r="AF1071" i="13"/>
  <c r="F1071" i="13"/>
  <c r="AI1070" i="13"/>
  <c r="AH1070" i="13"/>
  <c r="AG1070" i="13" s="1"/>
  <c r="AF1070" i="13"/>
  <c r="F1070" i="13"/>
  <c r="AI1069" i="13"/>
  <c r="AH1069" i="13"/>
  <c r="AG1069" i="13"/>
  <c r="AF1069" i="13"/>
  <c r="F1069" i="13"/>
  <c r="AI1068" i="13"/>
  <c r="AH1068" i="13"/>
  <c r="AG1068" i="13" s="1"/>
  <c r="AF1068" i="13"/>
  <c r="F1068" i="13"/>
  <c r="AI1067" i="13"/>
  <c r="AH1067" i="13"/>
  <c r="AG1067" i="13" s="1"/>
  <c r="AF1067" i="13"/>
  <c r="F1067" i="13"/>
  <c r="AI1066" i="13"/>
  <c r="AH1066" i="13"/>
  <c r="AG1066" i="13"/>
  <c r="AF1066" i="13"/>
  <c r="F1066" i="13"/>
  <c r="AI1065" i="13"/>
  <c r="AH1065" i="13"/>
  <c r="AG1065" i="13" s="1"/>
  <c r="AF1065" i="13"/>
  <c r="F1065" i="13"/>
  <c r="AI1064" i="13"/>
  <c r="AH1064" i="13"/>
  <c r="AG1064" i="13"/>
  <c r="AF1064" i="13"/>
  <c r="F1064" i="13"/>
  <c r="AI1063" i="13"/>
  <c r="AH1063" i="13"/>
  <c r="AG1063" i="13" s="1"/>
  <c r="AF1063" i="13"/>
  <c r="F1063" i="13"/>
  <c r="AI1062" i="13"/>
  <c r="AH1062" i="13"/>
  <c r="AG1062" i="13" s="1"/>
  <c r="AF1062" i="13"/>
  <c r="F1062" i="13"/>
  <c r="AI1061" i="13"/>
  <c r="AH1061" i="13"/>
  <c r="AG1061" i="13" s="1"/>
  <c r="AF1061" i="13"/>
  <c r="F1061" i="13"/>
  <c r="AI1060" i="13"/>
  <c r="AH1060" i="13"/>
  <c r="AG1060" i="13" s="1"/>
  <c r="AF1060" i="13"/>
  <c r="F1060" i="13"/>
  <c r="AI1059" i="13"/>
  <c r="AH1059" i="13"/>
  <c r="AG1059" i="13"/>
  <c r="AF1059" i="13"/>
  <c r="F1059" i="13"/>
  <c r="AI1058" i="13"/>
  <c r="AH1058" i="13"/>
  <c r="AG1058" i="13"/>
  <c r="AF1058" i="13"/>
  <c r="F1058" i="13"/>
  <c r="AI1057" i="13"/>
  <c r="AH1057" i="13"/>
  <c r="AG1057" i="13" s="1"/>
  <c r="AF1057" i="13"/>
  <c r="F1057" i="13"/>
  <c r="AI1056" i="13"/>
  <c r="AH1056" i="13"/>
  <c r="AG1056" i="13" s="1"/>
  <c r="AF1056" i="13"/>
  <c r="F1056" i="13"/>
  <c r="AI1055" i="13"/>
  <c r="AH1055" i="13"/>
  <c r="AG1055" i="13" s="1"/>
  <c r="AF1055" i="13"/>
  <c r="F1055" i="13"/>
  <c r="AI1054" i="13"/>
  <c r="AH1054" i="13"/>
  <c r="AG1054" i="13"/>
  <c r="AF1054" i="13"/>
  <c r="F1054" i="13"/>
  <c r="AI1053" i="13"/>
  <c r="AH1053" i="13"/>
  <c r="AG1053" i="13" s="1"/>
  <c r="AF1053" i="13"/>
  <c r="F1053" i="13"/>
  <c r="AI1052" i="13"/>
  <c r="AH1052" i="13"/>
  <c r="AG1052" i="13" s="1"/>
  <c r="AF1052" i="13"/>
  <c r="F1052" i="13"/>
  <c r="AI1051" i="13"/>
  <c r="AH1051" i="13"/>
  <c r="AG1051" i="13"/>
  <c r="AF1051" i="13"/>
  <c r="F1051" i="13"/>
  <c r="AI1050" i="13"/>
  <c r="AH1050" i="13"/>
  <c r="AG1050" i="13"/>
  <c r="AF1050" i="13"/>
  <c r="F1050" i="13"/>
  <c r="AI1049" i="13"/>
  <c r="AH1049" i="13"/>
  <c r="AG1049" i="13"/>
  <c r="AF1049" i="13"/>
  <c r="F1049" i="13"/>
  <c r="AI1048" i="13"/>
  <c r="AH1048" i="13"/>
  <c r="AG1048" i="13" s="1"/>
  <c r="AF1048" i="13"/>
  <c r="F1048" i="13"/>
  <c r="AI1047" i="13"/>
  <c r="AH1047" i="13"/>
  <c r="AG1047" i="13" s="1"/>
  <c r="AF1047" i="13"/>
  <c r="F1047" i="13"/>
  <c r="AI1046" i="13"/>
  <c r="AH1046" i="13"/>
  <c r="AG1046" i="13"/>
  <c r="AF1046" i="13"/>
  <c r="F1046" i="13"/>
  <c r="AI1045" i="13"/>
  <c r="AH1045" i="13"/>
  <c r="AG1045" i="13"/>
  <c r="AF1045" i="13"/>
  <c r="F1045" i="13"/>
  <c r="AI1044" i="13"/>
  <c r="AH1044" i="13"/>
  <c r="AG1044" i="13" s="1"/>
  <c r="AF1044" i="13"/>
  <c r="F1044" i="13"/>
  <c r="AI1043" i="13"/>
  <c r="AH1043" i="13"/>
  <c r="AG1043" i="13" s="1"/>
  <c r="AF1043" i="13"/>
  <c r="F1043" i="13"/>
  <c r="AI1042" i="13"/>
  <c r="AH1042" i="13"/>
  <c r="AG1042" i="13"/>
  <c r="AF1042" i="13"/>
  <c r="F1042" i="13"/>
  <c r="AI1041" i="13"/>
  <c r="AH1041" i="13"/>
  <c r="AG1041" i="13"/>
  <c r="AF1041" i="13"/>
  <c r="F1041" i="13"/>
  <c r="AI1040" i="13"/>
  <c r="AH1040" i="13"/>
  <c r="AG1040" i="13"/>
  <c r="AF1040" i="13"/>
  <c r="F1040" i="13"/>
  <c r="AI1039" i="13"/>
  <c r="AH1039" i="13"/>
  <c r="AG1039" i="13" s="1"/>
  <c r="AF1039" i="13"/>
  <c r="F1039" i="13"/>
  <c r="AI1038" i="13"/>
  <c r="AH1038" i="13"/>
  <c r="AG1038" i="13" s="1"/>
  <c r="AF1038" i="13"/>
  <c r="F1038" i="13"/>
  <c r="AI1037" i="13"/>
  <c r="AH1037" i="13"/>
  <c r="AG1037" i="13"/>
  <c r="AF1037" i="13"/>
  <c r="F1037" i="13"/>
  <c r="AI1036" i="13"/>
  <c r="AH1036" i="13"/>
  <c r="AG1036" i="13" s="1"/>
  <c r="AF1036" i="13"/>
  <c r="F1036" i="13"/>
  <c r="AI1035" i="13"/>
  <c r="AH1035" i="13"/>
  <c r="AG1035" i="13" s="1"/>
  <c r="AF1035" i="13"/>
  <c r="F1035" i="13"/>
  <c r="AI1034" i="13"/>
  <c r="AH1034" i="13"/>
  <c r="AG1034" i="13"/>
  <c r="AF1034" i="13"/>
  <c r="F1034" i="13"/>
  <c r="AI1033" i="13"/>
  <c r="AH1033" i="13"/>
  <c r="AG1033" i="13" s="1"/>
  <c r="AF1033" i="13"/>
  <c r="F1033" i="13"/>
  <c r="AI1032" i="13"/>
  <c r="AH1032" i="13"/>
  <c r="AG1032" i="13"/>
  <c r="AF1032" i="13"/>
  <c r="F1032" i="13"/>
  <c r="AI1031" i="13"/>
  <c r="AH1031" i="13"/>
  <c r="AG1031" i="13" s="1"/>
  <c r="AF1031" i="13"/>
  <c r="F1031" i="13"/>
  <c r="AI1030" i="13"/>
  <c r="AH1030" i="13"/>
  <c r="AG1030" i="13" s="1"/>
  <c r="AF1030" i="13"/>
  <c r="F1030" i="13"/>
  <c r="AI1029" i="13"/>
  <c r="AH1029" i="13"/>
  <c r="AG1029" i="13" s="1"/>
  <c r="AF1029" i="13"/>
  <c r="F1029" i="13"/>
  <c r="AI1028" i="13"/>
  <c r="AH1028" i="13"/>
  <c r="AG1028" i="13" s="1"/>
  <c r="AF1028" i="13"/>
  <c r="F1028" i="13"/>
  <c r="AI1027" i="13"/>
  <c r="AH1027" i="13"/>
  <c r="AG1027" i="13"/>
  <c r="AF1027" i="13"/>
  <c r="F1027" i="13"/>
  <c r="AI1026" i="13"/>
  <c r="AH1026" i="13"/>
  <c r="AG1026" i="13"/>
  <c r="AF1026" i="13"/>
  <c r="F1026" i="13"/>
  <c r="AI1025" i="13"/>
  <c r="AH1025" i="13"/>
  <c r="AG1025" i="13" s="1"/>
  <c r="AF1025" i="13"/>
  <c r="F1025" i="13"/>
  <c r="AI1024" i="13"/>
  <c r="AH1024" i="13"/>
  <c r="AG1024" i="13" s="1"/>
  <c r="AF1024" i="13"/>
  <c r="F1024" i="13"/>
  <c r="AI1023" i="13"/>
  <c r="AH1023" i="13"/>
  <c r="AG1023" i="13" s="1"/>
  <c r="AF1023" i="13"/>
  <c r="F1023" i="13"/>
  <c r="AI1022" i="13"/>
  <c r="AH1022" i="13"/>
  <c r="AG1022" i="13"/>
  <c r="AF1022" i="13"/>
  <c r="F1022" i="13"/>
  <c r="AI1021" i="13"/>
  <c r="AH1021" i="13"/>
  <c r="AG1021" i="13" s="1"/>
  <c r="AF1021" i="13"/>
  <c r="F1021" i="13"/>
  <c r="AI1020" i="13"/>
  <c r="AH1020" i="13"/>
  <c r="AG1020" i="13" s="1"/>
  <c r="AF1020" i="13"/>
  <c r="F1020" i="13"/>
  <c r="AI1019" i="13"/>
  <c r="AH1019" i="13"/>
  <c r="AG1019" i="13"/>
  <c r="AF1019" i="13"/>
  <c r="F1019" i="13"/>
  <c r="AI1018" i="13"/>
  <c r="AH1018" i="13"/>
  <c r="AG1018" i="13"/>
  <c r="AF1018" i="13"/>
  <c r="F1018" i="13"/>
  <c r="AI1017" i="13"/>
  <c r="AH1017" i="13"/>
  <c r="AG1017" i="13"/>
  <c r="AF1017" i="13"/>
  <c r="F1017" i="13"/>
  <c r="AI1016" i="13"/>
  <c r="AH1016" i="13"/>
  <c r="AG1016" i="13" s="1"/>
  <c r="AF1016" i="13"/>
  <c r="F1016" i="13"/>
  <c r="AI1015" i="13"/>
  <c r="AH1015" i="13"/>
  <c r="AG1015" i="13" s="1"/>
  <c r="AF1015" i="13"/>
  <c r="F1015" i="13"/>
  <c r="AI1014" i="13"/>
  <c r="AH1014" i="13"/>
  <c r="AG1014" i="13"/>
  <c r="AF1014" i="13"/>
  <c r="F1014" i="13"/>
  <c r="AI1013" i="13"/>
  <c r="AH1013" i="13"/>
  <c r="AG1013" i="13"/>
  <c r="AF1013" i="13"/>
  <c r="F1013" i="13"/>
  <c r="AI1012" i="13"/>
  <c r="AH1012" i="13"/>
  <c r="AG1012" i="13" s="1"/>
  <c r="AF1012" i="13"/>
  <c r="F1012" i="13"/>
  <c r="AI1011" i="13"/>
  <c r="AH1011" i="13"/>
  <c r="AG1011" i="13" s="1"/>
  <c r="AF1011" i="13"/>
  <c r="F1011" i="13"/>
  <c r="AI1010" i="13"/>
  <c r="AH1010" i="13"/>
  <c r="AG1010" i="13"/>
  <c r="AF1010" i="13"/>
  <c r="F1010" i="13"/>
  <c r="AI1009" i="13"/>
  <c r="AH1009" i="13"/>
  <c r="AG1009" i="13"/>
  <c r="AF1009" i="13"/>
  <c r="F1009" i="13"/>
  <c r="AI1008" i="13"/>
  <c r="AH1008" i="13"/>
  <c r="AG1008" i="13"/>
  <c r="AF1008" i="13"/>
  <c r="F1008" i="13"/>
  <c r="AI1007" i="13"/>
  <c r="AH1007" i="13"/>
  <c r="AG1007" i="13" s="1"/>
  <c r="AF1007" i="13"/>
  <c r="F1007" i="13"/>
  <c r="AI1006" i="13"/>
  <c r="AH1006" i="13"/>
  <c r="AG1006" i="13" s="1"/>
  <c r="AF1006" i="13"/>
  <c r="F1006" i="13"/>
  <c r="AI1005" i="13"/>
  <c r="AH1005" i="13"/>
  <c r="AG1005" i="13"/>
  <c r="AF1005" i="13"/>
  <c r="F1005" i="13"/>
  <c r="AI1004" i="13"/>
  <c r="AH1004" i="13"/>
  <c r="AG1004" i="13" s="1"/>
  <c r="AF1004" i="13"/>
  <c r="F1004" i="13"/>
  <c r="AI1003" i="13"/>
  <c r="AH1003" i="13"/>
  <c r="AG1003" i="13" s="1"/>
  <c r="AF1003" i="13"/>
  <c r="F1003" i="13"/>
  <c r="AI1002" i="13"/>
  <c r="AH1002" i="13"/>
  <c r="AG1002" i="13"/>
  <c r="AF1002" i="13"/>
  <c r="F1002" i="13"/>
  <c r="AI1001" i="13"/>
  <c r="AH1001" i="13"/>
  <c r="AG1001" i="13" s="1"/>
  <c r="AF1001" i="13"/>
  <c r="F1001" i="13"/>
  <c r="AI1000" i="13"/>
  <c r="AH1000" i="13"/>
  <c r="AG1000" i="13"/>
  <c r="AF1000" i="13"/>
  <c r="F1000" i="13"/>
  <c r="AI999" i="13"/>
  <c r="AH999" i="13"/>
  <c r="AG999" i="13" s="1"/>
  <c r="AF999" i="13"/>
  <c r="F999" i="13"/>
  <c r="AI998" i="13"/>
  <c r="AH998" i="13"/>
  <c r="AG998" i="13" s="1"/>
  <c r="AF998" i="13"/>
  <c r="F998" i="13"/>
  <c r="AI997" i="13"/>
  <c r="AH997" i="13"/>
  <c r="AG997" i="13" s="1"/>
  <c r="AF997" i="13"/>
  <c r="F997" i="13"/>
  <c r="AI996" i="13"/>
  <c r="AH996" i="13"/>
  <c r="AG996" i="13" s="1"/>
  <c r="AF996" i="13"/>
  <c r="F996" i="13"/>
  <c r="AI995" i="13"/>
  <c r="AH995" i="13"/>
  <c r="AG995" i="13"/>
  <c r="AF995" i="13"/>
  <c r="F995" i="13"/>
  <c r="AI994" i="13"/>
  <c r="AH994" i="13"/>
  <c r="AG994" i="13"/>
  <c r="AF994" i="13"/>
  <c r="F994" i="13"/>
  <c r="AI993" i="13"/>
  <c r="AH993" i="13"/>
  <c r="AG993" i="13" s="1"/>
  <c r="AF993" i="13"/>
  <c r="F993" i="13"/>
  <c r="AI992" i="13"/>
  <c r="AH992" i="13"/>
  <c r="AG992" i="13" s="1"/>
  <c r="AF992" i="13"/>
  <c r="F992" i="13"/>
  <c r="AI991" i="13"/>
  <c r="AH991" i="13"/>
  <c r="AG991" i="13" s="1"/>
  <c r="AF991" i="13"/>
  <c r="F991" i="13"/>
  <c r="AI990" i="13"/>
  <c r="AH990" i="13"/>
  <c r="AG990" i="13"/>
  <c r="AF990" i="13"/>
  <c r="F990" i="13"/>
  <c r="AI989" i="13"/>
  <c r="AH989" i="13"/>
  <c r="AG989" i="13" s="1"/>
  <c r="AF989" i="13"/>
  <c r="F989" i="13"/>
  <c r="AI988" i="13"/>
  <c r="AH988" i="13"/>
  <c r="AG988" i="13" s="1"/>
  <c r="AF988" i="13"/>
  <c r="F988" i="13"/>
  <c r="AI987" i="13"/>
  <c r="AH987" i="13"/>
  <c r="AG987" i="13"/>
  <c r="AF987" i="13"/>
  <c r="F987" i="13"/>
  <c r="AI986" i="13"/>
  <c r="AH986" i="13"/>
  <c r="AG986" i="13"/>
  <c r="AF986" i="13"/>
  <c r="F986" i="13"/>
  <c r="AI985" i="13"/>
  <c r="AH985" i="13"/>
  <c r="AG985" i="13"/>
  <c r="AF985" i="13"/>
  <c r="F985" i="13"/>
  <c r="AI984" i="13"/>
  <c r="AH984" i="13"/>
  <c r="AG984" i="13" s="1"/>
  <c r="AF984" i="13"/>
  <c r="F984" i="13"/>
  <c r="AI983" i="13"/>
  <c r="AH983" i="13"/>
  <c r="AG983" i="13" s="1"/>
  <c r="AF983" i="13"/>
  <c r="F983" i="13"/>
  <c r="AI982" i="13"/>
  <c r="AH982" i="13"/>
  <c r="AG982" i="13"/>
  <c r="AF982" i="13"/>
  <c r="F982" i="13"/>
  <c r="AI981" i="13"/>
  <c r="AH981" i="13"/>
  <c r="AG981" i="13"/>
  <c r="AF981" i="13"/>
  <c r="F981" i="13"/>
  <c r="AI980" i="13"/>
  <c r="AH980" i="13"/>
  <c r="AG980" i="13" s="1"/>
  <c r="AF980" i="13"/>
  <c r="F980" i="13"/>
  <c r="AI979" i="13"/>
  <c r="AH979" i="13"/>
  <c r="AG979" i="13" s="1"/>
  <c r="AF979" i="13"/>
  <c r="F979" i="13"/>
  <c r="AI978" i="13"/>
  <c r="AH978" i="13"/>
  <c r="AG978" i="13"/>
  <c r="AF978" i="13"/>
  <c r="F978" i="13"/>
  <c r="AI977" i="13"/>
  <c r="AH977" i="13"/>
  <c r="AG977" i="13"/>
  <c r="AF977" i="13"/>
  <c r="F977" i="13"/>
  <c r="AI976" i="13"/>
  <c r="AH976" i="13"/>
  <c r="AG976" i="13"/>
  <c r="AF976" i="13"/>
  <c r="F976" i="13"/>
  <c r="AI975" i="13"/>
  <c r="AH975" i="13"/>
  <c r="AG975" i="13" s="1"/>
  <c r="AF975" i="13"/>
  <c r="F975" i="13"/>
  <c r="AI974" i="13"/>
  <c r="AH974" i="13"/>
  <c r="AG974" i="13" s="1"/>
  <c r="AF974" i="13"/>
  <c r="F974" i="13"/>
  <c r="AI973" i="13"/>
  <c r="AH973" i="13"/>
  <c r="AG973" i="13"/>
  <c r="AF973" i="13"/>
  <c r="F973" i="13"/>
  <c r="AI972" i="13"/>
  <c r="AH972" i="13"/>
  <c r="AG972" i="13" s="1"/>
  <c r="AF972" i="13"/>
  <c r="F972" i="13"/>
  <c r="AI971" i="13"/>
  <c r="AH971" i="13"/>
  <c r="AG971" i="13" s="1"/>
  <c r="AF971" i="13"/>
  <c r="F971" i="13"/>
  <c r="AI970" i="13"/>
  <c r="AH970" i="13"/>
  <c r="AG970" i="13"/>
  <c r="AF970" i="13"/>
  <c r="F970" i="13"/>
  <c r="AI969" i="13"/>
  <c r="AH969" i="13"/>
  <c r="AG969" i="13" s="1"/>
  <c r="AF969" i="13"/>
  <c r="F969" i="13"/>
  <c r="AI968" i="13"/>
  <c r="AH968" i="13"/>
  <c r="AG968" i="13"/>
  <c r="AF968" i="13"/>
  <c r="F968" i="13"/>
  <c r="AI967" i="13"/>
  <c r="AH967" i="13"/>
  <c r="AG967" i="13" s="1"/>
  <c r="AF967" i="13"/>
  <c r="F967" i="13"/>
  <c r="AI966" i="13"/>
  <c r="AH966" i="13"/>
  <c r="AG966" i="13" s="1"/>
  <c r="AF966" i="13"/>
  <c r="F966" i="13"/>
  <c r="AI965" i="13"/>
  <c r="AH965" i="13"/>
  <c r="AG965" i="13" s="1"/>
  <c r="AF965" i="13"/>
  <c r="F965" i="13"/>
  <c r="AI964" i="13"/>
  <c r="AH964" i="13"/>
  <c r="AG964" i="13" s="1"/>
  <c r="AF964" i="13"/>
  <c r="F964" i="13"/>
  <c r="AI963" i="13"/>
  <c r="AH963" i="13"/>
  <c r="AG963" i="13"/>
  <c r="AF963" i="13"/>
  <c r="F963" i="13"/>
  <c r="AI962" i="13"/>
  <c r="AH962" i="13"/>
  <c r="AG962" i="13"/>
  <c r="AF962" i="13"/>
  <c r="F962" i="13"/>
  <c r="AI961" i="13"/>
  <c r="AH961" i="13"/>
  <c r="AG961" i="13" s="1"/>
  <c r="AF961" i="13"/>
  <c r="F961" i="13"/>
  <c r="AI960" i="13"/>
  <c r="AH960" i="13"/>
  <c r="AG960" i="13" s="1"/>
  <c r="AF960" i="13"/>
  <c r="F960" i="13"/>
  <c r="AI959" i="13"/>
  <c r="AH959" i="13"/>
  <c r="AG959" i="13" s="1"/>
  <c r="AF959" i="13"/>
  <c r="F959" i="13"/>
  <c r="AI958" i="13"/>
  <c r="AH958" i="13"/>
  <c r="AG958" i="13"/>
  <c r="AF958" i="13"/>
  <c r="F958" i="13"/>
  <c r="AI957" i="13"/>
  <c r="AH957" i="13"/>
  <c r="AG957" i="13" s="1"/>
  <c r="AF957" i="13"/>
  <c r="F957" i="13"/>
  <c r="AI956" i="13"/>
  <c r="AH956" i="13"/>
  <c r="AG956" i="13" s="1"/>
  <c r="AF956" i="13"/>
  <c r="F956" i="13"/>
  <c r="AI955" i="13"/>
  <c r="AH955" i="13"/>
  <c r="AG955" i="13"/>
  <c r="AF955" i="13"/>
  <c r="F955" i="13"/>
  <c r="AI954" i="13"/>
  <c r="AH954" i="13"/>
  <c r="AG954" i="13"/>
  <c r="AF954" i="13"/>
  <c r="F954" i="13"/>
  <c r="AI953" i="13"/>
  <c r="AH953" i="13"/>
  <c r="AG953" i="13"/>
  <c r="AF953" i="13"/>
  <c r="F953" i="13"/>
  <c r="AI952" i="13"/>
  <c r="AH952" i="13"/>
  <c r="AG952" i="13" s="1"/>
  <c r="AF952" i="13"/>
  <c r="F952" i="13"/>
  <c r="AI951" i="13"/>
  <c r="AH951" i="13"/>
  <c r="AG951" i="13" s="1"/>
  <c r="AF951" i="13"/>
  <c r="F951" i="13"/>
  <c r="AI950" i="13"/>
  <c r="AH950" i="13"/>
  <c r="AG950" i="13"/>
  <c r="AF950" i="13"/>
  <c r="F950" i="13"/>
  <c r="AI949" i="13"/>
  <c r="AH949" i="13"/>
  <c r="AG949" i="13"/>
  <c r="AF949" i="13"/>
  <c r="F949" i="13"/>
  <c r="AI948" i="13"/>
  <c r="AH948" i="13"/>
  <c r="AG948" i="13" s="1"/>
  <c r="AF948" i="13"/>
  <c r="F948" i="13"/>
  <c r="AI947" i="13"/>
  <c r="AH947" i="13"/>
  <c r="AG947" i="13" s="1"/>
  <c r="AF947" i="13"/>
  <c r="F947" i="13"/>
  <c r="AI946" i="13"/>
  <c r="AH946" i="13"/>
  <c r="AG946" i="13"/>
  <c r="AF946" i="13"/>
  <c r="F946" i="13"/>
  <c r="AI945" i="13"/>
  <c r="AH945" i="13"/>
  <c r="AG945" i="13"/>
  <c r="AF945" i="13"/>
  <c r="F945" i="13"/>
  <c r="AI944" i="13"/>
  <c r="AH944" i="13"/>
  <c r="AG944" i="13"/>
  <c r="AF944" i="13"/>
  <c r="F944" i="13"/>
  <c r="AI943" i="13"/>
  <c r="AH943" i="13"/>
  <c r="AG943" i="13" s="1"/>
  <c r="AF943" i="13"/>
  <c r="F943" i="13"/>
  <c r="AI942" i="13"/>
  <c r="AH942" i="13"/>
  <c r="AG942" i="13" s="1"/>
  <c r="AF942" i="13"/>
  <c r="F942" i="13"/>
  <c r="AI941" i="13"/>
  <c r="AH941" i="13"/>
  <c r="AG941" i="13"/>
  <c r="AF941" i="13"/>
  <c r="F941" i="13"/>
  <c r="AI940" i="13"/>
  <c r="AH940" i="13"/>
  <c r="AG940" i="13" s="1"/>
  <c r="AF940" i="13"/>
  <c r="F940" i="13"/>
  <c r="AI939" i="13"/>
  <c r="AH939" i="13"/>
  <c r="AG939" i="13" s="1"/>
  <c r="AF939" i="13"/>
  <c r="F939" i="13"/>
  <c r="AI938" i="13"/>
  <c r="AH938" i="13"/>
  <c r="AG938" i="13"/>
  <c r="AF938" i="13"/>
  <c r="F938" i="13"/>
  <c r="AI937" i="13"/>
  <c r="AH937" i="13"/>
  <c r="AG937" i="13" s="1"/>
  <c r="AF937" i="13"/>
  <c r="F937" i="13"/>
  <c r="AI936" i="13"/>
  <c r="AH936" i="13"/>
  <c r="AG936" i="13"/>
  <c r="AF936" i="13"/>
  <c r="F936" i="13"/>
  <c r="AI935" i="13"/>
  <c r="AH935" i="13"/>
  <c r="AG935" i="13" s="1"/>
  <c r="AF935" i="13"/>
  <c r="F935" i="13"/>
  <c r="AI934" i="13"/>
  <c r="AH934" i="13"/>
  <c r="AG934" i="13" s="1"/>
  <c r="AF934" i="13"/>
  <c r="F934" i="13"/>
  <c r="AI933" i="13"/>
  <c r="AH933" i="13"/>
  <c r="AG933" i="13" s="1"/>
  <c r="AF933" i="13"/>
  <c r="F933" i="13"/>
  <c r="AI932" i="13"/>
  <c r="AH932" i="13"/>
  <c r="AG932" i="13" s="1"/>
  <c r="AF932" i="13"/>
  <c r="F932" i="13"/>
  <c r="AI931" i="13"/>
  <c r="AH931" i="13"/>
  <c r="AG931" i="13"/>
  <c r="AF931" i="13"/>
  <c r="F931" i="13"/>
  <c r="AI930" i="13"/>
  <c r="AH930" i="13"/>
  <c r="AG930" i="13"/>
  <c r="AF930" i="13"/>
  <c r="F930" i="13"/>
  <c r="AI929" i="13"/>
  <c r="AH929" i="13"/>
  <c r="AG929" i="13" s="1"/>
  <c r="AF929" i="13"/>
  <c r="F929" i="13"/>
  <c r="AI928" i="13"/>
  <c r="AH928" i="13"/>
  <c r="AG928" i="13" s="1"/>
  <c r="AF928" i="13"/>
  <c r="F928" i="13"/>
  <c r="AI927" i="13"/>
  <c r="AH927" i="13"/>
  <c r="AG927" i="13" s="1"/>
  <c r="AF927" i="13"/>
  <c r="F927" i="13"/>
  <c r="AI926" i="13"/>
  <c r="AH926" i="13"/>
  <c r="AG926" i="13"/>
  <c r="AF926" i="13"/>
  <c r="F926" i="13"/>
  <c r="AI925" i="13"/>
  <c r="AH925" i="13"/>
  <c r="AG925" i="13" s="1"/>
  <c r="AF925" i="13"/>
  <c r="F925" i="13"/>
  <c r="AI924" i="13"/>
  <c r="AH924" i="13"/>
  <c r="AG924" i="13" s="1"/>
  <c r="AF924" i="13"/>
  <c r="F924" i="13"/>
  <c r="AI923" i="13"/>
  <c r="AH923" i="13"/>
  <c r="AG923" i="13"/>
  <c r="AF923" i="13"/>
  <c r="F923" i="13"/>
  <c r="AI922" i="13"/>
  <c r="AH922" i="13"/>
  <c r="AG922" i="13"/>
  <c r="AF922" i="13"/>
  <c r="F922" i="13"/>
  <c r="AI921" i="13"/>
  <c r="AH921" i="13"/>
  <c r="AG921" i="13"/>
  <c r="AF921" i="13"/>
  <c r="F921" i="13"/>
  <c r="AI920" i="13"/>
  <c r="AH920" i="13"/>
  <c r="AG920" i="13" s="1"/>
  <c r="AF920" i="13"/>
  <c r="F920" i="13"/>
  <c r="AI919" i="13"/>
  <c r="AH919" i="13"/>
  <c r="AG919" i="13" s="1"/>
  <c r="AF919" i="13"/>
  <c r="F919" i="13"/>
  <c r="AI918" i="13"/>
  <c r="AH918" i="13"/>
  <c r="AG918" i="13"/>
  <c r="AF918" i="13"/>
  <c r="F918" i="13"/>
  <c r="AI917" i="13"/>
  <c r="AH917" i="13"/>
  <c r="AG917" i="13"/>
  <c r="AF917" i="13"/>
  <c r="F917" i="13"/>
  <c r="AI916" i="13"/>
  <c r="AH916" i="13"/>
  <c r="AG916" i="13" s="1"/>
  <c r="AF916" i="13"/>
  <c r="F916" i="13"/>
  <c r="AI915" i="13"/>
  <c r="AH915" i="13"/>
  <c r="AG915" i="13" s="1"/>
  <c r="AF915" i="13"/>
  <c r="F915" i="13"/>
  <c r="AI914" i="13"/>
  <c r="AH914" i="13"/>
  <c r="AG914" i="13"/>
  <c r="AF914" i="13"/>
  <c r="F914" i="13"/>
  <c r="AI913" i="13"/>
  <c r="AH913" i="13"/>
  <c r="AG913" i="13"/>
  <c r="AF913" i="13"/>
  <c r="F913" i="13"/>
  <c r="AI912" i="13"/>
  <c r="AH912" i="13"/>
  <c r="AG912" i="13"/>
  <c r="AF912" i="13"/>
  <c r="F912" i="13"/>
  <c r="AI911" i="13"/>
  <c r="AH911" i="13"/>
  <c r="AG911" i="13" s="1"/>
  <c r="AF911" i="13"/>
  <c r="F911" i="13"/>
  <c r="AI910" i="13"/>
  <c r="AH910" i="13"/>
  <c r="AG910" i="13" s="1"/>
  <c r="AF910" i="13"/>
  <c r="F910" i="13"/>
  <c r="AI909" i="13"/>
  <c r="AH909" i="13"/>
  <c r="AG909" i="13"/>
  <c r="AF909" i="13"/>
  <c r="F909" i="13"/>
  <c r="AI908" i="13"/>
  <c r="AH908" i="13"/>
  <c r="AG908" i="13" s="1"/>
  <c r="AF908" i="13"/>
  <c r="F908" i="13"/>
  <c r="AI907" i="13"/>
  <c r="AH907" i="13"/>
  <c r="AG907" i="13" s="1"/>
  <c r="AF907" i="13"/>
  <c r="F907" i="13"/>
  <c r="AI906" i="13"/>
  <c r="AH906" i="13"/>
  <c r="AG906" i="13"/>
  <c r="AF906" i="13"/>
  <c r="F906" i="13"/>
  <c r="AI905" i="13"/>
  <c r="AH905" i="13"/>
  <c r="AG905" i="13" s="1"/>
  <c r="AF905" i="13"/>
  <c r="F905" i="13"/>
  <c r="AI904" i="13"/>
  <c r="AH904" i="13"/>
  <c r="AG904" i="13"/>
  <c r="AF904" i="13"/>
  <c r="F904" i="13"/>
  <c r="AI903" i="13"/>
  <c r="AH903" i="13"/>
  <c r="AG903" i="13" s="1"/>
  <c r="AF903" i="13"/>
  <c r="F903" i="13"/>
  <c r="AI902" i="13"/>
  <c r="AH902" i="13"/>
  <c r="AG902" i="13" s="1"/>
  <c r="AF902" i="13"/>
  <c r="F902" i="13"/>
  <c r="AI901" i="13"/>
  <c r="AH901" i="13"/>
  <c r="AG901" i="13" s="1"/>
  <c r="AF901" i="13"/>
  <c r="F901" i="13"/>
  <c r="AI900" i="13"/>
  <c r="AH900" i="13"/>
  <c r="AG900" i="13" s="1"/>
  <c r="AF900" i="13"/>
  <c r="F900" i="13"/>
  <c r="AI899" i="13"/>
  <c r="AH899" i="13"/>
  <c r="AG899" i="13"/>
  <c r="AF899" i="13"/>
  <c r="F899" i="13"/>
  <c r="AI898" i="13"/>
  <c r="AH898" i="13"/>
  <c r="AG898" i="13"/>
  <c r="AF898" i="13"/>
  <c r="F898" i="13"/>
  <c r="AI897" i="13"/>
  <c r="AH897" i="13"/>
  <c r="AG897" i="13" s="1"/>
  <c r="AF897" i="13"/>
  <c r="F897" i="13"/>
  <c r="AI896" i="13"/>
  <c r="AH896" i="13"/>
  <c r="AG896" i="13" s="1"/>
  <c r="AF896" i="13"/>
  <c r="F896" i="13"/>
  <c r="AI895" i="13"/>
  <c r="AH895" i="13"/>
  <c r="AG895" i="13" s="1"/>
  <c r="AF895" i="13"/>
  <c r="F895" i="13"/>
  <c r="AI894" i="13"/>
  <c r="AH894" i="13"/>
  <c r="AG894" i="13"/>
  <c r="AF894" i="13"/>
  <c r="F894" i="13"/>
  <c r="AI893" i="13"/>
  <c r="AH893" i="13"/>
  <c r="AG893" i="13" s="1"/>
  <c r="AF893" i="13"/>
  <c r="F893" i="13"/>
  <c r="AI892" i="13"/>
  <c r="AH892" i="13"/>
  <c r="AG892" i="13" s="1"/>
  <c r="AF892" i="13"/>
  <c r="F892" i="13"/>
  <c r="AI891" i="13"/>
  <c r="AH891" i="13"/>
  <c r="AG891" i="13"/>
  <c r="AF891" i="13"/>
  <c r="F891" i="13"/>
  <c r="AI890" i="13"/>
  <c r="AH890" i="13"/>
  <c r="AG890" i="13"/>
  <c r="AF890" i="13"/>
  <c r="F890" i="13"/>
  <c r="AI889" i="13"/>
  <c r="AH889" i="13"/>
  <c r="AG889" i="13"/>
  <c r="AF889" i="13"/>
  <c r="F889" i="13"/>
  <c r="AI888" i="13"/>
  <c r="AH888" i="13"/>
  <c r="AG888" i="13" s="1"/>
  <c r="AF888" i="13"/>
  <c r="F888" i="13"/>
  <c r="AI887" i="13"/>
  <c r="AH887" i="13"/>
  <c r="AG887" i="13" s="1"/>
  <c r="AF887" i="13"/>
  <c r="F887" i="13"/>
  <c r="AI886" i="13"/>
  <c r="AH886" i="13"/>
  <c r="AG886" i="13"/>
  <c r="AF886" i="13"/>
  <c r="F886" i="13"/>
  <c r="AI885" i="13"/>
  <c r="AH885" i="13"/>
  <c r="AG885" i="13"/>
  <c r="AF885" i="13"/>
  <c r="F885" i="13"/>
  <c r="AI884" i="13"/>
  <c r="AH884" i="13"/>
  <c r="AG884" i="13" s="1"/>
  <c r="AF884" i="13"/>
  <c r="F884" i="13"/>
  <c r="AI883" i="13"/>
  <c r="AH883" i="13"/>
  <c r="AG883" i="13" s="1"/>
  <c r="AF883" i="13"/>
  <c r="F883" i="13"/>
  <c r="AI882" i="13"/>
  <c r="AH882" i="13"/>
  <c r="AG882" i="13"/>
  <c r="AF882" i="13"/>
  <c r="F882" i="13"/>
  <c r="AI881" i="13"/>
  <c r="AH881" i="13"/>
  <c r="AG881" i="13"/>
  <c r="AF881" i="13"/>
  <c r="F881" i="13"/>
  <c r="AI880" i="13"/>
  <c r="AH880" i="13"/>
  <c r="AG880" i="13"/>
  <c r="AF880" i="13"/>
  <c r="F880" i="13"/>
  <c r="AI879" i="13"/>
  <c r="AH879" i="13"/>
  <c r="AG879" i="13" s="1"/>
  <c r="AF879" i="13"/>
  <c r="F879" i="13"/>
  <c r="AI878" i="13"/>
  <c r="AH878" i="13"/>
  <c r="AG878" i="13" s="1"/>
  <c r="AF878" i="13"/>
  <c r="F878" i="13"/>
  <c r="AI877" i="13"/>
  <c r="AH877" i="13"/>
  <c r="AG877" i="13"/>
  <c r="AF877" i="13"/>
  <c r="F877" i="13"/>
  <c r="AI876" i="13"/>
  <c r="AH876" i="13"/>
  <c r="AG876" i="13" s="1"/>
  <c r="AF876" i="13"/>
  <c r="F876" i="13"/>
  <c r="AI875" i="13"/>
  <c r="AH875" i="13"/>
  <c r="AG875" i="13" s="1"/>
  <c r="AF875" i="13"/>
  <c r="F875" i="13"/>
  <c r="AI874" i="13"/>
  <c r="AH874" i="13"/>
  <c r="AG874" i="13"/>
  <c r="AF874" i="13"/>
  <c r="F874" i="13"/>
  <c r="AI873" i="13"/>
  <c r="AH873" i="13"/>
  <c r="AG873" i="13" s="1"/>
  <c r="AF873" i="13"/>
  <c r="F873" i="13"/>
  <c r="AI872" i="13"/>
  <c r="AH872" i="13"/>
  <c r="AG872" i="13"/>
  <c r="AF872" i="13"/>
  <c r="F872" i="13"/>
  <c r="AI871" i="13"/>
  <c r="AH871" i="13"/>
  <c r="AG871" i="13" s="1"/>
  <c r="AF871" i="13"/>
  <c r="F871" i="13"/>
  <c r="AI870" i="13"/>
  <c r="AH870" i="13"/>
  <c r="AG870" i="13" s="1"/>
  <c r="AF870" i="13"/>
  <c r="F870" i="13"/>
  <c r="AI869" i="13"/>
  <c r="AH869" i="13"/>
  <c r="AG869" i="13" s="1"/>
  <c r="AF869" i="13"/>
  <c r="F869" i="13"/>
  <c r="AI868" i="13"/>
  <c r="AH868" i="13"/>
  <c r="AG868" i="13" s="1"/>
  <c r="AF868" i="13"/>
  <c r="F868" i="13"/>
  <c r="AI867" i="13"/>
  <c r="AH867" i="13"/>
  <c r="AG867" i="13"/>
  <c r="AF867" i="13"/>
  <c r="F867" i="13"/>
  <c r="AI866" i="13"/>
  <c r="AH866" i="13"/>
  <c r="AG866" i="13"/>
  <c r="AF866" i="13"/>
  <c r="F866" i="13"/>
  <c r="AI865" i="13"/>
  <c r="AH865" i="13"/>
  <c r="AG865" i="13" s="1"/>
  <c r="AF865" i="13"/>
  <c r="F865" i="13"/>
  <c r="AI864" i="13"/>
  <c r="AH864" i="13"/>
  <c r="AG864" i="13" s="1"/>
  <c r="AF864" i="13"/>
  <c r="F864" i="13"/>
  <c r="AI863" i="13"/>
  <c r="AH863" i="13"/>
  <c r="AG863" i="13" s="1"/>
  <c r="AF863" i="13"/>
  <c r="F863" i="13"/>
  <c r="AI862" i="13"/>
  <c r="AH862" i="13"/>
  <c r="AG862" i="13"/>
  <c r="AF862" i="13"/>
  <c r="F862" i="13"/>
  <c r="AI861" i="13"/>
  <c r="AH861" i="13"/>
  <c r="AG861" i="13" s="1"/>
  <c r="AF861" i="13"/>
  <c r="F861" i="13"/>
  <c r="AI860" i="13"/>
  <c r="AH860" i="13"/>
  <c r="AG860" i="13" s="1"/>
  <c r="AF860" i="13"/>
  <c r="F860" i="13"/>
  <c r="AI859" i="13"/>
  <c r="AH859" i="13"/>
  <c r="AG859" i="13"/>
  <c r="AF859" i="13"/>
  <c r="F859" i="13"/>
  <c r="AI858" i="13"/>
  <c r="AH858" i="13"/>
  <c r="AG858" i="13"/>
  <c r="AF858" i="13"/>
  <c r="F858" i="13"/>
  <c r="AI857" i="13"/>
  <c r="AH857" i="13"/>
  <c r="AG857" i="13"/>
  <c r="AF857" i="13"/>
  <c r="F857" i="13"/>
  <c r="AI856" i="13"/>
  <c r="AH856" i="13"/>
  <c r="AG856" i="13" s="1"/>
  <c r="AF856" i="13"/>
  <c r="F856" i="13"/>
  <c r="AI855" i="13"/>
  <c r="AH855" i="13"/>
  <c r="AG855" i="13" s="1"/>
  <c r="AF855" i="13"/>
  <c r="F855" i="13"/>
  <c r="AI854" i="13"/>
  <c r="AH854" i="13"/>
  <c r="AG854" i="13"/>
  <c r="AF854" i="13"/>
  <c r="F854" i="13"/>
  <c r="AI853" i="13"/>
  <c r="AH853" i="13"/>
  <c r="AG853" i="13"/>
  <c r="AF853" i="13"/>
  <c r="F853" i="13"/>
  <c r="AI852" i="13"/>
  <c r="AH852" i="13"/>
  <c r="AG852" i="13" s="1"/>
  <c r="AF852" i="13"/>
  <c r="F852" i="13"/>
  <c r="AI851" i="13"/>
  <c r="AH851" i="13"/>
  <c r="AG851" i="13" s="1"/>
  <c r="AF851" i="13"/>
  <c r="F851" i="13"/>
  <c r="AI850" i="13"/>
  <c r="AH850" i="13"/>
  <c r="AG850" i="13"/>
  <c r="AF850" i="13"/>
  <c r="F850" i="13"/>
  <c r="AI849" i="13"/>
  <c r="AH849" i="13"/>
  <c r="AG849" i="13"/>
  <c r="AF849" i="13"/>
  <c r="F849" i="13"/>
  <c r="AI848" i="13"/>
  <c r="AH848" i="13"/>
  <c r="AG848" i="13"/>
  <c r="AF848" i="13"/>
  <c r="F848" i="13"/>
  <c r="AI847" i="13"/>
  <c r="AH847" i="13"/>
  <c r="AG847" i="13" s="1"/>
  <c r="AF847" i="13"/>
  <c r="F847" i="13"/>
  <c r="AI846" i="13"/>
  <c r="AH846" i="13"/>
  <c r="AG846" i="13" s="1"/>
  <c r="AF846" i="13"/>
  <c r="F846" i="13"/>
  <c r="AI845" i="13"/>
  <c r="AH845" i="13"/>
  <c r="AG845" i="13"/>
  <c r="AF845" i="13"/>
  <c r="F845" i="13"/>
  <c r="AI844" i="13"/>
  <c r="AH844" i="13"/>
  <c r="AG844" i="13" s="1"/>
  <c r="AF844" i="13"/>
  <c r="F844" i="13"/>
  <c r="AI843" i="13"/>
  <c r="AH843" i="13"/>
  <c r="AG843" i="13" s="1"/>
  <c r="AF843" i="13"/>
  <c r="F843" i="13"/>
  <c r="AI842" i="13"/>
  <c r="AH842" i="13"/>
  <c r="AG842" i="13"/>
  <c r="AF842" i="13"/>
  <c r="F842" i="13"/>
  <c r="AI841" i="13"/>
  <c r="AH841" i="13"/>
  <c r="AG841" i="13" s="1"/>
  <c r="AF841" i="13"/>
  <c r="F841" i="13"/>
  <c r="AI840" i="13"/>
  <c r="AH840" i="13"/>
  <c r="AG840" i="13" s="1"/>
  <c r="AF840" i="13"/>
  <c r="F840" i="13"/>
  <c r="AI839" i="13"/>
  <c r="AH839" i="13"/>
  <c r="AG839" i="13" s="1"/>
  <c r="AF839" i="13"/>
  <c r="F839" i="13"/>
  <c r="AI838" i="13"/>
  <c r="AH838" i="13"/>
  <c r="AG838" i="13" s="1"/>
  <c r="AF838" i="13"/>
  <c r="F838" i="13"/>
  <c r="AI837" i="13"/>
  <c r="AH837" i="13"/>
  <c r="AG837" i="13" s="1"/>
  <c r="AF837" i="13"/>
  <c r="F837" i="13"/>
  <c r="AI836" i="13"/>
  <c r="AH836" i="13"/>
  <c r="AG836" i="13" s="1"/>
  <c r="AF836" i="13"/>
  <c r="F836" i="13"/>
  <c r="AI835" i="13"/>
  <c r="AH835" i="13"/>
  <c r="AG835" i="13"/>
  <c r="AF835" i="13"/>
  <c r="F835" i="13"/>
  <c r="AI834" i="13"/>
  <c r="AH834" i="13"/>
  <c r="AG834" i="13"/>
  <c r="AF834" i="13"/>
  <c r="F834" i="13"/>
  <c r="AI833" i="13"/>
  <c r="AH833" i="13"/>
  <c r="AG833" i="13" s="1"/>
  <c r="AF833" i="13"/>
  <c r="F833" i="13"/>
  <c r="AI832" i="13"/>
  <c r="AH832" i="13"/>
  <c r="AG832" i="13" s="1"/>
  <c r="AF832" i="13"/>
  <c r="F832" i="13"/>
  <c r="AI831" i="13"/>
  <c r="AH831" i="13"/>
  <c r="AG831" i="13" s="1"/>
  <c r="AF831" i="13"/>
  <c r="F831" i="13"/>
  <c r="AI830" i="13"/>
  <c r="AH830" i="13"/>
  <c r="AG830" i="13"/>
  <c r="AF830" i="13"/>
  <c r="F830" i="13"/>
  <c r="AI829" i="13"/>
  <c r="AH829" i="13"/>
  <c r="AG829" i="13" s="1"/>
  <c r="AF829" i="13"/>
  <c r="F829" i="13"/>
  <c r="AI828" i="13"/>
  <c r="AH828" i="13"/>
  <c r="AG828" i="13" s="1"/>
  <c r="AF828" i="13"/>
  <c r="F828" i="13"/>
  <c r="AI827" i="13"/>
  <c r="AH827" i="13"/>
  <c r="AG827" i="13" s="1"/>
  <c r="AF827" i="13"/>
  <c r="F827" i="13"/>
  <c r="AI826" i="13"/>
  <c r="AH826" i="13"/>
  <c r="AG826" i="13"/>
  <c r="AF826" i="13"/>
  <c r="F826" i="13"/>
  <c r="AI825" i="13"/>
  <c r="AH825" i="13"/>
  <c r="AG825" i="13" s="1"/>
  <c r="AF825" i="13"/>
  <c r="F825" i="13"/>
  <c r="AI824" i="13"/>
  <c r="AH824" i="13"/>
  <c r="AG824" i="13"/>
  <c r="AF824" i="13"/>
  <c r="F824" i="13"/>
  <c r="AI823" i="13"/>
  <c r="AH823" i="13"/>
  <c r="AG823" i="13" s="1"/>
  <c r="AF823" i="13"/>
  <c r="F823" i="13"/>
  <c r="AI822" i="13"/>
  <c r="AH822" i="13"/>
  <c r="AG822" i="13" s="1"/>
  <c r="AF822" i="13"/>
  <c r="F822" i="13"/>
  <c r="AI821" i="13"/>
  <c r="AH821" i="13"/>
  <c r="AG821" i="13" s="1"/>
  <c r="AF821" i="13"/>
  <c r="F821" i="13"/>
  <c r="AI820" i="13"/>
  <c r="AH820" i="13"/>
  <c r="AG820" i="13" s="1"/>
  <c r="AF820" i="13"/>
  <c r="F820" i="13"/>
  <c r="AI819" i="13"/>
  <c r="AH819" i="13"/>
  <c r="AG819" i="13"/>
  <c r="AF819" i="13"/>
  <c r="F819" i="13"/>
  <c r="AI818" i="13"/>
  <c r="AH818" i="13"/>
  <c r="AG818" i="13"/>
  <c r="AF818" i="13"/>
  <c r="F818" i="13"/>
  <c r="AI817" i="13"/>
  <c r="AH817" i="13"/>
  <c r="AG817" i="13"/>
  <c r="AF817" i="13"/>
  <c r="F817" i="13"/>
  <c r="AI816" i="13"/>
  <c r="AH816" i="13"/>
  <c r="AG816" i="13" s="1"/>
  <c r="AF816" i="13"/>
  <c r="F816" i="13"/>
  <c r="AI815" i="13"/>
  <c r="AH815" i="13"/>
  <c r="AG815" i="13" s="1"/>
  <c r="AF815" i="13"/>
  <c r="F815" i="13"/>
  <c r="AI814" i="13"/>
  <c r="AH814" i="13"/>
  <c r="AG814" i="13"/>
  <c r="AF814" i="13"/>
  <c r="F814" i="13"/>
  <c r="AI813" i="13"/>
  <c r="AH813" i="13"/>
  <c r="AG813" i="13"/>
  <c r="AF813" i="13"/>
  <c r="F813" i="13"/>
  <c r="AI812" i="13"/>
  <c r="AH812" i="13"/>
  <c r="AG812" i="13"/>
  <c r="AF812" i="13"/>
  <c r="F812" i="13"/>
  <c r="AI811" i="13"/>
  <c r="AH811" i="13"/>
  <c r="AG811" i="13" s="1"/>
  <c r="AF811" i="13"/>
  <c r="F811" i="13"/>
  <c r="AI810" i="13"/>
  <c r="AH810" i="13"/>
  <c r="AG810" i="13"/>
  <c r="AF810" i="13"/>
  <c r="F810" i="13"/>
  <c r="AI809" i="13"/>
  <c r="AH809" i="13"/>
  <c r="AG809" i="13" s="1"/>
  <c r="AF809" i="13"/>
  <c r="F809" i="13"/>
  <c r="AI808" i="13"/>
  <c r="AH808" i="13"/>
  <c r="AG808" i="13" s="1"/>
  <c r="AF808" i="13"/>
  <c r="F808" i="13"/>
  <c r="AI807" i="13"/>
  <c r="AH807" i="13"/>
  <c r="AG807" i="13" s="1"/>
  <c r="AF807" i="13"/>
  <c r="F807" i="13"/>
  <c r="AI806" i="13"/>
  <c r="AH806" i="13"/>
  <c r="AG806" i="13" s="1"/>
  <c r="AF806" i="13"/>
  <c r="F806" i="13"/>
  <c r="AI805" i="13"/>
  <c r="AH805" i="13"/>
  <c r="AG805" i="13" s="1"/>
  <c r="AF805" i="13"/>
  <c r="F805" i="13"/>
  <c r="AI804" i="13"/>
  <c r="AH804" i="13"/>
  <c r="AG804" i="13" s="1"/>
  <c r="AF804" i="13"/>
  <c r="F804" i="13"/>
  <c r="AI803" i="13"/>
  <c r="AH803" i="13"/>
  <c r="AG803" i="13" s="1"/>
  <c r="AF803" i="13"/>
  <c r="F803" i="13"/>
  <c r="AI802" i="13"/>
  <c r="AH802" i="13"/>
  <c r="AG802" i="13"/>
  <c r="AF802" i="13"/>
  <c r="F802" i="13"/>
  <c r="AI801" i="13"/>
  <c r="AH801" i="13"/>
  <c r="AG801" i="13"/>
  <c r="AF801" i="13"/>
  <c r="F801" i="13"/>
  <c r="AI800" i="13"/>
  <c r="AH800" i="13"/>
  <c r="AG800" i="13"/>
  <c r="AF800" i="13"/>
  <c r="F800" i="13"/>
  <c r="AI799" i="13"/>
  <c r="AH799" i="13"/>
  <c r="AG799" i="13" s="1"/>
  <c r="AF799" i="13"/>
  <c r="F799" i="13"/>
  <c r="AI798" i="13"/>
  <c r="AH798" i="13"/>
  <c r="AG798" i="13" s="1"/>
  <c r="AF798" i="13"/>
  <c r="F798" i="13"/>
  <c r="AI797" i="13"/>
  <c r="AH797" i="13"/>
  <c r="AG797" i="13"/>
  <c r="AF797" i="13"/>
  <c r="F797" i="13"/>
  <c r="AI796" i="13"/>
  <c r="AH796" i="13"/>
  <c r="AG796" i="13"/>
  <c r="AF796" i="13"/>
  <c r="F796" i="13"/>
  <c r="AI795" i="13"/>
  <c r="AH795" i="13"/>
  <c r="AG795" i="13"/>
  <c r="AF795" i="13"/>
  <c r="F795" i="13"/>
  <c r="AI794" i="13"/>
  <c r="AH794" i="13"/>
  <c r="AG794" i="13"/>
  <c r="AF794" i="13"/>
  <c r="F794" i="13"/>
  <c r="AI793" i="13"/>
  <c r="AH793" i="13"/>
  <c r="AG793" i="13" s="1"/>
  <c r="AF793" i="13"/>
  <c r="F793" i="13"/>
  <c r="AI792" i="13"/>
  <c r="AH792" i="13"/>
  <c r="AG792" i="13" s="1"/>
  <c r="AF792" i="13"/>
  <c r="F792" i="13"/>
  <c r="AI791" i="13"/>
  <c r="AH791" i="13"/>
  <c r="AG791" i="13" s="1"/>
  <c r="AF791" i="13"/>
  <c r="F791" i="13"/>
  <c r="AI790" i="13"/>
  <c r="AH790" i="13"/>
  <c r="AG790" i="13"/>
  <c r="AF790" i="13"/>
  <c r="F790" i="13"/>
  <c r="AI789" i="13"/>
  <c r="AH789" i="13"/>
  <c r="AG789" i="13"/>
  <c r="AF789" i="13"/>
  <c r="F789" i="13"/>
  <c r="AI788" i="13"/>
  <c r="AH788" i="13"/>
  <c r="AG788" i="13" s="1"/>
  <c r="AF788" i="13"/>
  <c r="F788" i="13"/>
  <c r="AI787" i="13"/>
  <c r="AH787" i="13"/>
  <c r="AG787" i="13" s="1"/>
  <c r="AF787" i="13"/>
  <c r="F787" i="13"/>
  <c r="AI786" i="13"/>
  <c r="AH786" i="13"/>
  <c r="AG786" i="13"/>
  <c r="AF786" i="13"/>
  <c r="F786" i="13"/>
  <c r="AI785" i="13"/>
  <c r="AH785" i="13"/>
  <c r="AG785" i="13" s="1"/>
  <c r="AF785" i="13"/>
  <c r="F785" i="13"/>
  <c r="AI784" i="13"/>
  <c r="AH784" i="13"/>
  <c r="AG784" i="13" s="1"/>
  <c r="AF784" i="13"/>
  <c r="F784" i="13"/>
  <c r="AI783" i="13"/>
  <c r="AH783" i="13"/>
  <c r="AG783" i="13" s="1"/>
  <c r="AF783" i="13"/>
  <c r="F783" i="13"/>
  <c r="AI782" i="13"/>
  <c r="AH782" i="13"/>
  <c r="AG782" i="13" s="1"/>
  <c r="AF782" i="13"/>
  <c r="F782" i="13"/>
  <c r="AI781" i="13"/>
  <c r="AH781" i="13"/>
  <c r="AG781" i="13" s="1"/>
  <c r="AF781" i="13"/>
  <c r="F781" i="13"/>
  <c r="AI780" i="13"/>
  <c r="AH780" i="13"/>
  <c r="AG780" i="13" s="1"/>
  <c r="AF780" i="13"/>
  <c r="F780" i="13"/>
  <c r="AI779" i="13"/>
  <c r="AH779" i="13"/>
  <c r="AG779" i="13"/>
  <c r="AF779" i="13"/>
  <c r="F779" i="13"/>
  <c r="AI778" i="13"/>
  <c r="AH778" i="13"/>
  <c r="AG778" i="13"/>
  <c r="AF778" i="13"/>
  <c r="F778" i="13"/>
  <c r="AI777" i="13"/>
  <c r="AH777" i="13"/>
  <c r="AG777" i="13"/>
  <c r="AF777" i="13"/>
  <c r="F777" i="13"/>
  <c r="AI776" i="13"/>
  <c r="AH776" i="13"/>
  <c r="AG776" i="13"/>
  <c r="AF776" i="13"/>
  <c r="F776" i="13"/>
  <c r="AI775" i="13"/>
  <c r="AH775" i="13"/>
  <c r="AG775" i="13" s="1"/>
  <c r="AF775" i="13"/>
  <c r="F775" i="13"/>
  <c r="AI774" i="13"/>
  <c r="AH774" i="13"/>
  <c r="AG774" i="13"/>
  <c r="AF774" i="13"/>
  <c r="F774" i="13"/>
  <c r="AI773" i="13"/>
  <c r="AH773" i="13"/>
  <c r="AG773" i="13"/>
  <c r="AF773" i="13"/>
  <c r="F773" i="13"/>
  <c r="AI772" i="13"/>
  <c r="AH772" i="13"/>
  <c r="AG772" i="13"/>
  <c r="AF772" i="13"/>
  <c r="F772" i="13"/>
  <c r="AI771" i="13"/>
  <c r="AH771" i="13"/>
  <c r="AG771" i="13"/>
  <c r="AF771" i="13"/>
  <c r="F771" i="13"/>
  <c r="AI770" i="13"/>
  <c r="AH770" i="13"/>
  <c r="AG770" i="13"/>
  <c r="AF770" i="13"/>
  <c r="F770" i="13"/>
  <c r="AI769" i="13"/>
  <c r="AH769" i="13"/>
  <c r="AG769" i="13" s="1"/>
  <c r="AF769" i="13"/>
  <c r="F769" i="13"/>
  <c r="AI768" i="13"/>
  <c r="AH768" i="13"/>
  <c r="AG768" i="13" s="1"/>
  <c r="AF768" i="13"/>
  <c r="F768" i="13"/>
  <c r="AI767" i="13"/>
  <c r="AH767" i="13"/>
  <c r="AG767" i="13" s="1"/>
  <c r="AF767" i="13"/>
  <c r="F767" i="13"/>
  <c r="AI766" i="13"/>
  <c r="AH766" i="13"/>
  <c r="AG766" i="13"/>
  <c r="AF766" i="13"/>
  <c r="F766" i="13"/>
  <c r="AI765" i="13"/>
  <c r="AH765" i="13"/>
  <c r="AG765" i="13" s="1"/>
  <c r="AF765" i="13"/>
  <c r="F765" i="13"/>
  <c r="AI764" i="13"/>
  <c r="AH764" i="13"/>
  <c r="AG764" i="13" s="1"/>
  <c r="AF764" i="13"/>
  <c r="F764" i="13"/>
  <c r="AI763" i="13"/>
  <c r="AH763" i="13"/>
  <c r="AG763" i="13" s="1"/>
  <c r="AF763" i="13"/>
  <c r="F763" i="13"/>
  <c r="AI762" i="13"/>
  <c r="AH762" i="13"/>
  <c r="AG762" i="13"/>
  <c r="AF762" i="13"/>
  <c r="F762" i="13"/>
  <c r="AI761" i="13"/>
  <c r="AH761" i="13"/>
  <c r="AG761" i="13" s="1"/>
  <c r="AF761" i="13"/>
  <c r="F761" i="13"/>
  <c r="AI760" i="13"/>
  <c r="AH760" i="13"/>
  <c r="AG760" i="13"/>
  <c r="AF760" i="13"/>
  <c r="F760" i="13"/>
  <c r="AI759" i="13"/>
  <c r="AH759" i="13"/>
  <c r="AG759" i="13" s="1"/>
  <c r="AF759" i="13"/>
  <c r="F759" i="13"/>
  <c r="AI758" i="13"/>
  <c r="AH758" i="13"/>
  <c r="AG758" i="13" s="1"/>
  <c r="AF758" i="13"/>
  <c r="F758" i="13"/>
  <c r="AI757" i="13"/>
  <c r="AH757" i="13"/>
  <c r="AG757" i="13" s="1"/>
  <c r="AF757" i="13"/>
  <c r="F757" i="13"/>
  <c r="AI756" i="13"/>
  <c r="AH756" i="13"/>
  <c r="AG756" i="13" s="1"/>
  <c r="AF756" i="13"/>
  <c r="F756" i="13"/>
  <c r="AI755" i="13"/>
  <c r="AH755" i="13"/>
  <c r="AG755" i="13"/>
  <c r="AF755" i="13"/>
  <c r="F755" i="13"/>
  <c r="AI754" i="13"/>
  <c r="AH754" i="13"/>
  <c r="AG754" i="13"/>
  <c r="AF754" i="13"/>
  <c r="F754" i="13"/>
  <c r="AI753" i="13"/>
  <c r="AH753" i="13"/>
  <c r="AG753" i="13"/>
  <c r="AF753" i="13"/>
  <c r="F753" i="13"/>
  <c r="AI752" i="13"/>
  <c r="AH752" i="13"/>
  <c r="AG752" i="13" s="1"/>
  <c r="AF752" i="13"/>
  <c r="F752" i="13"/>
  <c r="AI751" i="13"/>
  <c r="AH751" i="13"/>
  <c r="AG751" i="13" s="1"/>
  <c r="AF751" i="13"/>
  <c r="F751" i="13"/>
  <c r="AI750" i="13"/>
  <c r="AH750" i="13"/>
  <c r="AG750" i="13"/>
  <c r="AF750" i="13"/>
  <c r="F750" i="13"/>
  <c r="AI749" i="13"/>
  <c r="AH749" i="13"/>
  <c r="AG749" i="13"/>
  <c r="AF749" i="13"/>
  <c r="F749" i="13"/>
  <c r="AI748" i="13"/>
  <c r="AH748" i="13"/>
  <c r="AG748" i="13"/>
  <c r="AF748" i="13"/>
  <c r="F748" i="13"/>
  <c r="AI747" i="13"/>
  <c r="AH747" i="13"/>
  <c r="AG747" i="13" s="1"/>
  <c r="AF747" i="13"/>
  <c r="F747" i="13"/>
  <c r="AI746" i="13"/>
  <c r="AH746" i="13"/>
  <c r="AG746" i="13"/>
  <c r="AF746" i="13"/>
  <c r="F746" i="13"/>
  <c r="AI745" i="13"/>
  <c r="AH745" i="13"/>
  <c r="AG745" i="13" s="1"/>
  <c r="AF745" i="13"/>
  <c r="F745" i="13"/>
  <c r="AI744" i="13"/>
  <c r="AH744" i="13"/>
  <c r="AG744" i="13" s="1"/>
  <c r="AF744" i="13"/>
  <c r="F744" i="13"/>
  <c r="AI743" i="13"/>
  <c r="AH743" i="13"/>
  <c r="AG743" i="13" s="1"/>
  <c r="AF743" i="13"/>
  <c r="F743" i="13"/>
  <c r="AI742" i="13"/>
  <c r="AH742" i="13"/>
  <c r="AG742" i="13" s="1"/>
  <c r="AF742" i="13"/>
  <c r="F742" i="13"/>
  <c r="AI741" i="13"/>
  <c r="AH741" i="13"/>
  <c r="AG741" i="13" s="1"/>
  <c r="AF741" i="13"/>
  <c r="F741" i="13"/>
  <c r="AI740" i="13"/>
  <c r="AH740" i="13"/>
  <c r="AG740" i="13" s="1"/>
  <c r="AF740" i="13"/>
  <c r="F740" i="13"/>
  <c r="AI739" i="13"/>
  <c r="AH739" i="13"/>
  <c r="AG739" i="13" s="1"/>
  <c r="AF739" i="13"/>
  <c r="F739" i="13"/>
  <c r="AI738" i="13"/>
  <c r="AH738" i="13"/>
  <c r="AG738" i="13"/>
  <c r="AF738" i="13"/>
  <c r="F738" i="13"/>
  <c r="AI737" i="13"/>
  <c r="AH737" i="13"/>
  <c r="AG737" i="13"/>
  <c r="AF737" i="13"/>
  <c r="F737" i="13"/>
  <c r="AI736" i="13"/>
  <c r="AH736" i="13"/>
  <c r="AG736" i="13"/>
  <c r="AF736" i="13"/>
  <c r="F736" i="13"/>
  <c r="AI735" i="13"/>
  <c r="AH735" i="13"/>
  <c r="AG735" i="13" s="1"/>
  <c r="AF735" i="13"/>
  <c r="F735" i="13"/>
  <c r="AI734" i="13"/>
  <c r="AH734" i="13"/>
  <c r="AG734" i="13" s="1"/>
  <c r="AF734" i="13"/>
  <c r="F734" i="13"/>
  <c r="AI733" i="13"/>
  <c r="AH733" i="13"/>
  <c r="AG733" i="13"/>
  <c r="AF733" i="13"/>
  <c r="F733" i="13"/>
  <c r="AI732" i="13"/>
  <c r="AH732" i="13"/>
  <c r="AG732" i="13"/>
  <c r="AF732" i="13"/>
  <c r="F732" i="13"/>
  <c r="AI731" i="13"/>
  <c r="AH731" i="13"/>
  <c r="AG731" i="13"/>
  <c r="AF731" i="13"/>
  <c r="F731" i="13"/>
  <c r="AI730" i="13"/>
  <c r="AH730" i="13"/>
  <c r="AG730" i="13"/>
  <c r="AF730" i="13"/>
  <c r="F730" i="13"/>
  <c r="AI729" i="13"/>
  <c r="AH729" i="13"/>
  <c r="AG729" i="13"/>
  <c r="AF729" i="13"/>
  <c r="F729" i="13"/>
  <c r="AI728" i="13"/>
  <c r="AH728" i="13"/>
  <c r="AG728" i="13" s="1"/>
  <c r="AF728" i="13"/>
  <c r="F728" i="13"/>
  <c r="AI727" i="13"/>
  <c r="AH727" i="13"/>
  <c r="AG727" i="13" s="1"/>
  <c r="AF727" i="13"/>
  <c r="F727" i="13"/>
  <c r="AI726" i="13"/>
  <c r="AH726" i="13"/>
  <c r="AG726" i="13"/>
  <c r="AF726" i="13"/>
  <c r="F726" i="13"/>
  <c r="AI725" i="13"/>
  <c r="AH725" i="13"/>
  <c r="AG725" i="13"/>
  <c r="AF725" i="13"/>
  <c r="F725" i="13"/>
  <c r="AI724" i="13"/>
  <c r="AH724" i="13"/>
  <c r="AG724" i="13"/>
  <c r="AF724" i="13"/>
  <c r="F724" i="13"/>
  <c r="AI723" i="13"/>
  <c r="AH723" i="13"/>
  <c r="AG723" i="13" s="1"/>
  <c r="AF723" i="13"/>
  <c r="F723" i="13"/>
  <c r="AI722" i="13"/>
  <c r="AH722" i="13"/>
  <c r="AG722" i="13"/>
  <c r="AF722" i="13"/>
  <c r="F722" i="13"/>
  <c r="AI721" i="13"/>
  <c r="AH721" i="13"/>
  <c r="AG721" i="13" s="1"/>
  <c r="AF721" i="13"/>
  <c r="F721" i="13"/>
  <c r="AI720" i="13"/>
  <c r="AH720" i="13"/>
  <c r="AG720" i="13" s="1"/>
  <c r="AF720" i="13"/>
  <c r="F720" i="13"/>
  <c r="AI719" i="13"/>
  <c r="AH719" i="13"/>
  <c r="AG719" i="13" s="1"/>
  <c r="AF719" i="13"/>
  <c r="F719" i="13"/>
  <c r="AI718" i="13"/>
  <c r="AH718" i="13"/>
  <c r="AG718" i="13" s="1"/>
  <c r="AF718" i="13"/>
  <c r="F718" i="13"/>
  <c r="AI717" i="13"/>
  <c r="AH717" i="13"/>
  <c r="AG717" i="13" s="1"/>
  <c r="AF717" i="13"/>
  <c r="F717" i="13"/>
  <c r="AI716" i="13"/>
  <c r="AH716" i="13"/>
  <c r="AG716" i="13" s="1"/>
  <c r="AF716" i="13"/>
  <c r="F716" i="13"/>
  <c r="AI715" i="13"/>
  <c r="AH715" i="13"/>
  <c r="AG715" i="13" s="1"/>
  <c r="AF715" i="13"/>
  <c r="F715" i="13"/>
  <c r="AI714" i="13"/>
  <c r="AH714" i="13"/>
  <c r="AG714" i="13"/>
  <c r="AF714" i="13"/>
  <c r="F714" i="13"/>
  <c r="AI713" i="13"/>
  <c r="AH713" i="13"/>
  <c r="AG713" i="13"/>
  <c r="AF713" i="13"/>
  <c r="F713" i="13"/>
  <c r="AI712" i="13"/>
  <c r="AH712" i="13"/>
  <c r="AG712" i="13"/>
  <c r="AF712" i="13"/>
  <c r="F712" i="13"/>
  <c r="AI711" i="13"/>
  <c r="AH711" i="13"/>
  <c r="AG711" i="13" s="1"/>
  <c r="AF711" i="13"/>
  <c r="F711" i="13"/>
  <c r="AI710" i="13"/>
  <c r="AH710" i="13"/>
  <c r="AG710" i="13" s="1"/>
  <c r="AF710" i="13"/>
  <c r="F710" i="13"/>
  <c r="AI709" i="13"/>
  <c r="AH709" i="13"/>
  <c r="AG709" i="13"/>
  <c r="AF709" i="13"/>
  <c r="F709" i="13"/>
  <c r="AI708" i="13"/>
  <c r="AH708" i="13"/>
  <c r="AG708" i="13"/>
  <c r="AF708" i="13"/>
  <c r="F708" i="13"/>
  <c r="AI707" i="13"/>
  <c r="AH707" i="13"/>
  <c r="AG707" i="13"/>
  <c r="AF707" i="13"/>
  <c r="F707" i="13"/>
  <c r="AI706" i="13"/>
  <c r="AH706" i="13"/>
  <c r="AG706" i="13"/>
  <c r="AF706" i="13"/>
  <c r="F706" i="13"/>
  <c r="AI705" i="13"/>
  <c r="AH705" i="13"/>
  <c r="AG705" i="13" s="1"/>
  <c r="AF705" i="13"/>
  <c r="F705" i="13"/>
  <c r="AI704" i="13"/>
  <c r="AH704" i="13"/>
  <c r="AG704" i="13" s="1"/>
  <c r="AF704" i="13"/>
  <c r="F704" i="13"/>
  <c r="AI703" i="13"/>
  <c r="AH703" i="13"/>
  <c r="AG703" i="13" s="1"/>
  <c r="AF703" i="13"/>
  <c r="F703" i="13"/>
  <c r="AI702" i="13"/>
  <c r="AH702" i="13"/>
  <c r="AG702" i="13"/>
  <c r="AF702" i="13"/>
  <c r="F702" i="13"/>
  <c r="AI701" i="13"/>
  <c r="AH701" i="13"/>
  <c r="AG701" i="13"/>
  <c r="AF701" i="13"/>
  <c r="F701" i="13"/>
  <c r="AI700" i="13"/>
  <c r="AH700" i="13"/>
  <c r="AG700" i="13" s="1"/>
  <c r="AF700" i="13"/>
  <c r="F700" i="13"/>
  <c r="AI699" i="13"/>
  <c r="AH699" i="13"/>
  <c r="AG699" i="13" s="1"/>
  <c r="AF699" i="13"/>
  <c r="F699" i="13"/>
  <c r="AI698" i="13"/>
  <c r="AH698" i="13"/>
  <c r="AG698" i="13"/>
  <c r="AF698" i="13"/>
  <c r="F698" i="13"/>
  <c r="AI697" i="13"/>
  <c r="AH697" i="13"/>
  <c r="AG697" i="13" s="1"/>
  <c r="AF697" i="13"/>
  <c r="F697" i="13"/>
  <c r="AI696" i="13"/>
  <c r="AH696" i="13"/>
  <c r="AG696" i="13"/>
  <c r="AF696" i="13"/>
  <c r="F696" i="13"/>
  <c r="AI695" i="13"/>
  <c r="AH695" i="13"/>
  <c r="AG695" i="13" s="1"/>
  <c r="AF695" i="13"/>
  <c r="F695" i="13"/>
  <c r="AI694" i="13"/>
  <c r="AH694" i="13"/>
  <c r="AG694" i="13" s="1"/>
  <c r="AF694" i="13"/>
  <c r="F694" i="13"/>
  <c r="AI693" i="13"/>
  <c r="AH693" i="13"/>
  <c r="AG693" i="13" s="1"/>
  <c r="AF693" i="13"/>
  <c r="F693" i="13"/>
  <c r="AI692" i="13"/>
  <c r="AH692" i="13"/>
  <c r="AG692" i="13"/>
  <c r="AF692" i="13"/>
  <c r="F692" i="13"/>
  <c r="AI691" i="13"/>
  <c r="AH691" i="13"/>
  <c r="AG691" i="13"/>
  <c r="AF691" i="13"/>
  <c r="F691" i="13"/>
  <c r="AI690" i="13"/>
  <c r="AH690" i="13"/>
  <c r="AG690" i="13"/>
  <c r="AF690" i="13"/>
  <c r="F690" i="13"/>
  <c r="AI689" i="13"/>
  <c r="AH689" i="13"/>
  <c r="AG689" i="13"/>
  <c r="AF689" i="13"/>
  <c r="F689" i="13"/>
  <c r="AI688" i="13"/>
  <c r="AH688" i="13"/>
  <c r="AG688" i="13"/>
  <c r="AF688" i="13"/>
  <c r="F688" i="13"/>
  <c r="AI687" i="13"/>
  <c r="AH687" i="13"/>
  <c r="AG687" i="13" s="1"/>
  <c r="AF687" i="13"/>
  <c r="F687" i="13"/>
  <c r="AI686" i="13"/>
  <c r="AH686" i="13"/>
  <c r="AG686" i="13"/>
  <c r="AF686" i="13"/>
  <c r="F686" i="13"/>
  <c r="AI685" i="13"/>
  <c r="AH685" i="13"/>
  <c r="AG685" i="13"/>
  <c r="AF685" i="13"/>
  <c r="F685" i="13"/>
  <c r="AI684" i="13"/>
  <c r="AH684" i="13"/>
  <c r="AG684" i="13"/>
  <c r="AF684" i="13"/>
  <c r="F684" i="13"/>
  <c r="AI683" i="13"/>
  <c r="AH683" i="13"/>
  <c r="AG683" i="13"/>
  <c r="AF683" i="13"/>
  <c r="F683" i="13"/>
  <c r="AI682" i="13"/>
  <c r="AH682" i="13"/>
  <c r="AG682" i="13" s="1"/>
  <c r="AF682" i="13"/>
  <c r="F682" i="13"/>
  <c r="AI681" i="13"/>
  <c r="AH681" i="13"/>
  <c r="AG681" i="13" s="1"/>
  <c r="AF681" i="13"/>
  <c r="F681" i="13"/>
  <c r="AI680" i="13"/>
  <c r="AH680" i="13"/>
  <c r="AG680" i="13" s="1"/>
  <c r="AF680" i="13"/>
  <c r="F680" i="13"/>
  <c r="AI679" i="13"/>
  <c r="AH679" i="13"/>
  <c r="AG679" i="13" s="1"/>
  <c r="AF679" i="13"/>
  <c r="F679" i="13"/>
  <c r="AI678" i="13"/>
  <c r="AH678" i="13"/>
  <c r="AG678" i="13"/>
  <c r="AF678" i="13"/>
  <c r="F678" i="13"/>
  <c r="AI677" i="13"/>
  <c r="AH677" i="13"/>
  <c r="AG677" i="13"/>
  <c r="AF677" i="13"/>
  <c r="F677" i="13"/>
  <c r="AI676" i="13"/>
  <c r="AH676" i="13"/>
  <c r="AG676" i="13"/>
  <c r="AF676" i="13"/>
  <c r="F676" i="13"/>
  <c r="AI675" i="13"/>
  <c r="AH675" i="13"/>
  <c r="AG675" i="13"/>
  <c r="AF675" i="13"/>
  <c r="F675" i="13"/>
  <c r="AI674" i="13"/>
  <c r="AH674" i="13"/>
  <c r="AG674" i="13" s="1"/>
  <c r="AF674" i="13"/>
  <c r="F674" i="13"/>
  <c r="AI673" i="13"/>
  <c r="AH673" i="13"/>
  <c r="AG673" i="13" s="1"/>
  <c r="AF673" i="13"/>
  <c r="F673" i="13"/>
  <c r="AI672" i="13"/>
  <c r="AH672" i="13"/>
  <c r="AG672" i="13" s="1"/>
  <c r="AF672" i="13"/>
  <c r="F672" i="13"/>
  <c r="AI671" i="13"/>
  <c r="AH671" i="13"/>
  <c r="AG671" i="13" s="1"/>
  <c r="AF671" i="13"/>
  <c r="F671" i="13"/>
  <c r="AI670" i="13"/>
  <c r="AH670" i="13"/>
  <c r="AG670" i="13"/>
  <c r="AF670" i="13"/>
  <c r="F670" i="13"/>
  <c r="AI669" i="13"/>
  <c r="AH669" i="13"/>
  <c r="AG669" i="13"/>
  <c r="AF669" i="13"/>
  <c r="F669" i="13"/>
  <c r="AI668" i="13"/>
  <c r="AH668" i="13"/>
  <c r="AG668" i="13"/>
  <c r="AF668" i="13"/>
  <c r="F668" i="13"/>
  <c r="AI667" i="13"/>
  <c r="AH667" i="13"/>
  <c r="AG667" i="13"/>
  <c r="AF667" i="13"/>
  <c r="F667" i="13"/>
  <c r="AI666" i="13"/>
  <c r="AH666" i="13"/>
  <c r="AG666" i="13" s="1"/>
  <c r="AF666" i="13"/>
  <c r="F666" i="13"/>
  <c r="AI665" i="13"/>
  <c r="AH665" i="13"/>
  <c r="AG665" i="13" s="1"/>
  <c r="AF665" i="13"/>
  <c r="F665" i="13"/>
  <c r="AI664" i="13"/>
  <c r="AH664" i="13"/>
  <c r="AG664" i="13" s="1"/>
  <c r="AF664" i="13"/>
  <c r="F664" i="13"/>
  <c r="AI663" i="13"/>
  <c r="AH663" i="13"/>
  <c r="AG663" i="13" s="1"/>
  <c r="AF663" i="13"/>
  <c r="F663" i="13"/>
  <c r="AI662" i="13"/>
  <c r="AH662" i="13"/>
  <c r="AG662" i="13"/>
  <c r="AF662" i="13"/>
  <c r="F662" i="13"/>
  <c r="AI661" i="13"/>
  <c r="AH661" i="13"/>
  <c r="AG661" i="13"/>
  <c r="AF661" i="13"/>
  <c r="F661" i="13"/>
  <c r="AI660" i="13"/>
  <c r="AH660" i="13"/>
  <c r="AG660" i="13"/>
  <c r="AF660" i="13"/>
  <c r="F660" i="13"/>
  <c r="AI659" i="13"/>
  <c r="AH659" i="13"/>
  <c r="AG659" i="13"/>
  <c r="AF659" i="13"/>
  <c r="F659" i="13"/>
  <c r="AI658" i="13"/>
  <c r="AH658" i="13"/>
  <c r="AG658" i="13" s="1"/>
  <c r="AF658" i="13"/>
  <c r="F658" i="13"/>
  <c r="AI657" i="13"/>
  <c r="AH657" i="13"/>
  <c r="AG657" i="13" s="1"/>
  <c r="AF657" i="13"/>
  <c r="F657" i="13"/>
  <c r="AI656" i="13"/>
  <c r="AH656" i="13"/>
  <c r="AG656" i="13" s="1"/>
  <c r="AF656" i="13"/>
  <c r="F656" i="13"/>
  <c r="AI655" i="13"/>
  <c r="AH655" i="13"/>
  <c r="AG655" i="13"/>
  <c r="AF655" i="13"/>
  <c r="F655" i="13"/>
  <c r="AI654" i="13"/>
  <c r="AH654" i="13"/>
  <c r="AG654" i="13"/>
  <c r="AF654" i="13"/>
  <c r="F654" i="13"/>
  <c r="AI653" i="13"/>
  <c r="AH653" i="13"/>
  <c r="AG653" i="13"/>
  <c r="AF653" i="13"/>
  <c r="F653" i="13"/>
  <c r="AI652" i="13"/>
  <c r="AH652" i="13"/>
  <c r="AG652" i="13"/>
  <c r="AF652" i="13"/>
  <c r="F652" i="13"/>
  <c r="AI651" i="13"/>
  <c r="AH651" i="13"/>
  <c r="AG651" i="13" s="1"/>
  <c r="AF651" i="13"/>
  <c r="F651" i="13"/>
  <c r="AI650" i="13"/>
  <c r="AH650" i="13"/>
  <c r="AG650" i="13" s="1"/>
  <c r="AF650" i="13"/>
  <c r="F650" i="13"/>
  <c r="AI649" i="13"/>
  <c r="AH649" i="13"/>
  <c r="AG649" i="13" s="1"/>
  <c r="AF649" i="13"/>
  <c r="F649" i="13"/>
  <c r="AI648" i="13"/>
  <c r="AH648" i="13"/>
  <c r="AG648" i="13" s="1"/>
  <c r="AF648" i="13"/>
  <c r="F648" i="13"/>
  <c r="AI647" i="13"/>
  <c r="AH647" i="13"/>
  <c r="AG647" i="13"/>
  <c r="AF647" i="13"/>
  <c r="F647" i="13"/>
  <c r="AI646" i="13"/>
  <c r="AH646" i="13"/>
  <c r="AG646" i="13"/>
  <c r="AF646" i="13"/>
  <c r="F646" i="13"/>
  <c r="AI645" i="13"/>
  <c r="AH645" i="13"/>
  <c r="AG645" i="13"/>
  <c r="AF645" i="13"/>
  <c r="F645" i="13"/>
  <c r="AI644" i="13"/>
  <c r="AH644" i="13"/>
  <c r="AG644" i="13"/>
  <c r="AF644" i="13"/>
  <c r="F644" i="13"/>
  <c r="AI643" i="13"/>
  <c r="AH643" i="13"/>
  <c r="AG643" i="13" s="1"/>
  <c r="AF643" i="13"/>
  <c r="F643" i="13"/>
  <c r="AI642" i="13"/>
  <c r="AH642" i="13"/>
  <c r="AG642" i="13" s="1"/>
  <c r="AF642" i="13"/>
  <c r="F642" i="13"/>
  <c r="AI641" i="13"/>
  <c r="AH641" i="13"/>
  <c r="AG641" i="13" s="1"/>
  <c r="AF641" i="13"/>
  <c r="F641" i="13"/>
  <c r="AI640" i="13"/>
  <c r="AH640" i="13"/>
  <c r="AG640" i="13" s="1"/>
  <c r="AF640" i="13"/>
  <c r="F640" i="13"/>
  <c r="AI639" i="13"/>
  <c r="AH639" i="13"/>
  <c r="AG639" i="13"/>
  <c r="AF639" i="13"/>
  <c r="F639" i="13"/>
  <c r="AI638" i="13"/>
  <c r="AH638" i="13"/>
  <c r="AG638" i="13"/>
  <c r="AF638" i="13"/>
  <c r="F638" i="13"/>
  <c r="AI637" i="13"/>
  <c r="AH637" i="13"/>
  <c r="AG637" i="13"/>
  <c r="AF637" i="13"/>
  <c r="F637" i="13"/>
  <c r="AI636" i="13"/>
  <c r="AH636" i="13"/>
  <c r="AG636" i="13"/>
  <c r="AF636" i="13"/>
  <c r="F636" i="13"/>
  <c r="AI635" i="13"/>
  <c r="AH635" i="13"/>
  <c r="AG635" i="13" s="1"/>
  <c r="AF635" i="13"/>
  <c r="F635" i="13"/>
  <c r="AI634" i="13"/>
  <c r="AH634" i="13"/>
  <c r="AG634" i="13" s="1"/>
  <c r="AF634" i="13"/>
  <c r="F634" i="13"/>
  <c r="AI633" i="13"/>
  <c r="AH633" i="13"/>
  <c r="AG633" i="13" s="1"/>
  <c r="AF633" i="13"/>
  <c r="F633" i="13"/>
  <c r="AI632" i="13"/>
  <c r="AH632" i="13"/>
  <c r="AG632" i="13" s="1"/>
  <c r="AF632" i="13"/>
  <c r="F632" i="13"/>
  <c r="AI631" i="13"/>
  <c r="AH631" i="13"/>
  <c r="AG631" i="13"/>
  <c r="AF631" i="13"/>
  <c r="F631" i="13"/>
  <c r="AI630" i="13"/>
  <c r="AH630" i="13"/>
  <c r="AG630" i="13"/>
  <c r="AF630" i="13"/>
  <c r="F630" i="13"/>
  <c r="AI629" i="13"/>
  <c r="AH629" i="13"/>
  <c r="AG629" i="13"/>
  <c r="AF629" i="13"/>
  <c r="F629" i="13"/>
  <c r="AI628" i="13"/>
  <c r="AH628" i="13"/>
  <c r="AG628" i="13"/>
  <c r="AF628" i="13"/>
  <c r="F628" i="13"/>
  <c r="AI627" i="13"/>
  <c r="AH627" i="13"/>
  <c r="AG627" i="13" s="1"/>
  <c r="AF627" i="13"/>
  <c r="F627" i="13"/>
  <c r="AI626" i="13"/>
  <c r="AH626" i="13"/>
  <c r="AG626" i="13" s="1"/>
  <c r="AF626" i="13"/>
  <c r="F626" i="13"/>
  <c r="AI625" i="13"/>
  <c r="AH625" i="13"/>
  <c r="AG625" i="13" s="1"/>
  <c r="AF625" i="13"/>
  <c r="F625" i="13"/>
  <c r="AI624" i="13"/>
  <c r="AH624" i="13"/>
  <c r="AG624" i="13" s="1"/>
  <c r="AF624" i="13"/>
  <c r="F624" i="13"/>
  <c r="AI623" i="13"/>
  <c r="AH623" i="13"/>
  <c r="AG623" i="13"/>
  <c r="AF623" i="13"/>
  <c r="F623" i="13"/>
  <c r="AI622" i="13"/>
  <c r="AH622" i="13"/>
  <c r="AG622" i="13"/>
  <c r="AF622" i="13"/>
  <c r="F622" i="13"/>
  <c r="AI621" i="13"/>
  <c r="AH621" i="13"/>
  <c r="AG621" i="13"/>
  <c r="AF621" i="13"/>
  <c r="F621" i="13"/>
  <c r="AI620" i="13"/>
  <c r="AH620" i="13"/>
  <c r="AG620" i="13"/>
  <c r="AF620" i="13"/>
  <c r="F620" i="13"/>
  <c r="AI619" i="13"/>
  <c r="AH619" i="13"/>
  <c r="AG619" i="13" s="1"/>
  <c r="AF619" i="13"/>
  <c r="F619" i="13"/>
  <c r="AI618" i="13"/>
  <c r="AH618" i="13"/>
  <c r="AG618" i="13" s="1"/>
  <c r="AF618" i="13"/>
  <c r="F618" i="13"/>
  <c r="AI617" i="13"/>
  <c r="AH617" i="13"/>
  <c r="AG617" i="13" s="1"/>
  <c r="AF617" i="13"/>
  <c r="F617" i="13"/>
  <c r="AI616" i="13"/>
  <c r="AH616" i="13"/>
  <c r="AG616" i="13" s="1"/>
  <c r="AF616" i="13"/>
  <c r="F616" i="13"/>
  <c r="AI615" i="13"/>
  <c r="AH615" i="13"/>
  <c r="AG615" i="13"/>
  <c r="AF615" i="13"/>
  <c r="F615" i="13"/>
  <c r="AI614" i="13"/>
  <c r="AH614" i="13"/>
  <c r="AG614" i="13"/>
  <c r="AF614" i="13"/>
  <c r="F614" i="13"/>
  <c r="AI613" i="13"/>
  <c r="AH613" i="13"/>
  <c r="AG613" i="13"/>
  <c r="AF613" i="13"/>
  <c r="F613" i="13"/>
  <c r="AI612" i="13"/>
  <c r="AH612" i="13"/>
  <c r="AG612" i="13"/>
  <c r="AF612" i="13"/>
  <c r="F612" i="13"/>
  <c r="AI611" i="13"/>
  <c r="AH611" i="13"/>
  <c r="AG611" i="13" s="1"/>
  <c r="AF611" i="13"/>
  <c r="F611" i="13"/>
  <c r="AI610" i="13"/>
  <c r="AH610" i="13"/>
  <c r="AG610" i="13" s="1"/>
  <c r="AF610" i="13"/>
  <c r="F610" i="13"/>
  <c r="AI609" i="13"/>
  <c r="AH609" i="13"/>
  <c r="AG609" i="13" s="1"/>
  <c r="AF609" i="13"/>
  <c r="F609" i="13"/>
  <c r="AI608" i="13"/>
  <c r="AH608" i="13"/>
  <c r="AG608" i="13" s="1"/>
  <c r="AF608" i="13"/>
  <c r="F608" i="13"/>
  <c r="AI607" i="13"/>
  <c r="AH607" i="13"/>
  <c r="AG607" i="13"/>
  <c r="AF607" i="13"/>
  <c r="F607" i="13"/>
  <c r="AI606" i="13"/>
  <c r="AH606" i="13"/>
  <c r="AG606" i="13"/>
  <c r="AF606" i="13"/>
  <c r="F606" i="13"/>
  <c r="AI605" i="13"/>
  <c r="AH605" i="13"/>
  <c r="AG605" i="13"/>
  <c r="AF605" i="13"/>
  <c r="F605" i="13"/>
  <c r="AI604" i="13"/>
  <c r="AH604" i="13"/>
  <c r="AG604" i="13"/>
  <c r="AF604" i="13"/>
  <c r="F604" i="13"/>
  <c r="AI603" i="13"/>
  <c r="AH603" i="13"/>
  <c r="AG603" i="13"/>
  <c r="AF603" i="13"/>
  <c r="F603" i="13"/>
  <c r="AI602" i="13"/>
  <c r="AH602" i="13"/>
  <c r="AG602" i="13" s="1"/>
  <c r="AF602" i="13"/>
  <c r="F602" i="13"/>
  <c r="AI601" i="13"/>
  <c r="AH601" i="13"/>
  <c r="AG601" i="13" s="1"/>
  <c r="AF601" i="13"/>
  <c r="F601" i="13"/>
  <c r="AI600" i="13"/>
  <c r="AH600" i="13"/>
  <c r="AG600" i="13" s="1"/>
  <c r="AF600" i="13"/>
  <c r="F600" i="13"/>
  <c r="AI599" i="13"/>
  <c r="AH599" i="13"/>
  <c r="AG599" i="13" s="1"/>
  <c r="AF599" i="13"/>
  <c r="F599" i="13"/>
  <c r="AI598" i="13"/>
  <c r="AH598" i="13"/>
  <c r="AG598" i="13"/>
  <c r="AF598" i="13"/>
  <c r="F598" i="13"/>
  <c r="AI597" i="13"/>
  <c r="AH597" i="13"/>
  <c r="AG597" i="13"/>
  <c r="AF597" i="13"/>
  <c r="F597" i="13"/>
  <c r="AI596" i="13"/>
  <c r="AH596" i="13"/>
  <c r="AG596" i="13"/>
  <c r="AF596" i="13"/>
  <c r="F596" i="13"/>
  <c r="AI595" i="13"/>
  <c r="AH595" i="13"/>
  <c r="AG595" i="13"/>
  <c r="AF595" i="13"/>
  <c r="F595" i="13"/>
  <c r="AI594" i="13"/>
  <c r="AH594" i="13"/>
  <c r="AG594" i="13" s="1"/>
  <c r="AF594" i="13"/>
  <c r="F594" i="13"/>
  <c r="AI593" i="13"/>
  <c r="AH593" i="13"/>
  <c r="AG593" i="13" s="1"/>
  <c r="AF593" i="13"/>
  <c r="F593" i="13"/>
  <c r="AI592" i="13"/>
  <c r="AH592" i="13"/>
  <c r="AG592" i="13" s="1"/>
  <c r="AF592" i="13"/>
  <c r="F592" i="13"/>
  <c r="AI591" i="13"/>
  <c r="AH591" i="13"/>
  <c r="AG591" i="13" s="1"/>
  <c r="AF591" i="13"/>
  <c r="F591" i="13"/>
  <c r="AI590" i="13"/>
  <c r="AH590" i="13"/>
  <c r="AG590" i="13"/>
  <c r="AF590" i="13"/>
  <c r="F590" i="13"/>
  <c r="AI589" i="13"/>
  <c r="AH589" i="13"/>
  <c r="AG589" i="13"/>
  <c r="AF589" i="13"/>
  <c r="F589" i="13"/>
  <c r="AI588" i="13"/>
  <c r="AH588" i="13"/>
  <c r="AG588" i="13"/>
  <c r="AF588" i="13"/>
  <c r="F588" i="13"/>
  <c r="AI587" i="13"/>
  <c r="AH587" i="13"/>
  <c r="AG587" i="13"/>
  <c r="AF587" i="13"/>
  <c r="F587" i="13"/>
  <c r="AI586" i="13"/>
  <c r="AH586" i="13"/>
  <c r="AG586" i="13" s="1"/>
  <c r="AF586" i="13"/>
  <c r="F586" i="13"/>
  <c r="AI585" i="13"/>
  <c r="AH585" i="13"/>
  <c r="AG585" i="13" s="1"/>
  <c r="AF585" i="13"/>
  <c r="F585" i="13"/>
  <c r="AI584" i="13"/>
  <c r="AH584" i="13"/>
  <c r="AG584" i="13" s="1"/>
  <c r="AF584" i="13"/>
  <c r="F584" i="13"/>
  <c r="AI583" i="13"/>
  <c r="AH583" i="13"/>
  <c r="AG583" i="13"/>
  <c r="AF583" i="13"/>
  <c r="F583" i="13"/>
  <c r="AI582" i="13"/>
  <c r="AH582" i="13"/>
  <c r="AG582" i="13"/>
  <c r="AF582" i="13"/>
  <c r="F582" i="13"/>
  <c r="AI581" i="13"/>
  <c r="AH581" i="13"/>
  <c r="AG581" i="13"/>
  <c r="AF581" i="13"/>
  <c r="F581" i="13"/>
  <c r="AI580" i="13"/>
  <c r="AH580" i="13"/>
  <c r="AG580" i="13"/>
  <c r="AF580" i="13"/>
  <c r="F580" i="13"/>
  <c r="AI579" i="13"/>
  <c r="AH579" i="13"/>
  <c r="AG579" i="13"/>
  <c r="AF579" i="13"/>
  <c r="F579" i="13"/>
  <c r="AI578" i="13"/>
  <c r="AH578" i="13"/>
  <c r="AG578" i="13" s="1"/>
  <c r="AF578" i="13"/>
  <c r="F578" i="13"/>
  <c r="AI577" i="13"/>
  <c r="AH577" i="13"/>
  <c r="AG577" i="13" s="1"/>
  <c r="AF577" i="13"/>
  <c r="F577" i="13"/>
  <c r="AI576" i="13"/>
  <c r="AH576" i="13"/>
  <c r="AG576" i="13" s="1"/>
  <c r="AF576" i="13"/>
  <c r="F576" i="13"/>
  <c r="AI575" i="13"/>
  <c r="AH575" i="13"/>
  <c r="AG575" i="13"/>
  <c r="AF575" i="13"/>
  <c r="F575" i="13"/>
  <c r="AI574" i="13"/>
  <c r="AH574" i="13"/>
  <c r="AG574" i="13"/>
  <c r="AF574" i="13"/>
  <c r="F574" i="13"/>
  <c r="AI573" i="13"/>
  <c r="AH573" i="13"/>
  <c r="AG573" i="13"/>
  <c r="AF573" i="13"/>
  <c r="F573" i="13"/>
  <c r="AI572" i="13"/>
  <c r="AH572" i="13"/>
  <c r="AG572" i="13"/>
  <c r="AF572" i="13"/>
  <c r="F572" i="13"/>
  <c r="AI571" i="13"/>
  <c r="AH571" i="13"/>
  <c r="AG571" i="13"/>
  <c r="AF571" i="13"/>
  <c r="F571" i="13"/>
  <c r="AI570" i="13"/>
  <c r="AH570" i="13"/>
  <c r="AG570" i="13" s="1"/>
  <c r="AF570" i="13"/>
  <c r="F570" i="13"/>
  <c r="AI569" i="13"/>
  <c r="AH569" i="13"/>
  <c r="AG569" i="13" s="1"/>
  <c r="AF569" i="13"/>
  <c r="F569" i="13"/>
  <c r="AI568" i="13"/>
  <c r="AH568" i="13"/>
  <c r="AG568" i="13" s="1"/>
  <c r="AF568" i="13"/>
  <c r="F568" i="13"/>
  <c r="AI567" i="13"/>
  <c r="AH567" i="13"/>
  <c r="AG567" i="13" s="1"/>
  <c r="AF567" i="13"/>
  <c r="F567" i="13"/>
  <c r="AI566" i="13"/>
  <c r="AH566" i="13"/>
  <c r="AG566" i="13"/>
  <c r="AF566" i="13"/>
  <c r="F566" i="13"/>
  <c r="AI565" i="13"/>
  <c r="AH565" i="13"/>
  <c r="AG565" i="13"/>
  <c r="AF565" i="13"/>
  <c r="F565" i="13"/>
  <c r="AI564" i="13"/>
  <c r="AH564" i="13"/>
  <c r="AG564" i="13"/>
  <c r="AF564" i="13"/>
  <c r="F564" i="13"/>
  <c r="AI563" i="13"/>
  <c r="AH563" i="13"/>
  <c r="AG563" i="13" s="1"/>
  <c r="AF563" i="13"/>
  <c r="F563" i="13"/>
  <c r="AI562" i="13"/>
  <c r="AH562" i="13"/>
  <c r="AG562" i="13" s="1"/>
  <c r="AF562" i="13"/>
  <c r="F562" i="13"/>
  <c r="AI561" i="13"/>
  <c r="AH561" i="13"/>
  <c r="AG561" i="13" s="1"/>
  <c r="AF561" i="13"/>
  <c r="F561" i="13"/>
  <c r="AI560" i="13"/>
  <c r="AH560" i="13"/>
  <c r="AG560" i="13" s="1"/>
  <c r="AF560" i="13"/>
  <c r="F560" i="13"/>
  <c r="AI559" i="13"/>
  <c r="AH559" i="13"/>
  <c r="AG559" i="13" s="1"/>
  <c r="AF559" i="13"/>
  <c r="F559" i="13"/>
  <c r="AI558" i="13"/>
  <c r="AH558" i="13"/>
  <c r="AG558" i="13"/>
  <c r="AF558" i="13"/>
  <c r="F558" i="13"/>
  <c r="AI557" i="13"/>
  <c r="AH557" i="13"/>
  <c r="AG557" i="13"/>
  <c r="AF557" i="13"/>
  <c r="F557" i="13"/>
  <c r="AI556" i="13"/>
  <c r="AH556" i="13"/>
  <c r="AG556" i="13"/>
  <c r="AF556" i="13"/>
  <c r="F556" i="13"/>
  <c r="AI555" i="13"/>
  <c r="AH555" i="13"/>
  <c r="AG555" i="13" s="1"/>
  <c r="AF555" i="13"/>
  <c r="F555" i="13"/>
  <c r="AI554" i="13"/>
  <c r="AH554" i="13"/>
  <c r="AG554" i="13" s="1"/>
  <c r="AF554" i="13"/>
  <c r="F554" i="13"/>
  <c r="AI553" i="13"/>
  <c r="AH553" i="13"/>
  <c r="AG553" i="13" s="1"/>
  <c r="AF553" i="13"/>
  <c r="F553" i="13"/>
  <c r="AI552" i="13"/>
  <c r="AH552" i="13"/>
  <c r="AG552" i="13" s="1"/>
  <c r="AF552" i="13"/>
  <c r="F552" i="13"/>
  <c r="AI551" i="13"/>
  <c r="AH551" i="13"/>
  <c r="AG551" i="13" s="1"/>
  <c r="AF551" i="13"/>
  <c r="F551" i="13"/>
  <c r="AI550" i="13"/>
  <c r="AH550" i="13"/>
  <c r="AG550" i="13"/>
  <c r="AF550" i="13"/>
  <c r="F550" i="13"/>
  <c r="AI549" i="13"/>
  <c r="AH549" i="13"/>
  <c r="AG549" i="13"/>
  <c r="AF549" i="13"/>
  <c r="F549" i="13"/>
  <c r="AI548" i="13"/>
  <c r="AH548" i="13"/>
  <c r="AG548" i="13"/>
  <c r="AF548" i="13"/>
  <c r="F548" i="13"/>
  <c r="AI547" i="13"/>
  <c r="AH547" i="13"/>
  <c r="AG547" i="13" s="1"/>
  <c r="AF547" i="13"/>
  <c r="F547" i="13"/>
  <c r="AI546" i="13"/>
  <c r="AH546" i="13"/>
  <c r="AG546" i="13" s="1"/>
  <c r="AF546" i="13"/>
  <c r="F546" i="13"/>
  <c r="AI545" i="13"/>
  <c r="AH545" i="13"/>
  <c r="AG545" i="13" s="1"/>
  <c r="AF545" i="13"/>
  <c r="F545" i="13"/>
  <c r="AI544" i="13"/>
  <c r="AH544" i="13"/>
  <c r="AG544" i="13" s="1"/>
  <c r="AF544" i="13"/>
  <c r="F544" i="13"/>
  <c r="AI543" i="13"/>
  <c r="AH543" i="13"/>
  <c r="AG543" i="13" s="1"/>
  <c r="AF543" i="13"/>
  <c r="F543" i="13"/>
  <c r="AI542" i="13"/>
  <c r="AH542" i="13"/>
  <c r="AG542" i="13"/>
  <c r="AF542" i="13"/>
  <c r="F542" i="13"/>
  <c r="AI541" i="13"/>
  <c r="AH541" i="13"/>
  <c r="AG541" i="13"/>
  <c r="AF541" i="13"/>
  <c r="F541" i="13"/>
  <c r="AI540" i="13"/>
  <c r="AH540" i="13"/>
  <c r="AG540" i="13"/>
  <c r="AF540" i="13"/>
  <c r="F540" i="13"/>
  <c r="AI539" i="13"/>
  <c r="AH539" i="13"/>
  <c r="AG539" i="13" s="1"/>
  <c r="AF539" i="13"/>
  <c r="F539" i="13"/>
  <c r="AI538" i="13"/>
  <c r="AH538" i="13"/>
  <c r="AG538" i="13" s="1"/>
  <c r="AF538" i="13"/>
  <c r="F538" i="13"/>
  <c r="AI537" i="13"/>
  <c r="AH537" i="13"/>
  <c r="AG537" i="13" s="1"/>
  <c r="AF537" i="13"/>
  <c r="F537" i="13"/>
  <c r="AI536" i="13"/>
  <c r="AH536" i="13"/>
  <c r="AG536" i="13" s="1"/>
  <c r="AF536" i="13"/>
  <c r="F536" i="13"/>
  <c r="AI535" i="13"/>
  <c r="AH535" i="13"/>
  <c r="AG535" i="13" s="1"/>
  <c r="AF535" i="13"/>
  <c r="F535" i="13"/>
  <c r="AI534" i="13"/>
  <c r="AH534" i="13"/>
  <c r="AG534" i="13"/>
  <c r="AF534" i="13"/>
  <c r="F534" i="13"/>
  <c r="AI533" i="13"/>
  <c r="AH533" i="13"/>
  <c r="AG533" i="13"/>
  <c r="AF533" i="13"/>
  <c r="F533" i="13"/>
  <c r="AI532" i="13"/>
  <c r="AH532" i="13"/>
  <c r="AG532" i="13"/>
  <c r="AF532" i="13"/>
  <c r="F532" i="13"/>
  <c r="AI531" i="13"/>
  <c r="AH531" i="13"/>
  <c r="AG531" i="13" s="1"/>
  <c r="AF531" i="13"/>
  <c r="F531" i="13"/>
  <c r="AI530" i="13"/>
  <c r="AH530" i="13"/>
  <c r="AG530" i="13" s="1"/>
  <c r="AF530" i="13"/>
  <c r="F530" i="13"/>
  <c r="AI529" i="13"/>
  <c r="AH529" i="13"/>
  <c r="AG529" i="13" s="1"/>
  <c r="AF529" i="13"/>
  <c r="F529" i="13"/>
  <c r="AI528" i="13"/>
  <c r="AH528" i="13"/>
  <c r="AG528" i="13" s="1"/>
  <c r="AF528" i="13"/>
  <c r="F528" i="13"/>
  <c r="AI527" i="13"/>
  <c r="AH527" i="13"/>
  <c r="AG527" i="13" s="1"/>
  <c r="AF527" i="13"/>
  <c r="F527" i="13"/>
  <c r="AI526" i="13"/>
  <c r="AH526" i="13"/>
  <c r="AG526" i="13"/>
  <c r="AF526" i="13"/>
  <c r="F526" i="13"/>
  <c r="AI525" i="13"/>
  <c r="AH525" i="13"/>
  <c r="AG525" i="13"/>
  <c r="AF525" i="13"/>
  <c r="F525" i="13"/>
  <c r="AI524" i="13"/>
  <c r="AH524" i="13"/>
  <c r="AG524" i="13"/>
  <c r="AF524" i="13"/>
  <c r="F524" i="13"/>
  <c r="AI523" i="13"/>
  <c r="AH523" i="13"/>
  <c r="AG523" i="13" s="1"/>
  <c r="AF523" i="13"/>
  <c r="F523" i="13"/>
  <c r="AI522" i="13"/>
  <c r="AH522" i="13"/>
  <c r="AG522" i="13" s="1"/>
  <c r="AF522" i="13"/>
  <c r="F522" i="13"/>
  <c r="AI521" i="13"/>
  <c r="AH521" i="13"/>
  <c r="AG521" i="13" s="1"/>
  <c r="AF521" i="13"/>
  <c r="F521" i="13"/>
  <c r="AI520" i="13"/>
  <c r="AH520" i="13"/>
  <c r="AG520" i="13" s="1"/>
  <c r="AF520" i="13"/>
  <c r="F520" i="13"/>
  <c r="AI519" i="13"/>
  <c r="AH519" i="13"/>
  <c r="AG519" i="13" s="1"/>
  <c r="AF519" i="13"/>
  <c r="F519" i="13"/>
  <c r="AI518" i="13"/>
  <c r="AH518" i="13"/>
  <c r="AG518" i="13"/>
  <c r="AF518" i="13"/>
  <c r="F518" i="13"/>
  <c r="AI517" i="13"/>
  <c r="AH517" i="13"/>
  <c r="AG517" i="13"/>
  <c r="AF517" i="13"/>
  <c r="F517" i="13"/>
  <c r="AI516" i="13"/>
  <c r="AH516" i="13"/>
  <c r="AG516" i="13"/>
  <c r="AF516" i="13"/>
  <c r="F516" i="13"/>
  <c r="AI515" i="13"/>
  <c r="AH515" i="13"/>
  <c r="AG515" i="13" s="1"/>
  <c r="AF515" i="13"/>
  <c r="F515" i="13"/>
  <c r="AI514" i="13"/>
  <c r="AH514" i="13"/>
  <c r="AG514" i="13" s="1"/>
  <c r="AF514" i="13"/>
  <c r="F514" i="13"/>
  <c r="AI513" i="13"/>
  <c r="AH513" i="13"/>
  <c r="AG513" i="13" s="1"/>
  <c r="AF513" i="13"/>
  <c r="F513" i="13"/>
  <c r="AI512" i="13"/>
  <c r="AH512" i="13"/>
  <c r="AG512" i="13" s="1"/>
  <c r="AF512" i="13"/>
  <c r="F512" i="13"/>
  <c r="AI511" i="13"/>
  <c r="AH511" i="13"/>
  <c r="AG511" i="13" s="1"/>
  <c r="AF511" i="13"/>
  <c r="F511" i="13"/>
  <c r="AI510" i="13"/>
  <c r="AH510" i="13"/>
  <c r="AG510" i="13"/>
  <c r="AF510" i="13"/>
  <c r="F510" i="13"/>
  <c r="AI509" i="13"/>
  <c r="AH509" i="13"/>
  <c r="AG509" i="13"/>
  <c r="AF509" i="13"/>
  <c r="F509" i="13"/>
  <c r="AI508" i="13"/>
  <c r="AH508" i="13"/>
  <c r="AG508" i="13"/>
  <c r="AF508" i="13"/>
  <c r="F508" i="13"/>
  <c r="AI507" i="13"/>
  <c r="AH507" i="13"/>
  <c r="AG507" i="13"/>
  <c r="AF507" i="13"/>
  <c r="F507" i="13"/>
  <c r="AI506" i="13"/>
  <c r="AH506" i="13"/>
  <c r="AG506" i="13" s="1"/>
  <c r="AF506" i="13"/>
  <c r="F506" i="13"/>
  <c r="AI505" i="13"/>
  <c r="AH505" i="13"/>
  <c r="AG505" i="13" s="1"/>
  <c r="AF505" i="13"/>
  <c r="F505" i="13"/>
  <c r="AI504" i="13"/>
  <c r="AH504" i="13"/>
  <c r="AG504" i="13" s="1"/>
  <c r="AF504" i="13"/>
  <c r="F504" i="13"/>
  <c r="AI503" i="13"/>
  <c r="AH503" i="13"/>
  <c r="AG503" i="13" s="1"/>
  <c r="AF503" i="13"/>
  <c r="F503" i="13"/>
  <c r="AI502" i="13"/>
  <c r="AH502" i="13"/>
  <c r="AG502" i="13"/>
  <c r="AF502" i="13"/>
  <c r="F502" i="13"/>
  <c r="AI501" i="13"/>
  <c r="AH501" i="13"/>
  <c r="AG501" i="13"/>
  <c r="AF501" i="13"/>
  <c r="F501" i="13"/>
  <c r="AI500" i="13"/>
  <c r="AH500" i="13"/>
  <c r="AG500" i="13"/>
  <c r="AF500" i="13"/>
  <c r="F500" i="13"/>
  <c r="AI499" i="13"/>
  <c r="AH499" i="13"/>
  <c r="AG499" i="13"/>
  <c r="AF499" i="13"/>
  <c r="F499" i="13"/>
  <c r="AI498" i="13"/>
  <c r="AH498" i="13"/>
  <c r="AG498" i="13" s="1"/>
  <c r="AF498" i="13"/>
  <c r="F498" i="13"/>
  <c r="AI497" i="13"/>
  <c r="AH497" i="13"/>
  <c r="AG497" i="13" s="1"/>
  <c r="AF497" i="13"/>
  <c r="F497" i="13"/>
  <c r="AI496" i="13"/>
  <c r="AH496" i="13"/>
  <c r="AG496" i="13" s="1"/>
  <c r="AF496" i="13"/>
  <c r="F496" i="13"/>
  <c r="AI495" i="13"/>
  <c r="AH495" i="13"/>
  <c r="AG495" i="13"/>
  <c r="AF495" i="13"/>
  <c r="F495" i="13"/>
  <c r="AI494" i="13"/>
  <c r="AH494" i="13"/>
  <c r="AG494" i="13"/>
  <c r="AF494" i="13"/>
  <c r="F494" i="13"/>
  <c r="AI493" i="13"/>
  <c r="AH493" i="13"/>
  <c r="AG493" i="13"/>
  <c r="AF493" i="13"/>
  <c r="F493" i="13"/>
  <c r="AI492" i="13"/>
  <c r="AH492" i="13"/>
  <c r="AG492" i="13"/>
  <c r="AF492" i="13"/>
  <c r="F492" i="13"/>
  <c r="AI491" i="13"/>
  <c r="AH491" i="13"/>
  <c r="AG491" i="13"/>
  <c r="AF491" i="13"/>
  <c r="F491" i="13"/>
  <c r="AI490" i="13"/>
  <c r="AH490" i="13"/>
  <c r="AG490" i="13" s="1"/>
  <c r="AF490" i="13"/>
  <c r="F490" i="13"/>
  <c r="AI489" i="13"/>
  <c r="AH489" i="13"/>
  <c r="AG489" i="13" s="1"/>
  <c r="AF489" i="13"/>
  <c r="F489" i="13"/>
  <c r="AI488" i="13"/>
  <c r="AH488" i="13"/>
  <c r="AG488" i="13" s="1"/>
  <c r="AF488" i="13"/>
  <c r="F488" i="13"/>
  <c r="AI487" i="13"/>
  <c r="AH487" i="13"/>
  <c r="AG487" i="13"/>
  <c r="AF487" i="13"/>
  <c r="F487" i="13"/>
  <c r="AI486" i="13"/>
  <c r="AH486" i="13"/>
  <c r="AG486" i="13"/>
  <c r="AF486" i="13"/>
  <c r="F486" i="13"/>
  <c r="AI485" i="13"/>
  <c r="AH485" i="13"/>
  <c r="AG485" i="13"/>
  <c r="AF485" i="13"/>
  <c r="F485" i="13"/>
  <c r="AI484" i="13"/>
  <c r="AH484" i="13"/>
  <c r="AG484" i="13"/>
  <c r="AF484" i="13"/>
  <c r="F484" i="13"/>
  <c r="AI483" i="13"/>
  <c r="AH483" i="13"/>
  <c r="AG483" i="13"/>
  <c r="AF483" i="13"/>
  <c r="F483" i="13"/>
  <c r="AI482" i="13"/>
  <c r="AH482" i="13"/>
  <c r="AG482" i="13" s="1"/>
  <c r="AF482" i="13"/>
  <c r="F482" i="13"/>
  <c r="AI481" i="13"/>
  <c r="AH481" i="13"/>
  <c r="AG481" i="13" s="1"/>
  <c r="AF481" i="13"/>
  <c r="F481" i="13"/>
  <c r="AI480" i="13"/>
  <c r="AH480" i="13"/>
  <c r="AG480" i="13" s="1"/>
  <c r="AF480" i="13"/>
  <c r="F480" i="13"/>
  <c r="AI479" i="13"/>
  <c r="AH479" i="13"/>
  <c r="AG479" i="13" s="1"/>
  <c r="AF479" i="13"/>
  <c r="F479" i="13"/>
  <c r="AI478" i="13"/>
  <c r="AH478" i="13"/>
  <c r="AG478" i="13"/>
  <c r="AF478" i="13"/>
  <c r="F478" i="13"/>
  <c r="AI477" i="13"/>
  <c r="AH477" i="13"/>
  <c r="AG477" i="13"/>
  <c r="AF477" i="13"/>
  <c r="F477" i="13"/>
  <c r="AI476" i="13"/>
  <c r="AH476" i="13"/>
  <c r="AG476" i="13"/>
  <c r="AF476" i="13"/>
  <c r="F476" i="13"/>
  <c r="AI475" i="13"/>
  <c r="AH475" i="13"/>
  <c r="AG475" i="13"/>
  <c r="AF475" i="13"/>
  <c r="F475" i="13"/>
  <c r="AI474" i="13"/>
  <c r="AH474" i="13"/>
  <c r="AG474" i="13" s="1"/>
  <c r="AF474" i="13"/>
  <c r="F474" i="13"/>
  <c r="AI473" i="13"/>
  <c r="AH473" i="13"/>
  <c r="AG473" i="13" s="1"/>
  <c r="AF473" i="13"/>
  <c r="F473" i="13"/>
  <c r="AI472" i="13"/>
  <c r="AH472" i="13"/>
  <c r="AG472" i="13" s="1"/>
  <c r="AF472" i="13"/>
  <c r="F472" i="13"/>
  <c r="AI471" i="13"/>
  <c r="AH471" i="13"/>
  <c r="AG471" i="13" s="1"/>
  <c r="AF471" i="13"/>
  <c r="F471" i="13"/>
  <c r="AI470" i="13"/>
  <c r="AH470" i="13"/>
  <c r="AG470" i="13"/>
  <c r="AF470" i="13"/>
  <c r="F470" i="13"/>
  <c r="AI469" i="13"/>
  <c r="AH469" i="13"/>
  <c r="AG469" i="13"/>
  <c r="AF469" i="13"/>
  <c r="F469" i="13"/>
  <c r="AI468" i="13"/>
  <c r="AH468" i="13"/>
  <c r="AG468" i="13"/>
  <c r="AF468" i="13"/>
  <c r="F468" i="13"/>
  <c r="AI467" i="13"/>
  <c r="AH467" i="13"/>
  <c r="AG467" i="13" s="1"/>
  <c r="AF467" i="13"/>
  <c r="F467" i="13"/>
  <c r="AI466" i="13"/>
  <c r="AH466" i="13"/>
  <c r="AG466" i="13" s="1"/>
  <c r="AF466" i="13"/>
  <c r="F466" i="13"/>
  <c r="AI465" i="13"/>
  <c r="AH465" i="13"/>
  <c r="AG465" i="13" s="1"/>
  <c r="AF465" i="13"/>
  <c r="F465" i="13"/>
  <c r="AI464" i="13"/>
  <c r="AH464" i="13"/>
  <c r="AG464" i="13" s="1"/>
  <c r="AF464" i="13"/>
  <c r="F464" i="13"/>
  <c r="AI463" i="13"/>
  <c r="AH463" i="13"/>
  <c r="AG463" i="13" s="1"/>
  <c r="AF463" i="13"/>
  <c r="F463" i="13"/>
  <c r="AI462" i="13"/>
  <c r="AH462" i="13"/>
  <c r="AG462" i="13"/>
  <c r="AF462" i="13"/>
  <c r="F462" i="13"/>
  <c r="AI461" i="13"/>
  <c r="AH461" i="13"/>
  <c r="AG461" i="13"/>
  <c r="AF461" i="13"/>
  <c r="F461" i="13"/>
  <c r="AI460" i="13"/>
  <c r="AH460" i="13"/>
  <c r="AG460" i="13"/>
  <c r="AF460" i="13"/>
  <c r="F460" i="13"/>
  <c r="AI459" i="13"/>
  <c r="AH459" i="13"/>
  <c r="AG459" i="13" s="1"/>
  <c r="AF459" i="13"/>
  <c r="F459" i="13"/>
  <c r="AI458" i="13"/>
  <c r="AH458" i="13"/>
  <c r="AG458" i="13" s="1"/>
  <c r="AF458" i="13"/>
  <c r="F458" i="13"/>
  <c r="AI457" i="13"/>
  <c r="AH457" i="13"/>
  <c r="AG457" i="13" s="1"/>
  <c r="AF457" i="13"/>
  <c r="F457" i="13"/>
  <c r="AI456" i="13"/>
  <c r="AH456" i="13"/>
  <c r="AG456" i="13" s="1"/>
  <c r="AF456" i="13"/>
  <c r="F456" i="13"/>
  <c r="AI455" i="13"/>
  <c r="AH455" i="13"/>
  <c r="AG455" i="13" s="1"/>
  <c r="AF455" i="13"/>
  <c r="F455" i="13"/>
  <c r="AI454" i="13"/>
  <c r="AH454" i="13"/>
  <c r="AG454" i="13"/>
  <c r="AF454" i="13"/>
  <c r="F454" i="13"/>
  <c r="AI453" i="13"/>
  <c r="AH453" i="13"/>
  <c r="AG453" i="13"/>
  <c r="AF453" i="13"/>
  <c r="F453" i="13"/>
  <c r="AI452" i="13"/>
  <c r="AH452" i="13"/>
  <c r="AG452" i="13"/>
  <c r="AF452" i="13"/>
  <c r="F452" i="13"/>
  <c r="AI451" i="13"/>
  <c r="AH451" i="13"/>
  <c r="AG451" i="13" s="1"/>
  <c r="AF451" i="13"/>
  <c r="F451" i="13"/>
  <c r="AI450" i="13"/>
  <c r="AH450" i="13"/>
  <c r="AG450" i="13" s="1"/>
  <c r="AF450" i="13"/>
  <c r="F450" i="13"/>
  <c r="AI449" i="13"/>
  <c r="AH449" i="13"/>
  <c r="AG449" i="13" s="1"/>
  <c r="AF449" i="13"/>
  <c r="F449" i="13"/>
  <c r="AI448" i="13"/>
  <c r="AH448" i="13"/>
  <c r="AG448" i="13" s="1"/>
  <c r="AF448" i="13"/>
  <c r="F448" i="13"/>
  <c r="AI447" i="13"/>
  <c r="AH447" i="13"/>
  <c r="AG447" i="13" s="1"/>
  <c r="AF447" i="13"/>
  <c r="F447" i="13"/>
  <c r="AI446" i="13"/>
  <c r="AH446" i="13"/>
  <c r="AG446" i="13"/>
  <c r="AF446" i="13"/>
  <c r="F446" i="13"/>
  <c r="AI445" i="13"/>
  <c r="AH445" i="13"/>
  <c r="AG445" i="13"/>
  <c r="AF445" i="13"/>
  <c r="F445" i="13"/>
  <c r="AI444" i="13"/>
  <c r="AH444" i="13"/>
  <c r="AG444" i="13"/>
  <c r="AF444" i="13"/>
  <c r="F444" i="13"/>
  <c r="AI443" i="13"/>
  <c r="AH443" i="13"/>
  <c r="AG443" i="13" s="1"/>
  <c r="AF443" i="13"/>
  <c r="F443" i="13"/>
  <c r="AI442" i="13"/>
  <c r="AH442" i="13"/>
  <c r="AG442" i="13" s="1"/>
  <c r="AF442" i="13"/>
  <c r="F442" i="13"/>
  <c r="AI441" i="13"/>
  <c r="AH441" i="13"/>
  <c r="AG441" i="13" s="1"/>
  <c r="AF441" i="13"/>
  <c r="F441" i="13"/>
  <c r="AI440" i="13"/>
  <c r="AH440" i="13"/>
  <c r="AG440" i="13" s="1"/>
  <c r="AF440" i="13"/>
  <c r="F440" i="13"/>
  <c r="AI439" i="13"/>
  <c r="AH439" i="13"/>
  <c r="AG439" i="13" s="1"/>
  <c r="AF439" i="13"/>
  <c r="F439" i="13"/>
  <c r="AI438" i="13"/>
  <c r="AH438" i="13"/>
  <c r="AG438" i="13"/>
  <c r="AF438" i="13"/>
  <c r="F438" i="13"/>
  <c r="AI437" i="13"/>
  <c r="AH437" i="13"/>
  <c r="AG437" i="13"/>
  <c r="AF437" i="13"/>
  <c r="F437" i="13"/>
  <c r="AI436" i="13"/>
  <c r="AH436" i="13"/>
  <c r="AG436" i="13"/>
  <c r="AF436" i="13"/>
  <c r="F436" i="13"/>
  <c r="AI435" i="13"/>
  <c r="AH435" i="13"/>
  <c r="AG435" i="13" s="1"/>
  <c r="AF435" i="13"/>
  <c r="F435" i="13"/>
  <c r="AI434" i="13"/>
  <c r="AH434" i="13"/>
  <c r="AG434" i="13" s="1"/>
  <c r="AF434" i="13"/>
  <c r="F434" i="13"/>
  <c r="AI433" i="13"/>
  <c r="AH433" i="13"/>
  <c r="AG433" i="13" s="1"/>
  <c r="AF433" i="13"/>
  <c r="F433" i="13"/>
  <c r="AI432" i="13"/>
  <c r="AH432" i="13"/>
  <c r="AG432" i="13" s="1"/>
  <c r="AF432" i="13"/>
  <c r="F432" i="13"/>
  <c r="AI431" i="13"/>
  <c r="AH431" i="13"/>
  <c r="AG431" i="13" s="1"/>
  <c r="AF431" i="13"/>
  <c r="F431" i="13"/>
  <c r="AI430" i="13"/>
  <c r="AH430" i="13"/>
  <c r="AG430" i="13"/>
  <c r="AF430" i="13"/>
  <c r="F430" i="13"/>
  <c r="AI429" i="13"/>
  <c r="AH429" i="13"/>
  <c r="AG429" i="13"/>
  <c r="AF429" i="13"/>
  <c r="F429" i="13"/>
  <c r="AI428" i="13"/>
  <c r="AH428" i="13"/>
  <c r="AG428" i="13"/>
  <c r="AF428" i="13"/>
  <c r="F428" i="13"/>
  <c r="AI427" i="13"/>
  <c r="AH427" i="13"/>
  <c r="AG427" i="13" s="1"/>
  <c r="AF427" i="13"/>
  <c r="F427" i="13"/>
  <c r="AI426" i="13"/>
  <c r="AH426" i="13"/>
  <c r="AG426" i="13" s="1"/>
  <c r="AF426" i="13"/>
  <c r="F426" i="13"/>
  <c r="AI425" i="13"/>
  <c r="AH425" i="13"/>
  <c r="AG425" i="13" s="1"/>
  <c r="AF425" i="13"/>
  <c r="F425" i="13"/>
  <c r="AI424" i="13"/>
  <c r="AH424" i="13"/>
  <c r="AG424" i="13" s="1"/>
  <c r="AF424" i="13"/>
  <c r="F424" i="13"/>
  <c r="AI423" i="13"/>
  <c r="AH423" i="13"/>
  <c r="AG423" i="13" s="1"/>
  <c r="AF423" i="13"/>
  <c r="F423" i="13"/>
  <c r="AI422" i="13"/>
  <c r="AH422" i="13"/>
  <c r="AG422" i="13"/>
  <c r="AF422" i="13"/>
  <c r="F422" i="13"/>
  <c r="AI421" i="13"/>
  <c r="AH421" i="13"/>
  <c r="AG421" i="13"/>
  <c r="AF421" i="13"/>
  <c r="F421" i="13"/>
  <c r="AI420" i="13"/>
  <c r="AH420" i="13"/>
  <c r="AG420" i="13"/>
  <c r="AF420" i="13"/>
  <c r="F420" i="13"/>
  <c r="AI419" i="13"/>
  <c r="AH419" i="13"/>
  <c r="AG419" i="13" s="1"/>
  <c r="AF419" i="13"/>
  <c r="F419" i="13"/>
  <c r="AI418" i="13"/>
  <c r="AH418" i="13"/>
  <c r="AG418" i="13" s="1"/>
  <c r="AF418" i="13"/>
  <c r="F418" i="13"/>
  <c r="AI417" i="13"/>
  <c r="AH417" i="13"/>
  <c r="AG417" i="13" s="1"/>
  <c r="AF417" i="13"/>
  <c r="F417" i="13"/>
  <c r="AI416" i="13"/>
  <c r="AH416" i="13"/>
  <c r="AG416" i="13" s="1"/>
  <c r="AF416" i="13"/>
  <c r="F416" i="13"/>
  <c r="AI415" i="13"/>
  <c r="AH415" i="13"/>
  <c r="AG415" i="13" s="1"/>
  <c r="AF415" i="13"/>
  <c r="F415" i="13"/>
  <c r="AI414" i="13"/>
  <c r="AH414" i="13"/>
  <c r="AG414" i="13"/>
  <c r="AF414" i="13"/>
  <c r="F414" i="13"/>
  <c r="AI413" i="13"/>
  <c r="AH413" i="13"/>
  <c r="AG413" i="13"/>
  <c r="AF413" i="13"/>
  <c r="F413" i="13"/>
  <c r="AI412" i="13"/>
  <c r="AH412" i="13"/>
  <c r="AG412" i="13"/>
  <c r="AF412" i="13"/>
  <c r="F412" i="13"/>
  <c r="AI411" i="13"/>
  <c r="AH411" i="13"/>
  <c r="AG411" i="13" s="1"/>
  <c r="AF411" i="13"/>
  <c r="F411" i="13"/>
  <c r="AI410" i="13"/>
  <c r="AH410" i="13"/>
  <c r="AG410" i="13" s="1"/>
  <c r="AF410" i="13"/>
  <c r="F410" i="13"/>
  <c r="AI409" i="13"/>
  <c r="AH409" i="13"/>
  <c r="AG409" i="13" s="1"/>
  <c r="AF409" i="13"/>
  <c r="F409" i="13"/>
  <c r="AI408" i="13"/>
  <c r="AH408" i="13"/>
  <c r="AG408" i="13" s="1"/>
  <c r="AF408" i="13"/>
  <c r="F408" i="13"/>
  <c r="AI407" i="13"/>
  <c r="AH407" i="13"/>
  <c r="AG407" i="13" s="1"/>
  <c r="AF407" i="13"/>
  <c r="F407" i="13"/>
  <c r="AI406" i="13"/>
  <c r="AH406" i="13"/>
  <c r="AG406" i="13"/>
  <c r="AF406" i="13"/>
  <c r="F406" i="13"/>
  <c r="AI405" i="13"/>
  <c r="AH405" i="13"/>
  <c r="AG405" i="13"/>
  <c r="AF405" i="13"/>
  <c r="F405" i="13"/>
  <c r="AI404" i="13"/>
  <c r="AH404" i="13"/>
  <c r="AG404" i="13"/>
  <c r="AF404" i="13"/>
  <c r="F404" i="13"/>
  <c r="AI403" i="13"/>
  <c r="AH403" i="13"/>
  <c r="AG403" i="13" s="1"/>
  <c r="AF403" i="13"/>
  <c r="F403" i="13"/>
  <c r="AI402" i="13"/>
  <c r="AH402" i="13"/>
  <c r="AG402" i="13" s="1"/>
  <c r="AF402" i="13"/>
  <c r="F402" i="13"/>
  <c r="AI401" i="13"/>
  <c r="AH401" i="13"/>
  <c r="AG401" i="13" s="1"/>
  <c r="AF401" i="13"/>
  <c r="F401" i="13"/>
  <c r="AI400" i="13"/>
  <c r="AH400" i="13"/>
  <c r="AG400" i="13" s="1"/>
  <c r="AF400" i="13"/>
  <c r="F400" i="13"/>
  <c r="AI399" i="13"/>
  <c r="AH399" i="13"/>
  <c r="AG399" i="13" s="1"/>
  <c r="AF399" i="13"/>
  <c r="F399" i="13"/>
  <c r="AI398" i="13"/>
  <c r="AH398" i="13"/>
  <c r="AG398" i="13"/>
  <c r="AF398" i="13"/>
  <c r="F398" i="13"/>
  <c r="AI397" i="13"/>
  <c r="AH397" i="13"/>
  <c r="AG397" i="13"/>
  <c r="AF397" i="13"/>
  <c r="F397" i="13"/>
  <c r="AI396" i="13"/>
  <c r="AH396" i="13"/>
  <c r="AG396" i="13"/>
  <c r="AF396" i="13"/>
  <c r="F396" i="13"/>
  <c r="AI395" i="13"/>
  <c r="AH395" i="13"/>
  <c r="AG395" i="13" s="1"/>
  <c r="AF395" i="13"/>
  <c r="F395" i="13"/>
  <c r="AI394" i="13"/>
  <c r="AH394" i="13"/>
  <c r="AG394" i="13" s="1"/>
  <c r="AF394" i="13"/>
  <c r="F394" i="13"/>
  <c r="AI393" i="13"/>
  <c r="AH393" i="13"/>
  <c r="AG393" i="13" s="1"/>
  <c r="AF393" i="13"/>
  <c r="F393" i="13"/>
  <c r="AI392" i="13"/>
  <c r="AH392" i="13"/>
  <c r="AG392" i="13" s="1"/>
  <c r="AF392" i="13"/>
  <c r="F392" i="13"/>
  <c r="AI391" i="13"/>
  <c r="AH391" i="13"/>
  <c r="AG391" i="13" s="1"/>
  <c r="AF391" i="13"/>
  <c r="F391" i="13"/>
  <c r="AI390" i="13"/>
  <c r="AH390" i="13"/>
  <c r="AG390" i="13"/>
  <c r="AF390" i="13"/>
  <c r="F390" i="13"/>
  <c r="AI389" i="13"/>
  <c r="AH389" i="13"/>
  <c r="AG389" i="13"/>
  <c r="AF389" i="13"/>
  <c r="F389" i="13"/>
  <c r="AI388" i="13"/>
  <c r="AH388" i="13"/>
  <c r="AG388" i="13"/>
  <c r="AF388" i="13"/>
  <c r="F388" i="13"/>
  <c r="AI387" i="13"/>
  <c r="AH387" i="13"/>
  <c r="AG387" i="13" s="1"/>
  <c r="AF387" i="13"/>
  <c r="F387" i="13"/>
  <c r="AI386" i="13"/>
  <c r="AH386" i="13"/>
  <c r="AG386" i="13" s="1"/>
  <c r="AF386" i="13"/>
  <c r="F386" i="13"/>
  <c r="AI385" i="13"/>
  <c r="AH385" i="13"/>
  <c r="AG385" i="13" s="1"/>
  <c r="AF385" i="13"/>
  <c r="F385" i="13"/>
  <c r="AI384" i="13"/>
  <c r="AH384" i="13"/>
  <c r="AG384" i="13" s="1"/>
  <c r="AF384" i="13"/>
  <c r="F384" i="13"/>
  <c r="AI383" i="13"/>
  <c r="AH383" i="13"/>
  <c r="AG383" i="13" s="1"/>
  <c r="AF383" i="13"/>
  <c r="F383" i="13"/>
  <c r="AI382" i="13"/>
  <c r="AH382" i="13"/>
  <c r="AG382" i="13"/>
  <c r="AF382" i="13"/>
  <c r="F382" i="13"/>
  <c r="AI381" i="13"/>
  <c r="AH381" i="13"/>
  <c r="AG381" i="13"/>
  <c r="AF381" i="13"/>
  <c r="F381" i="13"/>
  <c r="AI380" i="13"/>
  <c r="AH380" i="13"/>
  <c r="AG380" i="13"/>
  <c r="AF380" i="13"/>
  <c r="F380" i="13"/>
  <c r="AI379" i="13"/>
  <c r="AH379" i="13"/>
  <c r="AG379" i="13" s="1"/>
  <c r="AF379" i="13"/>
  <c r="F379" i="13"/>
  <c r="AI378" i="13"/>
  <c r="AH378" i="13"/>
  <c r="AG378" i="13" s="1"/>
  <c r="AF378" i="13"/>
  <c r="F378" i="13"/>
  <c r="AI377" i="13"/>
  <c r="AH377" i="13"/>
  <c r="AG377" i="13" s="1"/>
  <c r="AF377" i="13"/>
  <c r="F377" i="13"/>
  <c r="AI376" i="13"/>
  <c r="AH376" i="13"/>
  <c r="AG376" i="13" s="1"/>
  <c r="AF376" i="13"/>
  <c r="F376" i="13"/>
  <c r="AI375" i="13"/>
  <c r="AH375" i="13"/>
  <c r="AG375" i="13" s="1"/>
  <c r="AF375" i="13"/>
  <c r="F375" i="13"/>
  <c r="AI374" i="13"/>
  <c r="AH374" i="13"/>
  <c r="AG374" i="13"/>
  <c r="AF374" i="13"/>
  <c r="F374" i="13"/>
  <c r="AI373" i="13"/>
  <c r="AH373" i="13"/>
  <c r="AG373" i="13"/>
  <c r="AF373" i="13"/>
  <c r="F373" i="13"/>
  <c r="AI372" i="13"/>
  <c r="AH372" i="13"/>
  <c r="AG372" i="13"/>
  <c r="AF372" i="13"/>
  <c r="F372" i="13"/>
  <c r="AI371" i="13"/>
  <c r="AH371" i="13"/>
  <c r="AG371" i="13" s="1"/>
  <c r="AF371" i="13"/>
  <c r="F371" i="13"/>
  <c r="AI370" i="13"/>
  <c r="AH370" i="13"/>
  <c r="AG370" i="13" s="1"/>
  <c r="AF370" i="13"/>
  <c r="F370" i="13"/>
  <c r="AI369" i="13"/>
  <c r="AH369" i="13"/>
  <c r="AG369" i="13" s="1"/>
  <c r="AF369" i="13"/>
  <c r="F369" i="13"/>
  <c r="AI368" i="13"/>
  <c r="AH368" i="13"/>
  <c r="AG368" i="13" s="1"/>
  <c r="AF368" i="13"/>
  <c r="F368" i="13"/>
  <c r="AI367" i="13"/>
  <c r="AH367" i="13"/>
  <c r="AG367" i="13" s="1"/>
  <c r="AF367" i="13"/>
  <c r="F367" i="13"/>
  <c r="AI366" i="13"/>
  <c r="AH366" i="13"/>
  <c r="AG366" i="13"/>
  <c r="AF366" i="13"/>
  <c r="F366" i="13"/>
  <c r="AI365" i="13"/>
  <c r="AH365" i="13"/>
  <c r="AG365" i="13"/>
  <c r="AF365" i="13"/>
  <c r="F365" i="13"/>
  <c r="AI364" i="13"/>
  <c r="AH364" i="13"/>
  <c r="AG364" i="13"/>
  <c r="AF364" i="13"/>
  <c r="F364" i="13"/>
  <c r="AI363" i="13"/>
  <c r="AH363" i="13"/>
  <c r="AG363" i="13"/>
  <c r="AF363" i="13"/>
  <c r="F363" i="13"/>
  <c r="AI362" i="13"/>
  <c r="AH362" i="13"/>
  <c r="AG362" i="13" s="1"/>
  <c r="AF362" i="13"/>
  <c r="F362" i="13"/>
  <c r="AI361" i="13"/>
  <c r="AH361" i="13"/>
  <c r="AG361" i="13" s="1"/>
  <c r="AF361" i="13"/>
  <c r="F361" i="13"/>
  <c r="AI360" i="13"/>
  <c r="AH360" i="13"/>
  <c r="AG360" i="13" s="1"/>
  <c r="AF360" i="13"/>
  <c r="F360" i="13"/>
  <c r="AI359" i="13"/>
  <c r="AH359" i="13"/>
  <c r="AG359" i="13"/>
  <c r="AF359" i="13"/>
  <c r="F359" i="13"/>
  <c r="AI358" i="13"/>
  <c r="AH358" i="13"/>
  <c r="AG358" i="13"/>
  <c r="AF358" i="13"/>
  <c r="F358" i="13"/>
  <c r="AI357" i="13"/>
  <c r="AH357" i="13"/>
  <c r="AG357" i="13"/>
  <c r="AF357" i="13"/>
  <c r="F357" i="13"/>
  <c r="AI356" i="13"/>
  <c r="AH356" i="13"/>
  <c r="AG356" i="13"/>
  <c r="AF356" i="13"/>
  <c r="F356" i="13"/>
  <c r="AI355" i="13"/>
  <c r="AH355" i="13"/>
  <c r="AG355" i="13"/>
  <c r="AF355" i="13"/>
  <c r="F355" i="13"/>
  <c r="AI354" i="13"/>
  <c r="AH354" i="13"/>
  <c r="AG354" i="13" s="1"/>
  <c r="AF354" i="13"/>
  <c r="F354" i="13"/>
  <c r="AI353" i="13"/>
  <c r="AH353" i="13"/>
  <c r="AG353" i="13" s="1"/>
  <c r="AF353" i="13"/>
  <c r="F353" i="13"/>
  <c r="AI352" i="13"/>
  <c r="AH352" i="13"/>
  <c r="AG352" i="13" s="1"/>
  <c r="AF352" i="13"/>
  <c r="F352" i="13"/>
  <c r="AI351" i="13"/>
  <c r="AH351" i="13"/>
  <c r="AG351" i="13"/>
  <c r="AF351" i="13"/>
  <c r="F351" i="13"/>
  <c r="AI350" i="13"/>
  <c r="AH350" i="13"/>
  <c r="AG350" i="13"/>
  <c r="AF350" i="13"/>
  <c r="F350" i="13"/>
  <c r="AI349" i="13"/>
  <c r="AH349" i="13"/>
  <c r="AG349" i="13"/>
  <c r="AF349" i="13"/>
  <c r="F349" i="13"/>
  <c r="AI348" i="13"/>
  <c r="AH348" i="13"/>
  <c r="AG348" i="13"/>
  <c r="AF348" i="13"/>
  <c r="F348" i="13"/>
  <c r="AI347" i="13"/>
  <c r="AH347" i="13"/>
  <c r="AG347" i="13" s="1"/>
  <c r="AF347" i="13"/>
  <c r="F347" i="13"/>
  <c r="AI346" i="13"/>
  <c r="AH346" i="13"/>
  <c r="AG346" i="13" s="1"/>
  <c r="AF346" i="13"/>
  <c r="F346" i="13"/>
  <c r="AI345" i="13"/>
  <c r="AH345" i="13"/>
  <c r="AG345" i="13" s="1"/>
  <c r="AF345" i="13"/>
  <c r="F345" i="13"/>
  <c r="AI344" i="13"/>
  <c r="AH344" i="13"/>
  <c r="AG344" i="13" s="1"/>
  <c r="AF344" i="13"/>
  <c r="F344" i="13"/>
  <c r="AI343" i="13"/>
  <c r="AH343" i="13"/>
  <c r="AG343" i="13"/>
  <c r="AF343" i="13"/>
  <c r="F343" i="13"/>
  <c r="AI342" i="13"/>
  <c r="AH342" i="13"/>
  <c r="AG342" i="13"/>
  <c r="AF342" i="13"/>
  <c r="F342" i="13"/>
  <c r="AI341" i="13"/>
  <c r="AH341" i="13"/>
  <c r="AG341" i="13"/>
  <c r="AF341" i="13"/>
  <c r="F341" i="13"/>
  <c r="AI340" i="13"/>
  <c r="AH340" i="13"/>
  <c r="AG340" i="13"/>
  <c r="AF340" i="13"/>
  <c r="F340" i="13"/>
  <c r="AI339" i="13"/>
  <c r="AH339" i="13"/>
  <c r="AG339" i="13" s="1"/>
  <c r="AF339" i="13"/>
  <c r="F339" i="13"/>
  <c r="AI338" i="13"/>
  <c r="AH338" i="13"/>
  <c r="AG338" i="13" s="1"/>
  <c r="AF338" i="13"/>
  <c r="F338" i="13"/>
  <c r="AI337" i="13"/>
  <c r="AH337" i="13"/>
  <c r="AG337" i="13" s="1"/>
  <c r="AF337" i="13"/>
  <c r="F337" i="13"/>
  <c r="AI336" i="13"/>
  <c r="AH336" i="13"/>
  <c r="AG336" i="13" s="1"/>
  <c r="AF336" i="13"/>
  <c r="F336" i="13"/>
  <c r="AI335" i="13"/>
  <c r="AH335" i="13"/>
  <c r="AG335" i="13"/>
  <c r="AF335" i="13"/>
  <c r="F335" i="13"/>
  <c r="AI334" i="13"/>
  <c r="AH334" i="13"/>
  <c r="AG334" i="13"/>
  <c r="AF334" i="13"/>
  <c r="F334" i="13"/>
  <c r="AI333" i="13"/>
  <c r="AH333" i="13"/>
  <c r="AG333" i="13"/>
  <c r="AF333" i="13"/>
  <c r="F333" i="13"/>
  <c r="AI332" i="13"/>
  <c r="AH332" i="13"/>
  <c r="AG332" i="13"/>
  <c r="AF332" i="13"/>
  <c r="F332" i="13"/>
  <c r="AI331" i="13"/>
  <c r="AH331" i="13"/>
  <c r="AG331" i="13" s="1"/>
  <c r="AF331" i="13"/>
  <c r="F331" i="13"/>
  <c r="AI330" i="13"/>
  <c r="AH330" i="13"/>
  <c r="AG330" i="13" s="1"/>
  <c r="AF330" i="13"/>
  <c r="F330" i="13"/>
  <c r="AI329" i="13"/>
  <c r="AH329" i="13"/>
  <c r="AG329" i="13" s="1"/>
  <c r="AF329" i="13"/>
  <c r="F329" i="13"/>
  <c r="AI328" i="13"/>
  <c r="AH328" i="13"/>
  <c r="AG328" i="13" s="1"/>
  <c r="AF328" i="13"/>
  <c r="F328" i="13"/>
  <c r="AI327" i="13"/>
  <c r="AH327" i="13"/>
  <c r="AG327" i="13"/>
  <c r="AF327" i="13"/>
  <c r="F327" i="13"/>
  <c r="AI326" i="13"/>
  <c r="AH326" i="13"/>
  <c r="AG326" i="13"/>
  <c r="AF326" i="13"/>
  <c r="F326" i="13"/>
  <c r="AI325" i="13"/>
  <c r="AH325" i="13"/>
  <c r="AG325" i="13"/>
  <c r="AF325" i="13"/>
  <c r="F325" i="13"/>
  <c r="AI324" i="13"/>
  <c r="AH324" i="13"/>
  <c r="AG324" i="13"/>
  <c r="AF324" i="13"/>
  <c r="F324" i="13"/>
  <c r="AI323" i="13"/>
  <c r="AH323" i="13"/>
  <c r="AG323" i="13" s="1"/>
  <c r="AF323" i="13"/>
  <c r="F323" i="13"/>
  <c r="AI322" i="13"/>
  <c r="AH322" i="13"/>
  <c r="AG322" i="13" s="1"/>
  <c r="AF322" i="13"/>
  <c r="F322" i="13"/>
  <c r="AI321" i="13"/>
  <c r="AH321" i="13"/>
  <c r="AG321" i="13" s="1"/>
  <c r="AF321" i="13"/>
  <c r="F321" i="13"/>
  <c r="AI320" i="13"/>
  <c r="AH320" i="13"/>
  <c r="AG320" i="13" s="1"/>
  <c r="AF320" i="13"/>
  <c r="F320" i="13"/>
  <c r="AI319" i="13"/>
  <c r="AH319" i="13"/>
  <c r="AG319" i="13"/>
  <c r="AF319" i="13"/>
  <c r="F319" i="13"/>
  <c r="AI318" i="13"/>
  <c r="AH318" i="13"/>
  <c r="AG318" i="13"/>
  <c r="AF318" i="13"/>
  <c r="F318" i="13"/>
  <c r="AI317" i="13"/>
  <c r="AH317" i="13"/>
  <c r="AG317" i="13"/>
  <c r="AF317" i="13"/>
  <c r="F317" i="13"/>
  <c r="AI316" i="13"/>
  <c r="AH316" i="13"/>
  <c r="AG316" i="13"/>
  <c r="AF316" i="13"/>
  <c r="F316" i="13"/>
  <c r="AI315" i="13"/>
  <c r="AH315" i="13"/>
  <c r="AG315" i="13" s="1"/>
  <c r="AF315" i="13"/>
  <c r="F315" i="13"/>
  <c r="AI314" i="13"/>
  <c r="AH314" i="13"/>
  <c r="AG314" i="13" s="1"/>
  <c r="AF314" i="13"/>
  <c r="F314" i="13"/>
  <c r="AI313" i="13"/>
  <c r="AH313" i="13"/>
  <c r="AG313" i="13" s="1"/>
  <c r="AF313" i="13"/>
  <c r="F313" i="13"/>
  <c r="AI312" i="13"/>
  <c r="AH312" i="13"/>
  <c r="AG312" i="13" s="1"/>
  <c r="AF312" i="13"/>
  <c r="F312" i="13"/>
  <c r="AI311" i="13"/>
  <c r="AH311" i="13"/>
  <c r="AG311" i="13"/>
  <c r="AF311" i="13"/>
  <c r="F311" i="13"/>
  <c r="AI310" i="13"/>
  <c r="AH310" i="13"/>
  <c r="AG310" i="13"/>
  <c r="AF310" i="13"/>
  <c r="F310" i="13"/>
  <c r="AI309" i="13"/>
  <c r="AH309" i="13"/>
  <c r="AG309" i="13"/>
  <c r="AF309" i="13"/>
  <c r="F309" i="13"/>
  <c r="AI308" i="13"/>
  <c r="AH308" i="13"/>
  <c r="AG308" i="13"/>
  <c r="AF308" i="13"/>
  <c r="F308" i="13"/>
  <c r="AI307" i="13"/>
  <c r="AH307" i="13"/>
  <c r="AG307" i="13" s="1"/>
  <c r="AF307" i="13"/>
  <c r="F307" i="13"/>
  <c r="AI306" i="13"/>
  <c r="AH306" i="13"/>
  <c r="AG306" i="13" s="1"/>
  <c r="AF306" i="13"/>
  <c r="F306" i="13"/>
  <c r="AI305" i="13"/>
  <c r="AH305" i="13"/>
  <c r="AG305" i="13" s="1"/>
  <c r="AF305" i="13"/>
  <c r="F305" i="13"/>
  <c r="AI304" i="13"/>
  <c r="AH304" i="13"/>
  <c r="AG304" i="13" s="1"/>
  <c r="AF304" i="13"/>
  <c r="F304" i="13"/>
  <c r="AI303" i="13"/>
  <c r="AH303" i="13"/>
  <c r="AG303" i="13"/>
  <c r="AF303" i="13"/>
  <c r="F303" i="13"/>
  <c r="AI302" i="13"/>
  <c r="AH302" i="13"/>
  <c r="AG302" i="13"/>
  <c r="AF302" i="13"/>
  <c r="F302" i="13"/>
  <c r="AI301" i="13"/>
  <c r="AH301" i="13"/>
  <c r="AG301" i="13"/>
  <c r="AF301" i="13"/>
  <c r="F301" i="13"/>
  <c r="AI300" i="13"/>
  <c r="AH300" i="13"/>
  <c r="AG300" i="13"/>
  <c r="AF300" i="13"/>
  <c r="F300" i="13"/>
  <c r="AI299" i="13"/>
  <c r="AH299" i="13"/>
  <c r="AG299" i="13" s="1"/>
  <c r="AF299" i="13"/>
  <c r="F299" i="13"/>
  <c r="AI298" i="13"/>
  <c r="AH298" i="13"/>
  <c r="AG298" i="13" s="1"/>
  <c r="AF298" i="13"/>
  <c r="F298" i="13"/>
  <c r="AI297" i="13"/>
  <c r="AH297" i="13"/>
  <c r="AG297" i="13" s="1"/>
  <c r="AF297" i="13"/>
  <c r="F297" i="13"/>
  <c r="AI296" i="13"/>
  <c r="AH296" i="13"/>
  <c r="AG296" i="13" s="1"/>
  <c r="AF296" i="13"/>
  <c r="F296" i="13"/>
  <c r="AI295" i="13"/>
  <c r="AH295" i="13"/>
  <c r="AG295" i="13"/>
  <c r="AF295" i="13"/>
  <c r="F295" i="13"/>
  <c r="AI294" i="13"/>
  <c r="AH294" i="13"/>
  <c r="AG294" i="13"/>
  <c r="AF294" i="13"/>
  <c r="F294" i="13"/>
  <c r="AI293" i="13"/>
  <c r="AH293" i="13"/>
  <c r="AG293" i="13"/>
  <c r="AF293" i="13"/>
  <c r="F293" i="13"/>
  <c r="AI292" i="13"/>
  <c r="AH292" i="13"/>
  <c r="AG292" i="13"/>
  <c r="AF292" i="13"/>
  <c r="F292" i="13"/>
  <c r="AI291" i="13"/>
  <c r="AH291" i="13"/>
  <c r="AG291" i="13" s="1"/>
  <c r="AF291" i="13"/>
  <c r="F291" i="13"/>
  <c r="AI290" i="13"/>
  <c r="AH290" i="13"/>
  <c r="AG290" i="13" s="1"/>
  <c r="AF290" i="13"/>
  <c r="F290" i="13"/>
  <c r="AI289" i="13"/>
  <c r="AH289" i="13"/>
  <c r="AG289" i="13" s="1"/>
  <c r="AF289" i="13"/>
  <c r="F289" i="13"/>
  <c r="AI288" i="13"/>
  <c r="AH288" i="13"/>
  <c r="AG288" i="13" s="1"/>
  <c r="AF288" i="13"/>
  <c r="F288" i="13"/>
  <c r="AI287" i="13"/>
  <c r="AH287" i="13"/>
  <c r="AG287" i="13"/>
  <c r="AF287" i="13"/>
  <c r="F287" i="13"/>
  <c r="AI286" i="13"/>
  <c r="AH286" i="13"/>
  <c r="AG286" i="13"/>
  <c r="AF286" i="13"/>
  <c r="F286" i="13"/>
  <c r="AI285" i="13"/>
  <c r="AH285" i="13"/>
  <c r="AG285" i="13"/>
  <c r="AF285" i="13"/>
  <c r="F285" i="13"/>
  <c r="AI284" i="13"/>
  <c r="AH284" i="13"/>
  <c r="AG284" i="13"/>
  <c r="AF284" i="13"/>
  <c r="F284" i="13"/>
  <c r="AI283" i="13"/>
  <c r="AH283" i="13"/>
  <c r="AG283" i="13" s="1"/>
  <c r="AF283" i="13"/>
  <c r="F283" i="13"/>
  <c r="AI282" i="13"/>
  <c r="AH282" i="13"/>
  <c r="AG282" i="13" s="1"/>
  <c r="AF282" i="13"/>
  <c r="F282" i="13"/>
  <c r="AI281" i="13"/>
  <c r="AH281" i="13"/>
  <c r="AG281" i="13" s="1"/>
  <c r="AF281" i="13"/>
  <c r="F281" i="13"/>
  <c r="AI280" i="13"/>
  <c r="AH280" i="13"/>
  <c r="AG280" i="13" s="1"/>
  <c r="AF280" i="13"/>
  <c r="F280" i="13"/>
  <c r="AI279" i="13"/>
  <c r="AH279" i="13"/>
  <c r="AG279" i="13"/>
  <c r="AF279" i="13"/>
  <c r="F279" i="13"/>
  <c r="AI278" i="13"/>
  <c r="AH278" i="13"/>
  <c r="AG278" i="13"/>
  <c r="AF278" i="13"/>
  <c r="F278" i="13"/>
  <c r="AI277" i="13"/>
  <c r="AH277" i="13"/>
  <c r="AG277" i="13"/>
  <c r="AF277" i="13"/>
  <c r="F277" i="13"/>
  <c r="AI276" i="13"/>
  <c r="AH276" i="13"/>
  <c r="AG276" i="13"/>
  <c r="AF276" i="13"/>
  <c r="F276" i="13"/>
  <c r="AI275" i="13"/>
  <c r="AH275" i="13"/>
  <c r="AG275" i="13" s="1"/>
  <c r="AF275" i="13"/>
  <c r="F275" i="13"/>
  <c r="AI274" i="13"/>
  <c r="AH274" i="13"/>
  <c r="AG274" i="13" s="1"/>
  <c r="AF274" i="13"/>
  <c r="F274" i="13"/>
  <c r="AI273" i="13"/>
  <c r="AH273" i="13"/>
  <c r="AG273" i="13" s="1"/>
  <c r="AF273" i="13"/>
  <c r="F273" i="13"/>
  <c r="AI272" i="13"/>
  <c r="AH272" i="13"/>
  <c r="AG272" i="13" s="1"/>
  <c r="AF272" i="13"/>
  <c r="F272" i="13"/>
  <c r="AI271" i="13"/>
  <c r="AH271" i="13"/>
  <c r="AG271" i="13"/>
  <c r="AF271" i="13"/>
  <c r="F271" i="13"/>
  <c r="AI270" i="13"/>
  <c r="AH270" i="13"/>
  <c r="AG270" i="13"/>
  <c r="AF270" i="13"/>
  <c r="F270" i="13"/>
  <c r="AI269" i="13"/>
  <c r="AH269" i="13"/>
  <c r="AG269" i="13"/>
  <c r="AF269" i="13"/>
  <c r="F269" i="13"/>
  <c r="AI268" i="13"/>
  <c r="AH268" i="13"/>
  <c r="AG268" i="13"/>
  <c r="AF268" i="13"/>
  <c r="F268" i="13"/>
  <c r="AI267" i="13"/>
  <c r="AH267" i="13"/>
  <c r="AG267" i="13" s="1"/>
  <c r="AF267" i="13"/>
  <c r="F267" i="13"/>
  <c r="AI266" i="13"/>
  <c r="AH266" i="13"/>
  <c r="AG266" i="13" s="1"/>
  <c r="AF266" i="13"/>
  <c r="F266" i="13"/>
  <c r="AI265" i="13"/>
  <c r="AH265" i="13"/>
  <c r="AG265" i="13" s="1"/>
  <c r="AF265" i="13"/>
  <c r="F265" i="13"/>
  <c r="AI264" i="13"/>
  <c r="AH264" i="13"/>
  <c r="AG264" i="13" s="1"/>
  <c r="AF264" i="13"/>
  <c r="F264" i="13"/>
  <c r="AI263" i="13"/>
  <c r="AH263" i="13"/>
  <c r="AG263" i="13"/>
  <c r="AF263" i="13"/>
  <c r="F263" i="13"/>
  <c r="AI262" i="13"/>
  <c r="AH262" i="13"/>
  <c r="AG262" i="13"/>
  <c r="AF262" i="13"/>
  <c r="F262" i="13"/>
  <c r="AI261" i="13"/>
  <c r="AH261" i="13"/>
  <c r="AG261" i="13"/>
  <c r="AF261" i="13"/>
  <c r="F261" i="13"/>
  <c r="AI260" i="13"/>
  <c r="AH260" i="13"/>
  <c r="AG260" i="13"/>
  <c r="AF260" i="13"/>
  <c r="F260" i="13"/>
  <c r="AI259" i="13"/>
  <c r="AH259" i="13"/>
  <c r="AG259" i="13" s="1"/>
  <c r="AF259" i="13"/>
  <c r="F259" i="13"/>
  <c r="AI258" i="13"/>
  <c r="AH258" i="13"/>
  <c r="AG258" i="13" s="1"/>
  <c r="AF258" i="13"/>
  <c r="F258" i="13"/>
  <c r="AI257" i="13"/>
  <c r="AH257" i="13"/>
  <c r="AG257" i="13" s="1"/>
  <c r="AF257" i="13"/>
  <c r="F257" i="13"/>
  <c r="AI256" i="13"/>
  <c r="AH256" i="13"/>
  <c r="AG256" i="13" s="1"/>
  <c r="AF256" i="13"/>
  <c r="F256" i="13"/>
  <c r="AI255" i="13"/>
  <c r="AH255" i="13"/>
  <c r="AG255" i="13"/>
  <c r="AF255" i="13"/>
  <c r="F255" i="13"/>
  <c r="AI254" i="13"/>
  <c r="AH254" i="13"/>
  <c r="AG254" i="13"/>
  <c r="AF254" i="13"/>
  <c r="F254" i="13"/>
  <c r="AI253" i="13"/>
  <c r="AH253" i="13"/>
  <c r="AG253" i="13"/>
  <c r="AF253" i="13"/>
  <c r="F253" i="13"/>
  <c r="AI252" i="13"/>
  <c r="AH252" i="13"/>
  <c r="AG252" i="13"/>
  <c r="AF252" i="13"/>
  <c r="F252" i="13"/>
  <c r="AI251" i="13"/>
  <c r="AH251" i="13"/>
  <c r="AG251" i="13" s="1"/>
  <c r="AF251" i="13"/>
  <c r="F251" i="13"/>
  <c r="AI250" i="13"/>
  <c r="AH250" i="13"/>
  <c r="AG250" i="13" s="1"/>
  <c r="AF250" i="13"/>
  <c r="F250" i="13"/>
  <c r="AI249" i="13"/>
  <c r="AH249" i="13"/>
  <c r="AG249" i="13" s="1"/>
  <c r="AF249" i="13"/>
  <c r="F249" i="13"/>
  <c r="AI248" i="13"/>
  <c r="AH248" i="13"/>
  <c r="AG248" i="13" s="1"/>
  <c r="AF248" i="13"/>
  <c r="F248" i="13"/>
  <c r="AI247" i="13"/>
  <c r="AH247" i="13"/>
  <c r="AG247" i="13"/>
  <c r="AF247" i="13"/>
  <c r="F247" i="13"/>
  <c r="AI246" i="13"/>
  <c r="AH246" i="13"/>
  <c r="AG246" i="13"/>
  <c r="AF246" i="13"/>
  <c r="F246" i="13"/>
  <c r="AI245" i="13"/>
  <c r="AH245" i="13"/>
  <c r="AG245" i="13"/>
  <c r="AF245" i="13"/>
  <c r="F245" i="13"/>
  <c r="AI244" i="13"/>
  <c r="AH244" i="13"/>
  <c r="AG244" i="13"/>
  <c r="AF244" i="13"/>
  <c r="F244" i="13"/>
  <c r="AI243" i="13"/>
  <c r="AH243" i="13"/>
  <c r="AG243" i="13" s="1"/>
  <c r="AF243" i="13"/>
  <c r="F243" i="13"/>
  <c r="AI242" i="13"/>
  <c r="AH242" i="13"/>
  <c r="AG242" i="13" s="1"/>
  <c r="AF242" i="13"/>
  <c r="F242" i="13"/>
  <c r="AI241" i="13"/>
  <c r="AH241" i="13"/>
  <c r="AG241" i="13" s="1"/>
  <c r="AF241" i="13"/>
  <c r="F241" i="13"/>
  <c r="AI240" i="13"/>
  <c r="AH240" i="13"/>
  <c r="AG240" i="13" s="1"/>
  <c r="AF240" i="13"/>
  <c r="F240" i="13"/>
  <c r="AI239" i="13"/>
  <c r="AH239" i="13"/>
  <c r="AG239" i="13"/>
  <c r="AF239" i="13"/>
  <c r="F239" i="13"/>
  <c r="AI238" i="13"/>
  <c r="AH238" i="13"/>
  <c r="AG238" i="13"/>
  <c r="AF238" i="13"/>
  <c r="F238" i="13"/>
  <c r="AI237" i="13"/>
  <c r="AH237" i="13"/>
  <c r="AG237" i="13"/>
  <c r="AF237" i="13"/>
  <c r="F237" i="13"/>
  <c r="AI236" i="13"/>
  <c r="AH236" i="13"/>
  <c r="AG236" i="13"/>
  <c r="AF236" i="13"/>
  <c r="F236" i="13"/>
  <c r="AI235" i="13"/>
  <c r="AH235" i="13"/>
  <c r="AG235" i="13" s="1"/>
  <c r="AF235" i="13"/>
  <c r="F235" i="13"/>
  <c r="AI234" i="13"/>
  <c r="AH234" i="13"/>
  <c r="AG234" i="13" s="1"/>
  <c r="AF234" i="13"/>
  <c r="F234" i="13"/>
  <c r="AI233" i="13"/>
  <c r="AH233" i="13"/>
  <c r="AG233" i="13" s="1"/>
  <c r="AF233" i="13"/>
  <c r="F233" i="13"/>
  <c r="AI232" i="13"/>
  <c r="AH232" i="13"/>
  <c r="AG232" i="13" s="1"/>
  <c r="AF232" i="13"/>
  <c r="F232" i="13"/>
  <c r="AI231" i="13"/>
  <c r="AH231" i="13"/>
  <c r="AG231" i="13"/>
  <c r="AF231" i="13"/>
  <c r="F231" i="13"/>
  <c r="AI230" i="13"/>
  <c r="AH230" i="13"/>
  <c r="AG230" i="13"/>
  <c r="AF230" i="13"/>
  <c r="F230" i="13"/>
  <c r="AI229" i="13"/>
  <c r="AH229" i="13"/>
  <c r="AG229" i="13"/>
  <c r="AF229" i="13"/>
  <c r="F229" i="13"/>
  <c r="AI228" i="13"/>
  <c r="AH228" i="13"/>
  <c r="AG228" i="13"/>
  <c r="AF228" i="13"/>
  <c r="F228" i="13"/>
  <c r="AI227" i="13"/>
  <c r="AH227" i="13"/>
  <c r="AG227" i="13" s="1"/>
  <c r="AF227" i="13"/>
  <c r="F227" i="13"/>
  <c r="AI226" i="13"/>
  <c r="AH226" i="13"/>
  <c r="AG226" i="13" s="1"/>
  <c r="AF226" i="13"/>
  <c r="F226" i="13"/>
  <c r="AI225" i="13"/>
  <c r="AH225" i="13"/>
  <c r="AG225" i="13" s="1"/>
  <c r="AF225" i="13"/>
  <c r="F225" i="13"/>
  <c r="AI224" i="13"/>
  <c r="AH224" i="13"/>
  <c r="AG224" i="13" s="1"/>
  <c r="AF224" i="13"/>
  <c r="F224" i="13"/>
  <c r="AI223" i="13"/>
  <c r="AH223" i="13"/>
  <c r="AG223" i="13"/>
  <c r="AF223" i="13"/>
  <c r="F223" i="13"/>
  <c r="AI222" i="13"/>
  <c r="AH222" i="13"/>
  <c r="AG222" i="13"/>
  <c r="AF222" i="13"/>
  <c r="F222" i="13"/>
  <c r="AI221" i="13"/>
  <c r="AH221" i="13"/>
  <c r="AG221" i="13"/>
  <c r="AF221" i="13"/>
  <c r="F221" i="13"/>
  <c r="AI220" i="13"/>
  <c r="AH220" i="13"/>
  <c r="AG220" i="13"/>
  <c r="AF220" i="13"/>
  <c r="F220" i="13"/>
  <c r="AI219" i="13"/>
  <c r="AH219" i="13"/>
  <c r="AG219" i="13" s="1"/>
  <c r="AF219" i="13"/>
  <c r="F219" i="13"/>
  <c r="AI218" i="13"/>
  <c r="AH218" i="13"/>
  <c r="AG218" i="13" s="1"/>
  <c r="AF218" i="13"/>
  <c r="F218" i="13"/>
  <c r="AI217" i="13"/>
  <c r="AH217" i="13"/>
  <c r="AG217" i="13" s="1"/>
  <c r="AF217" i="13"/>
  <c r="F217" i="13"/>
  <c r="AI216" i="13"/>
  <c r="AH216" i="13"/>
  <c r="AG216" i="13" s="1"/>
  <c r="AF216" i="13"/>
  <c r="F216" i="13"/>
  <c r="AI215" i="13"/>
  <c r="AH215" i="13"/>
  <c r="AG215" i="13"/>
  <c r="AF215" i="13"/>
  <c r="F215" i="13"/>
  <c r="AI214" i="13"/>
  <c r="AH214" i="13"/>
  <c r="AG214" i="13"/>
  <c r="AF214" i="13"/>
  <c r="F214" i="13"/>
  <c r="AI213" i="13"/>
  <c r="AH213" i="13"/>
  <c r="AG213" i="13"/>
  <c r="AF213" i="13"/>
  <c r="F213" i="13"/>
  <c r="AI212" i="13"/>
  <c r="AH212" i="13"/>
  <c r="AG212" i="13"/>
  <c r="AF212" i="13"/>
  <c r="F212" i="13"/>
  <c r="AI211" i="13"/>
  <c r="AH211" i="13"/>
  <c r="AG211" i="13" s="1"/>
  <c r="AF211" i="13"/>
  <c r="F211" i="13"/>
  <c r="AI210" i="13"/>
  <c r="AH210" i="13"/>
  <c r="AG210" i="13" s="1"/>
  <c r="AF210" i="13"/>
  <c r="F210" i="13"/>
  <c r="AI209" i="13"/>
  <c r="AH209" i="13"/>
  <c r="AG209" i="13" s="1"/>
  <c r="AF209" i="13"/>
  <c r="F209" i="13"/>
  <c r="AI208" i="13"/>
  <c r="AH208" i="13"/>
  <c r="AG208" i="13" s="1"/>
  <c r="AF208" i="13"/>
  <c r="F208" i="13"/>
  <c r="AI207" i="13"/>
  <c r="AH207" i="13"/>
  <c r="AG207" i="13"/>
  <c r="AF207" i="13"/>
  <c r="F207" i="13"/>
  <c r="AI206" i="13"/>
  <c r="AH206" i="13"/>
  <c r="AG206" i="13"/>
  <c r="AF206" i="13"/>
  <c r="F206" i="13"/>
  <c r="AI205" i="13"/>
  <c r="AH205" i="13"/>
  <c r="AG205" i="13"/>
  <c r="AF205" i="13"/>
  <c r="F205" i="13"/>
  <c r="AI204" i="13"/>
  <c r="AH204" i="13"/>
  <c r="AG204" i="13"/>
  <c r="AF204" i="13"/>
  <c r="F204" i="13"/>
  <c r="AI203" i="13"/>
  <c r="AH203" i="13"/>
  <c r="AG203" i="13" s="1"/>
  <c r="AF203" i="13"/>
  <c r="F203" i="13"/>
  <c r="AI202" i="13"/>
  <c r="AH202" i="13"/>
  <c r="AG202" i="13" s="1"/>
  <c r="AF202" i="13"/>
  <c r="F202" i="13"/>
  <c r="AI201" i="13"/>
  <c r="AH201" i="13"/>
  <c r="AG201" i="13" s="1"/>
  <c r="AF201" i="13"/>
  <c r="F201" i="13"/>
  <c r="AI200" i="13"/>
  <c r="AH200" i="13"/>
  <c r="AG200" i="13" s="1"/>
  <c r="AF200" i="13"/>
  <c r="F200" i="13"/>
  <c r="AI199" i="13"/>
  <c r="AH199" i="13"/>
  <c r="AG199" i="13"/>
  <c r="AF199" i="13"/>
  <c r="F199" i="13"/>
  <c r="AI198" i="13"/>
  <c r="AH198" i="13"/>
  <c r="AG198" i="13"/>
  <c r="AF198" i="13"/>
  <c r="F198" i="13"/>
  <c r="AI197" i="13"/>
  <c r="AH197" i="13"/>
  <c r="AG197" i="13"/>
  <c r="AF197" i="13"/>
  <c r="F197" i="13"/>
  <c r="AI196" i="13"/>
  <c r="AH196" i="13"/>
  <c r="AG196" i="13"/>
  <c r="AF196" i="13"/>
  <c r="F196" i="13"/>
  <c r="AI195" i="13"/>
  <c r="AH195" i="13"/>
  <c r="AG195" i="13" s="1"/>
  <c r="AF195" i="13"/>
  <c r="F195" i="13"/>
  <c r="AI194" i="13"/>
  <c r="AH194" i="13"/>
  <c r="AG194" i="13" s="1"/>
  <c r="AF194" i="13"/>
  <c r="F194" i="13"/>
  <c r="AI193" i="13"/>
  <c r="AH193" i="13"/>
  <c r="AG193" i="13" s="1"/>
  <c r="AF193" i="13"/>
  <c r="F193" i="13"/>
  <c r="AI192" i="13"/>
  <c r="AH192" i="13"/>
  <c r="AG192" i="13" s="1"/>
  <c r="AF192" i="13"/>
  <c r="F192" i="13"/>
  <c r="AI191" i="13"/>
  <c r="AH191" i="13"/>
  <c r="AG191" i="13"/>
  <c r="AF191" i="13"/>
  <c r="F191" i="13"/>
  <c r="AI190" i="13"/>
  <c r="AH190" i="13"/>
  <c r="AG190" i="13"/>
  <c r="AF190" i="13"/>
  <c r="F190" i="13"/>
  <c r="AI189" i="13"/>
  <c r="AH189" i="13"/>
  <c r="AG189" i="13"/>
  <c r="AF189" i="13"/>
  <c r="F189" i="13"/>
  <c r="AI188" i="13"/>
  <c r="AH188" i="13"/>
  <c r="AG188" i="13"/>
  <c r="AF188" i="13"/>
  <c r="F188" i="13"/>
  <c r="AI187" i="13"/>
  <c r="AH187" i="13"/>
  <c r="AG187" i="13" s="1"/>
  <c r="AF187" i="13"/>
  <c r="F187" i="13"/>
  <c r="AI186" i="13"/>
  <c r="AH186" i="13"/>
  <c r="AG186" i="13"/>
  <c r="AF186" i="13"/>
  <c r="F186" i="13"/>
  <c r="AI185" i="13"/>
  <c r="AH185" i="13"/>
  <c r="AG185" i="13" s="1"/>
  <c r="AF185" i="13"/>
  <c r="F185" i="13"/>
  <c r="AI184" i="13"/>
  <c r="AH184" i="13"/>
  <c r="AG184" i="13" s="1"/>
  <c r="AF184" i="13"/>
  <c r="F184" i="13"/>
  <c r="AI183" i="13"/>
  <c r="AH183" i="13"/>
  <c r="AG183" i="13"/>
  <c r="AF183" i="13"/>
  <c r="F183" i="13"/>
  <c r="AI182" i="13"/>
  <c r="AH182" i="13"/>
  <c r="AG182" i="13"/>
  <c r="AF182" i="13"/>
  <c r="F182" i="13"/>
  <c r="AI181" i="13"/>
  <c r="AH181" i="13"/>
  <c r="AG181" i="13" s="1"/>
  <c r="AF181" i="13"/>
  <c r="F181" i="13"/>
  <c r="AI180" i="13"/>
  <c r="AH180" i="13"/>
  <c r="AG180" i="13"/>
  <c r="AF180" i="13"/>
  <c r="F180" i="13"/>
  <c r="AI179" i="13"/>
  <c r="AH179" i="13"/>
  <c r="AG179" i="13" s="1"/>
  <c r="AF179" i="13"/>
  <c r="F179" i="13"/>
  <c r="AI178" i="13"/>
  <c r="AH178" i="13"/>
  <c r="AG178" i="13"/>
  <c r="AF178" i="13"/>
  <c r="F178" i="13"/>
  <c r="AI177" i="13"/>
  <c r="AH177" i="13"/>
  <c r="AG177" i="13" s="1"/>
  <c r="AF177" i="13"/>
  <c r="F177" i="13"/>
  <c r="AI176" i="13"/>
  <c r="AH176" i="13"/>
  <c r="AG176" i="13" s="1"/>
  <c r="AF176" i="13"/>
  <c r="F176" i="13"/>
  <c r="AI175" i="13"/>
  <c r="AH175" i="13"/>
  <c r="AG175" i="13"/>
  <c r="AF175" i="13"/>
  <c r="F175" i="13"/>
  <c r="AI174" i="13"/>
  <c r="AH174" i="13"/>
  <c r="AG174" i="13"/>
  <c r="AF174" i="13"/>
  <c r="F174" i="13"/>
  <c r="AI173" i="13"/>
  <c r="AH173" i="13"/>
  <c r="AG173" i="13"/>
  <c r="AF173" i="13"/>
  <c r="F173" i="13"/>
  <c r="AI172" i="13"/>
  <c r="AH172" i="13"/>
  <c r="AG172" i="13" s="1"/>
  <c r="AF172" i="13"/>
  <c r="F172" i="13"/>
  <c r="AI171" i="13"/>
  <c r="AH171" i="13"/>
  <c r="AG171" i="13" s="1"/>
  <c r="AF171" i="13"/>
  <c r="F171" i="13"/>
  <c r="AI170" i="13"/>
  <c r="AH170" i="13"/>
  <c r="AG170" i="13"/>
  <c r="AF170" i="13"/>
  <c r="F170" i="13"/>
  <c r="AI169" i="13"/>
  <c r="AH169" i="13"/>
  <c r="AG169" i="13"/>
  <c r="AF169" i="13"/>
  <c r="F169" i="13"/>
  <c r="AI168" i="13"/>
  <c r="AH168" i="13"/>
  <c r="AG168" i="13" s="1"/>
  <c r="AF168" i="13"/>
  <c r="F168" i="13"/>
  <c r="AI167" i="13"/>
  <c r="AH167" i="13"/>
  <c r="AG167" i="13" s="1"/>
  <c r="AF167" i="13"/>
  <c r="F167" i="13"/>
  <c r="AI166" i="13"/>
  <c r="AH166" i="13"/>
  <c r="AG166" i="13"/>
  <c r="AF166" i="13"/>
  <c r="F166" i="13"/>
  <c r="AI165" i="13"/>
  <c r="AH165" i="13"/>
  <c r="AG165" i="13"/>
  <c r="AF165" i="13"/>
  <c r="F165" i="13"/>
  <c r="AI164" i="13"/>
  <c r="AH164" i="13"/>
  <c r="AG164" i="13"/>
  <c r="AF164" i="13"/>
  <c r="F164" i="13"/>
  <c r="AI163" i="13"/>
  <c r="AH163" i="13"/>
  <c r="AG163" i="13" s="1"/>
  <c r="AF163" i="13"/>
  <c r="F163" i="13"/>
  <c r="AI162" i="13"/>
  <c r="AH162" i="13"/>
  <c r="AG162" i="13" s="1"/>
  <c r="AF162" i="13"/>
  <c r="F162" i="13"/>
  <c r="AI161" i="13"/>
  <c r="AH161" i="13"/>
  <c r="AG161" i="13" s="1"/>
  <c r="AF161" i="13"/>
  <c r="F161" i="13"/>
  <c r="AI160" i="13"/>
  <c r="AH160" i="13"/>
  <c r="AG160" i="13" s="1"/>
  <c r="AF160" i="13"/>
  <c r="F160" i="13"/>
  <c r="AI159" i="13"/>
  <c r="AH159" i="13"/>
  <c r="AG159" i="13" s="1"/>
  <c r="AF159" i="13"/>
  <c r="F159" i="13"/>
  <c r="AI158" i="13"/>
  <c r="AH158" i="13"/>
  <c r="AG158" i="13"/>
  <c r="AF158" i="13"/>
  <c r="F158" i="13"/>
  <c r="AI157" i="13"/>
  <c r="AH157" i="13"/>
  <c r="AG157" i="13" s="1"/>
  <c r="AF157" i="13"/>
  <c r="F157" i="13"/>
  <c r="AI156" i="13"/>
  <c r="AH156" i="13"/>
  <c r="AG156" i="13" s="1"/>
  <c r="AF156" i="13"/>
  <c r="F156" i="13"/>
  <c r="AI155" i="13"/>
  <c r="AH155" i="13"/>
  <c r="AG155" i="13" s="1"/>
  <c r="AF155" i="13"/>
  <c r="F155" i="13"/>
  <c r="AI154" i="13"/>
  <c r="AH154" i="13"/>
  <c r="AG154" i="13" s="1"/>
  <c r="AF154" i="13"/>
  <c r="F154" i="13"/>
  <c r="AI153" i="13"/>
  <c r="AH153" i="13"/>
  <c r="AG153" i="13"/>
  <c r="AF153" i="13"/>
  <c r="F153" i="13"/>
  <c r="AI152" i="13"/>
  <c r="AH152" i="13"/>
  <c r="AG152" i="13" s="1"/>
  <c r="AF152" i="13"/>
  <c r="F152" i="13"/>
  <c r="AI151" i="13"/>
  <c r="AH151" i="13"/>
  <c r="AG151" i="13"/>
  <c r="AF151" i="13"/>
  <c r="F151" i="13"/>
  <c r="AI150" i="13"/>
  <c r="AH150" i="13"/>
  <c r="AG150" i="13"/>
  <c r="AF150" i="13"/>
  <c r="F150" i="13"/>
  <c r="AI149" i="13"/>
  <c r="AH149" i="13"/>
  <c r="AG149" i="13" s="1"/>
  <c r="AF149" i="13"/>
  <c r="F149" i="13"/>
  <c r="AI148" i="13"/>
  <c r="AH148" i="13"/>
  <c r="AG148" i="13"/>
  <c r="AF148" i="13"/>
  <c r="F148" i="13"/>
  <c r="AI147" i="13"/>
  <c r="AH147" i="13"/>
  <c r="AG147" i="13" s="1"/>
  <c r="AF147" i="13"/>
  <c r="F147" i="13"/>
  <c r="AI146" i="13"/>
  <c r="AH146" i="13"/>
  <c r="AG146" i="13"/>
  <c r="AF146" i="13"/>
  <c r="F146" i="13"/>
  <c r="AI145" i="13"/>
  <c r="AH145" i="13"/>
  <c r="AG145" i="13" s="1"/>
  <c r="AF145" i="13"/>
  <c r="F145" i="13"/>
  <c r="AI144" i="13"/>
  <c r="AH144" i="13"/>
  <c r="AG144" i="13" s="1"/>
  <c r="AF144" i="13"/>
  <c r="F144" i="13"/>
  <c r="AI143" i="13"/>
  <c r="AH143" i="13"/>
  <c r="AG143" i="13"/>
  <c r="AF143" i="13"/>
  <c r="F143" i="13"/>
  <c r="AI142" i="13"/>
  <c r="AH142" i="13"/>
  <c r="AG142" i="13"/>
  <c r="AF142" i="13"/>
  <c r="F142" i="13"/>
  <c r="AI141" i="13"/>
  <c r="AH141" i="13"/>
  <c r="AG141" i="13"/>
  <c r="AF141" i="13"/>
  <c r="F141" i="13"/>
  <c r="AI140" i="13"/>
  <c r="AH140" i="13"/>
  <c r="AG140" i="13" s="1"/>
  <c r="AF140" i="13"/>
  <c r="F140" i="13"/>
  <c r="AI139" i="13"/>
  <c r="AH139" i="13"/>
  <c r="AG139" i="13" s="1"/>
  <c r="AF139" i="13"/>
  <c r="F139" i="13"/>
  <c r="AI138" i="13"/>
  <c r="AH138" i="13"/>
  <c r="AG138" i="13"/>
  <c r="AF138" i="13"/>
  <c r="F138" i="13"/>
  <c r="AI137" i="13"/>
  <c r="AH137" i="13"/>
  <c r="AG137" i="13"/>
  <c r="AF137" i="13"/>
  <c r="F137" i="13"/>
  <c r="AI136" i="13"/>
  <c r="AH136" i="13"/>
  <c r="AG136" i="13" s="1"/>
  <c r="AF136" i="13"/>
  <c r="F136" i="13"/>
  <c r="AI135" i="13"/>
  <c r="AH135" i="13"/>
  <c r="AG135" i="13" s="1"/>
  <c r="AF135" i="13"/>
  <c r="F135" i="13"/>
  <c r="AI134" i="13"/>
  <c r="AH134" i="13"/>
  <c r="AG134" i="13"/>
  <c r="AF134" i="13"/>
  <c r="F134" i="13"/>
  <c r="AI133" i="13"/>
  <c r="AH133" i="13"/>
  <c r="AG133" i="13"/>
  <c r="AF133" i="13"/>
  <c r="F133" i="13"/>
  <c r="AI132" i="13"/>
  <c r="AH132" i="13"/>
  <c r="AG132" i="13"/>
  <c r="AF132" i="13"/>
  <c r="F132" i="13"/>
  <c r="AI131" i="13"/>
  <c r="AH131" i="13"/>
  <c r="AG131" i="13" s="1"/>
  <c r="AF131" i="13"/>
  <c r="F131" i="13"/>
  <c r="AI130" i="13"/>
  <c r="AH130" i="13"/>
  <c r="AG130" i="13" s="1"/>
  <c r="AF130" i="13"/>
  <c r="F130" i="13"/>
  <c r="AI129" i="13"/>
  <c r="AH129" i="13"/>
  <c r="AG129" i="13" s="1"/>
  <c r="AF129" i="13"/>
  <c r="F129" i="13"/>
  <c r="AI128" i="13"/>
  <c r="AH128" i="13"/>
  <c r="AG128" i="13" s="1"/>
  <c r="AF128" i="13"/>
  <c r="F128" i="13"/>
  <c r="AI127" i="13"/>
  <c r="AH127" i="13"/>
  <c r="AG127" i="13" s="1"/>
  <c r="AF127" i="13"/>
  <c r="F127" i="13"/>
  <c r="AI126" i="13"/>
  <c r="AH126" i="13"/>
  <c r="AG126" i="13"/>
  <c r="AF126" i="13"/>
  <c r="F126" i="13"/>
  <c r="AI125" i="13"/>
  <c r="AH125" i="13"/>
  <c r="AG125" i="13" s="1"/>
  <c r="AF125" i="13"/>
  <c r="F125" i="13"/>
  <c r="AI124" i="13"/>
  <c r="AH124" i="13"/>
  <c r="AG124" i="13" s="1"/>
  <c r="AF124" i="13"/>
  <c r="F124" i="13"/>
  <c r="AI123" i="13"/>
  <c r="AH123" i="13"/>
  <c r="AG123" i="13" s="1"/>
  <c r="AF123" i="13"/>
  <c r="F123" i="13"/>
  <c r="AI122" i="13"/>
  <c r="AH122" i="13"/>
  <c r="AG122" i="13" s="1"/>
  <c r="AF122" i="13"/>
  <c r="F122" i="13"/>
  <c r="AI121" i="13"/>
  <c r="AH121" i="13"/>
  <c r="AG121" i="13"/>
  <c r="AF121" i="13"/>
  <c r="F121" i="13"/>
  <c r="AI120" i="13"/>
  <c r="AH120" i="13"/>
  <c r="AG120" i="13" s="1"/>
  <c r="AF120" i="13"/>
  <c r="F120" i="13"/>
  <c r="AI119" i="13"/>
  <c r="AH119" i="13"/>
  <c r="AG119" i="13"/>
  <c r="AF119" i="13"/>
  <c r="F119" i="13"/>
  <c r="AI118" i="13"/>
  <c r="AH118" i="13"/>
  <c r="AG118" i="13"/>
  <c r="AF118" i="13"/>
  <c r="F118" i="13"/>
  <c r="AI117" i="13"/>
  <c r="AH117" i="13"/>
  <c r="AG117" i="13" s="1"/>
  <c r="AF117" i="13"/>
  <c r="F117" i="13"/>
  <c r="AI116" i="13"/>
  <c r="AH116" i="13"/>
  <c r="AG116" i="13"/>
  <c r="AF116" i="13"/>
  <c r="F116" i="13"/>
  <c r="AI115" i="13"/>
  <c r="AH115" i="13"/>
  <c r="AG115" i="13" s="1"/>
  <c r="AF115" i="13"/>
  <c r="F115" i="13"/>
  <c r="AI114" i="13"/>
  <c r="AH114" i="13"/>
  <c r="AG114" i="13"/>
  <c r="AF114" i="13"/>
  <c r="F114" i="13"/>
  <c r="AI113" i="13"/>
  <c r="AH113" i="13"/>
  <c r="AG113" i="13" s="1"/>
  <c r="AF113" i="13"/>
  <c r="F113" i="13"/>
  <c r="AI112" i="13"/>
  <c r="AH112" i="13"/>
  <c r="AG112" i="13" s="1"/>
  <c r="AF112" i="13"/>
  <c r="F112" i="13"/>
  <c r="AI111" i="13"/>
  <c r="AH111" i="13"/>
  <c r="AG111" i="13"/>
  <c r="AF111" i="13"/>
  <c r="F111" i="13"/>
  <c r="AI110" i="13"/>
  <c r="AH110" i="13"/>
  <c r="AG110" i="13"/>
  <c r="AF110" i="13"/>
  <c r="F110" i="13"/>
  <c r="AI109" i="13"/>
  <c r="AH109" i="13"/>
  <c r="AG109" i="13"/>
  <c r="AF109" i="13"/>
  <c r="F109" i="13"/>
  <c r="AI108" i="13"/>
  <c r="AH108" i="13"/>
  <c r="AG108" i="13" s="1"/>
  <c r="AF108" i="13"/>
  <c r="F108" i="13"/>
  <c r="AI107" i="13"/>
  <c r="AH107" i="13"/>
  <c r="AG107" i="13" s="1"/>
  <c r="AF107" i="13"/>
  <c r="F107" i="13"/>
  <c r="AI106" i="13"/>
  <c r="AH106" i="13"/>
  <c r="AG106" i="13"/>
  <c r="AF106" i="13"/>
  <c r="F106" i="13"/>
  <c r="AI105" i="13"/>
  <c r="AH105" i="13"/>
  <c r="AG105" i="13"/>
  <c r="AF105" i="13"/>
  <c r="F105" i="13"/>
  <c r="AI104" i="13"/>
  <c r="AH104" i="13"/>
  <c r="AG104" i="13" s="1"/>
  <c r="AF104" i="13"/>
  <c r="F104" i="13"/>
  <c r="AI103" i="13"/>
  <c r="AH103" i="13"/>
  <c r="AG103" i="13" s="1"/>
  <c r="AF103" i="13"/>
  <c r="F103" i="13"/>
  <c r="AI102" i="13"/>
  <c r="AH102" i="13"/>
  <c r="AG102" i="13"/>
  <c r="AF102" i="13"/>
  <c r="F102" i="13"/>
  <c r="AI101" i="13"/>
  <c r="AH101" i="13"/>
  <c r="AG101" i="13"/>
  <c r="AF101" i="13"/>
  <c r="F101" i="13"/>
  <c r="AI100" i="13"/>
  <c r="AH100" i="13"/>
  <c r="AG100" i="13"/>
  <c r="AF100" i="13"/>
  <c r="F100" i="13"/>
  <c r="AI99" i="13"/>
  <c r="AH99" i="13"/>
  <c r="AG99" i="13" s="1"/>
  <c r="AF99" i="13"/>
  <c r="F99" i="13"/>
  <c r="AI98" i="13"/>
  <c r="AH98" i="13"/>
  <c r="AG98" i="13" s="1"/>
  <c r="AF98" i="13"/>
  <c r="F98" i="13"/>
  <c r="AI97" i="13"/>
  <c r="AH97" i="13"/>
  <c r="AG97" i="13" s="1"/>
  <c r="AF97" i="13"/>
  <c r="F97" i="13"/>
  <c r="AI96" i="13"/>
  <c r="AH96" i="13"/>
  <c r="AG96" i="13" s="1"/>
  <c r="AF96" i="13"/>
  <c r="F96" i="13"/>
  <c r="AI95" i="13"/>
  <c r="AH95" i="13"/>
  <c r="AG95" i="13" s="1"/>
  <c r="AF95" i="13"/>
  <c r="F95" i="13"/>
  <c r="AI94" i="13"/>
  <c r="AH94" i="13"/>
  <c r="AG94" i="13"/>
  <c r="AF94" i="13"/>
  <c r="F94" i="13"/>
  <c r="AI93" i="13"/>
  <c r="AH93" i="13"/>
  <c r="AG93" i="13" s="1"/>
  <c r="AF93" i="13"/>
  <c r="F93" i="13"/>
  <c r="AI92" i="13"/>
  <c r="AH92" i="13"/>
  <c r="AG92" i="13" s="1"/>
  <c r="AF92" i="13"/>
  <c r="F92" i="13"/>
  <c r="AI91" i="13"/>
  <c r="AH91" i="13"/>
  <c r="AG91" i="13" s="1"/>
  <c r="AF91" i="13"/>
  <c r="F91" i="13"/>
  <c r="AI90" i="13"/>
  <c r="AH90" i="13"/>
  <c r="AG90" i="13" s="1"/>
  <c r="AF90" i="13"/>
  <c r="F90" i="13"/>
  <c r="AI89" i="13"/>
  <c r="AH89" i="13"/>
  <c r="AG89" i="13"/>
  <c r="AF89" i="13"/>
  <c r="F89" i="13"/>
  <c r="AI88" i="13"/>
  <c r="AH88" i="13"/>
  <c r="AG88" i="13" s="1"/>
  <c r="AF88" i="13"/>
  <c r="F88" i="13"/>
  <c r="AI87" i="13"/>
  <c r="AH87" i="13"/>
  <c r="AG87" i="13"/>
  <c r="AF87" i="13"/>
  <c r="F87" i="13"/>
  <c r="AI86" i="13"/>
  <c r="AH86" i="13"/>
  <c r="AG86" i="13"/>
  <c r="AF86" i="13"/>
  <c r="F86" i="13"/>
  <c r="AI85" i="13"/>
  <c r="AH85" i="13"/>
  <c r="AG85" i="13" s="1"/>
  <c r="AF85" i="13"/>
  <c r="F85" i="13"/>
  <c r="AI84" i="13"/>
  <c r="AH84" i="13"/>
  <c r="AG84" i="13"/>
  <c r="AF84" i="13"/>
  <c r="F84" i="13"/>
  <c r="AI83" i="13"/>
  <c r="AH83" i="13"/>
  <c r="AG83" i="13" s="1"/>
  <c r="AF83" i="13"/>
  <c r="F83" i="13"/>
  <c r="AI82" i="13"/>
  <c r="AH82" i="13"/>
  <c r="AG82" i="13"/>
  <c r="AF82" i="13"/>
  <c r="F82" i="13"/>
  <c r="AI81" i="13"/>
  <c r="AH81" i="13"/>
  <c r="AG81" i="13" s="1"/>
  <c r="AF81" i="13"/>
  <c r="F81" i="13"/>
  <c r="AI80" i="13"/>
  <c r="AH80" i="13"/>
  <c r="AG80" i="13" s="1"/>
  <c r="AF80" i="13"/>
  <c r="F80" i="13"/>
  <c r="AI79" i="13"/>
  <c r="AH79" i="13"/>
  <c r="AG79" i="13"/>
  <c r="AF79" i="13"/>
  <c r="F79" i="13"/>
  <c r="AI78" i="13"/>
  <c r="AH78" i="13"/>
  <c r="AG78" i="13"/>
  <c r="AF78" i="13"/>
  <c r="F78" i="13"/>
  <c r="AI77" i="13"/>
  <c r="AH77" i="13"/>
  <c r="AG77" i="13"/>
  <c r="AF77" i="13"/>
  <c r="F77" i="13"/>
  <c r="AI76" i="13"/>
  <c r="AH76" i="13"/>
  <c r="AG76" i="13" s="1"/>
  <c r="AF76" i="13"/>
  <c r="F76" i="13"/>
  <c r="AI75" i="13"/>
  <c r="AH75" i="13"/>
  <c r="AG75" i="13" s="1"/>
  <c r="AF75" i="13"/>
  <c r="F75" i="13"/>
  <c r="AI74" i="13"/>
  <c r="AH74" i="13"/>
  <c r="AG74" i="13"/>
  <c r="AF74" i="13"/>
  <c r="F74" i="13"/>
  <c r="AI73" i="13"/>
  <c r="AH73" i="13"/>
  <c r="AG73" i="13"/>
  <c r="AF73" i="13"/>
  <c r="F73" i="13"/>
  <c r="AI72" i="13"/>
  <c r="AH72" i="13"/>
  <c r="AG72" i="13" s="1"/>
  <c r="AF72" i="13"/>
  <c r="F72" i="13"/>
  <c r="AI71" i="13"/>
  <c r="AH71" i="13"/>
  <c r="AG71" i="13" s="1"/>
  <c r="AF71" i="13"/>
  <c r="F71" i="13"/>
  <c r="AI70" i="13"/>
  <c r="AH70" i="13"/>
  <c r="AG70" i="13"/>
  <c r="AF70" i="13"/>
  <c r="F70" i="13"/>
  <c r="AI69" i="13"/>
  <c r="AH69" i="13"/>
  <c r="AG69" i="13"/>
  <c r="AF69" i="13"/>
  <c r="F69" i="13"/>
  <c r="AI68" i="13"/>
  <c r="AH68" i="13"/>
  <c r="AG68" i="13"/>
  <c r="AF68" i="13"/>
  <c r="F68" i="13"/>
  <c r="AI67" i="13"/>
  <c r="AH67" i="13"/>
  <c r="AG67" i="13"/>
  <c r="AF67" i="13"/>
  <c r="F67" i="13"/>
  <c r="AI66" i="13"/>
  <c r="AH66" i="13"/>
  <c r="AG66" i="13" s="1"/>
  <c r="AF66" i="13"/>
  <c r="F66" i="13"/>
  <c r="AI65" i="13"/>
  <c r="AH65" i="13"/>
  <c r="AG65" i="13" s="1"/>
  <c r="AF65" i="13"/>
  <c r="F65" i="13"/>
  <c r="AI64" i="13"/>
  <c r="AH64" i="13"/>
  <c r="AG64" i="13" s="1"/>
  <c r="AF64" i="13"/>
  <c r="F64" i="13"/>
  <c r="AI63" i="13"/>
  <c r="AH63" i="13"/>
  <c r="AG63" i="13"/>
  <c r="AF63" i="13"/>
  <c r="F63" i="13"/>
  <c r="AI62" i="13"/>
  <c r="AH62" i="13"/>
  <c r="AG62" i="13"/>
  <c r="AF62" i="13"/>
  <c r="F62" i="13"/>
  <c r="AI61" i="13"/>
  <c r="AH61" i="13"/>
  <c r="AG61" i="13" s="1"/>
  <c r="AF61" i="13"/>
  <c r="F61" i="13"/>
  <c r="AI60" i="13"/>
  <c r="AH60" i="13"/>
  <c r="AG60" i="13" s="1"/>
  <c r="AF60" i="13"/>
  <c r="F60" i="13"/>
  <c r="AI59" i="13"/>
  <c r="AH59" i="13"/>
  <c r="AG59" i="13"/>
  <c r="AF59" i="13"/>
  <c r="F59" i="13"/>
  <c r="AI58" i="13"/>
  <c r="AH58" i="13"/>
  <c r="AG58" i="13" s="1"/>
  <c r="AF58" i="13"/>
  <c r="F58" i="13"/>
  <c r="AI57" i="13"/>
  <c r="AH57" i="13"/>
  <c r="AG57" i="13" s="1"/>
  <c r="AF57" i="13"/>
  <c r="F57" i="13"/>
  <c r="AI56" i="13"/>
  <c r="AH56" i="13"/>
  <c r="AG56" i="13" s="1"/>
  <c r="AF56" i="13"/>
  <c r="F56" i="13"/>
  <c r="AI55" i="13"/>
  <c r="AH55" i="13"/>
  <c r="AG55" i="13" s="1"/>
  <c r="AF55" i="13"/>
  <c r="F55" i="13"/>
  <c r="AI54" i="13"/>
  <c r="AH54" i="13"/>
  <c r="AG54" i="13"/>
  <c r="AF54" i="13"/>
  <c r="F54" i="13"/>
  <c r="AI53" i="13"/>
  <c r="AH53" i="13"/>
  <c r="AG53" i="13" s="1"/>
  <c r="AF53" i="13"/>
  <c r="F53" i="13"/>
  <c r="AI52" i="13"/>
  <c r="AH52" i="13"/>
  <c r="AG52" i="13" s="1"/>
  <c r="AF52" i="13"/>
  <c r="F52" i="13"/>
  <c r="AI51" i="13"/>
  <c r="AH51" i="13"/>
  <c r="AG51" i="13"/>
  <c r="AF51" i="13"/>
  <c r="F51" i="13"/>
  <c r="AI50" i="13"/>
  <c r="AH50" i="13"/>
  <c r="AG50" i="13"/>
  <c r="AF50" i="13"/>
  <c r="F50" i="13"/>
  <c r="AI49" i="13"/>
  <c r="AH49" i="13"/>
  <c r="AG49" i="13"/>
  <c r="AF49" i="13"/>
  <c r="F49" i="13"/>
  <c r="AI48" i="13"/>
  <c r="AH48" i="13"/>
  <c r="AG48" i="13" s="1"/>
  <c r="AF48" i="13"/>
  <c r="F48" i="13"/>
  <c r="AI47" i="13"/>
  <c r="AH47" i="13"/>
  <c r="AG47" i="13" s="1"/>
  <c r="AF47" i="13"/>
  <c r="F47" i="13"/>
  <c r="AI46" i="13"/>
  <c r="AH46" i="13"/>
  <c r="AG46" i="13"/>
  <c r="AF46" i="13"/>
  <c r="F46" i="13"/>
  <c r="AI45" i="13"/>
  <c r="AH45" i="13"/>
  <c r="AG45" i="13"/>
  <c r="AF45" i="13"/>
  <c r="F45" i="13"/>
  <c r="AI44" i="13"/>
  <c r="AH44" i="13"/>
  <c r="AG44" i="13"/>
  <c r="AF44" i="13"/>
  <c r="F44" i="13"/>
  <c r="AI43" i="13"/>
  <c r="AH43" i="13"/>
  <c r="AG43" i="13" s="1"/>
  <c r="AF43" i="13"/>
  <c r="F43" i="13"/>
  <c r="AI42" i="13"/>
  <c r="AH42" i="13"/>
  <c r="AG42" i="13" s="1"/>
  <c r="AF42" i="13"/>
  <c r="F42" i="13"/>
  <c r="AI41" i="13"/>
  <c r="AH41" i="13"/>
  <c r="AG41" i="13"/>
  <c r="AF41" i="13"/>
  <c r="F41" i="13"/>
  <c r="AI40" i="13"/>
  <c r="AH40" i="13"/>
  <c r="AG40" i="13" s="1"/>
  <c r="AF40" i="13"/>
  <c r="F40" i="13"/>
  <c r="AI39" i="13"/>
  <c r="AH39" i="13"/>
  <c r="AG39" i="13"/>
  <c r="AF39" i="13"/>
  <c r="F39" i="13"/>
  <c r="AI38" i="13"/>
  <c r="AH38" i="13"/>
  <c r="AG38" i="13"/>
  <c r="AF38" i="13"/>
  <c r="F38" i="13"/>
  <c r="AI37" i="13"/>
  <c r="AH37" i="13"/>
  <c r="AG37" i="13" s="1"/>
  <c r="AF37" i="13"/>
  <c r="F37" i="13"/>
  <c r="AI36" i="13"/>
  <c r="AH36" i="13"/>
  <c r="AG36" i="13"/>
  <c r="AF36" i="13"/>
  <c r="F36" i="13"/>
  <c r="AI35" i="13"/>
  <c r="AH35" i="13"/>
  <c r="AG35" i="13" s="1"/>
  <c r="AF35" i="13"/>
  <c r="F35" i="13"/>
  <c r="AI34" i="13"/>
  <c r="AH34" i="13"/>
  <c r="AG34" i="13"/>
  <c r="AF34" i="13"/>
  <c r="F34" i="13"/>
  <c r="AI33" i="13"/>
  <c r="AH33" i="13"/>
  <c r="AG33" i="13" s="1"/>
  <c r="AF33" i="13"/>
  <c r="F33" i="13"/>
  <c r="AI32" i="13"/>
  <c r="AH32" i="13"/>
  <c r="AG32" i="13" s="1"/>
  <c r="AF32" i="13"/>
  <c r="F32" i="13"/>
  <c r="AI31" i="13"/>
  <c r="AH31" i="13"/>
  <c r="AG31" i="13" s="1"/>
  <c r="AF31" i="13"/>
  <c r="F31" i="13"/>
  <c r="AI30" i="13"/>
  <c r="AH30" i="13"/>
  <c r="AG30" i="13"/>
  <c r="AF30" i="13"/>
  <c r="F30" i="13"/>
  <c r="AI29" i="13"/>
  <c r="AH29" i="13"/>
  <c r="AG29" i="13"/>
  <c r="AF29" i="13"/>
  <c r="F29" i="13"/>
  <c r="AI28" i="13"/>
  <c r="AH28" i="13"/>
  <c r="AG28" i="13" s="1"/>
  <c r="AF28" i="13"/>
  <c r="F28" i="13"/>
  <c r="AI27" i="13"/>
  <c r="AH27" i="13"/>
  <c r="AG27" i="13" s="1"/>
  <c r="AF27" i="13"/>
  <c r="F27" i="13"/>
  <c r="AI26" i="13"/>
  <c r="AH26" i="13"/>
  <c r="AG26" i="13" s="1"/>
  <c r="AF26" i="13"/>
  <c r="F26" i="13"/>
  <c r="AI25" i="13"/>
  <c r="AH25" i="13"/>
  <c r="AG25" i="13" s="1"/>
  <c r="AF25" i="13"/>
  <c r="F25" i="13"/>
  <c r="AI24" i="13"/>
  <c r="AH24" i="13"/>
  <c r="AG24" i="13" s="1"/>
  <c r="AF24" i="13"/>
  <c r="F24" i="13"/>
  <c r="AI23" i="13"/>
  <c r="AH23" i="13"/>
  <c r="AG23" i="13"/>
  <c r="AF23" i="13"/>
  <c r="F23" i="13"/>
  <c r="AI22" i="13"/>
  <c r="AH22" i="13"/>
  <c r="AG22" i="13"/>
  <c r="AF22" i="13"/>
  <c r="F22" i="13"/>
  <c r="AI21" i="13"/>
  <c r="AH21" i="13"/>
  <c r="AG21" i="13" s="1"/>
  <c r="AF21" i="13"/>
  <c r="F21" i="13"/>
  <c r="AI20" i="13"/>
  <c r="AH20" i="13"/>
  <c r="AG20" i="13" s="1"/>
  <c r="AF20" i="13"/>
  <c r="F20" i="13"/>
  <c r="AI19" i="13"/>
  <c r="AH19" i="13"/>
  <c r="AG19" i="13"/>
  <c r="AF19" i="13"/>
  <c r="F19" i="13"/>
  <c r="AI18" i="13"/>
  <c r="AH18" i="13"/>
  <c r="AG18" i="13" s="1"/>
  <c r="AF18" i="13"/>
  <c r="F18" i="13"/>
  <c r="AI17" i="13"/>
  <c r="AH17" i="13"/>
  <c r="AG17" i="13" s="1"/>
  <c r="AF17" i="13"/>
  <c r="F17" i="13"/>
  <c r="AI16" i="13"/>
  <c r="AH16" i="13"/>
  <c r="AG16" i="13" s="1"/>
  <c r="AF16" i="13"/>
  <c r="F16" i="13"/>
  <c r="AI15" i="13"/>
  <c r="AH15" i="13"/>
  <c r="AG15" i="13" s="1"/>
  <c r="AF15" i="13"/>
  <c r="F15" i="13"/>
  <c r="AI14" i="13"/>
  <c r="AH14" i="13"/>
  <c r="AG14" i="13"/>
  <c r="AF14" i="13"/>
  <c r="F14" i="13"/>
  <c r="AI13" i="13"/>
  <c r="AH13" i="13"/>
  <c r="AG13" i="13" s="1"/>
  <c r="AF13" i="13"/>
  <c r="F13" i="13"/>
  <c r="AI12" i="13"/>
  <c r="AH12" i="13"/>
  <c r="AG12" i="13" s="1"/>
  <c r="AF12" i="13"/>
  <c r="F12" i="13"/>
  <c r="AI11" i="13"/>
  <c r="AH11" i="13"/>
  <c r="AG11" i="13"/>
  <c r="AF11" i="13"/>
  <c r="F11" i="13"/>
  <c r="AI10" i="13"/>
  <c r="AH10" i="13"/>
  <c r="AG10" i="13"/>
  <c r="AF10" i="13"/>
  <c r="F10" i="13"/>
  <c r="AI9" i="13"/>
  <c r="AH9" i="13"/>
  <c r="AG9" i="13"/>
  <c r="AF9" i="13"/>
  <c r="F9" i="13"/>
  <c r="AI8" i="13"/>
  <c r="AH8" i="13"/>
  <c r="AG8" i="13" s="1"/>
  <c r="AF8" i="13"/>
  <c r="F8" i="13"/>
  <c r="AI7" i="13"/>
  <c r="AH7" i="13"/>
  <c r="AG7" i="13" s="1"/>
  <c r="AF7" i="13"/>
  <c r="F7" i="13"/>
  <c r="AI6" i="13"/>
  <c r="AH6" i="13"/>
  <c r="AG6" i="13"/>
  <c r="AF6" i="13"/>
  <c r="F6" i="13"/>
  <c r="AI5" i="13"/>
  <c r="AH5" i="13"/>
  <c r="AG5" i="13" s="1"/>
  <c r="AF5" i="13"/>
  <c r="F5" i="13"/>
  <c r="AI4" i="13"/>
  <c r="AH4" i="13"/>
  <c r="AG4" i="13" s="1"/>
  <c r="AF4" i="13"/>
  <c r="F4" i="13"/>
  <c r="AI3" i="13"/>
  <c r="AH3" i="13"/>
  <c r="AG3" i="13"/>
  <c r="AF3" i="13"/>
  <c r="F3" i="13"/>
  <c r="AI2" i="13"/>
  <c r="AH2" i="13"/>
  <c r="AG2" i="13"/>
  <c r="AF2" i="13"/>
  <c r="F2" i="13"/>
  <c r="F1" i="13"/>
  <c r="K55" i="12"/>
  <c r="J55" i="12"/>
  <c r="I55" i="12"/>
  <c r="K53" i="12"/>
  <c r="J53" i="12"/>
  <c r="I53" i="12"/>
  <c r="K52" i="12"/>
  <c r="J52" i="12"/>
  <c r="I52" i="12"/>
  <c r="L51" i="12"/>
  <c r="K51" i="12"/>
  <c r="K28" i="12" s="1"/>
  <c r="J51" i="12"/>
  <c r="I51" i="12"/>
  <c r="K49" i="12"/>
  <c r="J49" i="12"/>
  <c r="I49" i="12"/>
  <c r="K48" i="12"/>
  <c r="L49" i="12" s="1"/>
  <c r="J48" i="12"/>
  <c r="I48" i="12"/>
  <c r="P45" i="12"/>
  <c r="P46" i="12" s="1"/>
  <c r="L45" i="12"/>
  <c r="L46" i="12" s="1"/>
  <c r="P40" i="12"/>
  <c r="O40" i="12"/>
  <c r="K40" i="12"/>
  <c r="J40" i="12"/>
  <c r="I40" i="12"/>
  <c r="P39" i="12"/>
  <c r="O39" i="12"/>
  <c r="L39" i="12"/>
  <c r="K39" i="12"/>
  <c r="J39" i="12"/>
  <c r="I39" i="12"/>
  <c r="T38" i="12"/>
  <c r="S38" i="12"/>
  <c r="P38" i="12"/>
  <c r="O38" i="12"/>
  <c r="K38" i="12"/>
  <c r="J38" i="12"/>
  <c r="I38" i="12"/>
  <c r="P37" i="12"/>
  <c r="O37" i="12"/>
  <c r="K37" i="12"/>
  <c r="J37" i="12"/>
  <c r="I37" i="12"/>
  <c r="P36" i="12"/>
  <c r="O36" i="12"/>
  <c r="M36" i="12"/>
  <c r="L36" i="12"/>
  <c r="K36" i="12"/>
  <c r="J36" i="12"/>
  <c r="I36" i="12"/>
  <c r="P34" i="12"/>
  <c r="O34" i="12"/>
  <c r="K34" i="12"/>
  <c r="J34" i="12"/>
  <c r="I34" i="12"/>
  <c r="P33" i="12"/>
  <c r="O33" i="12"/>
  <c r="K33" i="12"/>
  <c r="J33" i="12"/>
  <c r="I33" i="12"/>
  <c r="G33" i="12"/>
  <c r="P32" i="12"/>
  <c r="O32" i="12"/>
  <c r="K32" i="12"/>
  <c r="J32" i="12"/>
  <c r="I32" i="12"/>
  <c r="P31" i="12"/>
  <c r="O31" i="12"/>
  <c r="M31" i="12"/>
  <c r="L31" i="12"/>
  <c r="K31" i="12"/>
  <c r="J31" i="12"/>
  <c r="I31" i="12"/>
  <c r="P30" i="12"/>
  <c r="O30" i="12"/>
  <c r="K30" i="12"/>
  <c r="J30" i="12"/>
  <c r="I30" i="12"/>
  <c r="P29" i="12"/>
  <c r="O29" i="12"/>
  <c r="K29" i="12"/>
  <c r="J29" i="12"/>
  <c r="I29" i="12"/>
  <c r="M28" i="12"/>
  <c r="L28" i="12"/>
  <c r="J28" i="12"/>
  <c r="I28" i="12"/>
  <c r="P27" i="12"/>
  <c r="O27" i="12"/>
  <c r="M27" i="12"/>
  <c r="K27" i="12"/>
  <c r="J27" i="12"/>
  <c r="I27" i="12"/>
  <c r="K26" i="12"/>
  <c r="J26" i="12"/>
  <c r="I26" i="12"/>
  <c r="K25" i="12"/>
  <c r="J25" i="12"/>
  <c r="I25" i="12"/>
  <c r="P24" i="12"/>
  <c r="O24" i="12"/>
  <c r="M24" i="12"/>
  <c r="L24" i="12"/>
  <c r="K24" i="12"/>
  <c r="J24" i="12"/>
  <c r="I24" i="12"/>
  <c r="P23" i="12"/>
  <c r="O23" i="12"/>
  <c r="K23" i="12"/>
  <c r="J23" i="12"/>
  <c r="I23" i="12"/>
  <c r="P22" i="12"/>
  <c r="O22" i="12"/>
  <c r="L22" i="12"/>
  <c r="K22" i="12"/>
  <c r="J22" i="12"/>
  <c r="I22" i="12"/>
  <c r="A21" i="12"/>
  <c r="P20" i="12"/>
  <c r="P44" i="12" s="1"/>
  <c r="O20" i="12"/>
  <c r="K20" i="12"/>
  <c r="J20" i="12"/>
  <c r="I20" i="12"/>
  <c r="A20" i="12"/>
  <c r="P19" i="12"/>
  <c r="O19" i="12"/>
  <c r="M19" i="12"/>
  <c r="L19" i="12"/>
  <c r="L44" i="12" s="1"/>
  <c r="K19" i="12"/>
  <c r="J19" i="12"/>
  <c r="I19" i="12"/>
  <c r="A19" i="12"/>
  <c r="A18" i="12"/>
  <c r="A17" i="12"/>
  <c r="A16" i="12"/>
  <c r="A15" i="12"/>
  <c r="A14" i="12"/>
  <c r="A13" i="12"/>
  <c r="A12" i="12"/>
  <c r="N11" i="12"/>
  <c r="A11" i="12"/>
  <c r="N10" i="12"/>
  <c r="A10" i="12"/>
  <c r="N9" i="12"/>
  <c r="J9" i="12"/>
  <c r="I9" i="12"/>
  <c r="H9" i="12"/>
  <c r="A9" i="12"/>
  <c r="J8" i="12"/>
  <c r="I8" i="12"/>
  <c r="H8" i="12"/>
  <c r="A8" i="12"/>
  <c r="J7" i="12"/>
  <c r="I7" i="12"/>
  <c r="H7" i="12"/>
  <c r="A7" i="12"/>
  <c r="J6" i="12"/>
  <c r="I6" i="12"/>
  <c r="H6" i="12"/>
  <c r="A6" i="12"/>
  <c r="J5" i="12"/>
  <c r="I5" i="12"/>
  <c r="H5" i="12"/>
  <c r="A5" i="12"/>
  <c r="J4" i="12"/>
  <c r="I4" i="12"/>
  <c r="H4" i="12"/>
  <c r="A4" i="12"/>
  <c r="A3" i="12"/>
  <c r="C113" i="11"/>
  <c r="B113" i="11"/>
  <c r="B108" i="11"/>
  <c r="M101" i="11"/>
  <c r="M100" i="11"/>
  <c r="M99" i="11"/>
  <c r="C99" i="11"/>
  <c r="M98" i="11"/>
  <c r="C98" i="11"/>
  <c r="M97" i="11"/>
  <c r="M96" i="11"/>
  <c r="M95" i="11"/>
  <c r="M94" i="11"/>
  <c r="O93" i="11"/>
  <c r="M93" i="11"/>
  <c r="C93" i="11"/>
  <c r="O92" i="11"/>
  <c r="P93" i="11" s="1"/>
  <c r="M92" i="11"/>
  <c r="O91" i="11"/>
  <c r="M91" i="11"/>
  <c r="L87" i="11"/>
  <c r="L86" i="11"/>
  <c r="E74" i="11"/>
  <c r="I250" i="1" s="1"/>
  <c r="D74" i="11"/>
  <c r="H250" i="1" s="1"/>
  <c r="H4" i="1" s="1"/>
  <c r="I24" i="1" s="1"/>
  <c r="C74" i="11"/>
  <c r="G250" i="1" s="1"/>
  <c r="B74" i="11"/>
  <c r="G71" i="11"/>
  <c r="G70" i="11"/>
  <c r="E70" i="11"/>
  <c r="C66" i="11"/>
  <c r="G64" i="11"/>
  <c r="B64" i="11"/>
  <c r="B66" i="11" s="1"/>
  <c r="I53" i="11"/>
  <c r="E71" i="11" s="1"/>
  <c r="H53" i="11"/>
  <c r="C53" i="11"/>
  <c r="D53" i="11" s="1"/>
  <c r="I51" i="11"/>
  <c r="H51" i="11"/>
  <c r="I50" i="11"/>
  <c r="B71" i="11" s="1"/>
  <c r="D50" i="11"/>
  <c r="B70" i="11" s="1"/>
  <c r="I48" i="11"/>
  <c r="C71" i="11" s="1"/>
  <c r="H48" i="11"/>
  <c r="B44" i="11"/>
  <c r="F43" i="11"/>
  <c r="B43" i="11"/>
  <c r="F42" i="11"/>
  <c r="I28" i="11"/>
  <c r="G72" i="11" s="1"/>
  <c r="E14" i="11"/>
  <c r="D14" i="11"/>
  <c r="C14" i="11"/>
  <c r="M48" i="11" s="1"/>
  <c r="N48" i="11" s="1"/>
  <c r="C72" i="11" s="1"/>
  <c r="F72" i="11" s="1"/>
  <c r="B14" i="11"/>
  <c r="E13" i="11"/>
  <c r="D13" i="11"/>
  <c r="C13" i="11"/>
  <c r="B13" i="11"/>
  <c r="H50" i="11" s="1"/>
  <c r="E12" i="11"/>
  <c r="D12" i="11"/>
  <c r="C12" i="11"/>
  <c r="B12" i="11"/>
  <c r="C50" i="11" s="1"/>
  <c r="D396" i="10"/>
  <c r="D392" i="10"/>
  <c r="D391" i="10"/>
  <c r="D390" i="10"/>
  <c r="D389" i="10"/>
  <c r="D388" i="10"/>
  <c r="D387" i="10"/>
  <c r="D386" i="10"/>
  <c r="D385" i="10"/>
  <c r="C384" i="10"/>
  <c r="C383" i="10"/>
  <c r="C382" i="10"/>
  <c r="C381" i="10"/>
  <c r="C380" i="10"/>
  <c r="C379" i="10"/>
  <c r="C378" i="10"/>
  <c r="C377" i="10"/>
  <c r="C376" i="10"/>
  <c r="C375" i="10"/>
  <c r="J323" i="10"/>
  <c r="I323" i="10"/>
  <c r="C32" i="10" s="1"/>
  <c r="F323" i="10"/>
  <c r="E323" i="10"/>
  <c r="D282" i="1" s="1"/>
  <c r="K265" i="1" s="1"/>
  <c r="L319" i="10"/>
  <c r="J319" i="10"/>
  <c r="L318" i="10"/>
  <c r="J318" i="10"/>
  <c r="L313" i="10"/>
  <c r="J313" i="10"/>
  <c r="L311" i="10"/>
  <c r="J311" i="10" s="1"/>
  <c r="L310" i="10"/>
  <c r="J310" i="10"/>
  <c r="L308" i="10"/>
  <c r="J308" i="10"/>
  <c r="L307" i="10"/>
  <c r="J307" i="10"/>
  <c r="L305" i="10"/>
  <c r="J305" i="10" s="1"/>
  <c r="L304" i="10"/>
  <c r="J304" i="10"/>
  <c r="L303" i="10"/>
  <c r="J303" i="10"/>
  <c r="L301" i="10"/>
  <c r="J301" i="10"/>
  <c r="L298" i="10"/>
  <c r="J298" i="10" s="1"/>
  <c r="E260" i="10"/>
  <c r="F260" i="10" s="1"/>
  <c r="E25" i="10" s="1"/>
  <c r="D25" i="10" s="1"/>
  <c r="D260" i="10"/>
  <c r="E248" i="10"/>
  <c r="E244" i="10"/>
  <c r="D244" i="10"/>
  <c r="E227" i="10"/>
  <c r="D227" i="10"/>
  <c r="H206" i="10"/>
  <c r="G206" i="10"/>
  <c r="E21" i="10" s="1"/>
  <c r="E206" i="10"/>
  <c r="D21" i="10" s="1"/>
  <c r="D206" i="10"/>
  <c r="F196" i="10"/>
  <c r="E196" i="10"/>
  <c r="F195" i="10"/>
  <c r="E195" i="10"/>
  <c r="F194" i="10"/>
  <c r="E194" i="10"/>
  <c r="F193" i="10"/>
  <c r="E193" i="10"/>
  <c r="F192" i="10"/>
  <c r="E192" i="10"/>
  <c r="F191" i="10"/>
  <c r="E191" i="10"/>
  <c r="F190" i="10"/>
  <c r="E190" i="10"/>
  <c r="F189" i="10"/>
  <c r="E189" i="10"/>
  <c r="H185" i="10"/>
  <c r="G185" i="10"/>
  <c r="F185" i="10"/>
  <c r="D185" i="10"/>
  <c r="F173" i="10"/>
  <c r="E173" i="10"/>
  <c r="F172" i="10"/>
  <c r="E172" i="10"/>
  <c r="F171" i="10"/>
  <c r="E171" i="10"/>
  <c r="F170" i="10"/>
  <c r="E170" i="10"/>
  <c r="F169" i="10"/>
  <c r="E169" i="10"/>
  <c r="F168" i="10"/>
  <c r="E168" i="10"/>
  <c r="F167" i="10"/>
  <c r="E167" i="10"/>
  <c r="F166" i="10"/>
  <c r="E166" i="10"/>
  <c r="H163" i="10"/>
  <c r="G163" i="10"/>
  <c r="E17" i="10" s="1"/>
  <c r="D163" i="10"/>
  <c r="F156" i="10"/>
  <c r="E156" i="10"/>
  <c r="F155" i="10"/>
  <c r="E155" i="10"/>
  <c r="F154" i="10"/>
  <c r="E154" i="10"/>
  <c r="F153" i="10"/>
  <c r="E153" i="10"/>
  <c r="F152" i="10"/>
  <c r="E152" i="10"/>
  <c r="F151" i="10"/>
  <c r="F163" i="10" s="1"/>
  <c r="E151" i="10"/>
  <c r="F150" i="10"/>
  <c r="E150" i="10"/>
  <c r="E163" i="10" s="1"/>
  <c r="D17" i="10" s="1"/>
  <c r="G147" i="10"/>
  <c r="H145" i="10"/>
  <c r="G145" i="10"/>
  <c r="E18" i="10" s="1"/>
  <c r="E145" i="10"/>
  <c r="D145" i="10"/>
  <c r="F138" i="10"/>
  <c r="E138" i="10"/>
  <c r="F137" i="10"/>
  <c r="F145" i="10" s="1"/>
  <c r="F147" i="10" s="1"/>
  <c r="E137" i="10"/>
  <c r="H134" i="10"/>
  <c r="H147" i="10" s="1"/>
  <c r="G134" i="10"/>
  <c r="E134" i="10"/>
  <c r="D19" i="10" s="1"/>
  <c r="D134" i="10"/>
  <c r="C19" i="10" s="1"/>
  <c r="F123" i="10"/>
  <c r="E123" i="10"/>
  <c r="F122" i="10"/>
  <c r="E122" i="10"/>
  <c r="F121" i="10"/>
  <c r="F134" i="10" s="1"/>
  <c r="E121" i="10"/>
  <c r="F112" i="10"/>
  <c r="G112" i="10" s="1"/>
  <c r="E12" i="10" s="1"/>
  <c r="C12" i="10" s="1"/>
  <c r="E112" i="10"/>
  <c r="D112" i="10"/>
  <c r="E96" i="10"/>
  <c r="D96" i="10"/>
  <c r="E86" i="10"/>
  <c r="D10" i="10" s="1"/>
  <c r="D86" i="10"/>
  <c r="E74" i="10"/>
  <c r="D8" i="10" s="1"/>
  <c r="D74" i="10"/>
  <c r="F74" i="10" s="1"/>
  <c r="E8" i="10" s="1"/>
  <c r="F54" i="10"/>
  <c r="E9" i="10" s="1"/>
  <c r="E54" i="10"/>
  <c r="D9" i="10" s="1"/>
  <c r="D54" i="10"/>
  <c r="C25" i="10"/>
  <c r="C21" i="10"/>
  <c r="E20" i="10"/>
  <c r="C20" i="10"/>
  <c r="E19" i="10"/>
  <c r="D18" i="10"/>
  <c r="C17" i="10"/>
  <c r="D12" i="10"/>
  <c r="D11" i="10"/>
  <c r="C9" i="10"/>
  <c r="C8" i="10"/>
  <c r="C156" i="9"/>
  <c r="C143" i="9"/>
  <c r="B75" i="9"/>
  <c r="B72" i="9"/>
  <c r="AD96" i="8"/>
  <c r="AB96" i="8"/>
  <c r="AA96" i="8"/>
  <c r="Y96" i="8"/>
  <c r="W96" i="8"/>
  <c r="V96" i="8"/>
  <c r="S96" i="8"/>
  <c r="Q96" i="8"/>
  <c r="N96" i="8"/>
  <c r="L96" i="8"/>
  <c r="K96" i="8"/>
  <c r="I96" i="8"/>
  <c r="F96" i="8"/>
  <c r="D96" i="8"/>
  <c r="AE95" i="8"/>
  <c r="AA95" i="8"/>
  <c r="Z95" i="8"/>
  <c r="X95" i="8"/>
  <c r="S95" i="8"/>
  <c r="R14" i="8" s="1"/>
  <c r="R95" i="8"/>
  <c r="Q14" i="8" s="1"/>
  <c r="Q15" i="8" s="1"/>
  <c r="Q39" i="8" s="1"/>
  <c r="P95" i="8"/>
  <c r="M95" i="8"/>
  <c r="L14" i="8" s="1"/>
  <c r="L15" i="8" s="1"/>
  <c r="L39" i="8" s="1"/>
  <c r="K95" i="8"/>
  <c r="J14" i="8" s="1"/>
  <c r="J15" i="8" s="1"/>
  <c r="J39" i="8" s="1"/>
  <c r="H95" i="8"/>
  <c r="E95" i="8"/>
  <c r="D14" i="8" s="1"/>
  <c r="D15" i="8" s="1"/>
  <c r="D39" i="8" s="1"/>
  <c r="D95" i="8"/>
  <c r="AE92" i="8"/>
  <c r="AD92" i="8"/>
  <c r="AE96" i="8" s="1"/>
  <c r="AC92" i="8"/>
  <c r="AB92" i="8"/>
  <c r="AC96" i="8" s="1"/>
  <c r="AA92" i="8"/>
  <c r="Z92" i="8"/>
  <c r="Y92" i="8"/>
  <c r="X92" i="8"/>
  <c r="W92" i="8"/>
  <c r="V92" i="8"/>
  <c r="U92" i="8"/>
  <c r="T92" i="8"/>
  <c r="U96" i="8" s="1"/>
  <c r="S92" i="8"/>
  <c r="T96" i="8" s="1"/>
  <c r="R92" i="8"/>
  <c r="Q92" i="8"/>
  <c r="P92" i="8"/>
  <c r="O92" i="8"/>
  <c r="N92" i="8"/>
  <c r="O96" i="8" s="1"/>
  <c r="M92" i="8"/>
  <c r="L92" i="8"/>
  <c r="M96" i="8" s="1"/>
  <c r="K92" i="8"/>
  <c r="J92" i="8"/>
  <c r="I92" i="8"/>
  <c r="H92" i="8"/>
  <c r="G92" i="8"/>
  <c r="F92" i="8"/>
  <c r="G96" i="8" s="1"/>
  <c r="E92" i="8"/>
  <c r="D92" i="8"/>
  <c r="E96" i="8" s="1"/>
  <c r="C92" i="8"/>
  <c r="AE90" i="8"/>
  <c r="AD90" i="8"/>
  <c r="AC90" i="8"/>
  <c r="AB90" i="8"/>
  <c r="AC95" i="8" s="1"/>
  <c r="AA90" i="8"/>
  <c r="Z90" i="8"/>
  <c r="Y90" i="8"/>
  <c r="X90" i="8"/>
  <c r="Y95" i="8" s="1"/>
  <c r="W90" i="8"/>
  <c r="V90" i="8"/>
  <c r="W95" i="8" s="1"/>
  <c r="U90" i="8"/>
  <c r="T90" i="8"/>
  <c r="U95" i="8" s="1"/>
  <c r="T14" i="8" s="1"/>
  <c r="T15" i="8" s="1"/>
  <c r="T39" i="8" s="1"/>
  <c r="S90" i="8"/>
  <c r="R90" i="8"/>
  <c r="Q90" i="8"/>
  <c r="P90" i="8"/>
  <c r="Q95" i="8" s="1"/>
  <c r="P14" i="8" s="1"/>
  <c r="O90" i="8"/>
  <c r="N90" i="8"/>
  <c r="O95" i="8" s="1"/>
  <c r="N14" i="8" s="1"/>
  <c r="N15" i="8" s="1"/>
  <c r="M90" i="8"/>
  <c r="L90" i="8"/>
  <c r="K90" i="8"/>
  <c r="J90" i="8"/>
  <c r="I90" i="8"/>
  <c r="J95" i="8" s="1"/>
  <c r="I14" i="8" s="1"/>
  <c r="I15" i="8" s="1"/>
  <c r="I39" i="8" s="1"/>
  <c r="H90" i="8"/>
  <c r="I95" i="8" s="1"/>
  <c r="H14" i="8" s="1"/>
  <c r="G90" i="8"/>
  <c r="F90" i="8"/>
  <c r="G95" i="8" s="1"/>
  <c r="E90" i="8"/>
  <c r="D90" i="8"/>
  <c r="C90" i="8"/>
  <c r="AD59" i="8"/>
  <c r="AC59" i="8"/>
  <c r="AA59" i="8"/>
  <c r="X59" i="8"/>
  <c r="U59" i="8"/>
  <c r="S59" i="8"/>
  <c r="Q59" i="8"/>
  <c r="P59" i="8"/>
  <c r="M59" i="8"/>
  <c r="K59" i="8"/>
  <c r="H59" i="8"/>
  <c r="F59" i="8"/>
  <c r="E59" i="8"/>
  <c r="D59" i="8"/>
  <c r="AB58" i="8"/>
  <c r="W58" i="8"/>
  <c r="U58" i="8"/>
  <c r="T19" i="8" s="1"/>
  <c r="T20" i="8" s="1"/>
  <c r="T40" i="8" s="1"/>
  <c r="O58" i="8"/>
  <c r="N19" i="8" s="1"/>
  <c r="N20" i="8" s="1"/>
  <c r="L58" i="8"/>
  <c r="J58" i="8"/>
  <c r="I19" i="8" s="1"/>
  <c r="I20" i="8" s="1"/>
  <c r="AZ73" i="6" s="1"/>
  <c r="D58" i="8"/>
  <c r="Z58" i="8" s="1"/>
  <c r="AE55" i="8"/>
  <c r="AD55" i="8"/>
  <c r="AE59" i="8" s="1"/>
  <c r="AC55" i="8"/>
  <c r="AB55" i="8"/>
  <c r="AA55" i="8"/>
  <c r="Z55" i="8"/>
  <c r="Y55" i="8"/>
  <c r="Z59" i="8" s="1"/>
  <c r="X55" i="8"/>
  <c r="Y59" i="8" s="1"/>
  <c r="W55" i="8"/>
  <c r="V55" i="8"/>
  <c r="W59" i="8" s="1"/>
  <c r="U55" i="8"/>
  <c r="V59" i="8" s="1"/>
  <c r="T55" i="8"/>
  <c r="S55" i="8"/>
  <c r="R55" i="8"/>
  <c r="Q55" i="8"/>
  <c r="R59" i="8" s="1"/>
  <c r="P55" i="8"/>
  <c r="O55" i="8"/>
  <c r="N55" i="8"/>
  <c r="O59" i="8" s="1"/>
  <c r="M55" i="8"/>
  <c r="N59" i="8" s="1"/>
  <c r="L55" i="8"/>
  <c r="K55" i="8"/>
  <c r="J55" i="8"/>
  <c r="I55" i="8"/>
  <c r="J59" i="8" s="1"/>
  <c r="H55" i="8"/>
  <c r="I59" i="8" s="1"/>
  <c r="G55" i="8"/>
  <c r="F55" i="8"/>
  <c r="G59" i="8" s="1"/>
  <c r="E55" i="8"/>
  <c r="D55" i="8"/>
  <c r="C55" i="8"/>
  <c r="AE53" i="8"/>
  <c r="AD53" i="8"/>
  <c r="AC53" i="8"/>
  <c r="AB53" i="8"/>
  <c r="AA53" i="8"/>
  <c r="Z53" i="8"/>
  <c r="Y53" i="8"/>
  <c r="X53" i="8"/>
  <c r="Y58" i="8" s="1"/>
  <c r="W53" i="8"/>
  <c r="V53" i="8"/>
  <c r="U53" i="8"/>
  <c r="T53" i="8"/>
  <c r="S53" i="8"/>
  <c r="R53" i="8"/>
  <c r="Q53" i="8"/>
  <c r="P53" i="8"/>
  <c r="O53" i="8"/>
  <c r="N53" i="8"/>
  <c r="M53" i="8"/>
  <c r="L53" i="8"/>
  <c r="K53" i="8"/>
  <c r="J53" i="8"/>
  <c r="I53" i="8"/>
  <c r="H53" i="8"/>
  <c r="I58" i="8" s="1"/>
  <c r="G53" i="8"/>
  <c r="F53" i="8"/>
  <c r="E53" i="8"/>
  <c r="D53" i="8"/>
  <c r="C53" i="8"/>
  <c r="T42" i="8"/>
  <c r="S42" i="8"/>
  <c r="R42" i="8"/>
  <c r="Q42" i="8"/>
  <c r="P42" i="8"/>
  <c r="H42" i="8"/>
  <c r="G42" i="8"/>
  <c r="S41" i="8"/>
  <c r="Q41" i="8"/>
  <c r="O41" i="8"/>
  <c r="N41" i="8"/>
  <c r="K41" i="8"/>
  <c r="I41" i="8"/>
  <c r="F41" i="8"/>
  <c r="D41" i="8"/>
  <c r="C41" i="8"/>
  <c r="K40" i="8"/>
  <c r="N39" i="8"/>
  <c r="C39" i="8"/>
  <c r="T34" i="8"/>
  <c r="T41" i="8" s="1"/>
  <c r="S34" i="8"/>
  <c r="R34" i="8"/>
  <c r="R41" i="8" s="1"/>
  <c r="Q34" i="8"/>
  <c r="P34" i="8"/>
  <c r="P41" i="8" s="1"/>
  <c r="O34" i="8"/>
  <c r="N34" i="8"/>
  <c r="M34" i="8"/>
  <c r="M41" i="8" s="1"/>
  <c r="L34" i="8"/>
  <c r="L41" i="8" s="1"/>
  <c r="K34" i="8"/>
  <c r="J34" i="8"/>
  <c r="J41" i="8" s="1"/>
  <c r="I34" i="8"/>
  <c r="H34" i="8"/>
  <c r="H41" i="8" s="1"/>
  <c r="G34" i="8"/>
  <c r="G41" i="8" s="1"/>
  <c r="F34" i="8"/>
  <c r="E34" i="8"/>
  <c r="E41" i="8" s="1"/>
  <c r="D34" i="8"/>
  <c r="C34" i="8"/>
  <c r="O28" i="8"/>
  <c r="N28" i="8"/>
  <c r="M28" i="8"/>
  <c r="M26" i="8" s="1"/>
  <c r="M42" i="8" s="1"/>
  <c r="L28" i="8"/>
  <c r="K28" i="8"/>
  <c r="J28" i="8"/>
  <c r="J26" i="8" s="1"/>
  <c r="J42" i="8" s="1"/>
  <c r="I28" i="8"/>
  <c r="H28" i="8"/>
  <c r="G28" i="8"/>
  <c r="F28" i="8"/>
  <c r="E28" i="8"/>
  <c r="E26" i="8" s="1"/>
  <c r="E42" i="8" s="1"/>
  <c r="D28" i="8"/>
  <c r="C28" i="8"/>
  <c r="O27" i="8"/>
  <c r="N27" i="8"/>
  <c r="M27" i="8"/>
  <c r="L27" i="8"/>
  <c r="K27" i="8"/>
  <c r="J27" i="8"/>
  <c r="I27" i="8"/>
  <c r="H27" i="8"/>
  <c r="G27" i="8"/>
  <c r="F27" i="8"/>
  <c r="E27" i="8"/>
  <c r="D27" i="8"/>
  <c r="C27" i="8"/>
  <c r="O26" i="8"/>
  <c r="O42" i="8" s="1"/>
  <c r="N26" i="8"/>
  <c r="N42" i="8" s="1"/>
  <c r="L26" i="8"/>
  <c r="L42" i="8" s="1"/>
  <c r="K26" i="8"/>
  <c r="K42" i="8" s="1"/>
  <c r="I26" i="8"/>
  <c r="I42" i="8" s="1"/>
  <c r="H26" i="8"/>
  <c r="G26" i="8"/>
  <c r="F26" i="8"/>
  <c r="F42" i="8" s="1"/>
  <c r="D26" i="8"/>
  <c r="D42" i="8" s="1"/>
  <c r="C26" i="8"/>
  <c r="C42" i="8" s="1"/>
  <c r="C20" i="8"/>
  <c r="C40" i="8" s="1"/>
  <c r="K19" i="8"/>
  <c r="K20" i="8" s="1"/>
  <c r="H19" i="8"/>
  <c r="H20" i="8" s="1"/>
  <c r="C19" i="8"/>
  <c r="O15" i="8"/>
  <c r="O39" i="8" s="1"/>
  <c r="O14" i="8"/>
  <c r="G14" i="8"/>
  <c r="G15" i="8" s="1"/>
  <c r="G39" i="8" s="1"/>
  <c r="F14" i="8"/>
  <c r="F15" i="8" s="1"/>
  <c r="F39" i="8" s="1"/>
  <c r="C14" i="8"/>
  <c r="C15" i="8" s="1"/>
  <c r="B164" i="7" a="1"/>
  <c r="B164" i="7" s="1"/>
  <c r="B165" i="7" s="1"/>
  <c r="B134" i="7"/>
  <c r="B3" i="7" s="1"/>
  <c r="D51" i="7"/>
  <c r="B42" i="7"/>
  <c r="B41" i="7"/>
  <c r="B40" i="7"/>
  <c r="B28" i="7"/>
  <c r="B26" i="7"/>
  <c r="B24" i="7"/>
  <c r="B16" i="7"/>
  <c r="AO278" i="6"/>
  <c r="AL278" i="6"/>
  <c r="AI278" i="6"/>
  <c r="AF278" i="6"/>
  <c r="AA278" i="6"/>
  <c r="Y278" i="6"/>
  <c r="V278" i="6"/>
  <c r="P278" i="6"/>
  <c r="N278" i="6"/>
  <c r="L278" i="6"/>
  <c r="AM277" i="6"/>
  <c r="AJ277" i="6"/>
  <c r="AH277" i="6"/>
  <c r="AC277" i="6"/>
  <c r="Z277" i="6"/>
  <c r="W277" i="6"/>
  <c r="T277" i="6"/>
  <c r="Q277" i="6"/>
  <c r="M277" i="6"/>
  <c r="J277" i="6" a="1"/>
  <c r="J277" i="6"/>
  <c r="BC225" i="6"/>
  <c r="AZ225" i="6"/>
  <c r="AW225" i="6"/>
  <c r="AS225" i="6"/>
  <c r="AR225" i="6"/>
  <c r="AP225" i="6"/>
  <c r="AM225" i="6"/>
  <c r="AJ225" i="6"/>
  <c r="AG225" i="6"/>
  <c r="AE225" i="6"/>
  <c r="AC225" i="6"/>
  <c r="Z225" i="6"/>
  <c r="W225" i="6"/>
  <c r="T225" i="6"/>
  <c r="R225" i="6"/>
  <c r="Q225" i="6"/>
  <c r="M225" i="6"/>
  <c r="J225" i="6"/>
  <c r="I225" i="6" a="1"/>
  <c r="BD224" i="6"/>
  <c r="BB224" i="6"/>
  <c r="BA224" i="6"/>
  <c r="AY224" i="6"/>
  <c r="AX224" i="6"/>
  <c r="AV224" i="6"/>
  <c r="AT224" i="6"/>
  <c r="AS224" i="6"/>
  <c r="AQ224" i="6"/>
  <c r="AP224" i="6"/>
  <c r="AN224" i="6"/>
  <c r="AL224" i="6"/>
  <c r="AK224" i="6"/>
  <c r="AI224" i="6"/>
  <c r="AH224" i="6"/>
  <c r="AF224" i="6"/>
  <c r="AD224" i="6"/>
  <c r="AC224" i="6"/>
  <c r="AA224" i="6"/>
  <c r="Z224" i="6"/>
  <c r="X224" i="6"/>
  <c r="V224" i="6"/>
  <c r="U224" i="6"/>
  <c r="S224" i="6"/>
  <c r="R224" i="6"/>
  <c r="P224" i="6"/>
  <c r="N224" i="6"/>
  <c r="M224" i="6"/>
  <c r="K224" i="6"/>
  <c r="J224" i="6"/>
  <c r="I224" i="6" a="1"/>
  <c r="AZ224" i="6" s="1"/>
  <c r="I224" i="6"/>
  <c r="BU98" i="6"/>
  <c r="BK73" i="6"/>
  <c r="BB73" i="6"/>
  <c r="BK59" i="6"/>
  <c r="BJ59" i="6"/>
  <c r="BI59" i="6"/>
  <c r="BH59" i="6"/>
  <c r="BG59" i="6"/>
  <c r="BF59" i="6"/>
  <c r="BE59" i="6"/>
  <c r="BD59" i="6"/>
  <c r="BC59" i="6"/>
  <c r="BB59" i="6"/>
  <c r="BA59" i="6"/>
  <c r="AZ59" i="6"/>
  <c r="AY59" i="6"/>
  <c r="AX59" i="6"/>
  <c r="AW59" i="6"/>
  <c r="AV59" i="6"/>
  <c r="AU59" i="6"/>
  <c r="AT59" i="6"/>
  <c r="AS59" i="6"/>
  <c r="AR59" i="6"/>
  <c r="AQ59" i="6"/>
  <c r="AP59" i="6"/>
  <c r="AO59" i="6"/>
  <c r="AN59" i="6"/>
  <c r="AM59" i="6"/>
  <c r="AL59" i="6"/>
  <c r="AK59" i="6"/>
  <c r="AJ59" i="6"/>
  <c r="AI59" i="6"/>
  <c r="AH59" i="6"/>
  <c r="AG59" i="6"/>
  <c r="AF59" i="6"/>
  <c r="AE59" i="6"/>
  <c r="AD59" i="6"/>
  <c r="AC59" i="6"/>
  <c r="AB59" i="6"/>
  <c r="AA59" i="6"/>
  <c r="Z59" i="6"/>
  <c r="Y59" i="6"/>
  <c r="X59" i="6"/>
  <c r="W59" i="6"/>
  <c r="V59" i="6"/>
  <c r="U59" i="6"/>
  <c r="T59" i="6"/>
  <c r="S59" i="6"/>
  <c r="R59" i="6"/>
  <c r="Q59" i="6"/>
  <c r="P59" i="6"/>
  <c r="O59" i="6"/>
  <c r="N59" i="6"/>
  <c r="M59" i="6"/>
  <c r="L59" i="6"/>
  <c r="K59" i="6"/>
  <c r="J59" i="6"/>
  <c r="I59" i="6"/>
  <c r="H59" i="6"/>
  <c r="G59" i="6"/>
  <c r="F59" i="6"/>
  <c r="E59" i="6"/>
  <c r="D59" i="6"/>
  <c r="BU57" i="6"/>
  <c r="AW57" i="6"/>
  <c r="F10" i="8" s="1"/>
  <c r="C57" i="6"/>
  <c r="C56" i="6"/>
  <c r="BN55" i="6"/>
  <c r="BN94" i="6" s="1"/>
  <c r="BL55" i="6"/>
  <c r="BL94" i="6" s="1"/>
  <c r="BH55" i="6"/>
  <c r="C55" i="6"/>
  <c r="BO54" i="6"/>
  <c r="C54" i="6"/>
  <c r="C53" i="6"/>
  <c r="BQ52" i="6"/>
  <c r="BQ98" i="6" s="1"/>
  <c r="BI52" i="6"/>
  <c r="BH52" i="6"/>
  <c r="Q5" i="8" s="1"/>
  <c r="BC52" i="6"/>
  <c r="AT52" i="6"/>
  <c r="C52" i="6"/>
  <c r="C51" i="6"/>
  <c r="C50" i="6"/>
  <c r="C49" i="6"/>
  <c r="J48" i="6"/>
  <c r="AI46" i="6"/>
  <c r="AI93" i="6" s="1"/>
  <c r="AG46" i="6"/>
  <c r="AG93" i="6" s="1"/>
  <c r="S46" i="6"/>
  <c r="Q46" i="6"/>
  <c r="P46" i="6"/>
  <c r="AA45" i="6"/>
  <c r="K45" i="6"/>
  <c r="AL44" i="6"/>
  <c r="AL101" i="6" s="1"/>
  <c r="AT43" i="6"/>
  <c r="BU52" i="6" s="1"/>
  <c r="AR43" i="6"/>
  <c r="AR97" i="6" s="1"/>
  <c r="AP43" i="6"/>
  <c r="AP97" i="6" s="1"/>
  <c r="AO43" i="6"/>
  <c r="AO97" i="6" s="1"/>
  <c r="AJ43" i="6"/>
  <c r="AJ97" i="6" s="1"/>
  <c r="AC43" i="6"/>
  <c r="AC97" i="6" s="1"/>
  <c r="AB43" i="6"/>
  <c r="AB97" i="6" s="1"/>
  <c r="U43" i="6"/>
  <c r="Q43" i="6"/>
  <c r="I43" i="6"/>
  <c r="E43" i="6"/>
  <c r="D43" i="6"/>
  <c r="BR38" i="6"/>
  <c r="BQ38" i="6"/>
  <c r="BP38" i="6"/>
  <c r="BO38" i="6"/>
  <c r="BN38" i="6"/>
  <c r="BM38" i="6"/>
  <c r="BL38" i="6"/>
  <c r="BK38" i="6"/>
  <c r="BJ38" i="6"/>
  <c r="BI38" i="6"/>
  <c r="BH38" i="6"/>
  <c r="BG38" i="6"/>
  <c r="BF38" i="6"/>
  <c r="BE38" i="6"/>
  <c r="BD38" i="6"/>
  <c r="BC38" i="6"/>
  <c r="BB38" i="6"/>
  <c r="BA38" i="6"/>
  <c r="AZ38" i="6"/>
  <c r="AY38" i="6"/>
  <c r="AX38" i="6"/>
  <c r="AW38" i="6"/>
  <c r="AV38" i="6"/>
  <c r="AU38" i="6"/>
  <c r="AT38" i="6"/>
  <c r="AS38" i="6"/>
  <c r="AR38" i="6"/>
  <c r="AQ38" i="6"/>
  <c r="AP38" i="6"/>
  <c r="AO38" i="6"/>
  <c r="AN38"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I38" i="6"/>
  <c r="H38" i="6"/>
  <c r="G38" i="6"/>
  <c r="F38" i="6"/>
  <c r="E38" i="6"/>
  <c r="D38" i="6"/>
  <c r="AT22" i="6"/>
  <c r="AS22" i="6"/>
  <c r="AR22" i="6"/>
  <c r="AQ22" i="6"/>
  <c r="AP22" i="6"/>
  <c r="AO22" i="6"/>
  <c r="AN22"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I22" i="6"/>
  <c r="H22" i="6"/>
  <c r="G22" i="6"/>
  <c r="F22" i="6"/>
  <c r="E22" i="6"/>
  <c r="D22" i="6"/>
  <c r="AU22" i="6" s="1"/>
  <c r="AT21" i="6"/>
  <c r="AS21" i="6"/>
  <c r="AR21" i="6"/>
  <c r="AQ21" i="6"/>
  <c r="AP21" i="6"/>
  <c r="AO21" i="6"/>
  <c r="AN21" i="6"/>
  <c r="AN46" i="6" s="1"/>
  <c r="AN93" i="6" s="1"/>
  <c r="AM21" i="6"/>
  <c r="AL21" i="6"/>
  <c r="AK21" i="6"/>
  <c r="AJ21" i="6"/>
  <c r="AI21" i="6"/>
  <c r="AH21" i="6"/>
  <c r="AG21" i="6"/>
  <c r="AF21" i="6"/>
  <c r="AF46" i="6" s="1"/>
  <c r="AF93" i="6" s="1"/>
  <c r="AE21" i="6"/>
  <c r="AD21" i="6"/>
  <c r="AC21" i="6"/>
  <c r="AB21" i="6"/>
  <c r="AA21" i="6"/>
  <c r="Z21" i="6"/>
  <c r="Y21" i="6"/>
  <c r="X21" i="6"/>
  <c r="X46" i="6" s="1"/>
  <c r="X93" i="6" s="1"/>
  <c r="W21" i="6"/>
  <c r="V21" i="6"/>
  <c r="U21" i="6"/>
  <c r="T21" i="6"/>
  <c r="S21" i="6"/>
  <c r="R21" i="6"/>
  <c r="Q21" i="6"/>
  <c r="P21" i="6"/>
  <c r="O21" i="6"/>
  <c r="N21" i="6"/>
  <c r="M21" i="6"/>
  <c r="L21" i="6"/>
  <c r="K21" i="6"/>
  <c r="J21" i="6"/>
  <c r="I21" i="6"/>
  <c r="H21" i="6"/>
  <c r="H46" i="6" s="1"/>
  <c r="G21" i="6"/>
  <c r="F21" i="6"/>
  <c r="AU21" i="6" s="1"/>
  <c r="AU55" i="6" s="1"/>
  <c r="E21" i="6"/>
  <c r="D21" i="6"/>
  <c r="AT20" i="6"/>
  <c r="AS20" i="6"/>
  <c r="AR20" i="6"/>
  <c r="AQ20" i="6"/>
  <c r="AP20" i="6"/>
  <c r="AO20" i="6"/>
  <c r="AN20"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I20" i="6"/>
  <c r="H20" i="6"/>
  <c r="G20" i="6"/>
  <c r="F20" i="6"/>
  <c r="E20" i="6"/>
  <c r="D20" i="6"/>
  <c r="AU20" i="6" s="1"/>
  <c r="AT19" i="6"/>
  <c r="BR52" i="6" s="1"/>
  <c r="BR98" i="6" s="1"/>
  <c r="AS19" i="6"/>
  <c r="AR19" i="6"/>
  <c r="AQ19" i="6"/>
  <c r="AP19" i="6"/>
  <c r="AO19" i="6"/>
  <c r="AN19" i="6"/>
  <c r="AN43" i="6" s="1"/>
  <c r="AN97" i="6" s="1"/>
  <c r="AM19" i="6"/>
  <c r="AL19" i="6"/>
  <c r="AL43" i="6" s="1"/>
  <c r="AL97" i="6" s="1"/>
  <c r="AK19" i="6"/>
  <c r="AJ19" i="6"/>
  <c r="AI19" i="6"/>
  <c r="AH19" i="6"/>
  <c r="AH43" i="6" s="1"/>
  <c r="AH97" i="6" s="1"/>
  <c r="AG19" i="6"/>
  <c r="AF19" i="6"/>
  <c r="AF43" i="6" s="1"/>
  <c r="AF97" i="6" s="1"/>
  <c r="AE19" i="6"/>
  <c r="AD19" i="6"/>
  <c r="AD43" i="6" s="1"/>
  <c r="AD97" i="6" s="1"/>
  <c r="AC19" i="6"/>
  <c r="AB19" i="6"/>
  <c r="AA19" i="6"/>
  <c r="Z19" i="6"/>
  <c r="Z43" i="6" s="1"/>
  <c r="Z97" i="6" s="1"/>
  <c r="Y19" i="6"/>
  <c r="X19" i="6"/>
  <c r="X43" i="6" s="1"/>
  <c r="X97" i="6" s="1"/>
  <c r="W19" i="6"/>
  <c r="V19" i="6"/>
  <c r="V43" i="6" s="1"/>
  <c r="U19" i="6"/>
  <c r="T19" i="6"/>
  <c r="S19" i="6"/>
  <c r="R19" i="6"/>
  <c r="R43" i="6" s="1"/>
  <c r="Q19" i="6"/>
  <c r="P19" i="6"/>
  <c r="P43" i="6" s="1"/>
  <c r="O19" i="6"/>
  <c r="N19" i="6"/>
  <c r="N43" i="6" s="1"/>
  <c r="M19" i="6"/>
  <c r="L19" i="6"/>
  <c r="K19" i="6"/>
  <c r="J19" i="6"/>
  <c r="J43" i="6" s="1"/>
  <c r="I19" i="6"/>
  <c r="H19" i="6"/>
  <c r="H43" i="6" s="1"/>
  <c r="G19" i="6"/>
  <c r="F19" i="6"/>
  <c r="F43" i="6" s="1"/>
  <c r="E19" i="6"/>
  <c r="D19" i="6"/>
  <c r="AT18" i="6"/>
  <c r="AS18" i="6"/>
  <c r="AR18" i="6"/>
  <c r="AQ18" i="6"/>
  <c r="AP18" i="6"/>
  <c r="AO18" i="6"/>
  <c r="AN18"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I18" i="6"/>
  <c r="H18" i="6"/>
  <c r="G18" i="6"/>
  <c r="F18" i="6"/>
  <c r="E18" i="6"/>
  <c r="D18" i="6"/>
  <c r="AU18" i="6" s="1"/>
  <c r="FR12" i="6"/>
  <c r="FQ12" i="6"/>
  <c r="FP12" i="6"/>
  <c r="FO12" i="6"/>
  <c r="FN12" i="6"/>
  <c r="FM12" i="6"/>
  <c r="FL12" i="6"/>
  <c r="FK12" i="6"/>
  <c r="FJ12" i="6"/>
  <c r="FI12" i="6"/>
  <c r="FH12" i="6"/>
  <c r="FG12" i="6"/>
  <c r="FF12" i="6"/>
  <c r="FE12" i="6"/>
  <c r="FD12" i="6"/>
  <c r="FC12" i="6"/>
  <c r="FB12" i="6"/>
  <c r="FA12" i="6"/>
  <c r="EZ12" i="6"/>
  <c r="D15" i="6" s="1"/>
  <c r="EY12" i="6"/>
  <c r="EX12" i="6"/>
  <c r="EW12" i="6"/>
  <c r="EV12" i="6"/>
  <c r="EU12" i="6"/>
  <c r="ET12" i="6"/>
  <c r="ES12" i="6"/>
  <c r="ER12" i="6"/>
  <c r="EQ12" i="6"/>
  <c r="EP12" i="6"/>
  <c r="EO12" i="6"/>
  <c r="EN12" i="6"/>
  <c r="EM12" i="6"/>
  <c r="EL12" i="6"/>
  <c r="EK12" i="6"/>
  <c r="EJ12" i="6"/>
  <c r="EI12" i="6"/>
  <c r="EH12" i="6"/>
  <c r="EG12" i="6"/>
  <c r="D14" i="6" s="1"/>
  <c r="EF12" i="6"/>
  <c r="EE12" i="6"/>
  <c r="ED12" i="6"/>
  <c r="EC12" i="6"/>
  <c r="EB12" i="6"/>
  <c r="EA12" i="6"/>
  <c r="DZ12" i="6"/>
  <c r="DY12" i="6"/>
  <c r="DX12" i="6"/>
  <c r="DW12" i="6"/>
  <c r="DV12" i="6"/>
  <c r="DU12" i="6"/>
  <c r="DT12" i="6"/>
  <c r="DS12" i="6"/>
  <c r="DR12" i="6"/>
  <c r="DQ12" i="6"/>
  <c r="DP12" i="6"/>
  <c r="DO12" i="6"/>
  <c r="DN12" i="6"/>
  <c r="DM12" i="6"/>
  <c r="DL12" i="6"/>
  <c r="DK12" i="6"/>
  <c r="DJ12" i="6"/>
  <c r="DI12" i="6"/>
  <c r="DH12" i="6"/>
  <c r="DG12" i="6"/>
  <c r="DF12" i="6"/>
  <c r="DE12" i="6"/>
  <c r="DD12" i="6"/>
  <c r="DC12" i="6"/>
  <c r="DB12" i="6"/>
  <c r="DA12" i="6"/>
  <c r="CZ12" i="6"/>
  <c r="CY12" i="6"/>
  <c r="CX12" i="6"/>
  <c r="CW12" i="6"/>
  <c r="CV12" i="6"/>
  <c r="CU12" i="6"/>
  <c r="CT12" i="6"/>
  <c r="CS12" i="6"/>
  <c r="CR12" i="6"/>
  <c r="CQ12" i="6"/>
  <c r="CP12" i="6"/>
  <c r="CO12" i="6"/>
  <c r="CN12" i="6"/>
  <c r="CM12" i="6"/>
  <c r="CL12" i="6"/>
  <c r="CK12" i="6"/>
  <c r="CJ12" i="6"/>
  <c r="CI12" i="6"/>
  <c r="CH12" i="6"/>
  <c r="CG12" i="6"/>
  <c r="CF12" i="6"/>
  <c r="CE12" i="6"/>
  <c r="CD12" i="6"/>
  <c r="CC12" i="6"/>
  <c r="CB12" i="6"/>
  <c r="CA12" i="6"/>
  <c r="BZ12" i="6"/>
  <c r="BY12" i="6"/>
  <c r="BX12" i="6"/>
  <c r="BW12" i="6"/>
  <c r="BV12" i="6"/>
  <c r="BU12" i="6"/>
  <c r="BT12" i="6"/>
  <c r="BS12" i="6"/>
  <c r="BR12" i="6"/>
  <c r="BQ12" i="6"/>
  <c r="BP12" i="6"/>
  <c r="BO12" i="6"/>
  <c r="BN12" i="6"/>
  <c r="BM12" i="6"/>
  <c r="BL12" i="6"/>
  <c r="BK12" i="6"/>
  <c r="BJ12" i="6"/>
  <c r="BI12" i="6"/>
  <c r="BH12" i="6"/>
  <c r="BG12" i="6"/>
  <c r="BF12" i="6"/>
  <c r="BE12" i="6"/>
  <c r="BD12" i="6"/>
  <c r="BC12" i="6"/>
  <c r="BB12" i="6"/>
  <c r="BA12" i="6"/>
  <c r="AZ12" i="6"/>
  <c r="AY12" i="6"/>
  <c r="AX12" i="6"/>
  <c r="AW12" i="6"/>
  <c r="AV12" i="6"/>
  <c r="AU12" i="6"/>
  <c r="AT12" i="6"/>
  <c r="AS12" i="6"/>
  <c r="AR12" i="6"/>
  <c r="AQ12" i="6"/>
  <c r="AP12" i="6"/>
  <c r="AO12" i="6"/>
  <c r="AN12"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I12" i="6"/>
  <c r="H12" i="6"/>
  <c r="G12" i="6"/>
  <c r="F12" i="6"/>
  <c r="E12" i="6"/>
  <c r="D168" i="5"/>
  <c r="C168" i="5"/>
  <c r="L152" i="5"/>
  <c r="M152" i="5" s="1"/>
  <c r="K152" i="5"/>
  <c r="C150" i="5"/>
  <c r="D149" i="5"/>
  <c r="T138" i="5"/>
  <c r="N138" i="5"/>
  <c r="K138" i="5"/>
  <c r="I138" i="5"/>
  <c r="C138" i="5"/>
  <c r="C117" i="5"/>
  <c r="C81" i="5"/>
  <c r="C80" i="5"/>
  <c r="M67" i="5"/>
  <c r="M66" i="5"/>
  <c r="M65" i="5"/>
  <c r="A65" i="5"/>
  <c r="M64" i="5"/>
  <c r="A64" i="5"/>
  <c r="M63" i="5"/>
  <c r="A63" i="5"/>
  <c r="A62" i="5"/>
  <c r="C59" i="5"/>
  <c r="AT48" i="6" s="1"/>
  <c r="D58" i="5"/>
  <c r="C58" i="5"/>
  <c r="B60" i="7" s="1"/>
  <c r="D57" i="5"/>
  <c r="C57" i="5" s="1"/>
  <c r="AT46" i="6" s="1"/>
  <c r="D54" i="5"/>
  <c r="C54" i="5"/>
  <c r="AT45" i="6" s="1"/>
  <c r="AQ45" i="6" s="1"/>
  <c r="D51" i="5"/>
  <c r="C51" i="5" s="1"/>
  <c r="AT44" i="6" s="1"/>
  <c r="G48" i="5"/>
  <c r="Q19" i="5"/>
  <c r="C17" i="5"/>
  <c r="D13" i="5"/>
  <c r="D12" i="5"/>
  <c r="C12" i="5" s="1"/>
  <c r="M9" i="5" s="1"/>
  <c r="M22" i="5" s="1"/>
  <c r="E10" i="5"/>
  <c r="H10" i="5" s="1"/>
  <c r="D10" i="5"/>
  <c r="K9" i="5"/>
  <c r="E9" i="5"/>
  <c r="D9" i="5"/>
  <c r="D8" i="5"/>
  <c r="C8" i="5"/>
  <c r="M7" i="5"/>
  <c r="M20" i="5" s="1"/>
  <c r="D3" i="5"/>
  <c r="J20" i="4"/>
  <c r="I8" i="4"/>
  <c r="H8" i="4"/>
  <c r="G8" i="4"/>
  <c r="F8" i="4"/>
  <c r="E8" i="4"/>
  <c r="D8" i="4"/>
  <c r="C8" i="4"/>
  <c r="C33" i="3"/>
  <c r="C38" i="3" s="1"/>
  <c r="C26" i="3"/>
  <c r="N91" i="2"/>
  <c r="M91" i="2"/>
  <c r="AC81" i="2" s="1"/>
  <c r="N87" i="2"/>
  <c r="M87" i="2"/>
  <c r="L87" i="2"/>
  <c r="K87" i="2"/>
  <c r="N86" i="2"/>
  <c r="N85" i="2"/>
  <c r="AA82" i="2"/>
  <c r="AB81" i="2"/>
  <c r="AA81" i="2"/>
  <c r="Y81" i="2"/>
  <c r="AC80" i="2"/>
  <c r="AA80" i="2"/>
  <c r="Y80" i="2"/>
  <c r="AC79" i="2"/>
  <c r="AB79" i="2"/>
  <c r="AA79" i="2"/>
  <c r="Y79" i="2"/>
  <c r="AA78" i="2"/>
  <c r="Y78" i="2"/>
  <c r="AF77" i="2"/>
  <c r="AC77" i="2"/>
  <c r="AB77" i="2"/>
  <c r="AA77" i="2"/>
  <c r="Z77" i="2"/>
  <c r="Y77" i="2"/>
  <c r="AC76" i="2"/>
  <c r="AA76" i="2"/>
  <c r="Y76" i="2"/>
  <c r="AC75" i="2"/>
  <c r="AA75" i="2"/>
  <c r="Y75" i="2"/>
  <c r="AC74" i="2"/>
  <c r="AA74" i="2"/>
  <c r="Y74" i="2"/>
  <c r="AC73" i="2"/>
  <c r="AA73" i="2"/>
  <c r="Y73" i="2"/>
  <c r="AC72" i="2"/>
  <c r="AA72" i="2"/>
  <c r="Y72" i="2"/>
  <c r="AC71" i="2"/>
  <c r="AA71" i="2"/>
  <c r="Y71" i="2"/>
  <c r="AC70" i="2"/>
  <c r="AA70" i="2"/>
  <c r="Y70" i="2"/>
  <c r="AB68" i="2"/>
  <c r="AA65" i="2"/>
  <c r="Z65" i="2"/>
  <c r="AF65" i="2" s="1"/>
  <c r="Y65" i="2"/>
  <c r="L65" i="2"/>
  <c r="K65" i="2"/>
  <c r="J65" i="2"/>
  <c r="J64" i="2"/>
  <c r="Y64" i="2" s="1"/>
  <c r="Y63" i="2"/>
  <c r="AB62" i="2"/>
  <c r="AA62" i="2"/>
  <c r="Z62" i="2"/>
  <c r="J62" i="2"/>
  <c r="Y62" i="2" s="1"/>
  <c r="AB61" i="2"/>
  <c r="AA61" i="2"/>
  <c r="Z61" i="2"/>
  <c r="J61" i="2"/>
  <c r="Y61" i="2" s="1"/>
  <c r="Y60" i="2"/>
  <c r="J60" i="2"/>
  <c r="J59" i="2"/>
  <c r="Y59" i="2" s="1"/>
  <c r="G59" i="2"/>
  <c r="F59" i="2"/>
  <c r="E59" i="2"/>
  <c r="J58" i="2"/>
  <c r="Y58" i="2" s="1"/>
  <c r="D58" i="2"/>
  <c r="Y57" i="2"/>
  <c r="J57" i="2"/>
  <c r="AE56" i="2"/>
  <c r="AD56" i="2"/>
  <c r="AC56" i="2"/>
  <c r="AB56" i="2"/>
  <c r="AA56" i="2"/>
  <c r="Z56" i="2"/>
  <c r="G56" i="2"/>
  <c r="F56" i="2"/>
  <c r="D56" i="2"/>
  <c r="E55" i="2"/>
  <c r="J51" i="2"/>
  <c r="Y48" i="2"/>
  <c r="J48" i="2"/>
  <c r="Y47" i="2"/>
  <c r="J47" i="2"/>
  <c r="G47" i="2"/>
  <c r="S46" i="2" s="1"/>
  <c r="S66" i="2" s="1"/>
  <c r="F47" i="2"/>
  <c r="M46" i="2" s="1"/>
  <c r="M66" i="2" s="1"/>
  <c r="AB66" i="2" s="1"/>
  <c r="N45" i="2"/>
  <c r="V45" i="2" s="1"/>
  <c r="V62" i="2" s="1"/>
  <c r="G42" i="2"/>
  <c r="N40" i="2" s="1"/>
  <c r="U40" i="2" s="1"/>
  <c r="F42" i="2"/>
  <c r="Y41" i="2"/>
  <c r="G41" i="2"/>
  <c r="Y40" i="2"/>
  <c r="C11" i="2"/>
  <c r="C6" i="2"/>
  <c r="C293" i="1"/>
  <c r="C292" i="1"/>
  <c r="D291" i="1"/>
  <c r="H277" i="1"/>
  <c r="L273" i="1" s="1"/>
  <c r="G277" i="1"/>
  <c r="N267" i="1" s="1"/>
  <c r="F277" i="1"/>
  <c r="M267" i="1" s="1"/>
  <c r="N260" i="1"/>
  <c r="M260" i="1"/>
  <c r="L260" i="1"/>
  <c r="K259" i="1"/>
  <c r="H259" i="1"/>
  <c r="H262" i="1" s="1"/>
  <c r="G259" i="1"/>
  <c r="G262" i="1" s="1"/>
  <c r="F259" i="1"/>
  <c r="F262" i="1" s="1"/>
  <c r="L256" i="1"/>
  <c r="D250" i="1"/>
  <c r="C243" i="1"/>
  <c r="G37" i="1" s="1"/>
  <c r="C242" i="1"/>
  <c r="D242" i="1" s="1"/>
  <c r="C241" i="1"/>
  <c r="C240" i="1"/>
  <c r="G35" i="1" s="1"/>
  <c r="C223" i="1"/>
  <c r="C222" i="1"/>
  <c r="C34" i="1" s="1"/>
  <c r="G202" i="1"/>
  <c r="M192" i="1" s="1"/>
  <c r="G200" i="1"/>
  <c r="F185" i="1"/>
  <c r="Q185" i="1" s="1"/>
  <c r="E185" i="1"/>
  <c r="I184" i="1"/>
  <c r="E184" i="1"/>
  <c r="I183" i="1"/>
  <c r="E183" i="1"/>
  <c r="E182" i="1"/>
  <c r="I181" i="1"/>
  <c r="E181" i="1"/>
  <c r="E180" i="1"/>
  <c r="E179" i="1"/>
  <c r="E178" i="1"/>
  <c r="E177" i="1"/>
  <c r="E176" i="1"/>
  <c r="E175" i="1"/>
  <c r="F174" i="1"/>
  <c r="I174" i="1" s="1"/>
  <c r="C174" i="1"/>
  <c r="C182" i="1" s="1"/>
  <c r="D182" i="1" s="1"/>
  <c r="C173" i="1"/>
  <c r="D173" i="1" s="1"/>
  <c r="F172" i="1"/>
  <c r="I172" i="1" s="1"/>
  <c r="C172" i="1"/>
  <c r="C185" i="1" s="1"/>
  <c r="D185" i="1" s="1"/>
  <c r="H171" i="1"/>
  <c r="H178" i="1" s="1"/>
  <c r="H186" i="1" s="1"/>
  <c r="G171" i="1"/>
  <c r="C171" i="1"/>
  <c r="C176" i="1" s="1"/>
  <c r="D176" i="1" s="1"/>
  <c r="F147" i="1"/>
  <c r="J146" i="1"/>
  <c r="I146" i="1"/>
  <c r="H146" i="1"/>
  <c r="G146" i="1"/>
  <c r="E146" i="1"/>
  <c r="J145" i="1"/>
  <c r="I145" i="1"/>
  <c r="E145" i="1"/>
  <c r="D145" i="1"/>
  <c r="J140" i="1"/>
  <c r="I140" i="1"/>
  <c r="H140" i="1"/>
  <c r="G140" i="1"/>
  <c r="F140" i="1"/>
  <c r="E140" i="1"/>
  <c r="D140" i="1"/>
  <c r="C137" i="1"/>
  <c r="C138" i="1" s="1"/>
  <c r="D134" i="1"/>
  <c r="E133" i="1"/>
  <c r="D133" i="1"/>
  <c r="C133" i="1" s="1"/>
  <c r="I129" i="1"/>
  <c r="C129" i="1"/>
  <c r="D129" i="1" s="1"/>
  <c r="B129" i="1"/>
  <c r="C128" i="1"/>
  <c r="D128" i="1" s="1"/>
  <c r="B128" i="1"/>
  <c r="F127" i="1"/>
  <c r="E127" i="1"/>
  <c r="C127" i="1"/>
  <c r="D127" i="1" s="1"/>
  <c r="B127" i="1"/>
  <c r="F126" i="1"/>
  <c r="E126" i="1"/>
  <c r="C126" i="1"/>
  <c r="D126" i="1" s="1"/>
  <c r="B126" i="1"/>
  <c r="G125" i="1"/>
  <c r="E125" i="1"/>
  <c r="C125" i="1"/>
  <c r="D125" i="1" s="1"/>
  <c r="B125" i="1"/>
  <c r="H124" i="1"/>
  <c r="E124" i="1"/>
  <c r="C124" i="1"/>
  <c r="D124" i="1" s="1"/>
  <c r="B124" i="1"/>
  <c r="G123" i="1"/>
  <c r="E123" i="1"/>
  <c r="C123" i="1"/>
  <c r="D123" i="1" s="1"/>
  <c r="B123" i="1"/>
  <c r="H122" i="1"/>
  <c r="E122" i="1"/>
  <c r="C122" i="1"/>
  <c r="D122" i="1" s="1"/>
  <c r="B122" i="1"/>
  <c r="F121" i="1"/>
  <c r="E121" i="1"/>
  <c r="C121" i="1"/>
  <c r="D121" i="1" s="1"/>
  <c r="B121" i="1"/>
  <c r="F120" i="1"/>
  <c r="E120" i="1"/>
  <c r="C120" i="1"/>
  <c r="D120" i="1" s="1"/>
  <c r="B120" i="1"/>
  <c r="E107" i="1"/>
  <c r="C107" i="1"/>
  <c r="D107" i="1" s="1"/>
  <c r="E106" i="1"/>
  <c r="C106" i="1"/>
  <c r="D106" i="1" s="1"/>
  <c r="E105" i="1"/>
  <c r="C105" i="1"/>
  <c r="D105" i="1" s="1"/>
  <c r="J81" i="1"/>
  <c r="I81" i="1"/>
  <c r="J80" i="1"/>
  <c r="I80" i="1"/>
  <c r="F80" i="1"/>
  <c r="E80" i="1"/>
  <c r="D80" i="1"/>
  <c r="H79" i="1"/>
  <c r="H81" i="1" s="1"/>
  <c r="P74" i="1" s="1"/>
  <c r="F79" i="1"/>
  <c r="O74" i="1" s="1"/>
  <c r="U72" i="1"/>
  <c r="U71" i="1"/>
  <c r="L71" i="1"/>
  <c r="Z70" i="1"/>
  <c r="Y70" i="1"/>
  <c r="X70" i="1"/>
  <c r="W70" i="1"/>
  <c r="V70" i="1"/>
  <c r="U70" i="1"/>
  <c r="F68" i="1"/>
  <c r="E67" i="1"/>
  <c r="D67" i="1"/>
  <c r="I63" i="1"/>
  <c r="E63" i="1"/>
  <c r="O73" i="1" s="1"/>
  <c r="C63" i="1"/>
  <c r="D63" i="1" s="1"/>
  <c r="B63" i="1"/>
  <c r="I62" i="1"/>
  <c r="G62" i="1"/>
  <c r="E62" i="1"/>
  <c r="C62" i="1"/>
  <c r="D62" i="1" s="1"/>
  <c r="B62" i="1"/>
  <c r="I61" i="1"/>
  <c r="G61" i="1"/>
  <c r="E61" i="1"/>
  <c r="N73" i="1" s="1"/>
  <c r="C61" i="1"/>
  <c r="D61" i="1" s="1"/>
  <c r="B61" i="1"/>
  <c r="I60" i="1"/>
  <c r="H60" i="1"/>
  <c r="H64" i="1" s="1"/>
  <c r="E60" i="1"/>
  <c r="M73" i="1" s="1"/>
  <c r="C60" i="1"/>
  <c r="D60" i="1" s="1"/>
  <c r="B60" i="1"/>
  <c r="F59" i="1"/>
  <c r="E59" i="1"/>
  <c r="P73" i="1" s="1"/>
  <c r="C59" i="1"/>
  <c r="D59" i="1" s="1"/>
  <c r="B59" i="1"/>
  <c r="F58" i="1"/>
  <c r="E58" i="1"/>
  <c r="C58" i="1"/>
  <c r="D58" i="1" s="1"/>
  <c r="B58" i="1"/>
  <c r="F57" i="1"/>
  <c r="E57" i="1"/>
  <c r="Q73" i="1" s="1"/>
  <c r="C57" i="1"/>
  <c r="D57" i="1" s="1"/>
  <c r="B57" i="1"/>
  <c r="F30" i="1"/>
  <c r="U46" i="2" l="1"/>
  <c r="U66" i="2" s="1"/>
  <c r="V46" i="2"/>
  <c r="V66" i="2" s="1"/>
  <c r="K125" i="1"/>
  <c r="I147" i="1"/>
  <c r="D25" i="4" s="1"/>
  <c r="G17" i="4" s="1"/>
  <c r="K34" i="1"/>
  <c r="G64" i="1"/>
  <c r="R73" i="1"/>
  <c r="H130" i="1"/>
  <c r="B157" i="6" s="1"/>
  <c r="L267" i="1"/>
  <c r="C35" i="1"/>
  <c r="K35" i="1" s="1"/>
  <c r="E35" i="1"/>
  <c r="K61" i="1"/>
  <c r="D174" i="1"/>
  <c r="R46" i="2"/>
  <c r="R66" i="2" s="1"/>
  <c r="E147" i="1"/>
  <c r="D43" i="2" s="1"/>
  <c r="K41" i="2" s="1"/>
  <c r="K58" i="2" s="1"/>
  <c r="Z58" i="2" s="1"/>
  <c r="G201" i="1"/>
  <c r="T46" i="2"/>
  <c r="T66" i="2" s="1"/>
  <c r="K121" i="1"/>
  <c r="K62" i="1"/>
  <c r="K122" i="1"/>
  <c r="N273" i="1"/>
  <c r="W46" i="2"/>
  <c r="W66" i="2" s="1"/>
  <c r="B114" i="11"/>
  <c r="K57" i="1"/>
  <c r="I64" i="1"/>
  <c r="C114" i="11"/>
  <c r="G48" i="2" s="1"/>
  <c r="K127" i="1"/>
  <c r="K60" i="1"/>
  <c r="F182" i="1"/>
  <c r="I182" i="1" s="1"/>
  <c r="L182" i="1" s="1"/>
  <c r="P184" i="1" s="1"/>
  <c r="E108" i="1"/>
  <c r="K31" i="1" s="1"/>
  <c r="F130" i="1"/>
  <c r="K126" i="1"/>
  <c r="E37" i="1"/>
  <c r="N46" i="2"/>
  <c r="N66" i="2" s="1"/>
  <c r="AC66" i="2" s="1"/>
  <c r="C244" i="1"/>
  <c r="D244" i="1" s="1"/>
  <c r="Q46" i="2"/>
  <c r="Q66" i="2" s="1"/>
  <c r="B159" i="6"/>
  <c r="G4" i="1"/>
  <c r="H24" i="1" s="1"/>
  <c r="C31" i="10"/>
  <c r="F74" i="11"/>
  <c r="G265" i="1"/>
  <c r="D265" i="1"/>
  <c r="E45" i="2" s="1"/>
  <c r="L43" i="2" s="1"/>
  <c r="L60" i="2" s="1"/>
  <c r="AA60" i="2" s="1"/>
  <c r="H265" i="1"/>
  <c r="G282" i="1"/>
  <c r="N265" i="1" s="1"/>
  <c r="E255" i="1"/>
  <c r="E257" i="1" s="1"/>
  <c r="K323" i="10"/>
  <c r="D255" i="1"/>
  <c r="D256" i="1" s="1"/>
  <c r="B56" i="7"/>
  <c r="F282" i="1"/>
  <c r="M265" i="1" s="1"/>
  <c r="F265" i="1"/>
  <c r="F45" i="2" s="1"/>
  <c r="M43" i="2" s="1"/>
  <c r="M60" i="2" s="1"/>
  <c r="AB60" i="2" s="1"/>
  <c r="H282" i="1"/>
  <c r="L265" i="1" s="1"/>
  <c r="U57" i="2"/>
  <c r="G51" i="2"/>
  <c r="C291" i="1"/>
  <c r="E51" i="2"/>
  <c r="AT51" i="6"/>
  <c r="D51" i="2"/>
  <c r="C40" i="3"/>
  <c r="D11" i="5"/>
  <c r="D14" i="5" s="1"/>
  <c r="AT40" i="6"/>
  <c r="Q8" i="8"/>
  <c r="BH94" i="6"/>
  <c r="K120" i="1"/>
  <c r="BT57" i="6"/>
  <c r="BL57" i="6"/>
  <c r="BD57" i="6"/>
  <c r="M10" i="8" s="1"/>
  <c r="AV57" i="6"/>
  <c r="E10" i="8" s="1"/>
  <c r="C10" i="8"/>
  <c r="BR57" i="6"/>
  <c r="BI57" i="6"/>
  <c r="R10" i="8" s="1"/>
  <c r="AZ57" i="6"/>
  <c r="I10" i="8" s="1"/>
  <c r="AN48" i="6"/>
  <c r="AF48" i="6"/>
  <c r="X48" i="6"/>
  <c r="P48" i="6"/>
  <c r="H48" i="6"/>
  <c r="BQ57" i="6"/>
  <c r="BH57" i="6"/>
  <c r="Q10" i="8" s="1"/>
  <c r="AY57" i="6"/>
  <c r="H10" i="8" s="1"/>
  <c r="AM48" i="6"/>
  <c r="AE48" i="6"/>
  <c r="W48" i="6"/>
  <c r="O48" i="6"/>
  <c r="G48" i="6"/>
  <c r="BP57" i="6"/>
  <c r="BG57" i="6"/>
  <c r="P10" i="8" s="1"/>
  <c r="AX57" i="6"/>
  <c r="G10" i="8" s="1"/>
  <c r="AL48" i="6"/>
  <c r="AD48" i="6"/>
  <c r="V48" i="6"/>
  <c r="N48" i="6"/>
  <c r="F48" i="6"/>
  <c r="BN57" i="6"/>
  <c r="BE57" i="6"/>
  <c r="N10" i="8" s="1"/>
  <c r="AU57" i="6"/>
  <c r="AR48" i="6"/>
  <c r="AJ48" i="6"/>
  <c r="AB48" i="6"/>
  <c r="T48" i="6"/>
  <c r="L48" i="6"/>
  <c r="D48" i="6"/>
  <c r="BM57" i="6"/>
  <c r="BC57" i="6"/>
  <c r="L10" i="8" s="1"/>
  <c r="BS57" i="6"/>
  <c r="AO48" i="6"/>
  <c r="Y48" i="6"/>
  <c r="I48" i="6"/>
  <c r="BO57" i="6"/>
  <c r="AK48" i="6"/>
  <c r="U48" i="6"/>
  <c r="E48" i="6"/>
  <c r="BK57" i="6"/>
  <c r="T10" i="8" s="1"/>
  <c r="AI48" i="6"/>
  <c r="S48" i="6"/>
  <c r="AA48" i="6"/>
  <c r="BJ57" i="6"/>
  <c r="S10" i="8" s="1"/>
  <c r="AH48" i="6"/>
  <c r="R48" i="6"/>
  <c r="BF57" i="6"/>
  <c r="O10" i="8" s="1"/>
  <c r="AG48" i="6"/>
  <c r="Q48" i="6"/>
  <c r="BA57" i="6"/>
  <c r="J10" i="8" s="1"/>
  <c r="AQ48" i="6"/>
  <c r="K48" i="6"/>
  <c r="BB57" i="6"/>
  <c r="K10" i="8" s="1"/>
  <c r="AS48" i="6"/>
  <c r="AC48" i="6"/>
  <c r="M48" i="6"/>
  <c r="R74" i="1"/>
  <c r="Q74" i="1"/>
  <c r="D24" i="4"/>
  <c r="E16" i="4" s="1"/>
  <c r="C13" i="5"/>
  <c r="G130" i="1"/>
  <c r="K123" i="1"/>
  <c r="I178" i="1"/>
  <c r="L178" i="1" s="1"/>
  <c r="BC98" i="6"/>
  <c r="L5" i="8"/>
  <c r="J147" i="1"/>
  <c r="F171" i="1"/>
  <c r="C178" i="1" s="1"/>
  <c r="D178" i="1" s="1"/>
  <c r="R40" i="2"/>
  <c r="S40" i="2"/>
  <c r="Q40" i="2"/>
  <c r="W40" i="2"/>
  <c r="N57" i="2"/>
  <c r="AC57" i="2" s="1"/>
  <c r="V40" i="2"/>
  <c r="E111" i="5"/>
  <c r="D8" i="8"/>
  <c r="AU94" i="6"/>
  <c r="N47" i="12"/>
  <c r="I130" i="1"/>
  <c r="K129" i="1"/>
  <c r="G173" i="1"/>
  <c r="T40" i="2"/>
  <c r="K59" i="1"/>
  <c r="B160" i="6"/>
  <c r="H251" i="1"/>
  <c r="BO53" i="6"/>
  <c r="BO102" i="6" s="1"/>
  <c r="BG53" i="6"/>
  <c r="AY53" i="6"/>
  <c r="C6" i="8"/>
  <c r="BN53" i="6"/>
  <c r="BN102" i="6" s="1"/>
  <c r="BE53" i="6"/>
  <c r="AV53" i="6"/>
  <c r="AR44" i="6"/>
  <c r="AR101" i="6" s="1"/>
  <c r="AJ44" i="6"/>
  <c r="AJ101" i="6" s="1"/>
  <c r="AB44" i="6"/>
  <c r="AB101" i="6" s="1"/>
  <c r="T44" i="6"/>
  <c r="L44" i="6"/>
  <c r="D44" i="6"/>
  <c r="BM53" i="6"/>
  <c r="BM102" i="6" s="1"/>
  <c r="BD53" i="6"/>
  <c r="AU53" i="6"/>
  <c r="AQ44" i="6"/>
  <c r="AQ101" i="6" s="1"/>
  <c r="AI44" i="6"/>
  <c r="AI101" i="6" s="1"/>
  <c r="AA44" i="6"/>
  <c r="AA101" i="6" s="1"/>
  <c r="S44" i="6"/>
  <c r="K44" i="6"/>
  <c r="BU53" i="6"/>
  <c r="BU102" i="6" s="1"/>
  <c r="BL53" i="6"/>
  <c r="BL102" i="6" s="1"/>
  <c r="BC53" i="6"/>
  <c r="AT53" i="6"/>
  <c r="AP44" i="6"/>
  <c r="AP101" i="6" s="1"/>
  <c r="AH44" i="6"/>
  <c r="AH101" i="6" s="1"/>
  <c r="Z44" i="6"/>
  <c r="Z101" i="6" s="1"/>
  <c r="BS53" i="6"/>
  <c r="BS102" i="6" s="1"/>
  <c r="BJ53" i="6"/>
  <c r="BA53" i="6"/>
  <c r="AN44" i="6"/>
  <c r="AN101" i="6" s="1"/>
  <c r="AF44" i="6"/>
  <c r="AF101" i="6" s="1"/>
  <c r="X44" i="6"/>
  <c r="X101" i="6" s="1"/>
  <c r="P44" i="6"/>
  <c r="H44" i="6"/>
  <c r="BR53" i="6"/>
  <c r="BR102" i="6" s="1"/>
  <c r="BI53" i="6"/>
  <c r="AZ53" i="6"/>
  <c r="BT53" i="6"/>
  <c r="BT102" i="6" s="1"/>
  <c r="AW53" i="6"/>
  <c r="AK44" i="6"/>
  <c r="AK101" i="6" s="1"/>
  <c r="U44" i="6"/>
  <c r="G44" i="6"/>
  <c r="AT101" i="6"/>
  <c r="BQ53" i="6"/>
  <c r="BQ102" i="6" s="1"/>
  <c r="AG44" i="6"/>
  <c r="AG101" i="6" s="1"/>
  <c r="R44" i="6"/>
  <c r="F44" i="6"/>
  <c r="BP53" i="6"/>
  <c r="BP102" i="6" s="1"/>
  <c r="AE44" i="6"/>
  <c r="AE101" i="6" s="1"/>
  <c r="Q44" i="6"/>
  <c r="E44" i="6"/>
  <c r="J44" i="6"/>
  <c r="BK53" i="6"/>
  <c r="AD44" i="6"/>
  <c r="AD101" i="6" s="1"/>
  <c r="O44" i="6"/>
  <c r="BB53" i="6"/>
  <c r="BH53" i="6"/>
  <c r="AS44" i="6"/>
  <c r="AS101" i="6" s="1"/>
  <c r="AC44" i="6"/>
  <c r="AC101" i="6" s="1"/>
  <c r="N44" i="6"/>
  <c r="AM44" i="6"/>
  <c r="AM101" i="6" s="1"/>
  <c r="W44" i="6"/>
  <c r="W101" i="6" s="1"/>
  <c r="BF53" i="6"/>
  <c r="AO44" i="6"/>
  <c r="AO101" i="6" s="1"/>
  <c r="Y44" i="6"/>
  <c r="Y101" i="6" s="1"/>
  <c r="M44" i="6"/>
  <c r="C82" i="5"/>
  <c r="C83" i="5" s="1"/>
  <c r="C84" i="5" s="1"/>
  <c r="C85" i="5" s="1"/>
  <c r="C86" i="5" s="1"/>
  <c r="C87" i="5" s="1"/>
  <c r="C88" i="5" s="1"/>
  <c r="C89" i="5" s="1"/>
  <c r="C90" i="5" s="1"/>
  <c r="C91" i="5" s="1"/>
  <c r="C92" i="5" s="1"/>
  <c r="C93" i="5" s="1"/>
  <c r="C94" i="5" s="1"/>
  <c r="C95" i="5" s="1"/>
  <c r="C96" i="5" s="1"/>
  <c r="C97" i="5" s="1"/>
  <c r="C98" i="5" s="1"/>
  <c r="C99" i="5" s="1"/>
  <c r="C100" i="5" s="1"/>
  <c r="C101" i="5" s="1"/>
  <c r="C102" i="5" s="1"/>
  <c r="C103" i="5" s="1"/>
  <c r="C104" i="5" s="1"/>
  <c r="C105" i="5" s="1"/>
  <c r="C106" i="5" s="1"/>
  <c r="C107" i="5" s="1"/>
  <c r="C108" i="5" s="1"/>
  <c r="C109" i="5" s="1"/>
  <c r="G251" i="1"/>
  <c r="J250" i="1"/>
  <c r="E113" i="1"/>
  <c r="K124" i="1"/>
  <c r="G177" i="1"/>
  <c r="O185" i="1"/>
  <c r="C221" i="1"/>
  <c r="N185" i="1"/>
  <c r="M185" i="1"/>
  <c r="I185" i="1"/>
  <c r="L185" i="1" s="1"/>
  <c r="B161" i="6"/>
  <c r="I251" i="1"/>
  <c r="BR54" i="6"/>
  <c r="BJ54" i="6"/>
  <c r="S7" i="8" s="1"/>
  <c r="BB54" i="6"/>
  <c r="K7" i="8" s="1"/>
  <c r="AT54" i="6"/>
  <c r="C7" i="8"/>
  <c r="BM54" i="6"/>
  <c r="BD54" i="6"/>
  <c r="M7" i="8" s="1"/>
  <c r="AU54" i="6"/>
  <c r="AO45" i="6"/>
  <c r="AG45" i="6"/>
  <c r="Y45" i="6"/>
  <c r="Q45" i="6"/>
  <c r="I45" i="6"/>
  <c r="BU54" i="6"/>
  <c r="BL54" i="6"/>
  <c r="BC54" i="6"/>
  <c r="L7" i="8" s="1"/>
  <c r="AN45" i="6"/>
  <c r="AF45" i="6"/>
  <c r="X45" i="6"/>
  <c r="P45" i="6"/>
  <c r="H45" i="6"/>
  <c r="BT54" i="6"/>
  <c r="BK54" i="6"/>
  <c r="T7" i="8" s="1"/>
  <c r="BA54" i="6"/>
  <c r="J7" i="8" s="1"/>
  <c r="AM45" i="6"/>
  <c r="AE45" i="6"/>
  <c r="W45" i="6"/>
  <c r="O45" i="6"/>
  <c r="G45" i="6"/>
  <c r="BQ54" i="6"/>
  <c r="BH54" i="6"/>
  <c r="Q7" i="8" s="1"/>
  <c r="AY54" i="6"/>
  <c r="H7" i="8" s="1"/>
  <c r="AS45" i="6"/>
  <c r="AK45" i="6"/>
  <c r="AC45" i="6"/>
  <c r="U45" i="6"/>
  <c r="M45" i="6"/>
  <c r="E45" i="6"/>
  <c r="BP54" i="6"/>
  <c r="BG54" i="6"/>
  <c r="P7" i="8" s="1"/>
  <c r="AX54" i="6"/>
  <c r="G7" i="8" s="1"/>
  <c r="BN54" i="6"/>
  <c r="AP45" i="6"/>
  <c r="Z45" i="6"/>
  <c r="J45" i="6"/>
  <c r="BI54" i="6"/>
  <c r="R7" i="8" s="1"/>
  <c r="AL45" i="6"/>
  <c r="V45" i="6"/>
  <c r="F45" i="6"/>
  <c r="BF54" i="6"/>
  <c r="O7" i="8" s="1"/>
  <c r="AJ45" i="6"/>
  <c r="T45" i="6"/>
  <c r="D45" i="6"/>
  <c r="BS54" i="6"/>
  <c r="BE54" i="6"/>
  <c r="N7" i="8" s="1"/>
  <c r="AI45" i="6"/>
  <c r="S45" i="6"/>
  <c r="AB45" i="6"/>
  <c r="AZ54" i="6"/>
  <c r="I7" i="8" s="1"/>
  <c r="AH45" i="6"/>
  <c r="R45" i="6"/>
  <c r="AR45" i="6"/>
  <c r="L45" i="6"/>
  <c r="AW54" i="6"/>
  <c r="F7" i="8" s="1"/>
  <c r="AD45" i="6"/>
  <c r="N45" i="6"/>
  <c r="AV54" i="6"/>
  <c r="E7" i="8" s="1"/>
  <c r="I44" i="6"/>
  <c r="Z48" i="6"/>
  <c r="AX53" i="6"/>
  <c r="K58" i="1"/>
  <c r="P185" i="1"/>
  <c r="C255" i="1"/>
  <c r="C256" i="1" s="1"/>
  <c r="F51" i="2"/>
  <c r="V44" i="6"/>
  <c r="AP48" i="6"/>
  <c r="H40" i="8"/>
  <c r="H138" i="5"/>
  <c r="AY73" i="6"/>
  <c r="D147" i="10"/>
  <c r="C18" i="10"/>
  <c r="M6" i="5"/>
  <c r="M19" i="5" s="1"/>
  <c r="BI98" i="6"/>
  <c r="R5" i="8"/>
  <c r="B43" i="14"/>
  <c r="C36" i="1"/>
  <c r="K36" i="1" s="1"/>
  <c r="D172" i="1"/>
  <c r="D241" i="1"/>
  <c r="M273" i="1"/>
  <c r="M40" i="2"/>
  <c r="W45" i="2"/>
  <c r="W62" i="2" s="1"/>
  <c r="H9" i="5"/>
  <c r="G9" i="5" s="1"/>
  <c r="N6" i="5" s="1"/>
  <c r="C8" i="8"/>
  <c r="BU55" i="6"/>
  <c r="BU94" i="6" s="1"/>
  <c r="BM55" i="6"/>
  <c r="BM94" i="6" s="1"/>
  <c r="BE55" i="6"/>
  <c r="AW55" i="6"/>
  <c r="BT55" i="6"/>
  <c r="BT94" i="6" s="1"/>
  <c r="BK55" i="6"/>
  <c r="BB55" i="6"/>
  <c r="AL46" i="6"/>
  <c r="AL93" i="6" s="1"/>
  <c r="AD46" i="6"/>
  <c r="AD93" i="6" s="1"/>
  <c r="V46" i="6"/>
  <c r="N46" i="6"/>
  <c r="F46" i="6"/>
  <c r="BS55" i="6"/>
  <c r="BS94" i="6" s="1"/>
  <c r="BJ55" i="6"/>
  <c r="BA55" i="6"/>
  <c r="AS46" i="6"/>
  <c r="AS93" i="6" s="1"/>
  <c r="AK46" i="6"/>
  <c r="AK93" i="6" s="1"/>
  <c r="AC46" i="6"/>
  <c r="AC93" i="6" s="1"/>
  <c r="U46" i="6"/>
  <c r="M46" i="6"/>
  <c r="E46" i="6"/>
  <c r="AT93" i="6"/>
  <c r="BR55" i="6"/>
  <c r="BR94" i="6" s="1"/>
  <c r="BI55" i="6"/>
  <c r="AZ55" i="6"/>
  <c r="AR46" i="6"/>
  <c r="AR93" i="6" s="1"/>
  <c r="AJ46" i="6"/>
  <c r="AJ93" i="6" s="1"/>
  <c r="AB46" i="6"/>
  <c r="AB93" i="6" s="1"/>
  <c r="T46" i="6"/>
  <c r="L46" i="6"/>
  <c r="D46" i="6"/>
  <c r="BP55" i="6"/>
  <c r="BP94" i="6" s="1"/>
  <c r="BG55" i="6"/>
  <c r="AX55" i="6"/>
  <c r="AP46" i="6"/>
  <c r="AP93" i="6" s="1"/>
  <c r="AH46" i="6"/>
  <c r="AH93" i="6" s="1"/>
  <c r="Z46" i="6"/>
  <c r="Z93" i="6" s="1"/>
  <c r="R46" i="6"/>
  <c r="J46" i="6"/>
  <c r="BO55" i="6"/>
  <c r="BO94" i="6" s="1"/>
  <c r="BF55" i="6"/>
  <c r="AV55" i="6"/>
  <c r="T43" i="6"/>
  <c r="AG43" i="6"/>
  <c r="AG97" i="6" s="1"/>
  <c r="AS43" i="6"/>
  <c r="AS97" i="6" s="1"/>
  <c r="G46" i="6"/>
  <c r="W46" i="6"/>
  <c r="W93" i="6" s="1"/>
  <c r="AM46" i="6"/>
  <c r="AM93" i="6" s="1"/>
  <c r="BM52" i="6"/>
  <c r="BM98" i="6" s="1"/>
  <c r="AT55" i="6"/>
  <c r="BQ55" i="6"/>
  <c r="BQ94" i="6" s="1"/>
  <c r="C151" i="5"/>
  <c r="D150" i="5"/>
  <c r="U45" i="2"/>
  <c r="U62" i="2" s="1"/>
  <c r="E36" i="1"/>
  <c r="K63" i="1"/>
  <c r="U40" i="15"/>
  <c r="M40" i="15"/>
  <c r="E40" i="15"/>
  <c r="S31" i="15"/>
  <c r="K31" i="15"/>
  <c r="C31" i="15"/>
  <c r="S40" i="15"/>
  <c r="K40" i="15"/>
  <c r="C40" i="15"/>
  <c r="Y31" i="15"/>
  <c r="Q31" i="15"/>
  <c r="I31" i="15"/>
  <c r="Y40" i="15"/>
  <c r="Q40" i="15"/>
  <c r="I40" i="15"/>
  <c r="W31" i="15"/>
  <c r="O31" i="15"/>
  <c r="G31" i="15"/>
  <c r="X40" i="15"/>
  <c r="P40" i="15"/>
  <c r="H40" i="15"/>
  <c r="V31" i="15"/>
  <c r="N31" i="15"/>
  <c r="F31" i="15"/>
  <c r="W40" i="15"/>
  <c r="O40" i="15"/>
  <c r="G40" i="15"/>
  <c r="U31" i="15"/>
  <c r="M31" i="15"/>
  <c r="E31" i="15"/>
  <c r="V40" i="15"/>
  <c r="N40" i="15"/>
  <c r="F40" i="15"/>
  <c r="T31" i="15"/>
  <c r="L31" i="15"/>
  <c r="D31" i="15"/>
  <c r="T40" i="15"/>
  <c r="X31" i="15"/>
  <c r="R40" i="15"/>
  <c r="R31" i="15"/>
  <c r="L40" i="15"/>
  <c r="P31" i="15"/>
  <c r="J40" i="15"/>
  <c r="J31" i="15"/>
  <c r="D40" i="15"/>
  <c r="B40" i="15"/>
  <c r="H31" i="15"/>
  <c r="B31" i="15"/>
  <c r="B45" i="14"/>
  <c r="D13" i="6"/>
  <c r="G36" i="1"/>
  <c r="F64" i="1"/>
  <c r="D243" i="1"/>
  <c r="I46" i="6"/>
  <c r="Y46" i="6"/>
  <c r="Y93" i="6" s="1"/>
  <c r="AO46" i="6"/>
  <c r="AO93" i="6" s="1"/>
  <c r="AT47" i="6"/>
  <c r="AY52" i="6"/>
  <c r="AY55" i="6"/>
  <c r="BH98" i="6"/>
  <c r="F206" i="10"/>
  <c r="F81" i="1"/>
  <c r="D113" i="1"/>
  <c r="D171" i="1"/>
  <c r="U29" i="15"/>
  <c r="M29" i="15"/>
  <c r="E29" i="15"/>
  <c r="S29" i="15"/>
  <c r="K29" i="15"/>
  <c r="C29" i="15"/>
  <c r="Y29" i="15"/>
  <c r="Q29" i="15"/>
  <c r="I29" i="15"/>
  <c r="X29" i="15"/>
  <c r="P29" i="15"/>
  <c r="H29" i="15"/>
  <c r="W29" i="15"/>
  <c r="O29" i="15"/>
  <c r="G29" i="15"/>
  <c r="V29" i="15"/>
  <c r="N29" i="15"/>
  <c r="F29" i="15"/>
  <c r="F38" i="15"/>
  <c r="L29" i="15"/>
  <c r="J29" i="15"/>
  <c r="D29" i="15"/>
  <c r="B29" i="15"/>
  <c r="T29" i="15"/>
  <c r="R29" i="15"/>
  <c r="B44" i="14"/>
  <c r="T38" i="15"/>
  <c r="V38" i="15"/>
  <c r="V39" i="15"/>
  <c r="N39" i="15"/>
  <c r="F39" i="15"/>
  <c r="T30" i="15"/>
  <c r="L30" i="15"/>
  <c r="D30" i="15"/>
  <c r="T39" i="15"/>
  <c r="L39" i="15"/>
  <c r="D39" i="15"/>
  <c r="R30" i="15"/>
  <c r="J30" i="15"/>
  <c r="B30" i="15"/>
  <c r="R39" i="15"/>
  <c r="J39" i="15"/>
  <c r="B39" i="15"/>
  <c r="X30" i="15"/>
  <c r="P30" i="15"/>
  <c r="H30" i="15"/>
  <c r="Y39" i="15"/>
  <c r="Q39" i="15"/>
  <c r="I39" i="15"/>
  <c r="W30" i="15"/>
  <c r="O30" i="15"/>
  <c r="G30" i="15"/>
  <c r="X39" i="15"/>
  <c r="P39" i="15"/>
  <c r="H39" i="15"/>
  <c r="V30" i="15"/>
  <c r="N30" i="15"/>
  <c r="F30" i="15"/>
  <c r="W39" i="15"/>
  <c r="O39" i="15"/>
  <c r="G39" i="15"/>
  <c r="U30" i="15"/>
  <c r="M30" i="15"/>
  <c r="E30" i="15"/>
  <c r="M39" i="15"/>
  <c r="S30" i="15"/>
  <c r="K39" i="15"/>
  <c r="Q30" i="15"/>
  <c r="E39" i="15"/>
  <c r="K30" i="15"/>
  <c r="C39" i="15"/>
  <c r="I30" i="15"/>
  <c r="U39" i="15"/>
  <c r="S39" i="15"/>
  <c r="C30" i="15"/>
  <c r="Y30" i="15"/>
  <c r="D240" i="1"/>
  <c r="N62" i="2"/>
  <c r="AC62" i="2" s="1"/>
  <c r="E8" i="5"/>
  <c r="E12" i="5"/>
  <c r="BN52" i="6"/>
  <c r="BN98" i="6" s="1"/>
  <c r="BE52" i="6"/>
  <c r="BS52" i="6"/>
  <c r="BS98" i="6" s="1"/>
  <c r="BJ52" i="6"/>
  <c r="L43" i="6"/>
  <c r="Y43" i="6"/>
  <c r="Y97" i="6" s="1"/>
  <c r="AK43" i="6"/>
  <c r="AK97" i="6" s="1"/>
  <c r="K46" i="6"/>
  <c r="AA46" i="6"/>
  <c r="AA93" i="6" s="1"/>
  <c r="AQ46" i="6"/>
  <c r="AQ93" i="6" s="1"/>
  <c r="AZ52" i="6"/>
  <c r="BC55" i="6"/>
  <c r="G10" i="5"/>
  <c r="N7" i="5" s="1"/>
  <c r="C111" i="5"/>
  <c r="C110" i="5"/>
  <c r="C119" i="5"/>
  <c r="AU19" i="6"/>
  <c r="AU52" i="6" s="1"/>
  <c r="M43" i="6"/>
  <c r="O46" i="6"/>
  <c r="AE46" i="6"/>
  <c r="AE93" i="6" s="1"/>
  <c r="BA52" i="6"/>
  <c r="BD55" i="6"/>
  <c r="I40" i="8"/>
  <c r="BE73" i="6"/>
  <c r="N40" i="8"/>
  <c r="K43" i="6"/>
  <c r="S43" i="6"/>
  <c r="AA43" i="6"/>
  <c r="AA97" i="6" s="1"/>
  <c r="AI43" i="6"/>
  <c r="AI97" i="6" s="1"/>
  <c r="AQ43" i="6"/>
  <c r="AQ97" i="6" s="1"/>
  <c r="BB52" i="6"/>
  <c r="BK52" i="6"/>
  <c r="AP278" i="6"/>
  <c r="AH278" i="6"/>
  <c r="Z278" i="6"/>
  <c r="R278" i="6"/>
  <c r="J278" i="6"/>
  <c r="AI277" i="6"/>
  <c r="AA277" i="6"/>
  <c r="S277" i="6"/>
  <c r="K277" i="6"/>
  <c r="AM278" i="6"/>
  <c r="AE278" i="6"/>
  <c r="W278" i="6"/>
  <c r="O278" i="6"/>
  <c r="AN277" i="6"/>
  <c r="AF277" i="6"/>
  <c r="X277" i="6"/>
  <c r="P277" i="6"/>
  <c r="AK278" i="6"/>
  <c r="AC278" i="6"/>
  <c r="U278" i="6"/>
  <c r="M278" i="6"/>
  <c r="AL277" i="6"/>
  <c r="AD277" i="6"/>
  <c r="V277" i="6"/>
  <c r="N277" i="6"/>
  <c r="AJ278" i="6"/>
  <c r="X278" i="6"/>
  <c r="K278" i="6"/>
  <c r="AE277" i="6"/>
  <c r="R277" i="6"/>
  <c r="AG278" i="6"/>
  <c r="T278" i="6"/>
  <c r="AO277" i="6"/>
  <c r="AB277" i="6"/>
  <c r="O277" i="6"/>
  <c r="AD278" i="6"/>
  <c r="Q278" i="6"/>
  <c r="AK277" i="6"/>
  <c r="Y277" i="6"/>
  <c r="L277" i="6"/>
  <c r="AG277" i="6"/>
  <c r="S278" i="6"/>
  <c r="AN278" i="6"/>
  <c r="C49" i="11"/>
  <c r="D49" i="11" s="1"/>
  <c r="D70" i="11" s="1"/>
  <c r="C52" i="11"/>
  <c r="D52" i="11" s="1"/>
  <c r="BT52" i="6"/>
  <c r="BT98" i="6" s="1"/>
  <c r="BL52" i="6"/>
  <c r="BL98" i="6" s="1"/>
  <c r="BD52" i="6"/>
  <c r="AV52" i="6"/>
  <c r="C5" i="8"/>
  <c r="AW52" i="6"/>
  <c r="BF52" i="6"/>
  <c r="BO52" i="6"/>
  <c r="BO98" i="6" s="1"/>
  <c r="G43" i="6"/>
  <c r="O43" i="6"/>
  <c r="W43" i="6"/>
  <c r="W97" i="6" s="1"/>
  <c r="AE43" i="6"/>
  <c r="AE97" i="6" s="1"/>
  <c r="AM43" i="6"/>
  <c r="AM97" i="6" s="1"/>
  <c r="AX52" i="6"/>
  <c r="BG52" i="6"/>
  <c r="BP52" i="6"/>
  <c r="BP98" i="6" s="1"/>
  <c r="AT97" i="6"/>
  <c r="U277" i="6"/>
  <c r="AP277" i="6"/>
  <c r="AB278" i="6"/>
  <c r="E147" i="10"/>
  <c r="AY225" i="6"/>
  <c r="AQ225" i="6"/>
  <c r="AI225" i="6"/>
  <c r="AA225" i="6"/>
  <c r="S225" i="6"/>
  <c r="K225" i="6"/>
  <c r="BD225" i="6"/>
  <c r="AV225" i="6"/>
  <c r="AN225" i="6"/>
  <c r="AF225" i="6"/>
  <c r="X225" i="6"/>
  <c r="P225" i="6"/>
  <c r="I225" i="6"/>
  <c r="BB225" i="6"/>
  <c r="AT225" i="6"/>
  <c r="AL225" i="6"/>
  <c r="AD225" i="6"/>
  <c r="V225" i="6"/>
  <c r="N225" i="6"/>
  <c r="U225" i="6"/>
  <c r="AH225" i="6"/>
  <c r="AU225" i="6"/>
  <c r="R15" i="8"/>
  <c r="R39" i="8" s="1"/>
  <c r="M58" i="8"/>
  <c r="L19" i="8" s="1"/>
  <c r="L20" i="8" s="1"/>
  <c r="Z96" i="8"/>
  <c r="F86" i="10"/>
  <c r="C10" i="10"/>
  <c r="E185" i="10"/>
  <c r="D20" i="10" s="1"/>
  <c r="D146" i="1" s="1"/>
  <c r="D147" i="1" s="1"/>
  <c r="F227" i="10"/>
  <c r="E27" i="10" s="1"/>
  <c r="C27" i="10"/>
  <c r="L88" i="11"/>
  <c r="L225" i="6"/>
  <c r="Y225" i="6"/>
  <c r="AK225" i="6"/>
  <c r="AX225" i="6"/>
  <c r="AA58" i="8"/>
  <c r="S58" i="8"/>
  <c r="R19" i="8" s="1"/>
  <c r="R20" i="8" s="1"/>
  <c r="K58" i="8"/>
  <c r="J19" i="8" s="1"/>
  <c r="J20" i="8" s="1"/>
  <c r="X58" i="8"/>
  <c r="P58" i="8"/>
  <c r="O19" i="8" s="1"/>
  <c r="O20" i="8" s="1"/>
  <c r="H58" i="8"/>
  <c r="G19" i="8" s="1"/>
  <c r="G20" i="8" s="1"/>
  <c r="AD58" i="8"/>
  <c r="V58" i="8"/>
  <c r="N58" i="8"/>
  <c r="M19" i="8" s="1"/>
  <c r="M20" i="8" s="1"/>
  <c r="F58" i="8"/>
  <c r="E19" i="8" s="1"/>
  <c r="E20" i="8" s="1"/>
  <c r="Q58" i="8"/>
  <c r="P19" i="8" s="1"/>
  <c r="P20" i="8" s="1"/>
  <c r="AC58" i="8"/>
  <c r="C11" i="10"/>
  <c r="F96" i="10"/>
  <c r="C26" i="10"/>
  <c r="F200" i="1" s="1"/>
  <c r="F244" i="10"/>
  <c r="E26" i="10" s="1"/>
  <c r="H49" i="11"/>
  <c r="I49" i="11" s="1"/>
  <c r="D71" i="11" s="1"/>
  <c r="F71" i="11" s="1"/>
  <c r="E58" i="8"/>
  <c r="D19" i="8" s="1"/>
  <c r="D20" i="8" s="1"/>
  <c r="R58" i="8"/>
  <c r="Q19" i="8" s="1"/>
  <c r="Q20" i="8" s="1"/>
  <c r="AE58" i="8"/>
  <c r="H15" i="8"/>
  <c r="H39" i="8" s="1"/>
  <c r="P15" i="8"/>
  <c r="P39" i="8" s="1"/>
  <c r="O225" i="6"/>
  <c r="AB225" i="6"/>
  <c r="AO225" i="6"/>
  <c r="BA225" i="6"/>
  <c r="G58" i="8"/>
  <c r="F19" i="8" s="1"/>
  <c r="F20" i="8" s="1"/>
  <c r="T58" i="8"/>
  <c r="S19" i="8" s="1"/>
  <c r="S20" i="8" s="1"/>
  <c r="AB59" i="8"/>
  <c r="C48" i="11"/>
  <c r="D48" i="11" s="1"/>
  <c r="C70" i="11" s="1"/>
  <c r="F70" i="11" s="1"/>
  <c r="O224" i="6"/>
  <c r="W224" i="6"/>
  <c r="AE224" i="6"/>
  <c r="AM224" i="6"/>
  <c r="AU224" i="6"/>
  <c r="BC224" i="6"/>
  <c r="L95" i="8"/>
  <c r="K14" i="8" s="1"/>
  <c r="K15" i="8" s="1"/>
  <c r="K39" i="8" s="1"/>
  <c r="T95" i="8"/>
  <c r="S14" i="8" s="1"/>
  <c r="S15" i="8" s="1"/>
  <c r="S39" i="8" s="1"/>
  <c r="AB95" i="8"/>
  <c r="H96" i="8"/>
  <c r="P96" i="8"/>
  <c r="X96" i="8"/>
  <c r="N46" i="12"/>
  <c r="Q224" i="6"/>
  <c r="Y224" i="6"/>
  <c r="AG224" i="6"/>
  <c r="AO224" i="6"/>
  <c r="AW224" i="6"/>
  <c r="L59" i="8"/>
  <c r="T59" i="8"/>
  <c r="F95" i="8"/>
  <c r="E14" i="8" s="1"/>
  <c r="E15" i="8" s="1"/>
  <c r="E39" i="8" s="1"/>
  <c r="N95" i="8"/>
  <c r="M14" i="8" s="1"/>
  <c r="M15" i="8" s="1"/>
  <c r="M39" i="8" s="1"/>
  <c r="V95" i="8"/>
  <c r="AD95" i="8"/>
  <c r="J96" i="8"/>
  <c r="R96" i="8"/>
  <c r="L224" i="6"/>
  <c r="T224" i="6"/>
  <c r="AB224" i="6"/>
  <c r="AJ224" i="6"/>
  <c r="AR224" i="6"/>
  <c r="L38" i="15"/>
  <c r="D38" i="15"/>
  <c r="E38" i="15"/>
  <c r="M38" i="15"/>
  <c r="U38" i="15"/>
  <c r="F117" i="14"/>
  <c r="N117" i="14"/>
  <c r="V117" i="14"/>
  <c r="N38" i="15"/>
  <c r="G7" i="27"/>
  <c r="F7" i="27"/>
  <c r="B38" i="15"/>
  <c r="J38" i="15"/>
  <c r="R38" i="15"/>
  <c r="C38" i="15"/>
  <c r="K38" i="15"/>
  <c r="S38" i="15"/>
  <c r="D117" i="14"/>
  <c r="L117" i="14"/>
  <c r="T117" i="14"/>
  <c r="Z17" i="15"/>
  <c r="H5" i="17"/>
  <c r="E26" i="20"/>
  <c r="E32" i="20"/>
  <c r="E34" i="20"/>
  <c r="G6" i="27"/>
  <c r="F6" i="27"/>
  <c r="Z20" i="15"/>
  <c r="H3" i="17"/>
  <c r="G38" i="15"/>
  <c r="O38" i="15"/>
  <c r="W38" i="15"/>
  <c r="E33" i="20"/>
  <c r="E35" i="20"/>
  <c r="E37" i="20"/>
  <c r="E39" i="20"/>
  <c r="E41" i="20"/>
  <c r="G5" i="27"/>
  <c r="F5" i="27"/>
  <c r="H38" i="15"/>
  <c r="P38" i="15"/>
  <c r="X38" i="15"/>
  <c r="I38" i="15"/>
  <c r="Q38" i="15"/>
  <c r="Y38" i="15"/>
  <c r="B34" i="15"/>
  <c r="J34" i="15"/>
  <c r="R34" i="15"/>
  <c r="D43" i="15"/>
  <c r="L43" i="15"/>
  <c r="T43" i="15"/>
  <c r="Z14" i="15"/>
  <c r="C34" i="15"/>
  <c r="K34" i="15"/>
  <c r="S34" i="15"/>
  <c r="E43" i="15"/>
  <c r="M43" i="15"/>
  <c r="U43" i="15"/>
  <c r="Z15" i="15"/>
  <c r="D34" i="15"/>
  <c r="L34" i="15"/>
  <c r="T34" i="15"/>
  <c r="F43" i="15"/>
  <c r="N43" i="15"/>
  <c r="V43" i="15"/>
  <c r="E34" i="15"/>
  <c r="M34" i="15"/>
  <c r="U34" i="15"/>
  <c r="G43" i="15"/>
  <c r="O43" i="15"/>
  <c r="W43" i="15"/>
  <c r="G34" i="15"/>
  <c r="O34" i="15"/>
  <c r="W34" i="15"/>
  <c r="I43" i="15"/>
  <c r="Q43" i="15"/>
  <c r="Y43" i="15"/>
  <c r="I34" i="15"/>
  <c r="Q34" i="15"/>
  <c r="Y34" i="15"/>
  <c r="C43" i="15"/>
  <c r="K43" i="15"/>
  <c r="G4" i="27"/>
  <c r="G281" i="1" l="1"/>
  <c r="F281" i="1"/>
  <c r="M274" i="1" s="1"/>
  <c r="C31" i="1"/>
  <c r="H281" i="1"/>
  <c r="L266" i="1" s="1"/>
  <c r="Q143" i="1"/>
  <c r="Z72" i="1" s="1"/>
  <c r="F43" i="2"/>
  <c r="M41" i="2" s="1"/>
  <c r="M58" i="2" s="1"/>
  <c r="AB58" i="2" s="1"/>
  <c r="G43" i="2"/>
  <c r="N41" i="2" s="1"/>
  <c r="S41" i="2" s="1"/>
  <c r="S58" i="2" s="1"/>
  <c r="F48" i="2"/>
  <c r="M49" i="2" s="1"/>
  <c r="M67" i="2" s="1"/>
  <c r="AB67" i="2" s="1"/>
  <c r="C177" i="1"/>
  <c r="D177" i="1" s="1"/>
  <c r="H293" i="1"/>
  <c r="E197" i="1" s="1"/>
  <c r="J204" i="1" s="1"/>
  <c r="E4" i="1"/>
  <c r="F24" i="1" s="1"/>
  <c r="F293" i="1"/>
  <c r="E76" i="1" s="1"/>
  <c r="M91" i="1" s="1"/>
  <c r="Q182" i="1"/>
  <c r="G293" i="1"/>
  <c r="E142" i="1" s="1"/>
  <c r="O183" i="1"/>
  <c r="C115" i="11"/>
  <c r="J130" i="1"/>
  <c r="C32" i="1" s="1"/>
  <c r="K32" i="1" s="1"/>
  <c r="M182" i="1"/>
  <c r="M143" i="1"/>
  <c r="V72" i="1" s="1"/>
  <c r="K64" i="1"/>
  <c r="U32" i="15" s="1"/>
  <c r="B158" i="6"/>
  <c r="E48" i="2"/>
  <c r="L49" i="2" s="1"/>
  <c r="L67" i="2" s="1"/>
  <c r="D48" i="2"/>
  <c r="E281" i="1"/>
  <c r="D281" i="1"/>
  <c r="B115" i="11"/>
  <c r="D114" i="11"/>
  <c r="G15" i="1"/>
  <c r="G11" i="1"/>
  <c r="E256" i="1"/>
  <c r="E260" i="1" s="1"/>
  <c r="D257" i="1"/>
  <c r="G16" i="1"/>
  <c r="G6" i="1"/>
  <c r="B171" i="6" s="1"/>
  <c r="G17" i="1"/>
  <c r="G12" i="1"/>
  <c r="G5" i="1"/>
  <c r="B181" i="6" s="1"/>
  <c r="D45" i="2"/>
  <c r="K43" i="2" s="1"/>
  <c r="K60" i="2" s="1"/>
  <c r="Z60" i="2" s="1"/>
  <c r="AF60" i="2" s="1"/>
  <c r="G45" i="2"/>
  <c r="N43" i="2" s="1"/>
  <c r="S43" i="2" s="1"/>
  <c r="S60" i="2" s="1"/>
  <c r="G14" i="1"/>
  <c r="G13" i="1"/>
  <c r="G38" i="1"/>
  <c r="D27" i="4"/>
  <c r="F19" i="4" s="1"/>
  <c r="H258" i="1"/>
  <c r="H276" i="1" s="1"/>
  <c r="F258" i="1"/>
  <c r="F276" i="1" s="1"/>
  <c r="L259" i="1"/>
  <c r="G258" i="1"/>
  <c r="G276" i="1" s="1"/>
  <c r="G287" i="1" s="1"/>
  <c r="G288" i="1" s="1"/>
  <c r="N269" i="1" s="1"/>
  <c r="E273" i="1"/>
  <c r="E275" i="1" s="1"/>
  <c r="R32" i="15"/>
  <c r="I5" i="8"/>
  <c r="AZ98" i="6"/>
  <c r="BF94" i="6"/>
  <c r="O8" i="8"/>
  <c r="AZ94" i="6"/>
  <c r="I8" i="8"/>
  <c r="M8" i="8"/>
  <c r="BD94" i="6"/>
  <c r="N5" i="8"/>
  <c r="BE98" i="6"/>
  <c r="R8" i="8"/>
  <c r="BI94" i="6"/>
  <c r="B120" i="14"/>
  <c r="B104" i="14"/>
  <c r="Y43" i="14"/>
  <c r="Q43" i="14"/>
  <c r="I43" i="14"/>
  <c r="V43" i="14"/>
  <c r="M43" i="14"/>
  <c r="D43" i="14"/>
  <c r="Z25" i="14"/>
  <c r="R25" i="14"/>
  <c r="J25" i="14"/>
  <c r="U43" i="14"/>
  <c r="L43" i="14"/>
  <c r="AA43" i="14"/>
  <c r="R43" i="14"/>
  <c r="H43" i="14"/>
  <c r="V25" i="14"/>
  <c r="N25" i="14"/>
  <c r="F25" i="14"/>
  <c r="Z43" i="14"/>
  <c r="P43" i="14"/>
  <c r="G43" i="14"/>
  <c r="N43" i="14"/>
  <c r="U25" i="14"/>
  <c r="K25" i="14"/>
  <c r="Z7" i="14"/>
  <c r="R7" i="14"/>
  <c r="J7" i="14"/>
  <c r="K43" i="14"/>
  <c r="T25" i="14"/>
  <c r="I25" i="14"/>
  <c r="J43" i="14"/>
  <c r="S25" i="14"/>
  <c r="H25" i="14"/>
  <c r="X7" i="14"/>
  <c r="P7" i="14"/>
  <c r="H7" i="14"/>
  <c r="W43" i="14"/>
  <c r="E43" i="14"/>
  <c r="AA25" i="14"/>
  <c r="P25" i="14"/>
  <c r="E25" i="14"/>
  <c r="T43" i="14"/>
  <c r="Y25" i="14"/>
  <c r="O25" i="14"/>
  <c r="D25" i="14"/>
  <c r="U7" i="14"/>
  <c r="M7" i="14"/>
  <c r="E7" i="14"/>
  <c r="X43" i="14"/>
  <c r="X25" i="14"/>
  <c r="S7" i="14"/>
  <c r="F7" i="14"/>
  <c r="S43" i="14"/>
  <c r="W25" i="14"/>
  <c r="Q7" i="14"/>
  <c r="D7" i="14"/>
  <c r="O43" i="14"/>
  <c r="Q25" i="14"/>
  <c r="O7" i="14"/>
  <c r="F43" i="14"/>
  <c r="M25" i="14"/>
  <c r="AA7" i="14"/>
  <c r="N7" i="14"/>
  <c r="L25" i="14"/>
  <c r="Y7" i="14"/>
  <c r="L7" i="14"/>
  <c r="G25" i="14"/>
  <c r="W7" i="14"/>
  <c r="K7" i="14"/>
  <c r="T7" i="14"/>
  <c r="I7" i="14"/>
  <c r="G7" i="14"/>
  <c r="V7" i="14"/>
  <c r="G6" i="8"/>
  <c r="AX102" i="6"/>
  <c r="R143" i="1"/>
  <c r="P5" i="8"/>
  <c r="BG98" i="6"/>
  <c r="BA94" i="6"/>
  <c r="J8" i="8"/>
  <c r="G180" i="1"/>
  <c r="I180" i="1" s="1"/>
  <c r="L180" i="1" s="1"/>
  <c r="F173" i="1"/>
  <c r="C180" i="1" s="1"/>
  <c r="D180" i="1" s="1"/>
  <c r="Q40" i="8"/>
  <c r="Q138" i="5"/>
  <c r="BH73" i="6"/>
  <c r="E11" i="10"/>
  <c r="E79" i="1"/>
  <c r="E81" i="1" s="1"/>
  <c r="M74" i="1" s="1"/>
  <c r="O40" i="8"/>
  <c r="BF73" i="6"/>
  <c r="O138" i="5"/>
  <c r="L40" i="8"/>
  <c r="BC73" i="6"/>
  <c r="L138" i="5"/>
  <c r="G5" i="8"/>
  <c r="AX98" i="6"/>
  <c r="F5" i="8"/>
  <c r="AW98" i="6"/>
  <c r="C120" i="5"/>
  <c r="C127" i="5" s="1"/>
  <c r="C114" i="5"/>
  <c r="C124" i="5"/>
  <c r="BP56" i="6"/>
  <c r="BH56" i="6"/>
  <c r="Q9" i="8" s="1"/>
  <c r="AZ56" i="6"/>
  <c r="I9" i="8" s="1"/>
  <c r="C9" i="8"/>
  <c r="BS56" i="6"/>
  <c r="BJ56" i="6"/>
  <c r="S9" i="8" s="1"/>
  <c r="BA56" i="6"/>
  <c r="J9" i="8" s="1"/>
  <c r="AQ47" i="6"/>
  <c r="AI47" i="6"/>
  <c r="AA47" i="6"/>
  <c r="S47" i="6"/>
  <c r="K47" i="6"/>
  <c r="BR56" i="6"/>
  <c r="BI56" i="6"/>
  <c r="R9" i="8" s="1"/>
  <c r="AY56" i="6"/>
  <c r="H9" i="8" s="1"/>
  <c r="AP47" i="6"/>
  <c r="AH47" i="6"/>
  <c r="Z47" i="6"/>
  <c r="R47" i="6"/>
  <c r="J47" i="6"/>
  <c r="BQ56" i="6"/>
  <c r="BG56" i="6"/>
  <c r="P9" i="8" s="1"/>
  <c r="AX56" i="6"/>
  <c r="G9" i="8" s="1"/>
  <c r="AO47" i="6"/>
  <c r="AG47" i="6"/>
  <c r="Y47" i="6"/>
  <c r="Q47" i="6"/>
  <c r="I47" i="6"/>
  <c r="BN56" i="6"/>
  <c r="BE56" i="6"/>
  <c r="N9" i="8" s="1"/>
  <c r="AV56" i="6"/>
  <c r="E9" i="8" s="1"/>
  <c r="AM47" i="6"/>
  <c r="AE47" i="6"/>
  <c r="W47" i="6"/>
  <c r="O47" i="6"/>
  <c r="G47" i="6"/>
  <c r="BM56" i="6"/>
  <c r="BD56" i="6"/>
  <c r="M9" i="8" s="1"/>
  <c r="AU56" i="6"/>
  <c r="BB56" i="6"/>
  <c r="K9" i="8" s="1"/>
  <c r="AJ47" i="6"/>
  <c r="T47" i="6"/>
  <c r="D47" i="6"/>
  <c r="BU56" i="6"/>
  <c r="AW56" i="6"/>
  <c r="F9" i="8" s="1"/>
  <c r="AF47" i="6"/>
  <c r="P47" i="6"/>
  <c r="BT56" i="6"/>
  <c r="AT56" i="6"/>
  <c r="AD47" i="6"/>
  <c r="N47" i="6"/>
  <c r="AL47" i="6"/>
  <c r="BO56" i="6"/>
  <c r="AS47" i="6"/>
  <c r="AC47" i="6"/>
  <c r="M47" i="6"/>
  <c r="F47" i="6"/>
  <c r="BL56" i="6"/>
  <c r="AR47" i="6"/>
  <c r="AB47" i="6"/>
  <c r="L47" i="6"/>
  <c r="V47" i="6"/>
  <c r="BK56" i="6"/>
  <c r="T9" i="8" s="1"/>
  <c r="AN47" i="6"/>
  <c r="X47" i="6"/>
  <c r="H47" i="6"/>
  <c r="BF56" i="6"/>
  <c r="O9" i="8" s="1"/>
  <c r="BC56" i="6"/>
  <c r="L9" i="8" s="1"/>
  <c r="AK47" i="6"/>
  <c r="U47" i="6"/>
  <c r="E47" i="6"/>
  <c r="S8" i="8"/>
  <c r="BJ94" i="6"/>
  <c r="T8" i="8"/>
  <c r="BK94" i="6"/>
  <c r="D7" i="8"/>
  <c r="J54" i="5"/>
  <c r="D273" i="1"/>
  <c r="T6" i="8"/>
  <c r="BK102" i="6"/>
  <c r="AZ102" i="6"/>
  <c r="I6" i="8"/>
  <c r="J6" i="8"/>
  <c r="BA102" i="6"/>
  <c r="BD102" i="6"/>
  <c r="M6" i="8"/>
  <c r="E6" i="8"/>
  <c r="AV102" i="6"/>
  <c r="N274" i="1"/>
  <c r="M266" i="1"/>
  <c r="M10" i="5"/>
  <c r="M23" i="5" s="1"/>
  <c r="E13" i="5"/>
  <c r="K130" i="1"/>
  <c r="D26" i="10"/>
  <c r="F202" i="1"/>
  <c r="P8" i="8"/>
  <c r="BG94" i="6"/>
  <c r="P6" i="8"/>
  <c r="BG102" i="6"/>
  <c r="D10" i="8"/>
  <c r="G59" i="5"/>
  <c r="S40" i="8"/>
  <c r="BJ73" i="6"/>
  <c r="S138" i="5"/>
  <c r="B121" i="14"/>
  <c r="B105" i="14"/>
  <c r="V44" i="14"/>
  <c r="N44" i="14"/>
  <c r="F44" i="14"/>
  <c r="W44" i="14"/>
  <c r="M44" i="14"/>
  <c r="D44" i="14"/>
  <c r="X26" i="14"/>
  <c r="P26" i="14"/>
  <c r="H26" i="14"/>
  <c r="U44" i="14"/>
  <c r="L44" i="14"/>
  <c r="AA44" i="14"/>
  <c r="R44" i="14"/>
  <c r="I44" i="14"/>
  <c r="T26" i="14"/>
  <c r="L26" i="14"/>
  <c r="D26" i="14"/>
  <c r="Z44" i="14"/>
  <c r="Q44" i="14"/>
  <c r="H44" i="14"/>
  <c r="X44" i="14"/>
  <c r="E44" i="14"/>
  <c r="AA26" i="14"/>
  <c r="Q26" i="14"/>
  <c r="F26" i="14"/>
  <c r="X8" i="14"/>
  <c r="P8" i="14"/>
  <c r="H8" i="14"/>
  <c r="T44" i="14"/>
  <c r="Z26" i="14"/>
  <c r="O26" i="14"/>
  <c r="E26" i="14"/>
  <c r="S44" i="14"/>
  <c r="Y26" i="14"/>
  <c r="N26" i="14"/>
  <c r="V8" i="14"/>
  <c r="N8" i="14"/>
  <c r="F8" i="14"/>
  <c r="O44" i="14"/>
  <c r="V26" i="14"/>
  <c r="K26" i="14"/>
  <c r="K44" i="14"/>
  <c r="U26" i="14"/>
  <c r="J26" i="14"/>
  <c r="AA8" i="14"/>
  <c r="S8" i="14"/>
  <c r="K8" i="14"/>
  <c r="R8" i="14"/>
  <c r="E8" i="14"/>
  <c r="W26" i="14"/>
  <c r="Q8" i="14"/>
  <c r="D8" i="14"/>
  <c r="S26" i="14"/>
  <c r="O8" i="14"/>
  <c r="R26" i="14"/>
  <c r="Z8" i="14"/>
  <c r="M8" i="14"/>
  <c r="Y44" i="14"/>
  <c r="M26" i="14"/>
  <c r="Y8" i="14"/>
  <c r="L8" i="14"/>
  <c r="P44" i="14"/>
  <c r="I26" i="14"/>
  <c r="W8" i="14"/>
  <c r="J8" i="14"/>
  <c r="J44" i="14"/>
  <c r="G26" i="14"/>
  <c r="U8" i="14"/>
  <c r="G44" i="14"/>
  <c r="T8" i="14"/>
  <c r="I8" i="14"/>
  <c r="G8" i="14"/>
  <c r="H8" i="8"/>
  <c r="AY94" i="6"/>
  <c r="G40" i="8"/>
  <c r="G138" i="5"/>
  <c r="AX73" i="6"/>
  <c r="T45" i="2"/>
  <c r="T62" i="2" s="1"/>
  <c r="H5" i="8"/>
  <c r="AY98" i="6"/>
  <c r="D6" i="8"/>
  <c r="AU102" i="6"/>
  <c r="H51" i="5"/>
  <c r="AU73" i="6"/>
  <c r="D40" i="8"/>
  <c r="D138" i="5"/>
  <c r="D114" i="1"/>
  <c r="P138" i="5"/>
  <c r="P40" i="8"/>
  <c r="BG73" i="6"/>
  <c r="J40" i="8"/>
  <c r="BA73" i="6"/>
  <c r="J138" i="5"/>
  <c r="E200" i="1"/>
  <c r="D200" i="1"/>
  <c r="AV98" i="6"/>
  <c r="E5" i="8"/>
  <c r="C152" i="5"/>
  <c r="D151" i="5"/>
  <c r="F8" i="8"/>
  <c r="AW94" i="6"/>
  <c r="D269" i="1"/>
  <c r="D263" i="1"/>
  <c r="D266" i="1" s="1"/>
  <c r="D260" i="1"/>
  <c r="I177" i="1"/>
  <c r="L177" i="1" s="1"/>
  <c r="N182" i="1"/>
  <c r="C112" i="5"/>
  <c r="E42" i="2"/>
  <c r="D42" i="2"/>
  <c r="E10" i="10"/>
  <c r="D79" i="1"/>
  <c r="D81" i="1" s="1"/>
  <c r="N74" i="1" s="1"/>
  <c r="H12" i="5"/>
  <c r="G12" i="5"/>
  <c r="N9" i="5" s="1"/>
  <c r="J5" i="8"/>
  <c r="BA98" i="6"/>
  <c r="J251" i="1"/>
  <c r="H255" i="1"/>
  <c r="D38" i="1"/>
  <c r="G255" i="1"/>
  <c r="C38" i="1"/>
  <c r="K38" i="1" s="1"/>
  <c r="F255" i="1"/>
  <c r="M57" i="2"/>
  <c r="AB57" i="2" s="1"/>
  <c r="M154" i="1"/>
  <c r="M145" i="1"/>
  <c r="S6" i="8"/>
  <c r="BJ102" i="6"/>
  <c r="W57" i="2"/>
  <c r="AV73" i="6"/>
  <c r="E40" i="8"/>
  <c r="E138" i="5"/>
  <c r="R40" i="8"/>
  <c r="BI73" i="6"/>
  <c r="R138" i="5"/>
  <c r="D27" i="10"/>
  <c r="E202" i="1"/>
  <c r="D202" i="1"/>
  <c r="BD98" i="6"/>
  <c r="M5" i="8"/>
  <c r="BK98" i="6"/>
  <c r="T5" i="8"/>
  <c r="AU98" i="6"/>
  <c r="D5" i="8"/>
  <c r="F45" i="5"/>
  <c r="R45" i="2"/>
  <c r="R62" i="2" s="1"/>
  <c r="C51" i="11"/>
  <c r="D51" i="11" s="1"/>
  <c r="N8" i="8"/>
  <c r="BE94" i="6"/>
  <c r="Q57" i="2"/>
  <c r="R49" i="2"/>
  <c r="R67" i="2" s="1"/>
  <c r="V49" i="2"/>
  <c r="V67" i="2" s="1"/>
  <c r="U49" i="2"/>
  <c r="U67" i="2" s="1"/>
  <c r="T49" i="2"/>
  <c r="T67" i="2" s="1"/>
  <c r="S49" i="2"/>
  <c r="S67" i="2" s="1"/>
  <c r="Q49" i="2"/>
  <c r="Q67" i="2" s="1"/>
  <c r="N49" i="2"/>
  <c r="N67" i="2" s="1"/>
  <c r="W49" i="2"/>
  <c r="W67" i="2" s="1"/>
  <c r="AC67" i="2"/>
  <c r="BN50" i="6"/>
  <c r="BF50" i="6"/>
  <c r="AX50" i="6"/>
  <c r="BT50" i="6"/>
  <c r="BK50" i="6"/>
  <c r="BB50" i="6"/>
  <c r="AP40" i="6"/>
  <c r="AH40" i="6"/>
  <c r="Z40" i="6"/>
  <c r="BS50" i="6"/>
  <c r="BJ50" i="6"/>
  <c r="BA50" i="6"/>
  <c r="AO40" i="6"/>
  <c r="AG40" i="6"/>
  <c r="Y40" i="6"/>
  <c r="BR50" i="6"/>
  <c r="BI50" i="6"/>
  <c r="AZ50" i="6"/>
  <c r="BP50" i="6"/>
  <c r="BG50" i="6"/>
  <c r="AW50" i="6"/>
  <c r="AL40" i="6"/>
  <c r="AD40" i="6"/>
  <c r="BH50" i="6"/>
  <c r="AR40" i="6"/>
  <c r="AE40" i="6"/>
  <c r="BE50" i="6"/>
  <c r="AQ40" i="6"/>
  <c r="AC40" i="6"/>
  <c r="BM50" i="6"/>
  <c r="BD50" i="6"/>
  <c r="AN40" i="6"/>
  <c r="AB40" i="6"/>
  <c r="AU50" i="6"/>
  <c r="AI40" i="6"/>
  <c r="BU50" i="6"/>
  <c r="BC50" i="6"/>
  <c r="AM40" i="6"/>
  <c r="AA40" i="6"/>
  <c r="BQ50" i="6"/>
  <c r="AY50" i="6"/>
  <c r="AK40" i="6"/>
  <c r="X40" i="6"/>
  <c r="BO50" i="6"/>
  <c r="AV50" i="6"/>
  <c r="AJ40" i="6"/>
  <c r="W40" i="6"/>
  <c r="AF40" i="6"/>
  <c r="AS40" i="6"/>
  <c r="BL50" i="6"/>
  <c r="F4" i="1"/>
  <c r="G24" i="1" s="1"/>
  <c r="K6" i="8"/>
  <c r="BB102" i="6"/>
  <c r="T57" i="2"/>
  <c r="S57" i="2"/>
  <c r="C71" i="5"/>
  <c r="D68" i="5"/>
  <c r="C125" i="5"/>
  <c r="H8" i="5"/>
  <c r="M5" i="5"/>
  <c r="M18" i="5" s="1"/>
  <c r="J64" i="1"/>
  <c r="H145" i="1"/>
  <c r="H147" i="1" s="1"/>
  <c r="G145" i="1"/>
  <c r="G147" i="1" s="1"/>
  <c r="O6" i="8"/>
  <c r="BF102" i="6"/>
  <c r="F6" i="8"/>
  <c r="AW102" i="6"/>
  <c r="G57" i="5"/>
  <c r="R57" i="2"/>
  <c r="F40" i="8"/>
  <c r="AW73" i="6"/>
  <c r="F138" i="5"/>
  <c r="S45" i="2"/>
  <c r="S62" i="2" s="1"/>
  <c r="O5" i="8"/>
  <c r="BF98" i="6"/>
  <c r="K8" i="8"/>
  <c r="BB94" i="6"/>
  <c r="L6" i="8"/>
  <c r="BC102" i="6"/>
  <c r="Q45" i="2"/>
  <c r="Q62" i="2" s="1"/>
  <c r="R6" i="8"/>
  <c r="BI102" i="6"/>
  <c r="N6" i="8"/>
  <c r="BE102" i="6"/>
  <c r="H52" i="11"/>
  <c r="I52" i="11" s="1"/>
  <c r="BD73" i="6"/>
  <c r="M40" i="8"/>
  <c r="M138" i="5"/>
  <c r="E43" i="2"/>
  <c r="L41" i="2" s="1"/>
  <c r="L58" i="2" s="1"/>
  <c r="AA58" i="2" s="1"/>
  <c r="AF58" i="2" s="1"/>
  <c r="N143" i="1"/>
  <c r="W72" i="1" s="1"/>
  <c r="BB98" i="6"/>
  <c r="K5" i="8"/>
  <c r="L8" i="8"/>
  <c r="BC94" i="6"/>
  <c r="S5" i="8"/>
  <c r="BJ98" i="6"/>
  <c r="C121" i="5"/>
  <c r="C68" i="5" s="1"/>
  <c r="B122" i="14"/>
  <c r="B106" i="14"/>
  <c r="U45" i="14"/>
  <c r="M45" i="14"/>
  <c r="E45" i="14"/>
  <c r="Y45" i="14"/>
  <c r="P45" i="14"/>
  <c r="G45" i="14"/>
  <c r="X27" i="14"/>
  <c r="P27" i="14"/>
  <c r="H27" i="14"/>
  <c r="X45" i="14"/>
  <c r="O45" i="14"/>
  <c r="F45" i="14"/>
  <c r="T45" i="14"/>
  <c r="K45" i="14"/>
  <c r="T27" i="14"/>
  <c r="L27" i="14"/>
  <c r="D27" i="14"/>
  <c r="S45" i="14"/>
  <c r="J45" i="14"/>
  <c r="Q45" i="14"/>
  <c r="Y27" i="14"/>
  <c r="N27" i="14"/>
  <c r="X9" i="14"/>
  <c r="P9" i="14"/>
  <c r="H9" i="14"/>
  <c r="N45" i="14"/>
  <c r="W27" i="14"/>
  <c r="M27" i="14"/>
  <c r="L45" i="14"/>
  <c r="V27" i="14"/>
  <c r="K27" i="14"/>
  <c r="V9" i="14"/>
  <c r="N9" i="14"/>
  <c r="F9" i="14"/>
  <c r="Z45" i="14"/>
  <c r="H45" i="14"/>
  <c r="S27" i="14"/>
  <c r="I27" i="14"/>
  <c r="W45" i="14"/>
  <c r="D45" i="14"/>
  <c r="R27" i="14"/>
  <c r="G27" i="14"/>
  <c r="AA9" i="14"/>
  <c r="S9" i="14"/>
  <c r="K9" i="14"/>
  <c r="V45" i="14"/>
  <c r="E27" i="14"/>
  <c r="T9" i="14"/>
  <c r="G9" i="14"/>
  <c r="R45" i="14"/>
  <c r="AA27" i="14"/>
  <c r="R9" i="14"/>
  <c r="E9" i="14"/>
  <c r="I45" i="14"/>
  <c r="Z27" i="14"/>
  <c r="Q9" i="14"/>
  <c r="D9" i="14"/>
  <c r="U27" i="14"/>
  <c r="O9" i="14"/>
  <c r="Q27" i="14"/>
  <c r="Z9" i="14"/>
  <c r="M9" i="14"/>
  <c r="O27" i="14"/>
  <c r="Y9" i="14"/>
  <c r="L9" i="14"/>
  <c r="U9" i="14"/>
  <c r="J27" i="14"/>
  <c r="J9" i="14"/>
  <c r="AA45" i="14"/>
  <c r="F27" i="14"/>
  <c r="I9" i="14"/>
  <c r="W9" i="14"/>
  <c r="AV94" i="6"/>
  <c r="E8" i="8"/>
  <c r="AX94" i="6"/>
  <c r="G8" i="8"/>
  <c r="E114" i="1"/>
  <c r="BH102" i="6"/>
  <c r="Q6" i="8"/>
  <c r="AY102" i="6"/>
  <c r="H6" i="8"/>
  <c r="V57" i="2"/>
  <c r="I171" i="1"/>
  <c r="C175" i="1"/>
  <c r="D175" i="1" s="1"/>
  <c r="C11" i="5"/>
  <c r="B32" i="15" l="1"/>
  <c r="L274" i="1"/>
  <c r="N266" i="1"/>
  <c r="W41" i="2"/>
  <c r="W58" i="2" s="1"/>
  <c r="R41" i="2"/>
  <c r="R58" i="2" s="1"/>
  <c r="Q41" i="2"/>
  <c r="Q58" i="2" s="1"/>
  <c r="U41" i="2"/>
  <c r="U58" i="2" s="1"/>
  <c r="B41" i="15"/>
  <c r="F71" i="1"/>
  <c r="F15" i="1" s="1"/>
  <c r="H41" i="15"/>
  <c r="H71" i="1"/>
  <c r="O82" i="1" s="1"/>
  <c r="V41" i="2"/>
  <c r="V58" i="2" s="1"/>
  <c r="J71" i="1"/>
  <c r="R72" i="1" s="1"/>
  <c r="T41" i="2"/>
  <c r="T58" i="2" s="1"/>
  <c r="N58" i="2"/>
  <c r="AC58" i="2" s="1"/>
  <c r="E71" i="1"/>
  <c r="E75" i="1" s="1"/>
  <c r="O32" i="15"/>
  <c r="F175" i="1"/>
  <c r="I175" i="1" s="1"/>
  <c r="Y41" i="15"/>
  <c r="C32" i="15"/>
  <c r="O41" i="15"/>
  <c r="K32" i="15"/>
  <c r="S41" i="15"/>
  <c r="F41" i="15"/>
  <c r="X32" i="15"/>
  <c r="M76" i="1"/>
  <c r="N41" i="15"/>
  <c r="S32" i="15"/>
  <c r="J194" i="1"/>
  <c r="T41" i="15"/>
  <c r="E32" i="15"/>
  <c r="G71" i="1"/>
  <c r="G75" i="1" s="1"/>
  <c r="G77" i="1" s="1"/>
  <c r="P32" i="15"/>
  <c r="D115" i="11"/>
  <c r="F176" i="1"/>
  <c r="I176" i="1" s="1"/>
  <c r="L176" i="1" s="1"/>
  <c r="L41" i="15"/>
  <c r="K41" i="15"/>
  <c r="D32" i="15"/>
  <c r="X41" i="15"/>
  <c r="I32" i="15"/>
  <c r="T32" i="15"/>
  <c r="P41" i="15"/>
  <c r="I41" i="15"/>
  <c r="M32" i="15"/>
  <c r="W41" i="15"/>
  <c r="C41" i="15"/>
  <c r="F32" i="15"/>
  <c r="M41" i="15"/>
  <c r="V41" i="15"/>
  <c r="Q32" i="15"/>
  <c r="V32" i="15"/>
  <c r="D41" i="15"/>
  <c r="U41" i="15"/>
  <c r="Q41" i="15"/>
  <c r="H32" i="15"/>
  <c r="E41" i="15"/>
  <c r="D71" i="1"/>
  <c r="V76" i="1" s="1"/>
  <c r="Y32" i="15"/>
  <c r="N32" i="15"/>
  <c r="R41" i="15"/>
  <c r="J41" i="15"/>
  <c r="G32" i="15"/>
  <c r="L32" i="15"/>
  <c r="J32" i="15"/>
  <c r="K274" i="1"/>
  <c r="K266" i="1"/>
  <c r="G186" i="1"/>
  <c r="H292" i="1" s="1"/>
  <c r="D197" i="1" s="1"/>
  <c r="AA67" i="2"/>
  <c r="Z67" i="2"/>
  <c r="K49" i="2"/>
  <c r="K67" i="2" s="1"/>
  <c r="G41" i="15"/>
  <c r="I71" i="1"/>
  <c r="Q72" i="1" s="1"/>
  <c r="W32" i="15"/>
  <c r="E269" i="1"/>
  <c r="H7" i="27" s="1"/>
  <c r="W43" i="2"/>
  <c r="W60" i="2" s="1"/>
  <c r="H25" i="1"/>
  <c r="V43" i="2"/>
  <c r="V60" i="2" s="1"/>
  <c r="E77" i="2"/>
  <c r="E71" i="2" s="1"/>
  <c r="E60" i="2" s="1"/>
  <c r="D77" i="2"/>
  <c r="D71" i="2" s="1"/>
  <c r="D60" i="2" s="1"/>
  <c r="N60" i="2"/>
  <c r="AC60" i="2" s="1"/>
  <c r="Q43" i="2"/>
  <c r="Q60" i="2" s="1"/>
  <c r="R43" i="2"/>
  <c r="R60" i="2" s="1"/>
  <c r="T43" i="2"/>
  <c r="T60" i="2" s="1"/>
  <c r="U43" i="2"/>
  <c r="U60" i="2" s="1"/>
  <c r="E274" i="1"/>
  <c r="E287" i="1" s="1"/>
  <c r="E288" i="1" s="1"/>
  <c r="AT128" i="6"/>
  <c r="C65" i="5"/>
  <c r="O143" i="1"/>
  <c r="X72" i="1" s="1"/>
  <c r="I3" i="5"/>
  <c r="D44" i="2"/>
  <c r="K42" i="2" s="1"/>
  <c r="K59" i="2" s="1"/>
  <c r="Z59" i="2" s="1"/>
  <c r="E201" i="1"/>
  <c r="J192" i="1"/>
  <c r="S44" i="15"/>
  <c r="K44" i="15"/>
  <c r="C44" i="15"/>
  <c r="Y35" i="15"/>
  <c r="Q35" i="15"/>
  <c r="I35" i="15"/>
  <c r="Y44" i="15"/>
  <c r="Q44" i="15"/>
  <c r="I44" i="15"/>
  <c r="W35" i="15"/>
  <c r="O35" i="15"/>
  <c r="G35" i="15"/>
  <c r="W44" i="15"/>
  <c r="O44" i="15"/>
  <c r="G44" i="15"/>
  <c r="U35" i="15"/>
  <c r="M35" i="15"/>
  <c r="E35" i="15"/>
  <c r="V44" i="15"/>
  <c r="N44" i="15"/>
  <c r="F44" i="15"/>
  <c r="T35" i="15"/>
  <c r="L35" i="15"/>
  <c r="D35" i="15"/>
  <c r="U44" i="15"/>
  <c r="M44" i="15"/>
  <c r="E44" i="15"/>
  <c r="S35" i="15"/>
  <c r="K35" i="15"/>
  <c r="C35" i="15"/>
  <c r="T44" i="15"/>
  <c r="L44" i="15"/>
  <c r="D44" i="15"/>
  <c r="R35" i="15"/>
  <c r="J35" i="15"/>
  <c r="B35" i="15"/>
  <c r="R44" i="15"/>
  <c r="P35" i="15"/>
  <c r="P44" i="15"/>
  <c r="N35" i="15"/>
  <c r="J44" i="15"/>
  <c r="H35" i="15"/>
  <c r="H44" i="15"/>
  <c r="F35" i="15"/>
  <c r="X35" i="15"/>
  <c r="X44" i="15"/>
  <c r="V35" i="15"/>
  <c r="B44" i="15"/>
  <c r="B46" i="14"/>
  <c r="E38" i="1"/>
  <c r="D26" i="1"/>
  <c r="G77" i="2"/>
  <c r="G68" i="2" s="1"/>
  <c r="F77" i="2"/>
  <c r="F68" i="2" s="1"/>
  <c r="F256" i="1"/>
  <c r="E27" i="2"/>
  <c r="C27" i="2" s="1"/>
  <c r="D275" i="1"/>
  <c r="I275" i="1" s="1"/>
  <c r="D274" i="1"/>
  <c r="M72" i="1"/>
  <c r="P143" i="1"/>
  <c r="Y72" i="1" s="1"/>
  <c r="C126" i="5"/>
  <c r="T105" i="14"/>
  <c r="T87" i="14" s="1"/>
  <c r="L105" i="14"/>
  <c r="L87" i="14" s="1"/>
  <c r="D105" i="14"/>
  <c r="D87" i="14" s="1"/>
  <c r="AA105" i="14"/>
  <c r="AA69" i="14" s="1"/>
  <c r="S105" i="14"/>
  <c r="S87" i="14" s="1"/>
  <c r="K105" i="14"/>
  <c r="K87" i="14" s="1"/>
  <c r="Z105" i="14"/>
  <c r="Z87" i="14" s="1"/>
  <c r="R105" i="14"/>
  <c r="R87" i="14" s="1"/>
  <c r="J105" i="14"/>
  <c r="J87" i="14" s="1"/>
  <c r="Y105" i="14"/>
  <c r="Y69" i="14" s="1"/>
  <c r="Q105" i="14"/>
  <c r="Q69" i="14" s="1"/>
  <c r="I105" i="14"/>
  <c r="I69" i="14" s="1"/>
  <c r="V105" i="14"/>
  <c r="V69" i="14" s="1"/>
  <c r="N105" i="14"/>
  <c r="N69" i="14" s="1"/>
  <c r="F105" i="14"/>
  <c r="F87" i="14" s="1"/>
  <c r="X105" i="14"/>
  <c r="X69" i="14" s="1"/>
  <c r="E105" i="14"/>
  <c r="E87" i="14" s="1"/>
  <c r="W105" i="14"/>
  <c r="W69" i="14" s="1"/>
  <c r="P105" i="14"/>
  <c r="P87" i="14" s="1"/>
  <c r="O105" i="14"/>
  <c r="O87" i="14" s="1"/>
  <c r="U105" i="14"/>
  <c r="U69" i="14" s="1"/>
  <c r="M105" i="14"/>
  <c r="M69" i="14" s="1"/>
  <c r="H105" i="14"/>
  <c r="H87" i="14" s="1"/>
  <c r="G105" i="14"/>
  <c r="G69" i="14" s="1"/>
  <c r="S42" i="15"/>
  <c r="K42" i="15"/>
  <c r="C42" i="15"/>
  <c r="Y33" i="15"/>
  <c r="Q33" i="15"/>
  <c r="I33" i="15"/>
  <c r="Y42" i="15"/>
  <c r="Q42" i="15"/>
  <c r="I42" i="15"/>
  <c r="W33" i="15"/>
  <c r="O33" i="15"/>
  <c r="G33" i="15"/>
  <c r="W42" i="15"/>
  <c r="O42" i="15"/>
  <c r="G42" i="15"/>
  <c r="U33" i="15"/>
  <c r="M33" i="15"/>
  <c r="E33" i="15"/>
  <c r="V42" i="15"/>
  <c r="N42" i="15"/>
  <c r="F42" i="15"/>
  <c r="T33" i="15"/>
  <c r="L33" i="15"/>
  <c r="D33" i="15"/>
  <c r="U42" i="15"/>
  <c r="M42" i="15"/>
  <c r="E42" i="15"/>
  <c r="S33" i="15"/>
  <c r="K33" i="15"/>
  <c r="C33" i="15"/>
  <c r="T42" i="15"/>
  <c r="L42" i="15"/>
  <c r="D42" i="15"/>
  <c r="R33" i="15"/>
  <c r="J33" i="15"/>
  <c r="B33" i="15"/>
  <c r="B42" i="15"/>
  <c r="X33" i="15"/>
  <c r="X42" i="15"/>
  <c r="V33" i="15"/>
  <c r="J42" i="15"/>
  <c r="H33" i="15"/>
  <c r="R42" i="15"/>
  <c r="P33" i="15"/>
  <c r="N33" i="15"/>
  <c r="P42" i="15"/>
  <c r="F33" i="15"/>
  <c r="H42" i="15"/>
  <c r="D137" i="1"/>
  <c r="J137" i="1"/>
  <c r="I137" i="1"/>
  <c r="H137" i="1"/>
  <c r="G137" i="1"/>
  <c r="F137" i="1"/>
  <c r="E137" i="1"/>
  <c r="E11" i="5"/>
  <c r="C14" i="5"/>
  <c r="AT126" i="6"/>
  <c r="C63" i="5"/>
  <c r="H256" i="1"/>
  <c r="G256" i="1"/>
  <c r="G13" i="5"/>
  <c r="N10" i="5" s="1"/>
  <c r="H13" i="5"/>
  <c r="C30" i="1"/>
  <c r="K30" i="1" s="1"/>
  <c r="C71" i="1"/>
  <c r="C72" i="1" s="1"/>
  <c r="W104" i="14"/>
  <c r="W86" i="14" s="1"/>
  <c r="O104" i="14"/>
  <c r="O68" i="14" s="1"/>
  <c r="G104" i="14"/>
  <c r="G68" i="14" s="1"/>
  <c r="V104" i="14"/>
  <c r="V68" i="14" s="1"/>
  <c r="N104" i="14"/>
  <c r="N68" i="14" s="1"/>
  <c r="F104" i="14"/>
  <c r="F86" i="14" s="1"/>
  <c r="U104" i="14"/>
  <c r="U86" i="14" s="1"/>
  <c r="T104" i="14"/>
  <c r="T86" i="14" s="1"/>
  <c r="L104" i="14"/>
  <c r="L86" i="14" s="1"/>
  <c r="D104" i="14"/>
  <c r="D68" i="14" s="1"/>
  <c r="Y104" i="14"/>
  <c r="Y86" i="14" s="1"/>
  <c r="Q104" i="14"/>
  <c r="Q68" i="14" s="1"/>
  <c r="I104" i="14"/>
  <c r="I68" i="14" s="1"/>
  <c r="K104" i="14"/>
  <c r="K86" i="14" s="1"/>
  <c r="AA104" i="14"/>
  <c r="AA86" i="14" s="1"/>
  <c r="J104" i="14"/>
  <c r="J86" i="14" s="1"/>
  <c r="X104" i="14"/>
  <c r="X68" i="14" s="1"/>
  <c r="E104" i="14"/>
  <c r="E86" i="14" s="1"/>
  <c r="S104" i="14"/>
  <c r="S68" i="14" s="1"/>
  <c r="Z104" i="14"/>
  <c r="Z68" i="14" s="1"/>
  <c r="R104" i="14"/>
  <c r="R86" i="14" s="1"/>
  <c r="P104" i="14"/>
  <c r="P86" i="14" s="1"/>
  <c r="M104" i="14"/>
  <c r="M68" i="14" s="1"/>
  <c r="H104" i="14"/>
  <c r="H68" i="14" s="1"/>
  <c r="H6" i="27"/>
  <c r="D32" i="27" s="1"/>
  <c r="D33" i="27" s="1"/>
  <c r="D34" i="27" s="1"/>
  <c r="D35" i="27" s="1"/>
  <c r="D36" i="27" s="1"/>
  <c r="D37" i="27" s="1"/>
  <c r="D38" i="27" s="1"/>
  <c r="D39" i="27" s="1"/>
  <c r="D40" i="27" s="1"/>
  <c r="D41" i="27" s="1"/>
  <c r="D42" i="27" s="1"/>
  <c r="D43" i="27" s="1"/>
  <c r="D44" i="27" s="1"/>
  <c r="D45" i="27" s="1"/>
  <c r="D46" i="27" s="1"/>
  <c r="D270" i="1"/>
  <c r="T71" i="5"/>
  <c r="L71" i="5"/>
  <c r="D71" i="5"/>
  <c r="C75" i="5"/>
  <c r="S71" i="5"/>
  <c r="K71" i="5"/>
  <c r="P71" i="5"/>
  <c r="H71" i="5"/>
  <c r="O71" i="5"/>
  <c r="C73" i="5"/>
  <c r="N71" i="5"/>
  <c r="M71" i="5"/>
  <c r="J71" i="5"/>
  <c r="I71" i="5"/>
  <c r="C72" i="5"/>
  <c r="G71" i="5"/>
  <c r="Q71" i="5"/>
  <c r="G40" i="2"/>
  <c r="C74" i="5"/>
  <c r="F71" i="5"/>
  <c r="E71" i="5"/>
  <c r="R71" i="5"/>
  <c r="H273" i="1"/>
  <c r="F273" i="1"/>
  <c r="F274" i="1" s="1"/>
  <c r="G273" i="1"/>
  <c r="C25" i="3"/>
  <c r="C27" i="3" s="1"/>
  <c r="D112" i="5"/>
  <c r="C28" i="2"/>
  <c r="C179" i="1"/>
  <c r="D179" i="1" s="1"/>
  <c r="I173" i="1"/>
  <c r="F179" i="1"/>
  <c r="I179" i="1" s="1"/>
  <c r="L179" i="1" s="1"/>
  <c r="K40" i="2"/>
  <c r="AT125" i="6"/>
  <c r="C62" i="5"/>
  <c r="G73" i="2"/>
  <c r="Z106" i="14"/>
  <c r="Z88" i="14" s="1"/>
  <c r="S106" i="14"/>
  <c r="S70" i="14" s="1"/>
  <c r="K106" i="14"/>
  <c r="K70" i="14" s="1"/>
  <c r="AA106" i="14"/>
  <c r="AA70" i="14" s="1"/>
  <c r="R106" i="14"/>
  <c r="R70" i="14" s="1"/>
  <c r="J106" i="14"/>
  <c r="J70" i="14" s="1"/>
  <c r="Y106" i="14"/>
  <c r="Y88" i="14" s="1"/>
  <c r="Q106" i="14"/>
  <c r="Q70" i="14" s="1"/>
  <c r="I106" i="14"/>
  <c r="I88" i="14" s="1"/>
  <c r="X106" i="14"/>
  <c r="X88" i="14" s="1"/>
  <c r="P106" i="14"/>
  <c r="P70" i="14" s="1"/>
  <c r="H106" i="14"/>
  <c r="H70" i="14" s="1"/>
  <c r="U106" i="14"/>
  <c r="U70" i="14" s="1"/>
  <c r="M106" i="14"/>
  <c r="M70" i="14" s="1"/>
  <c r="E106" i="14"/>
  <c r="E88" i="14" s="1"/>
  <c r="V106" i="14"/>
  <c r="V70" i="14" s="1"/>
  <c r="T106" i="14"/>
  <c r="T88" i="14" s="1"/>
  <c r="N106" i="14"/>
  <c r="N70" i="14" s="1"/>
  <c r="L106" i="14"/>
  <c r="L70" i="14" s="1"/>
  <c r="O106" i="14"/>
  <c r="O88" i="14" s="1"/>
  <c r="G106" i="14"/>
  <c r="G70" i="14" s="1"/>
  <c r="F106" i="14"/>
  <c r="F70" i="14" s="1"/>
  <c r="D106" i="14"/>
  <c r="D88" i="14" s="1"/>
  <c r="W106" i="14"/>
  <c r="W88" i="14" s="1"/>
  <c r="G8" i="5"/>
  <c r="D201" i="1"/>
  <c r="K192" i="1"/>
  <c r="E44" i="2"/>
  <c r="L42" i="2" s="1"/>
  <c r="L59" i="2" s="1"/>
  <c r="AA59" i="2" s="1"/>
  <c r="L40" i="2"/>
  <c r="C153" i="5"/>
  <c r="D152" i="5"/>
  <c r="D26" i="4"/>
  <c r="I18" i="4" s="1"/>
  <c r="G44" i="2"/>
  <c r="N42" i="2" s="1"/>
  <c r="L192" i="1"/>
  <c r="F201" i="1"/>
  <c r="F44" i="2"/>
  <c r="D9" i="8"/>
  <c r="G58" i="5"/>
  <c r="E263" i="1" s="1"/>
  <c r="F75" i="1" l="1"/>
  <c r="F77" i="1" s="1"/>
  <c r="G73" i="1"/>
  <c r="G72" i="1"/>
  <c r="G95" i="1" s="1"/>
  <c r="G96" i="1" s="1"/>
  <c r="H72" i="1"/>
  <c r="H95" i="1" s="1"/>
  <c r="H96" i="1" s="1"/>
  <c r="P79" i="1" s="1"/>
  <c r="M82" i="1"/>
  <c r="W77" i="1"/>
  <c r="O72" i="1"/>
  <c r="F72" i="1"/>
  <c r="F95" i="1" s="1"/>
  <c r="F96" i="1" s="1"/>
  <c r="O79" i="1" s="1"/>
  <c r="J72" i="1"/>
  <c r="J95" i="1" s="1"/>
  <c r="J96" i="1" s="1"/>
  <c r="R79" i="1" s="1"/>
  <c r="E73" i="2"/>
  <c r="Q90" i="1"/>
  <c r="P72" i="1"/>
  <c r="X78" i="1"/>
  <c r="F73" i="1"/>
  <c r="O71" i="1" s="1"/>
  <c r="O88" i="1" s="1"/>
  <c r="E73" i="1"/>
  <c r="M71" i="1" s="1"/>
  <c r="M87" i="1" s="1"/>
  <c r="E72" i="1"/>
  <c r="E95" i="1" s="1"/>
  <c r="E96" i="1" s="1"/>
  <c r="M79" i="1" s="1"/>
  <c r="W87" i="14"/>
  <c r="E70" i="14"/>
  <c r="R69" i="14"/>
  <c r="O69" i="14"/>
  <c r="X87" i="14"/>
  <c r="Q87" i="14"/>
  <c r="D75" i="1"/>
  <c r="N75" i="1" s="1"/>
  <c r="E39" i="2"/>
  <c r="E46" i="2" s="1"/>
  <c r="C33" i="1"/>
  <c r="K33" i="1" s="1"/>
  <c r="J68" i="14"/>
  <c r="E30" i="1"/>
  <c r="T68" i="14"/>
  <c r="Z69" i="14"/>
  <c r="E69" i="14"/>
  <c r="P68" i="14"/>
  <c r="I72" i="1"/>
  <c r="I95" i="1" s="1"/>
  <c r="I96" i="1" s="1"/>
  <c r="Q79" i="1" s="1"/>
  <c r="R68" i="14"/>
  <c r="D73" i="2"/>
  <c r="Z86" i="14"/>
  <c r="H86" i="14"/>
  <c r="D4" i="1"/>
  <c r="E24" i="1" s="1"/>
  <c r="D72" i="1"/>
  <c r="D95" i="1" s="1"/>
  <c r="C24" i="4" s="1"/>
  <c r="R88" i="14"/>
  <c r="F186" i="1"/>
  <c r="B155" i="6" s="1"/>
  <c r="Y87" i="14"/>
  <c r="I86" i="14"/>
  <c r="J88" i="14"/>
  <c r="AA68" i="14"/>
  <c r="S88" i="14"/>
  <c r="N82" i="1"/>
  <c r="X86" i="14"/>
  <c r="F68" i="14"/>
  <c r="Y78" i="1"/>
  <c r="X70" i="14"/>
  <c r="W68" i="14"/>
  <c r="P82" i="1"/>
  <c r="N86" i="14"/>
  <c r="F73" i="2"/>
  <c r="B40" i="14"/>
  <c r="B101" i="14" s="1"/>
  <c r="K69" i="14"/>
  <c r="N72" i="1"/>
  <c r="G30" i="1"/>
  <c r="D39" i="2"/>
  <c r="D46" i="2" s="1"/>
  <c r="U88" i="14"/>
  <c r="W70" i="14"/>
  <c r="D73" i="1"/>
  <c r="N71" i="1" s="1"/>
  <c r="N86" i="1" s="1"/>
  <c r="U68" i="14"/>
  <c r="Y70" i="14"/>
  <c r="O86" i="14"/>
  <c r="D70" i="14"/>
  <c r="AA88" i="14"/>
  <c r="T69" i="14"/>
  <c r="B156" i="6"/>
  <c r="G292" i="1"/>
  <c r="D142" i="1" s="1"/>
  <c r="O70" i="14"/>
  <c r="Q88" i="14"/>
  <c r="M86" i="14"/>
  <c r="G88" i="14"/>
  <c r="K68" i="14"/>
  <c r="AA87" i="14"/>
  <c r="Q86" i="14"/>
  <c r="J69" i="14"/>
  <c r="I87" i="14"/>
  <c r="M87" i="14"/>
  <c r="H69" i="14"/>
  <c r="F69" i="14"/>
  <c r="F88" i="14"/>
  <c r="F292" i="1"/>
  <c r="D76" i="1" s="1"/>
  <c r="N76" i="1" s="1"/>
  <c r="G87" i="14"/>
  <c r="L69" i="14"/>
  <c r="V86" i="14"/>
  <c r="F48" i="5"/>
  <c r="AF67" i="2"/>
  <c r="AF59" i="2"/>
  <c r="E270" i="1"/>
  <c r="E278" i="1"/>
  <c r="E280" i="1" s="1"/>
  <c r="F139" i="1"/>
  <c r="F141" i="1"/>
  <c r="F138" i="1"/>
  <c r="F163" i="1" s="1"/>
  <c r="F164" i="1" s="1"/>
  <c r="U42" i="2"/>
  <c r="T42" i="2"/>
  <c r="S42" i="2"/>
  <c r="R42" i="2"/>
  <c r="Q42" i="2"/>
  <c r="N59" i="2"/>
  <c r="AC59" i="2" s="1"/>
  <c r="W42" i="2"/>
  <c r="V42" i="2"/>
  <c r="Q179" i="1"/>
  <c r="M179" i="1"/>
  <c r="O180" i="1"/>
  <c r="P181" i="1"/>
  <c r="N179" i="1"/>
  <c r="T75" i="5"/>
  <c r="T73" i="5"/>
  <c r="T72" i="5"/>
  <c r="T74" i="5"/>
  <c r="Z70" i="14"/>
  <c r="V87" i="14"/>
  <c r="K204" i="1"/>
  <c r="K194" i="1"/>
  <c r="P88" i="14"/>
  <c r="D86" i="14"/>
  <c r="E28" i="2"/>
  <c r="D287" i="1"/>
  <c r="D278" i="1"/>
  <c r="L88" i="14"/>
  <c r="P69" i="14"/>
  <c r="H88" i="14"/>
  <c r="I186" i="1"/>
  <c r="L175" i="1"/>
  <c r="B117" i="14"/>
  <c r="S4" i="14"/>
  <c r="D69" i="14"/>
  <c r="P73" i="5"/>
  <c r="P75" i="5"/>
  <c r="P72" i="5"/>
  <c r="P74" i="5"/>
  <c r="S86" i="14"/>
  <c r="M8" i="5"/>
  <c r="M21" i="5" s="1"/>
  <c r="H11" i="5"/>
  <c r="H14" i="5" s="1"/>
  <c r="L68" i="14"/>
  <c r="J138" i="1"/>
  <c r="G74" i="2"/>
  <c r="J163" i="1"/>
  <c r="J164" i="1" s="1"/>
  <c r="R144" i="1" s="1"/>
  <c r="R153" i="1"/>
  <c r="N88" i="14"/>
  <c r="F269" i="1"/>
  <c r="H269" i="1"/>
  <c r="D153" i="5"/>
  <c r="C154" i="5"/>
  <c r="D75" i="5"/>
  <c r="D73" i="5"/>
  <c r="D72" i="5"/>
  <c r="D74" i="5"/>
  <c r="L75" i="5"/>
  <c r="L73" i="5"/>
  <c r="L74" i="5"/>
  <c r="L72" i="5"/>
  <c r="B123" i="14"/>
  <c r="B107" i="14"/>
  <c r="T46" i="14"/>
  <c r="L46" i="14"/>
  <c r="D46" i="14"/>
  <c r="AA46" i="14"/>
  <c r="R46" i="14"/>
  <c r="I46" i="14"/>
  <c r="Z46" i="14"/>
  <c r="Q46" i="14"/>
  <c r="H46" i="14"/>
  <c r="W46" i="14"/>
  <c r="N46" i="14"/>
  <c r="E46" i="14"/>
  <c r="V46" i="14"/>
  <c r="M46" i="14"/>
  <c r="J46" i="14"/>
  <c r="Y46" i="14"/>
  <c r="G46" i="14"/>
  <c r="X46" i="14"/>
  <c r="F46" i="14"/>
  <c r="S46" i="14"/>
  <c r="P46" i="14"/>
  <c r="U46" i="14"/>
  <c r="O46" i="14"/>
  <c r="K46" i="14"/>
  <c r="K88" i="14"/>
  <c r="N5" i="5"/>
  <c r="O73" i="5"/>
  <c r="O75" i="5"/>
  <c r="O72" i="5"/>
  <c r="O74" i="5"/>
  <c r="L31" i="5"/>
  <c r="M42" i="2"/>
  <c r="F39" i="2"/>
  <c r="N87" i="14"/>
  <c r="X13" i="3"/>
  <c r="P13" i="3"/>
  <c r="H13" i="3"/>
  <c r="W13" i="3"/>
  <c r="O13" i="3"/>
  <c r="G13" i="3"/>
  <c r="T13" i="3"/>
  <c r="J13" i="3"/>
  <c r="S13" i="3"/>
  <c r="I13" i="3"/>
  <c r="R13" i="3"/>
  <c r="F13" i="3"/>
  <c r="AA13" i="3"/>
  <c r="Q13" i="3"/>
  <c r="E13" i="3"/>
  <c r="Z13" i="3"/>
  <c r="N13" i="3"/>
  <c r="D13" i="3"/>
  <c r="Y13" i="3"/>
  <c r="M13" i="3"/>
  <c r="C13" i="3"/>
  <c r="L13" i="3"/>
  <c r="K13" i="3"/>
  <c r="U13" i="3"/>
  <c r="V13" i="3"/>
  <c r="R72" i="5"/>
  <c r="R74" i="5"/>
  <c r="R73" i="5"/>
  <c r="R75" i="5"/>
  <c r="I72" i="5"/>
  <c r="I74" i="5"/>
  <c r="I73" i="5"/>
  <c r="I75" i="5"/>
  <c r="K75" i="5"/>
  <c r="K72" i="5"/>
  <c r="K74" i="5"/>
  <c r="K73" i="5"/>
  <c r="E68" i="14"/>
  <c r="S69" i="14"/>
  <c r="M88" i="14"/>
  <c r="P13" i="5"/>
  <c r="M137" i="1"/>
  <c r="E74" i="2"/>
  <c r="D138" i="1"/>
  <c r="D163" i="1" s="1"/>
  <c r="D139" i="1"/>
  <c r="N150" i="1" s="1"/>
  <c r="D141" i="1"/>
  <c r="G32" i="1"/>
  <c r="V88" i="14"/>
  <c r="M75" i="1"/>
  <c r="M77" i="1" s="1"/>
  <c r="E77" i="1"/>
  <c r="I70" i="14"/>
  <c r="G73" i="5"/>
  <c r="G75" i="5"/>
  <c r="G72" i="5"/>
  <c r="G74" i="5"/>
  <c r="Y68" i="14"/>
  <c r="U87" i="14"/>
  <c r="H274" i="1"/>
  <c r="G274" i="1"/>
  <c r="G278" i="1" s="1"/>
  <c r="E74" i="5"/>
  <c r="E73" i="5"/>
  <c r="E75" i="5"/>
  <c r="E72" i="5"/>
  <c r="J72" i="5"/>
  <c r="BA141" i="6" s="1"/>
  <c r="J74" i="5"/>
  <c r="BA143" i="6" s="1"/>
  <c r="J73" i="5"/>
  <c r="BA142" i="6" s="1"/>
  <c r="J75" i="5"/>
  <c r="BA144" i="6" s="1"/>
  <c r="S75" i="5"/>
  <c r="S72" i="5"/>
  <c r="S74" i="5"/>
  <c r="S73" i="5"/>
  <c r="BP126" i="6"/>
  <c r="BH126" i="6"/>
  <c r="AZ126" i="6"/>
  <c r="BT126" i="6"/>
  <c r="BK126" i="6"/>
  <c r="BB126" i="6"/>
  <c r="BO126" i="6"/>
  <c r="BF126" i="6"/>
  <c r="AW126" i="6"/>
  <c r="BU126" i="6"/>
  <c r="BI126" i="6"/>
  <c r="AV126" i="6"/>
  <c r="BS126" i="6"/>
  <c r="BG126" i="6"/>
  <c r="AU126" i="6"/>
  <c r="BR126" i="6"/>
  <c r="BE126" i="6"/>
  <c r="BN126" i="6"/>
  <c r="BC126" i="6"/>
  <c r="BM126" i="6"/>
  <c r="BA126" i="6"/>
  <c r="BQ126" i="6"/>
  <c r="BL126" i="6"/>
  <c r="BJ126" i="6"/>
  <c r="BD126" i="6"/>
  <c r="AY126" i="6"/>
  <c r="AX126" i="6"/>
  <c r="G86" i="14"/>
  <c r="N74" i="5"/>
  <c r="N72" i="5"/>
  <c r="N73" i="5"/>
  <c r="N75" i="5"/>
  <c r="C64" i="5"/>
  <c r="P14" i="5" s="1"/>
  <c r="AT127" i="6"/>
  <c r="L47" i="2"/>
  <c r="L64" i="2" s="1"/>
  <c r="AA64" i="2" s="1"/>
  <c r="L57" i="2"/>
  <c r="AA57" i="2" s="1"/>
  <c r="G39" i="2"/>
  <c r="N44" i="2"/>
  <c r="N138" i="1"/>
  <c r="G138" i="1"/>
  <c r="G163" i="1" s="1"/>
  <c r="G164" i="1" s="1"/>
  <c r="O144" i="1" s="1"/>
  <c r="G139" i="1"/>
  <c r="O152" i="1" s="1"/>
  <c r="G141" i="1"/>
  <c r="O4" i="5"/>
  <c r="P4" i="5" s="1"/>
  <c r="Q4" i="5" s="1"/>
  <c r="S4" i="5"/>
  <c r="R4" i="5" s="1"/>
  <c r="N259" i="1"/>
  <c r="Q72" i="5"/>
  <c r="Q73" i="5"/>
  <c r="Q75" i="5"/>
  <c r="Q74" i="5"/>
  <c r="G269" i="1"/>
  <c r="G270" i="1" s="1"/>
  <c r="H260" i="1"/>
  <c r="H263" i="1" s="1"/>
  <c r="H266" i="1" s="1"/>
  <c r="G260" i="1"/>
  <c r="G263" i="1" s="1"/>
  <c r="G266" i="1" s="1"/>
  <c r="P153" i="1"/>
  <c r="H138" i="1"/>
  <c r="H163" i="1"/>
  <c r="H164" i="1" s="1"/>
  <c r="P144" i="1" s="1"/>
  <c r="BT125" i="6"/>
  <c r="BL125" i="6"/>
  <c r="BD125" i="6"/>
  <c r="AV125" i="6"/>
  <c r="AT60" i="6"/>
  <c r="BU125" i="6"/>
  <c r="BK125" i="6"/>
  <c r="BB125" i="6"/>
  <c r="BP125" i="6"/>
  <c r="BG125" i="6"/>
  <c r="AX125" i="6"/>
  <c r="BM125" i="6"/>
  <c r="AZ125" i="6"/>
  <c r="BJ125" i="6"/>
  <c r="AY125" i="6"/>
  <c r="BI125" i="6"/>
  <c r="AW125" i="6"/>
  <c r="AR60" i="6"/>
  <c r="BR125" i="6"/>
  <c r="BF125" i="6"/>
  <c r="BQ125" i="6"/>
  <c r="BE125" i="6"/>
  <c r="BN125" i="6"/>
  <c r="BH125" i="6"/>
  <c r="BC125" i="6"/>
  <c r="BA125" i="6"/>
  <c r="AU125" i="6"/>
  <c r="BS125" i="6"/>
  <c r="BO125" i="6"/>
  <c r="H73" i="5"/>
  <c r="H75" i="5"/>
  <c r="H72" i="5"/>
  <c r="H74" i="5"/>
  <c r="B41" i="14"/>
  <c r="E32" i="1"/>
  <c r="I138" i="1"/>
  <c r="I163" i="1" s="1"/>
  <c r="I164" i="1" s="1"/>
  <c r="Q144" i="1" s="1"/>
  <c r="F74" i="2"/>
  <c r="O138" i="1"/>
  <c r="T70" i="14"/>
  <c r="K47" i="2"/>
  <c r="K64" i="2" s="1"/>
  <c r="Z64" i="2" s="1"/>
  <c r="K57" i="2"/>
  <c r="Z57" i="2" s="1"/>
  <c r="AF57" i="2" s="1"/>
  <c r="F287" i="1"/>
  <c r="F288" i="1" s="1"/>
  <c r="M269" i="1" s="1"/>
  <c r="F74" i="5"/>
  <c r="F72" i="5"/>
  <c r="F75" i="5"/>
  <c r="F73" i="5"/>
  <c r="M74" i="5"/>
  <c r="M73" i="5"/>
  <c r="M75" i="5"/>
  <c r="M72" i="5"/>
  <c r="E139" i="1"/>
  <c r="M151" i="1" s="1"/>
  <c r="E141" i="1"/>
  <c r="E138" i="1"/>
  <c r="E163" i="1" s="1"/>
  <c r="E164" i="1" s="1"/>
  <c r="M144" i="1" s="1"/>
  <c r="D74" i="2"/>
  <c r="BP128" i="6"/>
  <c r="BH128" i="6"/>
  <c r="AZ128" i="6"/>
  <c r="BS128" i="6"/>
  <c r="BJ128" i="6"/>
  <c r="BA128" i="6"/>
  <c r="BN128" i="6"/>
  <c r="BE128" i="6"/>
  <c r="AV128" i="6"/>
  <c r="BM128" i="6"/>
  <c r="BB128" i="6"/>
  <c r="BL128" i="6"/>
  <c r="AY128" i="6"/>
  <c r="BK128" i="6"/>
  <c r="AX128" i="6"/>
  <c r="BT128" i="6"/>
  <c r="BG128" i="6"/>
  <c r="AU128" i="6"/>
  <c r="BR128" i="6"/>
  <c r="BF128" i="6"/>
  <c r="BU128" i="6"/>
  <c r="BQ128" i="6"/>
  <c r="BC128" i="6"/>
  <c r="BO128" i="6"/>
  <c r="BI128" i="6"/>
  <c r="BD128" i="6"/>
  <c r="AW128" i="6"/>
  <c r="O75" i="1" l="1"/>
  <c r="O77" i="1" s="1"/>
  <c r="W40" i="14"/>
  <c r="D77" i="1"/>
  <c r="D96" i="1"/>
  <c r="N79" i="1" s="1"/>
  <c r="G40" i="14"/>
  <c r="V4" i="14"/>
  <c r="G4" i="14"/>
  <c r="C4" i="1"/>
  <c r="C24" i="1" s="1"/>
  <c r="Q4" i="14"/>
  <c r="K22" i="14"/>
  <c r="M4" i="14"/>
  <c r="W22" i="14"/>
  <c r="S40" i="14"/>
  <c r="S22" i="14"/>
  <c r="X40" i="14"/>
  <c r="T4" i="14"/>
  <c r="Z4" i="14"/>
  <c r="AA22" i="14"/>
  <c r="E4" i="14"/>
  <c r="G22" i="14"/>
  <c r="P4" i="14"/>
  <c r="N4" i="14"/>
  <c r="K40" i="14"/>
  <c r="E40" i="14"/>
  <c r="L22" i="14"/>
  <c r="N40" i="14"/>
  <c r="I4" i="14"/>
  <c r="L40" i="14"/>
  <c r="L4" i="14"/>
  <c r="F4" i="14"/>
  <c r="R4" i="14"/>
  <c r="M40" i="14"/>
  <c r="X22" i="14"/>
  <c r="U40" i="14"/>
  <c r="U4" i="14"/>
  <c r="O4" i="14"/>
  <c r="AA4" i="14"/>
  <c r="F22" i="14"/>
  <c r="D40" i="14"/>
  <c r="J40" i="14"/>
  <c r="O22" i="14"/>
  <c r="Y4" i="14"/>
  <c r="I22" i="14"/>
  <c r="N22" i="14"/>
  <c r="V40" i="14"/>
  <c r="R40" i="14"/>
  <c r="Q22" i="14"/>
  <c r="H4" i="14"/>
  <c r="Y40" i="14"/>
  <c r="M22" i="14"/>
  <c r="X4" i="14"/>
  <c r="H22" i="14"/>
  <c r="P22" i="14"/>
  <c r="F40" i="14"/>
  <c r="P40" i="14"/>
  <c r="J22" i="14"/>
  <c r="I40" i="14"/>
  <c r="Y22" i="14"/>
  <c r="D22" i="14"/>
  <c r="J4" i="14"/>
  <c r="W4" i="14"/>
  <c r="T40" i="14"/>
  <c r="R22" i="14"/>
  <c r="T22" i="14"/>
  <c r="AA40" i="14"/>
  <c r="E22" i="14"/>
  <c r="Z22" i="14"/>
  <c r="V22" i="14"/>
  <c r="Z40" i="14"/>
  <c r="K4" i="14"/>
  <c r="D4" i="14"/>
  <c r="U22" i="14"/>
  <c r="H40" i="14"/>
  <c r="Q40" i="14"/>
  <c r="O40" i="14"/>
  <c r="N77" i="1"/>
  <c r="N91" i="1"/>
  <c r="N154" i="1"/>
  <c r="N145" i="1"/>
  <c r="AF64" i="2"/>
  <c r="C25" i="4"/>
  <c r="D164" i="1"/>
  <c r="N144" i="1" s="1"/>
  <c r="K28" i="14"/>
  <c r="K10" i="14"/>
  <c r="Y10" i="14"/>
  <c r="Y28" i="14"/>
  <c r="Q28" i="14"/>
  <c r="Q10" i="14"/>
  <c r="Y107" i="14"/>
  <c r="Q107" i="14"/>
  <c r="I107" i="14"/>
  <c r="W107" i="14"/>
  <c r="O107" i="14"/>
  <c r="G107" i="14"/>
  <c r="U107" i="14"/>
  <c r="M107" i="14"/>
  <c r="T107" i="14"/>
  <c r="L107" i="14"/>
  <c r="AA107" i="14"/>
  <c r="S107" i="14"/>
  <c r="Z107" i="14"/>
  <c r="R107" i="14"/>
  <c r="P107" i="14"/>
  <c r="N107" i="14"/>
  <c r="K107" i="14"/>
  <c r="J107" i="14"/>
  <c r="X107" i="14"/>
  <c r="E107" i="14"/>
  <c r="V107" i="14"/>
  <c r="H107" i="14"/>
  <c r="F107" i="14"/>
  <c r="D107" i="14"/>
  <c r="H4" i="27"/>
  <c r="C32" i="27" s="1"/>
  <c r="C33" i="27" s="1"/>
  <c r="C34" i="27" s="1"/>
  <c r="C35" i="27" s="1"/>
  <c r="C36" i="27" s="1"/>
  <c r="C37" i="27" s="1"/>
  <c r="C38" i="27" s="1"/>
  <c r="C39" i="27" s="1"/>
  <c r="C40" i="27" s="1"/>
  <c r="C41" i="27" s="1"/>
  <c r="C42" i="27" s="1"/>
  <c r="C43" i="27" s="1"/>
  <c r="C44" i="27" s="1"/>
  <c r="C45" i="27" s="1"/>
  <c r="C46" i="27" s="1"/>
  <c r="F270" i="1"/>
  <c r="H270" i="1"/>
  <c r="E152" i="1"/>
  <c r="M142" i="1"/>
  <c r="D12" i="4"/>
  <c r="C12" i="4"/>
  <c r="R44" i="2"/>
  <c r="R61" i="2" s="1"/>
  <c r="U44" i="2"/>
  <c r="U61" i="2" s="1"/>
  <c r="N61" i="2"/>
  <c r="AC61" i="2" s="1"/>
  <c r="T44" i="2"/>
  <c r="T61" i="2" s="1"/>
  <c r="S44" i="2"/>
  <c r="S61" i="2" s="1"/>
  <c r="Q44" i="2"/>
  <c r="Q61" i="2" s="1"/>
  <c r="V44" i="2"/>
  <c r="V61" i="2" s="1"/>
  <c r="W44" i="2"/>
  <c r="W61" i="2" s="1"/>
  <c r="U28" i="14"/>
  <c r="U10" i="14"/>
  <c r="M28" i="14"/>
  <c r="M10" i="14"/>
  <c r="I28" i="14"/>
  <c r="I10" i="14"/>
  <c r="C155" i="5"/>
  <c r="D154" i="5"/>
  <c r="N48" i="2"/>
  <c r="U59" i="2"/>
  <c r="U48" i="2"/>
  <c r="B118" i="14"/>
  <c r="W41" i="14"/>
  <c r="O41" i="14"/>
  <c r="G41" i="14"/>
  <c r="B102" i="14"/>
  <c r="U41" i="14"/>
  <c r="L41" i="14"/>
  <c r="V23" i="14"/>
  <c r="N23" i="14"/>
  <c r="F23" i="14"/>
  <c r="T41" i="14"/>
  <c r="K41" i="14"/>
  <c r="Z41" i="14"/>
  <c r="Q41" i="14"/>
  <c r="H41" i="14"/>
  <c r="Y41" i="14"/>
  <c r="P41" i="14"/>
  <c r="F41" i="14"/>
  <c r="M41" i="14"/>
  <c r="Y23" i="14"/>
  <c r="P23" i="14"/>
  <c r="G23" i="14"/>
  <c r="V5" i="14"/>
  <c r="N5" i="14"/>
  <c r="F5" i="14"/>
  <c r="J41" i="14"/>
  <c r="X23" i="14"/>
  <c r="O23" i="14"/>
  <c r="E23" i="14"/>
  <c r="AA41" i="14"/>
  <c r="I41" i="14"/>
  <c r="W23" i="14"/>
  <c r="M23" i="14"/>
  <c r="D23" i="14"/>
  <c r="V41" i="14"/>
  <c r="D41" i="14"/>
  <c r="T23" i="14"/>
  <c r="K23" i="14"/>
  <c r="S41" i="14"/>
  <c r="S23" i="14"/>
  <c r="J23" i="14"/>
  <c r="Y5" i="14"/>
  <c r="Q5" i="14"/>
  <c r="I5" i="14"/>
  <c r="Z23" i="14"/>
  <c r="U5" i="14"/>
  <c r="K5" i="14"/>
  <c r="X41" i="14"/>
  <c r="U23" i="14"/>
  <c r="T5" i="14"/>
  <c r="J5" i="14"/>
  <c r="R41" i="14"/>
  <c r="R23" i="14"/>
  <c r="S5" i="14"/>
  <c r="H5" i="14"/>
  <c r="N41" i="14"/>
  <c r="Q23" i="14"/>
  <c r="R5" i="14"/>
  <c r="G5" i="14"/>
  <c r="E41" i="14"/>
  <c r="L23" i="14"/>
  <c r="AA5" i="14"/>
  <c r="P5" i="14"/>
  <c r="E5" i="14"/>
  <c r="I23" i="14"/>
  <c r="Z5" i="14"/>
  <c r="O5" i="14"/>
  <c r="D5" i="14"/>
  <c r="AA23" i="14"/>
  <c r="W5" i="14"/>
  <c r="H23" i="14"/>
  <c r="M5" i="14"/>
  <c r="L5" i="14"/>
  <c r="X5" i="14"/>
  <c r="AL60" i="6"/>
  <c r="AD60" i="6"/>
  <c r="V60" i="6"/>
  <c r="N60" i="6"/>
  <c r="F60" i="6"/>
  <c r="AJ60" i="6"/>
  <c r="AA60" i="6"/>
  <c r="R60" i="6"/>
  <c r="I60" i="6"/>
  <c r="AK60" i="6"/>
  <c r="Z60" i="6"/>
  <c r="P60" i="6"/>
  <c r="E60" i="6"/>
  <c r="AR118" i="6"/>
  <c r="AI60" i="6"/>
  <c r="Y60" i="6"/>
  <c r="O60" i="6"/>
  <c r="D60" i="6"/>
  <c r="AH60" i="6"/>
  <c r="X60" i="6"/>
  <c r="M60" i="6"/>
  <c r="AP60" i="6"/>
  <c r="AF60" i="6"/>
  <c r="U60" i="6"/>
  <c r="K60" i="6"/>
  <c r="AR110" i="6"/>
  <c r="AO60" i="6"/>
  <c r="AE60" i="6"/>
  <c r="T60" i="6"/>
  <c r="J60" i="6"/>
  <c r="AN60" i="6"/>
  <c r="L60" i="6"/>
  <c r="AM60" i="6"/>
  <c r="H60" i="6"/>
  <c r="AG60" i="6"/>
  <c r="G60" i="6"/>
  <c r="AC60" i="6"/>
  <c r="AB60" i="6"/>
  <c r="W60" i="6"/>
  <c r="S60" i="6"/>
  <c r="AQ60" i="6"/>
  <c r="Q60" i="6"/>
  <c r="BT127" i="6"/>
  <c r="BL127" i="6"/>
  <c r="BD127" i="6"/>
  <c r="AV127" i="6"/>
  <c r="BG68" i="6"/>
  <c r="AY68" i="6"/>
  <c r="BS127" i="6"/>
  <c r="BJ127" i="6"/>
  <c r="BA127" i="6"/>
  <c r="BH68" i="6"/>
  <c r="AX68" i="6"/>
  <c r="BO127" i="6"/>
  <c r="BF127" i="6"/>
  <c r="AW127" i="6"/>
  <c r="BQ127" i="6"/>
  <c r="BE127" i="6"/>
  <c r="BJ68" i="6"/>
  <c r="AZ68" i="6"/>
  <c r="BP127" i="6"/>
  <c r="BC127" i="6"/>
  <c r="BI68" i="6"/>
  <c r="AW68" i="6"/>
  <c r="BN127" i="6"/>
  <c r="BB127" i="6"/>
  <c r="BF68" i="6"/>
  <c r="AV68" i="6"/>
  <c r="AT65" i="6"/>
  <c r="BK127" i="6"/>
  <c r="AY127" i="6"/>
  <c r="BD68" i="6"/>
  <c r="AT68" i="6"/>
  <c r="BI127" i="6"/>
  <c r="AX127" i="6"/>
  <c r="BC68" i="6"/>
  <c r="BU127" i="6"/>
  <c r="BR127" i="6"/>
  <c r="BK68" i="6"/>
  <c r="BM127" i="6"/>
  <c r="BE68" i="6"/>
  <c r="BH127" i="6"/>
  <c r="BB68" i="6"/>
  <c r="AR65" i="6"/>
  <c r="BG127" i="6"/>
  <c r="BA68" i="6"/>
  <c r="AZ127" i="6"/>
  <c r="AU68" i="6"/>
  <c r="AU127" i="6"/>
  <c r="P28" i="14"/>
  <c r="P10" i="14"/>
  <c r="V28" i="14"/>
  <c r="V10" i="14"/>
  <c r="R10" i="14"/>
  <c r="R28" i="14"/>
  <c r="G11" i="5"/>
  <c r="V59" i="2"/>
  <c r="S28" i="14"/>
  <c r="S10" i="14"/>
  <c r="E28" i="14"/>
  <c r="E10" i="14"/>
  <c r="AA28" i="14"/>
  <c r="AA10" i="14"/>
  <c r="W59" i="2"/>
  <c r="W48" i="2"/>
  <c r="BT144" i="6"/>
  <c r="BL144" i="6"/>
  <c r="BD144" i="6"/>
  <c r="BQ144" i="6"/>
  <c r="BI144" i="6"/>
  <c r="BU144" i="6"/>
  <c r="BJ144" i="6"/>
  <c r="BR144" i="6"/>
  <c r="BG144" i="6"/>
  <c r="BO144" i="6"/>
  <c r="BE144" i="6"/>
  <c r="BH144" i="6"/>
  <c r="BF144" i="6"/>
  <c r="BC144" i="6"/>
  <c r="BP144" i="6"/>
  <c r="BN144" i="6"/>
  <c r="BM144" i="6"/>
  <c r="BK144" i="6"/>
  <c r="BB144" i="6"/>
  <c r="BS144" i="6"/>
  <c r="N272" i="1"/>
  <c r="G280" i="1"/>
  <c r="F10" i="14"/>
  <c r="F28" i="14"/>
  <c r="N10" i="14"/>
  <c r="N28" i="14"/>
  <c r="D28" i="14"/>
  <c r="D10" i="14"/>
  <c r="C27" i="4"/>
  <c r="D288" i="1"/>
  <c r="K269" i="1" s="1"/>
  <c r="O142" i="1"/>
  <c r="G152" i="1"/>
  <c r="BN142" i="6"/>
  <c r="BF142" i="6"/>
  <c r="BS142" i="6"/>
  <c r="BK142" i="6"/>
  <c r="BT142" i="6"/>
  <c r="BI142" i="6"/>
  <c r="BQ142" i="6"/>
  <c r="BG142" i="6"/>
  <c r="BO142" i="6"/>
  <c r="BD142" i="6"/>
  <c r="BP142" i="6"/>
  <c r="BM142" i="6"/>
  <c r="BL142" i="6"/>
  <c r="BH142" i="6"/>
  <c r="BE142" i="6"/>
  <c r="BJ142" i="6"/>
  <c r="BC142" i="6"/>
  <c r="BB142" i="6"/>
  <c r="BU142" i="6"/>
  <c r="BR142" i="6"/>
  <c r="H278" i="1"/>
  <c r="H287" i="1"/>
  <c r="H288" i="1" s="1"/>
  <c r="L269" i="1" s="1"/>
  <c r="N142" i="1"/>
  <c r="D152" i="1"/>
  <c r="X28" i="14"/>
  <c r="X10" i="14"/>
  <c r="W28" i="14"/>
  <c r="W10" i="14"/>
  <c r="L28" i="14"/>
  <c r="L10" i="14"/>
  <c r="Q59" i="2"/>
  <c r="Q48" i="2"/>
  <c r="H15" i="5"/>
  <c r="E3" i="5"/>
  <c r="D280" i="1"/>
  <c r="K272" i="1"/>
  <c r="X101" i="14"/>
  <c r="P101" i="14"/>
  <c r="H101" i="14"/>
  <c r="W101" i="14"/>
  <c r="G101" i="14"/>
  <c r="E101" i="14"/>
  <c r="Z101" i="14"/>
  <c r="R101" i="14"/>
  <c r="J101" i="14"/>
  <c r="AA101" i="14"/>
  <c r="K101" i="14"/>
  <c r="I101" i="14"/>
  <c r="Y101" i="14"/>
  <c r="S101" i="14"/>
  <c r="Q101" i="14"/>
  <c r="M101" i="14"/>
  <c r="U101" i="14"/>
  <c r="O101" i="14"/>
  <c r="N101" i="14"/>
  <c r="F101" i="14"/>
  <c r="V101" i="14"/>
  <c r="V65" i="14" s="1"/>
  <c r="T101" i="14"/>
  <c r="D101" i="14"/>
  <c r="L101" i="14"/>
  <c r="BQ143" i="6"/>
  <c r="BI143" i="6"/>
  <c r="BN143" i="6"/>
  <c r="BF143" i="6"/>
  <c r="BT143" i="6"/>
  <c r="BJ143" i="6"/>
  <c r="BR143" i="6"/>
  <c r="BG143" i="6"/>
  <c r="BO143" i="6"/>
  <c r="BD143" i="6"/>
  <c r="BL143" i="6"/>
  <c r="BK143" i="6"/>
  <c r="BH143" i="6"/>
  <c r="BU143" i="6"/>
  <c r="BC143" i="6"/>
  <c r="BS143" i="6"/>
  <c r="BB143" i="6"/>
  <c r="BP143" i="6"/>
  <c r="BM143" i="6"/>
  <c r="BE143" i="6"/>
  <c r="G28" i="14"/>
  <c r="G89" i="14" s="1"/>
  <c r="G10" i="14"/>
  <c r="H28" i="14"/>
  <c r="H10" i="14"/>
  <c r="T28" i="14"/>
  <c r="T10" i="14"/>
  <c r="L186" i="1"/>
  <c r="C188" i="1"/>
  <c r="Q176" i="1"/>
  <c r="Q186" i="1" s="1"/>
  <c r="M176" i="1"/>
  <c r="M186" i="1" s="1"/>
  <c r="B196" i="6" s="1"/>
  <c r="P178" i="1"/>
  <c r="P186" i="1" s="1"/>
  <c r="O177" i="1"/>
  <c r="O186" i="1" s="1"/>
  <c r="N175" i="1"/>
  <c r="N186" i="1" s="1"/>
  <c r="T38" i="14"/>
  <c r="Y38" i="14"/>
  <c r="P38" i="14"/>
  <c r="H38" i="14"/>
  <c r="X38" i="14"/>
  <c r="U38" i="14"/>
  <c r="L38" i="14"/>
  <c r="D38" i="14"/>
  <c r="S38" i="14"/>
  <c r="K38" i="14"/>
  <c r="Q38" i="14"/>
  <c r="E38" i="14"/>
  <c r="X20" i="14"/>
  <c r="P20" i="14"/>
  <c r="H20" i="14"/>
  <c r="X2" i="14"/>
  <c r="P2" i="14"/>
  <c r="H2" i="14"/>
  <c r="O38" i="14"/>
  <c r="N38" i="14"/>
  <c r="V20" i="14"/>
  <c r="N20" i="14"/>
  <c r="F20" i="14"/>
  <c r="Z38" i="14"/>
  <c r="J38" i="14"/>
  <c r="T20" i="14"/>
  <c r="L20" i="14"/>
  <c r="D20" i="14"/>
  <c r="W38" i="14"/>
  <c r="I38" i="14"/>
  <c r="AA20" i="14"/>
  <c r="S20" i="14"/>
  <c r="K20" i="14"/>
  <c r="M38" i="14"/>
  <c r="Y20" i="14"/>
  <c r="I20" i="14"/>
  <c r="T2" i="14"/>
  <c r="K2" i="14"/>
  <c r="G38" i="14"/>
  <c r="W20" i="14"/>
  <c r="G20" i="14"/>
  <c r="S2" i="14"/>
  <c r="J2" i="14"/>
  <c r="F38" i="14"/>
  <c r="U20" i="14"/>
  <c r="E20" i="14"/>
  <c r="AA2" i="14"/>
  <c r="R2" i="14"/>
  <c r="I2" i="14"/>
  <c r="R20" i="14"/>
  <c r="Z2" i="14"/>
  <c r="Q2" i="14"/>
  <c r="G2" i="14"/>
  <c r="Q20" i="14"/>
  <c r="Y2" i="14"/>
  <c r="O2" i="14"/>
  <c r="F2" i="14"/>
  <c r="AA38" i="14"/>
  <c r="O20" i="14"/>
  <c r="W2" i="14"/>
  <c r="N2" i="14"/>
  <c r="E2" i="14"/>
  <c r="Z20" i="14"/>
  <c r="U2" i="14"/>
  <c r="V38" i="14"/>
  <c r="M20" i="14"/>
  <c r="M2" i="14"/>
  <c r="R38" i="14"/>
  <c r="J20" i="14"/>
  <c r="L2" i="14"/>
  <c r="D2" i="14"/>
  <c r="V2" i="14"/>
  <c r="R59" i="2"/>
  <c r="R48" i="2"/>
  <c r="BS141" i="6"/>
  <c r="BK141" i="6"/>
  <c r="BC141" i="6"/>
  <c r="BU141" i="6"/>
  <c r="BL141" i="6"/>
  <c r="BB141" i="6"/>
  <c r="BR141" i="6"/>
  <c r="BI141" i="6"/>
  <c r="BP141" i="6"/>
  <c r="BG141" i="6"/>
  <c r="BF141" i="6"/>
  <c r="BT141" i="6"/>
  <c r="BE141" i="6"/>
  <c r="BQ141" i="6"/>
  <c r="BD141" i="6"/>
  <c r="BN141" i="6"/>
  <c r="BM141" i="6"/>
  <c r="BO141" i="6"/>
  <c r="BJ141" i="6"/>
  <c r="BH141" i="6"/>
  <c r="S59" i="2"/>
  <c r="S48" i="2"/>
  <c r="AT110" i="6"/>
  <c r="BJ61" i="6"/>
  <c r="BB61" i="6"/>
  <c r="BC61" i="6"/>
  <c r="AS60" i="6"/>
  <c r="AT118" i="6"/>
  <c r="BF61" i="6"/>
  <c r="AV61" i="6"/>
  <c r="BE61" i="6"/>
  <c r="AU61" i="6"/>
  <c r="BD61" i="6"/>
  <c r="BK61" i="6"/>
  <c r="AZ61" i="6"/>
  <c r="BI61" i="6"/>
  <c r="AY61" i="6"/>
  <c r="BH61" i="6"/>
  <c r="BG61" i="6"/>
  <c r="BA61" i="6"/>
  <c r="AX61" i="6"/>
  <c r="AW61" i="6"/>
  <c r="M59" i="2"/>
  <c r="AB59" i="2" s="1"/>
  <c r="M48" i="2"/>
  <c r="O28" i="14"/>
  <c r="O10" i="14"/>
  <c r="J28" i="14"/>
  <c r="J10" i="14"/>
  <c r="Z28" i="14"/>
  <c r="Z10" i="14"/>
  <c r="T59" i="2"/>
  <c r="T48" i="2"/>
  <c r="E83" i="14" l="1"/>
  <c r="Q65" i="14"/>
  <c r="F83" i="14"/>
  <c r="R65" i="14"/>
  <c r="AA83" i="14"/>
  <c r="P83" i="14"/>
  <c r="O83" i="14"/>
  <c r="O65" i="14"/>
  <c r="W83" i="14"/>
  <c r="J65" i="14"/>
  <c r="M83" i="14"/>
  <c r="Y83" i="14"/>
  <c r="X65" i="14"/>
  <c r="L65" i="14"/>
  <c r="P65" i="14"/>
  <c r="N83" i="14"/>
  <c r="H83" i="14"/>
  <c r="K83" i="14"/>
  <c r="T83" i="14"/>
  <c r="AA65" i="14"/>
  <c r="K65" i="14"/>
  <c r="M65" i="14"/>
  <c r="H65" i="14"/>
  <c r="L83" i="14"/>
  <c r="R83" i="14"/>
  <c r="W65" i="14"/>
  <c r="N65" i="14"/>
  <c r="S71" i="14"/>
  <c r="J89" i="14"/>
  <c r="O89" i="14"/>
  <c r="G71" i="14"/>
  <c r="AA71" i="14"/>
  <c r="R71" i="14"/>
  <c r="U89" i="14"/>
  <c r="J71" i="14"/>
  <c r="V89" i="14"/>
  <c r="Z71" i="14"/>
  <c r="H89" i="14"/>
  <c r="L71" i="14"/>
  <c r="H71" i="14"/>
  <c r="F89" i="14"/>
  <c r="E89" i="14"/>
  <c r="P71" i="14"/>
  <c r="S89" i="14"/>
  <c r="P89" i="14"/>
  <c r="N89" i="14"/>
  <c r="I71" i="14"/>
  <c r="W71" i="14"/>
  <c r="F71" i="14"/>
  <c r="N71" i="14"/>
  <c r="X89" i="14"/>
  <c r="R89" i="14"/>
  <c r="U71" i="14"/>
  <c r="Q71" i="14"/>
  <c r="W89" i="14"/>
  <c r="D71" i="14"/>
  <c r="AA89" i="14"/>
  <c r="Q89" i="14"/>
  <c r="E71" i="14"/>
  <c r="M71" i="14"/>
  <c r="L89" i="14"/>
  <c r="V63" i="14"/>
  <c r="R63" i="14"/>
  <c r="W81" i="14"/>
  <c r="Z99" i="14"/>
  <c r="X63" i="14"/>
  <c r="AY111" i="6"/>
  <c r="AY119" i="6"/>
  <c r="BF119" i="6"/>
  <c r="BF111" i="6"/>
  <c r="R99" i="14"/>
  <c r="F99" i="14"/>
  <c r="N99" i="14"/>
  <c r="T65" i="2"/>
  <c r="T47" i="2"/>
  <c r="T64" i="2" s="1"/>
  <c r="AZ111" i="6"/>
  <c r="AZ119" i="6"/>
  <c r="AS118" i="6"/>
  <c r="AS110" i="6"/>
  <c r="R47" i="2"/>
  <c r="R64" i="2" s="1"/>
  <c r="R65" i="2"/>
  <c r="M81" i="14"/>
  <c r="AA99" i="14"/>
  <c r="R81" i="14"/>
  <c r="S63" i="14"/>
  <c r="M99" i="14"/>
  <c r="T81" i="14"/>
  <c r="H63" i="14"/>
  <c r="K99" i="14"/>
  <c r="Y99" i="14"/>
  <c r="V28" i="15"/>
  <c r="N28" i="15"/>
  <c r="F28" i="15"/>
  <c r="T28" i="15"/>
  <c r="L28" i="15"/>
  <c r="D28" i="15"/>
  <c r="R28" i="15"/>
  <c r="J28" i="15"/>
  <c r="B28" i="15"/>
  <c r="Y28" i="15"/>
  <c r="Q28" i="15"/>
  <c r="I28" i="15"/>
  <c r="X28" i="15"/>
  <c r="P28" i="15"/>
  <c r="H28" i="15"/>
  <c r="W28" i="15"/>
  <c r="O28" i="15"/>
  <c r="G28" i="15"/>
  <c r="K28" i="15"/>
  <c r="E28" i="15"/>
  <c r="C28" i="15"/>
  <c r="S28" i="15"/>
  <c r="O37" i="15"/>
  <c r="U28" i="15"/>
  <c r="M28" i="15"/>
  <c r="M37" i="15"/>
  <c r="G37" i="15"/>
  <c r="C37" i="15"/>
  <c r="H37" i="15"/>
  <c r="K37" i="15"/>
  <c r="P37" i="15"/>
  <c r="F37" i="15"/>
  <c r="Y37" i="15"/>
  <c r="U37" i="15"/>
  <c r="W37" i="15"/>
  <c r="I37" i="15"/>
  <c r="D37" i="15"/>
  <c r="T37" i="15"/>
  <c r="B37" i="15"/>
  <c r="S37" i="15"/>
  <c r="X37" i="15"/>
  <c r="Q37" i="15"/>
  <c r="J37" i="15"/>
  <c r="L37" i="15"/>
  <c r="R37" i="15"/>
  <c r="N37" i="15"/>
  <c r="V37" i="15"/>
  <c r="E37" i="15"/>
  <c r="T71" i="14"/>
  <c r="W65" i="2"/>
  <c r="W47" i="2"/>
  <c r="W64" i="2" s="1"/>
  <c r="V83" i="14"/>
  <c r="Q83" i="14"/>
  <c r="BI66" i="6"/>
  <c r="BA66" i="6"/>
  <c r="AS65" i="6"/>
  <c r="BG66" i="6"/>
  <c r="AX66" i="6"/>
  <c r="BF66" i="6"/>
  <c r="AV66" i="6"/>
  <c r="BE66" i="6"/>
  <c r="AU66" i="6"/>
  <c r="BD66" i="6"/>
  <c r="BB66" i="6"/>
  <c r="BK66" i="6"/>
  <c r="AZ66" i="6"/>
  <c r="BC66" i="6"/>
  <c r="AY66" i="6"/>
  <c r="AW66" i="6"/>
  <c r="BJ66" i="6"/>
  <c r="BH66" i="6"/>
  <c r="W110" i="6"/>
  <c r="W118" i="6"/>
  <c r="AN118" i="6"/>
  <c r="AN110" i="6"/>
  <c r="AF110" i="6"/>
  <c r="AF118" i="6"/>
  <c r="AI110" i="6"/>
  <c r="AI118" i="6"/>
  <c r="AA118" i="6"/>
  <c r="AA110" i="6"/>
  <c r="K89" i="14"/>
  <c r="AW119" i="6"/>
  <c r="AW111" i="6"/>
  <c r="BK119" i="6"/>
  <c r="BK111" i="6"/>
  <c r="BC111" i="6"/>
  <c r="BC119" i="6"/>
  <c r="J83" i="14"/>
  <c r="V99" i="14"/>
  <c r="F63" i="14"/>
  <c r="I63" i="14"/>
  <c r="G81" i="14"/>
  <c r="K81" i="14"/>
  <c r="J99" i="14"/>
  <c r="P63" i="14"/>
  <c r="S99" i="14"/>
  <c r="T99" i="14"/>
  <c r="Z65" i="14"/>
  <c r="T89" i="14"/>
  <c r="D284" i="1"/>
  <c r="K264" i="1"/>
  <c r="K268" i="1" s="1"/>
  <c r="X71" i="14"/>
  <c r="L272" i="1"/>
  <c r="H280" i="1"/>
  <c r="D11" i="4"/>
  <c r="C11" i="4"/>
  <c r="E11" i="4"/>
  <c r="D89" i="14"/>
  <c r="G284" i="1"/>
  <c r="N264" i="1"/>
  <c r="N268" i="1" s="1"/>
  <c r="V48" i="2"/>
  <c r="AK65" i="6"/>
  <c r="AC65" i="6"/>
  <c r="AO65" i="6"/>
  <c r="AF65" i="6"/>
  <c r="W65" i="6"/>
  <c r="AL65" i="6"/>
  <c r="AA65" i="6"/>
  <c r="AJ65" i="6"/>
  <c r="Z65" i="6"/>
  <c r="AI65" i="6"/>
  <c r="Y65" i="6"/>
  <c r="AQ65" i="6"/>
  <c r="AG65" i="6"/>
  <c r="AP65" i="6"/>
  <c r="AE65" i="6"/>
  <c r="AB65" i="6"/>
  <c r="X65" i="6"/>
  <c r="AN65" i="6"/>
  <c r="AH65" i="6"/>
  <c r="AM65" i="6"/>
  <c r="AD65" i="6"/>
  <c r="AB110" i="6"/>
  <c r="AB118" i="6"/>
  <c r="AP118" i="6"/>
  <c r="AP110" i="6"/>
  <c r="AJ118" i="6"/>
  <c r="AJ110" i="6"/>
  <c r="M89" i="14"/>
  <c r="V71" i="1"/>
  <c r="M146" i="1"/>
  <c r="AX119" i="6"/>
  <c r="AX111" i="6"/>
  <c r="BB111" i="6"/>
  <c r="BB119" i="6"/>
  <c r="O63" i="14"/>
  <c r="S81" i="14"/>
  <c r="D99" i="14"/>
  <c r="AD41" i="14"/>
  <c r="N8" i="5"/>
  <c r="G14" i="5"/>
  <c r="C3" i="5" s="1"/>
  <c r="M47" i="2"/>
  <c r="M65" i="2"/>
  <c r="AB65" i="2" s="1"/>
  <c r="BA111" i="6"/>
  <c r="BA119" i="6"/>
  <c r="BJ111" i="6"/>
  <c r="BJ119" i="6"/>
  <c r="D63" i="14"/>
  <c r="AD5" i="14"/>
  <c r="AA63" i="14"/>
  <c r="F81" i="14"/>
  <c r="H81" i="14"/>
  <c r="D83" i="14"/>
  <c r="Q47" i="2"/>
  <c r="Q64" i="2" s="1"/>
  <c r="Q65" i="2"/>
  <c r="AE118" i="6"/>
  <c r="AE110" i="6"/>
  <c r="X118" i="6"/>
  <c r="X110" i="6"/>
  <c r="Z89" i="14"/>
  <c r="BG119" i="6"/>
  <c r="BG111" i="6"/>
  <c r="BE119" i="6"/>
  <c r="BE111" i="6"/>
  <c r="L63" i="14"/>
  <c r="E63" i="14"/>
  <c r="Q81" i="14"/>
  <c r="E81" i="14"/>
  <c r="K63" i="14"/>
  <c r="I99" i="14"/>
  <c r="N81" i="14"/>
  <c r="P81" i="14"/>
  <c r="U99" i="14"/>
  <c r="X83" i="14"/>
  <c r="I83" i="14"/>
  <c r="S65" i="14"/>
  <c r="I65" i="14"/>
  <c r="AG118" i="6"/>
  <c r="AG110" i="6"/>
  <c r="AO110" i="6"/>
  <c r="AO118" i="6"/>
  <c r="AH118" i="6"/>
  <c r="AH110" i="6"/>
  <c r="Z118" i="6"/>
  <c r="Z110" i="6"/>
  <c r="U102" i="14"/>
  <c r="U66" i="14" s="1"/>
  <c r="M102" i="14"/>
  <c r="E102" i="14"/>
  <c r="T102" i="14"/>
  <c r="T84" i="14" s="1"/>
  <c r="L102" i="14"/>
  <c r="L66" i="14" s="1"/>
  <c r="D102" i="14"/>
  <c r="D66" i="14" s="1"/>
  <c r="Z102" i="14"/>
  <c r="Z66" i="14" s="1"/>
  <c r="R102" i="14"/>
  <c r="R66" i="14" s="1"/>
  <c r="J102" i="14"/>
  <c r="J66" i="14" s="1"/>
  <c r="W102" i="14"/>
  <c r="W84" i="14" s="1"/>
  <c r="O102" i="14"/>
  <c r="O84" i="14" s="1"/>
  <c r="G102" i="14"/>
  <c r="G66" i="14" s="1"/>
  <c r="Q102" i="14"/>
  <c r="Q84" i="14" s="1"/>
  <c r="P102" i="14"/>
  <c r="P66" i="14" s="1"/>
  <c r="AA102" i="14"/>
  <c r="AA84" i="14" s="1"/>
  <c r="K102" i="14"/>
  <c r="K66" i="14" s="1"/>
  <c r="Y102" i="14"/>
  <c r="Y66" i="14" s="1"/>
  <c r="I102" i="14"/>
  <c r="I66" i="14" s="1"/>
  <c r="N102" i="14"/>
  <c r="N84" i="14" s="1"/>
  <c r="H102" i="14"/>
  <c r="H66" i="14" s="1"/>
  <c r="F102" i="14"/>
  <c r="F84" i="14" s="1"/>
  <c r="S102" i="14"/>
  <c r="S66" i="14" s="1"/>
  <c r="X102" i="14"/>
  <c r="X66" i="14" s="1"/>
  <c r="V102" i="14"/>
  <c r="V84" i="14" s="1"/>
  <c r="N47" i="2"/>
  <c r="N65" i="2"/>
  <c r="AC65" i="2" s="1"/>
  <c r="S83" i="14"/>
  <c r="AC110" i="6"/>
  <c r="AC118" i="6"/>
  <c r="U47" i="2"/>
  <c r="U64" i="2" s="1"/>
  <c r="U65" i="2"/>
  <c r="AU111" i="6"/>
  <c r="AU119" i="6"/>
  <c r="Z81" i="14"/>
  <c r="Y63" i="14"/>
  <c r="G99" i="14"/>
  <c r="AA81" i="14"/>
  <c r="L99" i="14"/>
  <c r="BH111" i="6"/>
  <c r="BH119" i="6"/>
  <c r="AV119" i="6"/>
  <c r="AV111" i="6"/>
  <c r="G83" i="14"/>
  <c r="J81" i="14"/>
  <c r="N63" i="14"/>
  <c r="G63" i="14"/>
  <c r="U81" i="14"/>
  <c r="T63" i="14"/>
  <c r="W99" i="14"/>
  <c r="V81" i="14"/>
  <c r="X81" i="14"/>
  <c r="X99" i="14"/>
  <c r="G65" i="14"/>
  <c r="V71" i="14"/>
  <c r="AK110" i="6"/>
  <c r="AK118" i="6"/>
  <c r="AD110" i="6"/>
  <c r="AD118" i="6"/>
  <c r="D155" i="5"/>
  <c r="C156" i="5"/>
  <c r="Y89" i="14"/>
  <c r="D10" i="4"/>
  <c r="C10" i="4"/>
  <c r="F10" i="4"/>
  <c r="E10" i="4"/>
  <c r="BD119" i="6"/>
  <c r="BD111" i="6"/>
  <c r="U63" i="14"/>
  <c r="S47" i="2"/>
  <c r="S64" i="2" s="1"/>
  <c r="S65" i="2"/>
  <c r="W63" i="14"/>
  <c r="Q63" i="14"/>
  <c r="I81" i="14"/>
  <c r="D81" i="14"/>
  <c r="AD23" i="14"/>
  <c r="E99" i="14"/>
  <c r="H99" i="14"/>
  <c r="AQ118" i="6"/>
  <c r="AQ110" i="6"/>
  <c r="AM110" i="6"/>
  <c r="AM118" i="6"/>
  <c r="AL110" i="6"/>
  <c r="AL118" i="6"/>
  <c r="Y71" i="14"/>
  <c r="O71" i="14"/>
  <c r="BI111" i="6"/>
  <c r="BI119" i="6"/>
  <c r="F65" i="14"/>
  <c r="M63" i="14"/>
  <c r="O81" i="14"/>
  <c r="Z63" i="14"/>
  <c r="J63" i="14"/>
  <c r="Y81" i="14"/>
  <c r="L81" i="14"/>
  <c r="O99" i="14"/>
  <c r="Q99" i="14"/>
  <c r="P99" i="14"/>
  <c r="E192" i="1"/>
  <c r="D192" i="1"/>
  <c r="C220" i="1"/>
  <c r="G189" i="1"/>
  <c r="G192" i="1"/>
  <c r="F192" i="1"/>
  <c r="Z83" i="14"/>
  <c r="T65" i="14"/>
  <c r="U65" i="14"/>
  <c r="U83" i="14"/>
  <c r="W71" i="1"/>
  <c r="N146" i="1"/>
  <c r="X71" i="1"/>
  <c r="O146" i="1"/>
  <c r="E65" i="14"/>
  <c r="Y110" i="6"/>
  <c r="Y118" i="6"/>
  <c r="Y65" i="14"/>
  <c r="I89" i="14"/>
  <c r="D65" i="14"/>
  <c r="K71" i="14"/>
  <c r="Q66" i="14" l="1"/>
  <c r="D84" i="14"/>
  <c r="R84" i="14"/>
  <c r="H84" i="14"/>
  <c r="J84" i="14"/>
  <c r="X84" i="14"/>
  <c r="T66" i="14"/>
  <c r="P84" i="14"/>
  <c r="S84" i="14"/>
  <c r="U84" i="14"/>
  <c r="K84" i="14"/>
  <c r="W66" i="14"/>
  <c r="L84" i="14"/>
  <c r="Y84" i="14"/>
  <c r="Z84" i="14"/>
  <c r="N66" i="14"/>
  <c r="V65" i="2"/>
  <c r="V47" i="2"/>
  <c r="V64" i="2" s="1"/>
  <c r="L264" i="1"/>
  <c r="L268" i="1" s="1"/>
  <c r="H284" i="1"/>
  <c r="F66" i="14"/>
  <c r="AA66" i="14"/>
  <c r="AD102" i="14"/>
  <c r="M84" i="14"/>
  <c r="C224" i="1"/>
  <c r="C16" i="1" s="1"/>
  <c r="K37" i="1"/>
  <c r="C37" i="1"/>
  <c r="D76" i="2"/>
  <c r="D66" i="2" s="1"/>
  <c r="F76" i="2"/>
  <c r="E76" i="2"/>
  <c r="E66" i="2" s="1"/>
  <c r="G76" i="2"/>
  <c r="O66" i="14"/>
  <c r="N64" i="2"/>
  <c r="AC64" i="2" s="1"/>
  <c r="M66" i="14"/>
  <c r="L210" i="1"/>
  <c r="G194" i="1"/>
  <c r="M203" i="1" s="1"/>
  <c r="G193" i="1"/>
  <c r="G216" i="1" s="1"/>
  <c r="G217" i="1" s="1"/>
  <c r="M196" i="1" s="1"/>
  <c r="C157" i="5"/>
  <c r="D156" i="5"/>
  <c r="AT39" i="6"/>
  <c r="M259" i="1"/>
  <c r="E240" i="1"/>
  <c r="C139" i="1"/>
  <c r="C141" i="1" s="1"/>
  <c r="E241" i="1"/>
  <c r="E242" i="1"/>
  <c r="E243" i="1"/>
  <c r="F242" i="1"/>
  <c r="F240" i="1"/>
  <c r="C73" i="1"/>
  <c r="C75" i="1" s="1"/>
  <c r="F243" i="1"/>
  <c r="F241" i="1"/>
  <c r="E115" i="1"/>
  <c r="D115" i="1"/>
  <c r="J73" i="1"/>
  <c r="R71" i="1" s="1"/>
  <c r="H73" i="1"/>
  <c r="P71" i="1" s="1"/>
  <c r="I73" i="1"/>
  <c r="Q71" i="1" s="1"/>
  <c r="P89" i="1" s="1"/>
  <c r="Q89" i="1"/>
  <c r="F260" i="1"/>
  <c r="C15" i="5"/>
  <c r="P152" i="1"/>
  <c r="F278" i="1"/>
  <c r="J139" i="1"/>
  <c r="R152" i="1"/>
  <c r="H139" i="1"/>
  <c r="I139" i="1"/>
  <c r="Q152" i="1" s="1"/>
  <c r="E66" i="14"/>
  <c r="D193" i="1"/>
  <c r="D216" i="1" s="1"/>
  <c r="D194" i="1"/>
  <c r="J209" i="1"/>
  <c r="D196" i="1"/>
  <c r="E75" i="2"/>
  <c r="E69" i="2" s="1"/>
  <c r="E54" i="2" s="1"/>
  <c r="E56" i="2" s="1"/>
  <c r="D12" i="1"/>
  <c r="D6" i="1"/>
  <c r="D15" i="1"/>
  <c r="D11" i="1"/>
  <c r="G84" i="14"/>
  <c r="M64" i="2"/>
  <c r="AB64" i="2" s="1"/>
  <c r="I84" i="14"/>
  <c r="B42" i="14"/>
  <c r="K210" i="1"/>
  <c r="G75" i="2"/>
  <c r="F75" i="2"/>
  <c r="F194" i="1"/>
  <c r="L203" i="1" s="1"/>
  <c r="F193" i="1"/>
  <c r="F216" i="1" s="1"/>
  <c r="F217" i="1" s="1"/>
  <c r="L196" i="1" s="1"/>
  <c r="E194" i="1"/>
  <c r="E193" i="1"/>
  <c r="E216" i="1" s="1"/>
  <c r="E217" i="1" s="1"/>
  <c r="J196" i="1" s="1"/>
  <c r="D75" i="2"/>
  <c r="D70" i="2" s="1"/>
  <c r="D57" i="2" s="1"/>
  <c r="D59" i="2" s="1"/>
  <c r="E196" i="1"/>
  <c r="E5" i="1"/>
  <c r="B180" i="6" s="1"/>
  <c r="E14" i="1"/>
  <c r="E13" i="1"/>
  <c r="E84" i="14"/>
  <c r="AD66" i="14"/>
  <c r="AD84" i="14"/>
  <c r="V66" i="14"/>
  <c r="C26" i="1" l="1"/>
  <c r="J26" i="1" s="1"/>
  <c r="C20" i="1"/>
  <c r="I20" i="1" s="1"/>
  <c r="C7" i="1"/>
  <c r="B189" i="6" s="1"/>
  <c r="C18" i="1"/>
  <c r="J18" i="1" s="1"/>
  <c r="C19" i="1"/>
  <c r="I19" i="1" s="1"/>
  <c r="E33" i="1"/>
  <c r="C17" i="1"/>
  <c r="I17" i="1" s="1"/>
  <c r="C8" i="1"/>
  <c r="G33" i="1"/>
  <c r="J201" i="1"/>
  <c r="G206" i="1"/>
  <c r="B119" i="14"/>
  <c r="T42" i="14"/>
  <c r="T39" i="14" s="1"/>
  <c r="L42" i="14"/>
  <c r="L39" i="14" s="1"/>
  <c r="D42" i="14"/>
  <c r="D39" i="14" s="1"/>
  <c r="B103" i="14"/>
  <c r="V42" i="14"/>
  <c r="V39" i="14" s="1"/>
  <c r="M42" i="14"/>
  <c r="M39" i="14" s="1"/>
  <c r="T24" i="14"/>
  <c r="L24" i="14"/>
  <c r="D24" i="14"/>
  <c r="U42" i="14"/>
  <c r="U39" i="14" s="1"/>
  <c r="K42" i="14"/>
  <c r="K39" i="14" s="1"/>
  <c r="Z42" i="14"/>
  <c r="Z39" i="14" s="1"/>
  <c r="Q42" i="14"/>
  <c r="Q39" i="14" s="1"/>
  <c r="H42" i="14"/>
  <c r="H39" i="14" s="1"/>
  <c r="Y42" i="14"/>
  <c r="Y39" i="14" s="1"/>
  <c r="P42" i="14"/>
  <c r="P39" i="14" s="1"/>
  <c r="G42" i="14"/>
  <c r="G39" i="14" s="1"/>
  <c r="W42" i="14"/>
  <c r="W39" i="14" s="1"/>
  <c r="E42" i="14"/>
  <c r="E39" i="14" s="1"/>
  <c r="Z24" i="14"/>
  <c r="Q24" i="14"/>
  <c r="H24" i="14"/>
  <c r="T6" i="14"/>
  <c r="L6" i="14"/>
  <c r="D6" i="14"/>
  <c r="S42" i="14"/>
  <c r="S39" i="14" s="1"/>
  <c r="Y24" i="14"/>
  <c r="P24" i="14"/>
  <c r="G24" i="14"/>
  <c r="R42" i="14"/>
  <c r="R39" i="14" s="1"/>
  <c r="X24" i="14"/>
  <c r="O24" i="14"/>
  <c r="F24" i="14"/>
  <c r="Z6" i="14"/>
  <c r="R6" i="14"/>
  <c r="J6" i="14"/>
  <c r="N42" i="14"/>
  <c r="N39" i="14" s="1"/>
  <c r="V24" i="14"/>
  <c r="M24" i="14"/>
  <c r="J42" i="14"/>
  <c r="J39" i="14" s="1"/>
  <c r="U24" i="14"/>
  <c r="K24" i="14"/>
  <c r="W6" i="14"/>
  <c r="O6" i="14"/>
  <c r="G6" i="14"/>
  <c r="F42" i="14"/>
  <c r="F39" i="14" s="1"/>
  <c r="W24" i="14"/>
  <c r="S6" i="14"/>
  <c r="F6" i="14"/>
  <c r="S24" i="14"/>
  <c r="Q6" i="14"/>
  <c r="E6" i="14"/>
  <c r="R24" i="14"/>
  <c r="P6" i="14"/>
  <c r="N24" i="14"/>
  <c r="AA6" i="14"/>
  <c r="N6" i="14"/>
  <c r="AA42" i="14"/>
  <c r="AA39" i="14" s="1"/>
  <c r="J24" i="14"/>
  <c r="Y6" i="14"/>
  <c r="M6" i="14"/>
  <c r="X42" i="14"/>
  <c r="X39" i="14" s="1"/>
  <c r="I24" i="14"/>
  <c r="X6" i="14"/>
  <c r="K6" i="14"/>
  <c r="V6" i="14"/>
  <c r="U6" i="14"/>
  <c r="O42" i="14"/>
  <c r="O39" i="14" s="1"/>
  <c r="I6" i="14"/>
  <c r="I42" i="14"/>
  <c r="I39" i="14" s="1"/>
  <c r="E24" i="14"/>
  <c r="H6" i="14"/>
  <c r="AA24" i="14"/>
  <c r="B39" i="14"/>
  <c r="B100" i="14" s="1"/>
  <c r="C26" i="4"/>
  <c r="D217" i="1"/>
  <c r="K196" i="1" s="1"/>
  <c r="B170" i="6"/>
  <c r="E25" i="1"/>
  <c r="I16" i="1"/>
  <c r="J16" i="1"/>
  <c r="C234" i="1"/>
  <c r="C235" i="1" s="1"/>
  <c r="C226" i="1"/>
  <c r="C5" i="1"/>
  <c r="B179" i="6" s="1"/>
  <c r="E26" i="2"/>
  <c r="C6" i="1"/>
  <c r="C14" i="1"/>
  <c r="C15" i="1"/>
  <c r="C12" i="1"/>
  <c r="C13" i="1"/>
  <c r="C11" i="1"/>
  <c r="K202" i="1"/>
  <c r="G205" i="1"/>
  <c r="D79" i="2"/>
  <c r="F280" i="1"/>
  <c r="M272" i="1"/>
  <c r="J193" i="1"/>
  <c r="J195" i="1" s="1"/>
  <c r="E204" i="1"/>
  <c r="E244" i="1"/>
  <c r="F67" i="2"/>
  <c r="F66" i="2"/>
  <c r="K193" i="1"/>
  <c r="K195" i="1" s="1"/>
  <c r="D204" i="1"/>
  <c r="D157" i="5"/>
  <c r="C158" i="5"/>
  <c r="G67" i="2"/>
  <c r="G66" i="2"/>
  <c r="F244" i="1"/>
  <c r="C4" i="8"/>
  <c r="BR49" i="6"/>
  <c r="BJ49" i="6"/>
  <c r="AT114" i="6"/>
  <c r="AT105" i="6"/>
  <c r="BU49" i="6"/>
  <c r="BL49" i="6"/>
  <c r="BC49" i="6"/>
  <c r="AU49" i="6"/>
  <c r="AP39" i="6"/>
  <c r="AH39" i="6"/>
  <c r="Z39" i="6"/>
  <c r="R39" i="6"/>
  <c r="R154" i="6" s="1"/>
  <c r="J39" i="6"/>
  <c r="J154" i="6" s="1"/>
  <c r="C9" i="3"/>
  <c r="BT49" i="6"/>
  <c r="BK49" i="6"/>
  <c r="BB49" i="6"/>
  <c r="AO39" i="6"/>
  <c r="AG39" i="6"/>
  <c r="Y39" i="6"/>
  <c r="Q39" i="6"/>
  <c r="Q154" i="6" s="1"/>
  <c r="I39" i="6"/>
  <c r="I154" i="6" s="1"/>
  <c r="BS49" i="6"/>
  <c r="BI49" i="6"/>
  <c r="BA49" i="6"/>
  <c r="BP49" i="6"/>
  <c r="BG49" i="6"/>
  <c r="AY49" i="6"/>
  <c r="AL39" i="6"/>
  <c r="AD39" i="6"/>
  <c r="V39" i="6"/>
  <c r="V154" i="6" s="1"/>
  <c r="N39" i="6"/>
  <c r="N154" i="6" s="1"/>
  <c r="F39" i="6"/>
  <c r="F154" i="6" s="1"/>
  <c r="BQ49" i="6"/>
  <c r="AZ49" i="6"/>
  <c r="AQ39" i="6"/>
  <c r="AC39" i="6"/>
  <c r="P39" i="6"/>
  <c r="P154" i="6" s="1"/>
  <c r="D39" i="6"/>
  <c r="D154" i="6" s="1"/>
  <c r="BO49" i="6"/>
  <c r="AX49" i="6"/>
  <c r="AN39" i="6"/>
  <c r="AB39" i="6"/>
  <c r="O39" i="6"/>
  <c r="O154" i="6" s="1"/>
  <c r="BN49" i="6"/>
  <c r="AW49" i="6"/>
  <c r="AM39" i="6"/>
  <c r="AA39" i="6"/>
  <c r="M39" i="6"/>
  <c r="M154" i="6" s="1"/>
  <c r="AS39" i="6"/>
  <c r="T39" i="6"/>
  <c r="T154" i="6" s="1"/>
  <c r="BM49" i="6"/>
  <c r="AV49" i="6"/>
  <c r="AK39" i="6"/>
  <c r="X39" i="6"/>
  <c r="L39" i="6"/>
  <c r="L154" i="6" s="1"/>
  <c r="BE49" i="6"/>
  <c r="BH49" i="6"/>
  <c r="AJ39" i="6"/>
  <c r="W39" i="6"/>
  <c r="K39" i="6"/>
  <c r="K154" i="6" s="1"/>
  <c r="AF39" i="6"/>
  <c r="BF49" i="6"/>
  <c r="AI39" i="6"/>
  <c r="U39" i="6"/>
  <c r="U154" i="6" s="1"/>
  <c r="H39" i="6"/>
  <c r="H154" i="6" s="1"/>
  <c r="G39" i="6"/>
  <c r="G154" i="6" s="1"/>
  <c r="AR39" i="6"/>
  <c r="AE39" i="6"/>
  <c r="BD49" i="6"/>
  <c r="S39" i="6"/>
  <c r="S154" i="6" s="1"/>
  <c r="E39" i="6"/>
  <c r="E154" i="6" s="1"/>
  <c r="AT154" i="6"/>
  <c r="E79" i="2"/>
  <c r="B195" i="6" l="1"/>
  <c r="C29" i="4"/>
  <c r="I7" i="4" s="1"/>
  <c r="I18" i="1"/>
  <c r="J17" i="1"/>
  <c r="BN106" i="6"/>
  <c r="BN115" i="6"/>
  <c r="W9" i="3"/>
  <c r="BN51" i="6"/>
  <c r="K21" i="14"/>
  <c r="W48" i="14"/>
  <c r="W49" i="14"/>
  <c r="W50" i="14"/>
  <c r="L49" i="14"/>
  <c r="L48" i="14"/>
  <c r="L50" i="14"/>
  <c r="AR114" i="6"/>
  <c r="AR105" i="6"/>
  <c r="AR154" i="6"/>
  <c r="AR152" i="6" s="1"/>
  <c r="W114" i="6"/>
  <c r="W105" i="6"/>
  <c r="W154" i="6"/>
  <c r="BM106" i="6"/>
  <c r="BM115" i="6"/>
  <c r="V9" i="3"/>
  <c r="BM51" i="6"/>
  <c r="AQ105" i="6"/>
  <c r="AQ114" i="6"/>
  <c r="AQ154" i="6"/>
  <c r="H4" i="8"/>
  <c r="AY106" i="6"/>
  <c r="AY115" i="6"/>
  <c r="H9" i="3"/>
  <c r="AY51" i="6"/>
  <c r="Y105" i="6"/>
  <c r="Y114" i="6"/>
  <c r="Y154" i="6"/>
  <c r="F50" i="2"/>
  <c r="F53" i="2" s="1"/>
  <c r="F62" i="2" s="1"/>
  <c r="F79" i="2"/>
  <c r="K3" i="14"/>
  <c r="F3" i="14"/>
  <c r="G49" i="14"/>
  <c r="G48" i="14"/>
  <c r="G50" i="14"/>
  <c r="D21" i="14"/>
  <c r="AJ114" i="6"/>
  <c r="AJ105" i="6"/>
  <c r="AJ154" i="6"/>
  <c r="H3" i="14"/>
  <c r="J49" i="14"/>
  <c r="J48" i="14"/>
  <c r="J50" i="14"/>
  <c r="O21" i="14"/>
  <c r="L3" i="14"/>
  <c r="L21" i="14"/>
  <c r="L54" i="2"/>
  <c r="E80" i="2"/>
  <c r="BH106" i="6"/>
  <c r="BH115" i="6"/>
  <c r="Q9" i="3"/>
  <c r="Q4" i="8"/>
  <c r="BH51" i="6"/>
  <c r="BP115" i="6"/>
  <c r="Y9" i="3"/>
  <c r="BP106" i="6"/>
  <c r="BP51" i="6"/>
  <c r="I21" i="14"/>
  <c r="N21" i="14"/>
  <c r="M21" i="14"/>
  <c r="X21" i="14"/>
  <c r="T3" i="14"/>
  <c r="T21" i="14"/>
  <c r="AX115" i="6"/>
  <c r="G4" i="8"/>
  <c r="G9" i="3"/>
  <c r="AX106" i="6"/>
  <c r="AX51" i="6"/>
  <c r="BA115" i="6"/>
  <c r="BA106" i="6"/>
  <c r="J9" i="3"/>
  <c r="J4" i="8"/>
  <c r="BA51" i="6"/>
  <c r="AP105" i="6"/>
  <c r="AP114" i="6"/>
  <c r="AP154" i="6"/>
  <c r="BU188" i="6"/>
  <c r="BM188" i="6"/>
  <c r="BE188" i="6"/>
  <c r="AW188" i="6"/>
  <c r="D204" i="6"/>
  <c r="D203" i="6" s="1"/>
  <c r="BR188" i="6"/>
  <c r="BJ188" i="6"/>
  <c r="BB188" i="6"/>
  <c r="AT188" i="6"/>
  <c r="BP188" i="6"/>
  <c r="BH188" i="6"/>
  <c r="AZ188" i="6"/>
  <c r="BI188" i="6"/>
  <c r="AV188" i="6"/>
  <c r="BS188" i="6"/>
  <c r="BF188" i="6"/>
  <c r="BO188" i="6"/>
  <c r="BC188" i="6"/>
  <c r="BD188" i="6"/>
  <c r="BA188" i="6"/>
  <c r="BT188" i="6"/>
  <c r="AY188" i="6"/>
  <c r="BN188" i="6"/>
  <c r="AU188" i="6"/>
  <c r="B197" i="6"/>
  <c r="AY195" i="6" s="1"/>
  <c r="BL188" i="6"/>
  <c r="BQ188" i="6"/>
  <c r="BK188" i="6"/>
  <c r="BG188" i="6"/>
  <c r="AX188" i="6"/>
  <c r="I48" i="14"/>
  <c r="I49" i="14"/>
  <c r="I50" i="14"/>
  <c r="X49" i="14"/>
  <c r="X48" i="14"/>
  <c r="X50" i="14"/>
  <c r="P3" i="14"/>
  <c r="F49" i="14"/>
  <c r="F48" i="14"/>
  <c r="F50" i="14"/>
  <c r="V21" i="14"/>
  <c r="R48" i="14"/>
  <c r="R49" i="14"/>
  <c r="R50" i="14"/>
  <c r="H21" i="14"/>
  <c r="H48" i="14"/>
  <c r="H49" i="14"/>
  <c r="H50" i="14"/>
  <c r="M48" i="14"/>
  <c r="M49" i="14"/>
  <c r="M50" i="14"/>
  <c r="AE105" i="6"/>
  <c r="AE114" i="6"/>
  <c r="AE154" i="6"/>
  <c r="BU106" i="6"/>
  <c r="BU115" i="6"/>
  <c r="BU51" i="6"/>
  <c r="AA49" i="14"/>
  <c r="AA48" i="14"/>
  <c r="AA50" i="14"/>
  <c r="Z3" i="14"/>
  <c r="P49" i="14"/>
  <c r="P48" i="14"/>
  <c r="P50" i="14"/>
  <c r="AS114" i="6"/>
  <c r="AS105" i="6"/>
  <c r="AS154" i="6"/>
  <c r="AS152" i="6" s="1"/>
  <c r="AN105" i="6"/>
  <c r="AN114" i="6"/>
  <c r="AN154" i="6"/>
  <c r="BQ115" i="6"/>
  <c r="BQ106" i="6"/>
  <c r="Z9" i="3"/>
  <c r="BQ51" i="6"/>
  <c r="AO105" i="6"/>
  <c r="AO114" i="6"/>
  <c r="AO154" i="6"/>
  <c r="AH114" i="6"/>
  <c r="AH105" i="6"/>
  <c r="AH154" i="6"/>
  <c r="S4" i="8"/>
  <c r="S9" i="3"/>
  <c r="BJ106" i="6"/>
  <c r="BJ115" i="6"/>
  <c r="BJ51" i="6"/>
  <c r="J11" i="1"/>
  <c r="I11" i="1"/>
  <c r="E21" i="14"/>
  <c r="W21" i="14"/>
  <c r="Y49" i="14"/>
  <c r="Y48" i="14"/>
  <c r="Y50" i="14"/>
  <c r="BE106" i="6"/>
  <c r="N4" i="8"/>
  <c r="BE115" i="6"/>
  <c r="N9" i="3"/>
  <c r="BE51" i="6"/>
  <c r="K4" i="8"/>
  <c r="BB106" i="6"/>
  <c r="K9" i="3"/>
  <c r="BB115" i="6"/>
  <c r="BB51" i="6"/>
  <c r="AA9" i="3"/>
  <c r="BR115" i="6"/>
  <c r="BR106" i="6"/>
  <c r="BR51" i="6"/>
  <c r="M264" i="1"/>
  <c r="M268" i="1" s="1"/>
  <c r="F284" i="1"/>
  <c r="J13" i="1"/>
  <c r="I13" i="1"/>
  <c r="F9" i="4"/>
  <c r="E9" i="4"/>
  <c r="D9" i="4"/>
  <c r="C9" i="4"/>
  <c r="H9" i="4"/>
  <c r="G9" i="4"/>
  <c r="AI114" i="6"/>
  <c r="AI105" i="6"/>
  <c r="AI154" i="6"/>
  <c r="AA114" i="6"/>
  <c r="AA105" i="6"/>
  <c r="AA154" i="6"/>
  <c r="BO106" i="6"/>
  <c r="BO115" i="6"/>
  <c r="X9" i="3"/>
  <c r="BO51" i="6"/>
  <c r="BI115" i="6"/>
  <c r="R9" i="3"/>
  <c r="R4" i="8"/>
  <c r="BI106" i="6"/>
  <c r="BI51" i="6"/>
  <c r="T4" i="8"/>
  <c r="BK106" i="6"/>
  <c r="BK115" i="6"/>
  <c r="T9" i="3"/>
  <c r="BK51" i="6"/>
  <c r="AU115" i="6"/>
  <c r="AU106" i="6"/>
  <c r="D4" i="8"/>
  <c r="H3" i="5"/>
  <c r="D9" i="3"/>
  <c r="AU51" i="6"/>
  <c r="C159" i="5"/>
  <c r="D158" i="5"/>
  <c r="I12" i="1"/>
  <c r="J12" i="1"/>
  <c r="I3" i="14"/>
  <c r="M3" i="14"/>
  <c r="R21" i="14"/>
  <c r="G3" i="14"/>
  <c r="N49" i="14"/>
  <c r="N48" i="14"/>
  <c r="N50" i="14"/>
  <c r="G21" i="14"/>
  <c r="Q21" i="14"/>
  <c r="Q48" i="14"/>
  <c r="Q49" i="14"/>
  <c r="Q50" i="14"/>
  <c r="V48" i="14"/>
  <c r="V49" i="14"/>
  <c r="V50" i="14"/>
  <c r="AV115" i="6"/>
  <c r="AV106" i="6"/>
  <c r="E4" i="8"/>
  <c r="E9" i="3"/>
  <c r="AV51" i="6"/>
  <c r="AC114" i="6"/>
  <c r="AC105" i="6"/>
  <c r="AC154" i="6"/>
  <c r="AL114" i="6"/>
  <c r="AL105" i="6"/>
  <c r="AL154" i="6"/>
  <c r="B169" i="6"/>
  <c r="C25" i="1"/>
  <c r="J25" i="1" s="1"/>
  <c r="I6" i="1"/>
  <c r="V3" i="14"/>
  <c r="S21" i="14"/>
  <c r="S49" i="14"/>
  <c r="S48" i="14"/>
  <c r="S50" i="14"/>
  <c r="U48" i="14"/>
  <c r="U49" i="14"/>
  <c r="U50" i="14"/>
  <c r="C26" i="2"/>
  <c r="E25" i="2"/>
  <c r="C25" i="2" s="1"/>
  <c r="AA21" i="14"/>
  <c r="N3" i="14"/>
  <c r="U21" i="14"/>
  <c r="F21" i="14"/>
  <c r="D3" i="14"/>
  <c r="T49" i="14"/>
  <c r="T48" i="14"/>
  <c r="T50" i="14"/>
  <c r="E50" i="2"/>
  <c r="E53" i="2" s="1"/>
  <c r="E62" i="2" s="1"/>
  <c r="AB105" i="6"/>
  <c r="AB114" i="6"/>
  <c r="AB154" i="6"/>
  <c r="I4" i="8"/>
  <c r="AZ106" i="6"/>
  <c r="AZ115" i="6"/>
  <c r="I9" i="3"/>
  <c r="AZ51" i="6"/>
  <c r="P4" i="8"/>
  <c r="BG115" i="6"/>
  <c r="BG106" i="6"/>
  <c r="P9" i="3"/>
  <c r="BG51" i="6"/>
  <c r="AG105" i="6"/>
  <c r="AG114" i="6"/>
  <c r="AG154" i="6"/>
  <c r="Z105" i="6"/>
  <c r="Z114" i="6"/>
  <c r="Z154" i="6"/>
  <c r="AP178" i="6"/>
  <c r="AH178" i="6"/>
  <c r="Z178" i="6"/>
  <c r="R178" i="6"/>
  <c r="J178" i="6"/>
  <c r="AM178" i="6"/>
  <c r="AE178" i="6"/>
  <c r="W178" i="6"/>
  <c r="O178" i="6"/>
  <c r="G178" i="6"/>
  <c r="AS178" i="6"/>
  <c r="AK178" i="6"/>
  <c r="AC178" i="6"/>
  <c r="U178" i="6"/>
  <c r="M178" i="6"/>
  <c r="E178" i="6"/>
  <c r="AQ178" i="6"/>
  <c r="AD178" i="6"/>
  <c r="Q178" i="6"/>
  <c r="D178" i="6"/>
  <c r="AN178" i="6"/>
  <c r="AA178" i="6"/>
  <c r="N178" i="6"/>
  <c r="AJ178" i="6"/>
  <c r="X178" i="6"/>
  <c r="K178" i="6"/>
  <c r="AB178" i="6"/>
  <c r="H178" i="6"/>
  <c r="AT178" i="6"/>
  <c r="Y178" i="6"/>
  <c r="F178" i="6"/>
  <c r="AR178" i="6"/>
  <c r="V178" i="6"/>
  <c r="AL178" i="6"/>
  <c r="S178" i="6"/>
  <c r="AI178" i="6"/>
  <c r="P178" i="6"/>
  <c r="AO178" i="6"/>
  <c r="AG178" i="6"/>
  <c r="AF178" i="6"/>
  <c r="T178" i="6"/>
  <c r="L178" i="6"/>
  <c r="I178" i="6"/>
  <c r="X3" i="14"/>
  <c r="AA3" i="14"/>
  <c r="S3" i="14"/>
  <c r="O4" i="8"/>
  <c r="BF115" i="6"/>
  <c r="BF106" i="6"/>
  <c r="O9" i="3"/>
  <c r="BF51" i="6"/>
  <c r="X114" i="6"/>
  <c r="X105" i="6"/>
  <c r="X154" i="6"/>
  <c r="AM105" i="6"/>
  <c r="AM114" i="6"/>
  <c r="AM154" i="6"/>
  <c r="BS115" i="6"/>
  <c r="BS106" i="6"/>
  <c r="BS51" i="6"/>
  <c r="BT115" i="6"/>
  <c r="BT106" i="6"/>
  <c r="BT51" i="6"/>
  <c r="L4" i="8"/>
  <c r="BC115" i="6"/>
  <c r="BC106" i="6"/>
  <c r="L9" i="3"/>
  <c r="BC51" i="6"/>
  <c r="D50" i="2"/>
  <c r="D53" i="2" s="1"/>
  <c r="D62" i="2" s="1"/>
  <c r="J15" i="1"/>
  <c r="I15" i="1"/>
  <c r="O49" i="14"/>
  <c r="O48" i="14"/>
  <c r="O50" i="14"/>
  <c r="Y3" i="14"/>
  <c r="E3" i="14"/>
  <c r="O3" i="14"/>
  <c r="J3" i="14"/>
  <c r="P21" i="14"/>
  <c r="Z21" i="14"/>
  <c r="Z48" i="14"/>
  <c r="Z49" i="14"/>
  <c r="Z50" i="14"/>
  <c r="Z103" i="14"/>
  <c r="Z100" i="14" s="1"/>
  <c r="R103" i="14"/>
  <c r="R100" i="14" s="1"/>
  <c r="J103" i="14"/>
  <c r="J100" i="14" s="1"/>
  <c r="Y103" i="14"/>
  <c r="Y100" i="14" s="1"/>
  <c r="Q103" i="14"/>
  <c r="Q100" i="14" s="1"/>
  <c r="I103" i="14"/>
  <c r="I100" i="14" s="1"/>
  <c r="W103" i="14"/>
  <c r="W100" i="14" s="1"/>
  <c r="O103" i="14"/>
  <c r="O100" i="14" s="1"/>
  <c r="G103" i="14"/>
  <c r="G100" i="14" s="1"/>
  <c r="T103" i="14"/>
  <c r="T100" i="14" s="1"/>
  <c r="L103" i="14"/>
  <c r="L100" i="14" s="1"/>
  <c r="D103" i="14"/>
  <c r="D100" i="14" s="1"/>
  <c r="V103" i="14"/>
  <c r="V100" i="14" s="1"/>
  <c r="F103" i="14"/>
  <c r="F100" i="14" s="1"/>
  <c r="U103" i="14"/>
  <c r="U100" i="14" s="1"/>
  <c r="E103" i="14"/>
  <c r="E100" i="14" s="1"/>
  <c r="P103" i="14"/>
  <c r="P100" i="14" s="1"/>
  <c r="N103" i="14"/>
  <c r="N100" i="14" s="1"/>
  <c r="S103" i="14"/>
  <c r="S100" i="14" s="1"/>
  <c r="M103" i="14"/>
  <c r="M100" i="14" s="1"/>
  <c r="K103" i="14"/>
  <c r="K100" i="14" s="1"/>
  <c r="H103" i="14"/>
  <c r="H100" i="14" s="1"/>
  <c r="AA103" i="14"/>
  <c r="AA100" i="14" s="1"/>
  <c r="X103" i="14"/>
  <c r="X100" i="14" s="1"/>
  <c r="M4" i="8"/>
  <c r="BD106" i="6"/>
  <c r="BD115" i="6"/>
  <c r="M9" i="3"/>
  <c r="BD51" i="6"/>
  <c r="AF114" i="6"/>
  <c r="AF105" i="6"/>
  <c r="AF154" i="6"/>
  <c r="AK114" i="6"/>
  <c r="AK105" i="6"/>
  <c r="AK154" i="6"/>
  <c r="AW106" i="6"/>
  <c r="F4" i="8"/>
  <c r="F9" i="3"/>
  <c r="AW115" i="6"/>
  <c r="AW51" i="6"/>
  <c r="AD105" i="6"/>
  <c r="AD114" i="6"/>
  <c r="AD154" i="6"/>
  <c r="C10" i="3"/>
  <c r="C14" i="3"/>
  <c r="C15" i="3" s="1"/>
  <c r="BL115" i="6"/>
  <c r="BL106" i="6"/>
  <c r="U9" i="3"/>
  <c r="BL51" i="6"/>
  <c r="K54" i="2"/>
  <c r="D80" i="2"/>
  <c r="J14" i="1"/>
  <c r="I14" i="1"/>
  <c r="U3" i="14"/>
  <c r="J21" i="14"/>
  <c r="Q3" i="14"/>
  <c r="W3" i="14"/>
  <c r="R3" i="14"/>
  <c r="Y21" i="14"/>
  <c r="E48" i="14"/>
  <c r="E49" i="14"/>
  <c r="E50" i="14"/>
  <c r="K48" i="14"/>
  <c r="K49" i="14"/>
  <c r="K50" i="14"/>
  <c r="D49" i="14"/>
  <c r="D48" i="14"/>
  <c r="AD40" i="14"/>
  <c r="D50" i="14"/>
  <c r="W67" i="14" l="1"/>
  <c r="W64" i="14" s="1"/>
  <c r="F7" i="4"/>
  <c r="G7" i="4"/>
  <c r="H7" i="4"/>
  <c r="C7" i="4"/>
  <c r="C14" i="4" s="1"/>
  <c r="E7" i="4"/>
  <c r="J7" i="4"/>
  <c r="D7" i="4"/>
  <c r="S67" i="14"/>
  <c r="S64" i="14" s="1"/>
  <c r="S75" i="14" s="1"/>
  <c r="R67" i="14"/>
  <c r="R64" i="14" s="1"/>
  <c r="R73" i="14" s="1"/>
  <c r="F85" i="14"/>
  <c r="F82" i="14" s="1"/>
  <c r="F93" i="14" s="1"/>
  <c r="J85" i="14"/>
  <c r="J82" i="14" s="1"/>
  <c r="J93" i="14" s="1"/>
  <c r="N67" i="14"/>
  <c r="N64" i="14" s="1"/>
  <c r="N73" i="14" s="1"/>
  <c r="J67" i="14"/>
  <c r="J64" i="14" s="1"/>
  <c r="J74" i="14" s="1"/>
  <c r="I67" i="14"/>
  <c r="I64" i="14" s="1"/>
  <c r="I73" i="14" s="1"/>
  <c r="Y85" i="14"/>
  <c r="Y82" i="14" s="1"/>
  <c r="Y93" i="14" s="1"/>
  <c r="BI195" i="6"/>
  <c r="BE195" i="6"/>
  <c r="BQ195" i="6"/>
  <c r="BC195" i="6"/>
  <c r="AW195" i="6"/>
  <c r="BO195" i="6"/>
  <c r="BB195" i="6"/>
  <c r="BL195" i="6"/>
  <c r="BG195" i="6"/>
  <c r="BT195" i="6"/>
  <c r="BR195" i="6"/>
  <c r="AZ195" i="6"/>
  <c r="AU195" i="6"/>
  <c r="BM195" i="6"/>
  <c r="BH195" i="6"/>
  <c r="AU162" i="6" a="1"/>
  <c r="BH162" i="6" s="1"/>
  <c r="BS195" i="6"/>
  <c r="K110" i="14"/>
  <c r="K109" i="14"/>
  <c r="K111" i="14"/>
  <c r="V109" i="14"/>
  <c r="V110" i="14"/>
  <c r="V111" i="14"/>
  <c r="Q110" i="14"/>
  <c r="Q109" i="14"/>
  <c r="Q111" i="14"/>
  <c r="Z31" i="14"/>
  <c r="Z30" i="14"/>
  <c r="Z32" i="14"/>
  <c r="E13" i="14"/>
  <c r="E12" i="14"/>
  <c r="E14" i="14"/>
  <c r="AA67" i="14"/>
  <c r="AA64" i="14" s="1"/>
  <c r="D67" i="14"/>
  <c r="D64" i="14" s="1"/>
  <c r="AA85" i="14"/>
  <c r="AA82" i="14" s="1"/>
  <c r="E14" i="3"/>
  <c r="E15" i="3" s="1"/>
  <c r="E10" i="3"/>
  <c r="E17" i="3" s="1"/>
  <c r="H242" i="1"/>
  <c r="H240" i="1"/>
  <c r="H241" i="1"/>
  <c r="H243" i="1"/>
  <c r="J75" i="1"/>
  <c r="I75" i="1"/>
  <c r="H75" i="1"/>
  <c r="J141" i="1"/>
  <c r="F263" i="1"/>
  <c r="F266" i="1" s="1"/>
  <c r="H141" i="1"/>
  <c r="I141" i="1"/>
  <c r="G196" i="1"/>
  <c r="F196" i="1"/>
  <c r="C228" i="1"/>
  <c r="V30" i="14"/>
  <c r="V31" i="14"/>
  <c r="V32" i="14"/>
  <c r="M30" i="14"/>
  <c r="M31" i="14"/>
  <c r="M32" i="14"/>
  <c r="O85" i="14"/>
  <c r="O82" i="14" s="1"/>
  <c r="K13" i="14"/>
  <c r="K12" i="14"/>
  <c r="K14" i="14"/>
  <c r="D31" i="14"/>
  <c r="D30" i="14"/>
  <c r="AD22" i="14"/>
  <c r="D32" i="14"/>
  <c r="K67" i="14"/>
  <c r="K64" i="14" s="1"/>
  <c r="H10" i="3"/>
  <c r="H17" i="3" s="1"/>
  <c r="H14" i="3"/>
  <c r="H15" i="3" s="1"/>
  <c r="K31" i="14"/>
  <c r="K30" i="14"/>
  <c r="K32" i="14"/>
  <c r="R13" i="14"/>
  <c r="R12" i="14"/>
  <c r="R14" i="14"/>
  <c r="U13" i="14"/>
  <c r="U12" i="14"/>
  <c r="U14" i="14"/>
  <c r="S110" i="14"/>
  <c r="S109" i="14"/>
  <c r="S111" i="14"/>
  <c r="L110" i="14"/>
  <c r="L109" i="14"/>
  <c r="L111" i="14"/>
  <c r="J110" i="14"/>
  <c r="J109" i="14"/>
  <c r="J111" i="14"/>
  <c r="P31" i="14"/>
  <c r="P30" i="14"/>
  <c r="P32" i="14"/>
  <c r="Y13" i="14"/>
  <c r="Y12" i="14"/>
  <c r="Y14" i="14"/>
  <c r="X67" i="14"/>
  <c r="X64" i="14" s="1"/>
  <c r="AU182" i="6" a="1"/>
  <c r="C29" i="2"/>
  <c r="D26" i="2"/>
  <c r="S85" i="14"/>
  <c r="S82" i="14" s="1"/>
  <c r="Q30" i="14"/>
  <c r="Q31" i="14"/>
  <c r="Q32" i="14"/>
  <c r="G67" i="14"/>
  <c r="G64" i="14" s="1"/>
  <c r="X10" i="3"/>
  <c r="X14" i="3"/>
  <c r="X15" i="3" s="1"/>
  <c r="N14" i="3"/>
  <c r="N15" i="3" s="1"/>
  <c r="N10" i="3"/>
  <c r="W85" i="14"/>
  <c r="W82" i="14" s="1"/>
  <c r="Z67" i="14"/>
  <c r="Z64" i="14" s="1"/>
  <c r="T31" i="14"/>
  <c r="T30" i="14"/>
  <c r="T32" i="14"/>
  <c r="N31" i="14"/>
  <c r="N30" i="14"/>
  <c r="N32" i="14"/>
  <c r="D85" i="14"/>
  <c r="D82" i="14" s="1"/>
  <c r="F80" i="2"/>
  <c r="M54" i="2"/>
  <c r="V14" i="3"/>
  <c r="V15" i="3" s="1"/>
  <c r="V10" i="3"/>
  <c r="V17" i="3" s="1"/>
  <c r="K85" i="14"/>
  <c r="K82" i="14" s="1"/>
  <c r="W13" i="14"/>
  <c r="W12" i="14"/>
  <c r="W14" i="14"/>
  <c r="P109" i="14"/>
  <c r="P110" i="14"/>
  <c r="P111" i="14"/>
  <c r="G110" i="14"/>
  <c r="G109" i="14"/>
  <c r="G111" i="14"/>
  <c r="Z110" i="14"/>
  <c r="Z109" i="14"/>
  <c r="Z111" i="14"/>
  <c r="J12" i="14"/>
  <c r="J13" i="14"/>
  <c r="J14" i="14"/>
  <c r="L10" i="3"/>
  <c r="L17" i="3" s="1"/>
  <c r="L14" i="3"/>
  <c r="L15" i="3" s="1"/>
  <c r="I10" i="3"/>
  <c r="I14" i="3"/>
  <c r="I15" i="3" s="1"/>
  <c r="W73" i="14"/>
  <c r="W74" i="14"/>
  <c r="W75" i="14"/>
  <c r="X109" i="14"/>
  <c r="X110" i="14"/>
  <c r="X111" i="14"/>
  <c r="E110" i="14"/>
  <c r="E109" i="14"/>
  <c r="E111" i="14"/>
  <c r="O110" i="14"/>
  <c r="O109" i="14"/>
  <c r="O111" i="14"/>
  <c r="J73" i="14"/>
  <c r="J75" i="14"/>
  <c r="S13" i="14"/>
  <c r="S12" i="14"/>
  <c r="S14" i="14"/>
  <c r="N13" i="14"/>
  <c r="N12" i="14"/>
  <c r="N14" i="14"/>
  <c r="G85" i="14"/>
  <c r="G82" i="14" s="1"/>
  <c r="M12" i="14"/>
  <c r="M13" i="14"/>
  <c r="M14" i="14"/>
  <c r="K10" i="3"/>
  <c r="K14" i="3"/>
  <c r="K15" i="3" s="1"/>
  <c r="Z10" i="3"/>
  <c r="Z14" i="3"/>
  <c r="Z15" i="3" s="1"/>
  <c r="AD43" i="14"/>
  <c r="AE43" i="14" s="1"/>
  <c r="Q12" i="14"/>
  <c r="Q13" i="14"/>
  <c r="Q14" i="14"/>
  <c r="F14" i="3"/>
  <c r="F15" i="3" s="1"/>
  <c r="F10" i="3"/>
  <c r="F17" i="3" s="1"/>
  <c r="AA110" i="14"/>
  <c r="AA109" i="14"/>
  <c r="AA111" i="14"/>
  <c r="U110" i="14"/>
  <c r="U109" i="14"/>
  <c r="U111" i="14"/>
  <c r="W110" i="14"/>
  <c r="W109" i="14"/>
  <c r="W111" i="14"/>
  <c r="O12" i="14"/>
  <c r="O13" i="14"/>
  <c r="O14" i="14"/>
  <c r="P14" i="3"/>
  <c r="P15" i="3" s="1"/>
  <c r="P10" i="3"/>
  <c r="P17" i="3" s="1"/>
  <c r="Y30" i="14"/>
  <c r="Y31" i="14"/>
  <c r="Y32" i="14"/>
  <c r="J30" i="14"/>
  <c r="J31" i="14"/>
  <c r="J32" i="14"/>
  <c r="AD42" i="14"/>
  <c r="AE42" i="14" s="1"/>
  <c r="M10" i="3"/>
  <c r="M17" i="3" s="1"/>
  <c r="M14" i="3"/>
  <c r="M15" i="3" s="1"/>
  <c r="M110" i="14"/>
  <c r="M109" i="14"/>
  <c r="M111" i="14"/>
  <c r="D110" i="14"/>
  <c r="D109" i="14"/>
  <c r="AD101" i="14"/>
  <c r="D111" i="14"/>
  <c r="Y110" i="14"/>
  <c r="Y109" i="14"/>
  <c r="Y111" i="14"/>
  <c r="Z85" i="14"/>
  <c r="Z82" i="14" s="1"/>
  <c r="E67" i="14"/>
  <c r="E64" i="14" s="1"/>
  <c r="K50" i="2"/>
  <c r="D63" i="2"/>
  <c r="D38" i="2" s="1"/>
  <c r="O14" i="3"/>
  <c r="O15" i="3" s="1"/>
  <c r="O10" i="3"/>
  <c r="X13" i="14"/>
  <c r="X12" i="14"/>
  <c r="X14" i="14"/>
  <c r="F30" i="14"/>
  <c r="F31" i="14"/>
  <c r="F32" i="14"/>
  <c r="D25" i="2"/>
  <c r="D28" i="2"/>
  <c r="D27" i="2"/>
  <c r="S31" i="14"/>
  <c r="S30" i="14"/>
  <c r="S32" i="14"/>
  <c r="G13" i="14"/>
  <c r="G12" i="14"/>
  <c r="G14" i="14"/>
  <c r="AA14" i="3"/>
  <c r="AA15" i="3" s="1"/>
  <c r="AA10" i="3"/>
  <c r="W30" i="14"/>
  <c r="W31" i="14"/>
  <c r="W32" i="14"/>
  <c r="Z12" i="14"/>
  <c r="Z13" i="14"/>
  <c r="Z14" i="14"/>
  <c r="V85" i="14"/>
  <c r="V82" i="14" s="1"/>
  <c r="J10" i="3"/>
  <c r="J17" i="3" s="1"/>
  <c r="J14" i="3"/>
  <c r="J15" i="3" s="1"/>
  <c r="M85" i="14"/>
  <c r="M82" i="14" s="1"/>
  <c r="Y10" i="3"/>
  <c r="Y14" i="3"/>
  <c r="Y15" i="3" s="1"/>
  <c r="U67" i="14"/>
  <c r="U64" i="14" s="1"/>
  <c r="U10" i="3"/>
  <c r="U14" i="3"/>
  <c r="U15" i="3" s="1"/>
  <c r="N109" i="14"/>
  <c r="N110" i="14"/>
  <c r="N111" i="14"/>
  <c r="T110" i="14"/>
  <c r="T109" i="14"/>
  <c r="T111" i="14"/>
  <c r="R110" i="14"/>
  <c r="R109" i="14"/>
  <c r="R111" i="14"/>
  <c r="P85" i="14"/>
  <c r="P82" i="14" s="1"/>
  <c r="Y67" i="14"/>
  <c r="Y64" i="14" s="1"/>
  <c r="L50" i="2"/>
  <c r="E63" i="2"/>
  <c r="E38" i="2" s="1"/>
  <c r="U31" i="14"/>
  <c r="U30" i="14"/>
  <c r="U32" i="14"/>
  <c r="V13" i="14"/>
  <c r="V12" i="14"/>
  <c r="V14" i="14"/>
  <c r="Q85" i="14"/>
  <c r="Q82" i="14" s="1"/>
  <c r="R30" i="14"/>
  <c r="R31" i="14"/>
  <c r="R32" i="14"/>
  <c r="E30" i="14"/>
  <c r="E31" i="14"/>
  <c r="E32" i="14"/>
  <c r="S10" i="3"/>
  <c r="S17" i="3" s="1"/>
  <c r="S14" i="3"/>
  <c r="S15" i="3" s="1"/>
  <c r="H31" i="14"/>
  <c r="H30" i="14"/>
  <c r="H32" i="14"/>
  <c r="T85" i="14"/>
  <c r="T82" i="14" s="1"/>
  <c r="N85" i="14"/>
  <c r="N82" i="14" s="1"/>
  <c r="L31" i="14"/>
  <c r="L30" i="14"/>
  <c r="L32" i="14"/>
  <c r="M50" i="2"/>
  <c r="F63" i="2"/>
  <c r="F38" i="2" s="1"/>
  <c r="BN195" i="6"/>
  <c r="U85" i="14"/>
  <c r="U82" i="14" s="1"/>
  <c r="V67" i="14"/>
  <c r="V64" i="14" s="1"/>
  <c r="G31" i="14"/>
  <c r="G30" i="14"/>
  <c r="G32" i="14"/>
  <c r="R85" i="14"/>
  <c r="R82" i="14" s="1"/>
  <c r="D159" i="5"/>
  <c r="C160" i="5"/>
  <c r="BK195" i="6"/>
  <c r="E85" i="14"/>
  <c r="E82" i="14" s="1"/>
  <c r="H85" i="14"/>
  <c r="H82" i="14" s="1"/>
  <c r="AX195" i="6"/>
  <c r="T13" i="14"/>
  <c r="T12" i="14"/>
  <c r="T14" i="14"/>
  <c r="I30" i="14"/>
  <c r="I31" i="14"/>
  <c r="I32" i="14"/>
  <c r="L85" i="14"/>
  <c r="L82" i="14" s="1"/>
  <c r="H13" i="14"/>
  <c r="H12" i="14"/>
  <c r="H14" i="14"/>
  <c r="P13" i="14"/>
  <c r="P12" i="14"/>
  <c r="P14" i="14"/>
  <c r="T67" i="14"/>
  <c r="T64" i="14" s="1"/>
  <c r="I85" i="14"/>
  <c r="I82" i="14" s="1"/>
  <c r="L13" i="14"/>
  <c r="L12" i="14"/>
  <c r="L14" i="14"/>
  <c r="H67" i="14"/>
  <c r="H64" i="14" s="1"/>
  <c r="W14" i="3"/>
  <c r="W15" i="3" s="1"/>
  <c r="W10" i="3"/>
  <c r="W17" i="3" s="1"/>
  <c r="AV195" i="6"/>
  <c r="M67" i="14"/>
  <c r="M64" i="14" s="1"/>
  <c r="T10" i="3"/>
  <c r="T17" i="3" s="1"/>
  <c r="T14" i="3"/>
  <c r="T15" i="3" s="1"/>
  <c r="R10" i="3"/>
  <c r="R17" i="3" s="1"/>
  <c r="R14" i="3"/>
  <c r="R15" i="3" s="1"/>
  <c r="BU195" i="6"/>
  <c r="P67" i="14"/>
  <c r="P64" i="14" s="1"/>
  <c r="BA195" i="6"/>
  <c r="X31" i="14"/>
  <c r="X30" i="14"/>
  <c r="X32" i="14"/>
  <c r="BP195" i="6"/>
  <c r="Q10" i="3"/>
  <c r="Q14" i="3"/>
  <c r="Q15" i="3" s="1"/>
  <c r="L67" i="14"/>
  <c r="L64" i="14" s="1"/>
  <c r="F13" i="14"/>
  <c r="F12" i="14"/>
  <c r="F14" i="14"/>
  <c r="AE40" i="14"/>
  <c r="AE41" i="14"/>
  <c r="Q67" i="14"/>
  <c r="Q64" i="14" s="1"/>
  <c r="C17" i="3"/>
  <c r="BD195" i="6"/>
  <c r="H110" i="14"/>
  <c r="H109" i="14"/>
  <c r="H111" i="14"/>
  <c r="F110" i="14"/>
  <c r="F109" i="14"/>
  <c r="F111" i="14"/>
  <c r="I110" i="14"/>
  <c r="I109" i="14"/>
  <c r="I111" i="14"/>
  <c r="O67" i="14"/>
  <c r="O64" i="14" s="1"/>
  <c r="BF195" i="6"/>
  <c r="AA13" i="14"/>
  <c r="AA12" i="14"/>
  <c r="AA14" i="14"/>
  <c r="D13" i="14"/>
  <c r="D12" i="14"/>
  <c r="AD4" i="14"/>
  <c r="D14" i="14"/>
  <c r="AA31" i="14"/>
  <c r="AA30" i="14"/>
  <c r="AA32" i="14"/>
  <c r="AS168" i="6"/>
  <c r="AK168" i="6"/>
  <c r="AC168" i="6"/>
  <c r="U168" i="6"/>
  <c r="M168" i="6"/>
  <c r="E168" i="6"/>
  <c r="AP168" i="6"/>
  <c r="AH168" i="6"/>
  <c r="Z168" i="6"/>
  <c r="R168" i="6"/>
  <c r="J168" i="6"/>
  <c r="AN168" i="6"/>
  <c r="AF168" i="6"/>
  <c r="X168" i="6"/>
  <c r="P168" i="6"/>
  <c r="H168" i="6"/>
  <c r="AO168" i="6"/>
  <c r="AB168" i="6"/>
  <c r="O168" i="6"/>
  <c r="AL168" i="6"/>
  <c r="Y168" i="6"/>
  <c r="L168" i="6"/>
  <c r="AI168" i="6"/>
  <c r="V168" i="6"/>
  <c r="I168" i="6"/>
  <c r="AQ168" i="6"/>
  <c r="T168" i="6"/>
  <c r="AM168" i="6"/>
  <c r="S168" i="6"/>
  <c r="AJ168" i="6"/>
  <c r="Q168" i="6"/>
  <c r="AE168" i="6"/>
  <c r="K168" i="6"/>
  <c r="AD168" i="6"/>
  <c r="G168" i="6"/>
  <c r="W168" i="6"/>
  <c r="N168" i="6"/>
  <c r="F168" i="6"/>
  <c r="D168" i="6"/>
  <c r="AT168" i="6"/>
  <c r="AG168" i="6"/>
  <c r="AR168" i="6"/>
  <c r="AA168" i="6"/>
  <c r="I13" i="14"/>
  <c r="I12" i="14"/>
  <c r="I14" i="14"/>
  <c r="D10" i="3"/>
  <c r="D17" i="3" s="1"/>
  <c r="D14" i="3"/>
  <c r="D15" i="3" s="1"/>
  <c r="BJ195" i="6"/>
  <c r="G14" i="3"/>
  <c r="G15" i="3" s="1"/>
  <c r="G10" i="3"/>
  <c r="G17" i="3" s="1"/>
  <c r="X85" i="14"/>
  <c r="X82" i="14" s="1"/>
  <c r="O30" i="14"/>
  <c r="O31" i="14"/>
  <c r="O32" i="14"/>
  <c r="F67" i="14"/>
  <c r="F64" i="14" s="1"/>
  <c r="J91" i="14" l="1"/>
  <c r="I74" i="14"/>
  <c r="F91" i="14"/>
  <c r="R75" i="14"/>
  <c r="N75" i="14"/>
  <c r="F92" i="14"/>
  <c r="R74" i="14"/>
  <c r="N74" i="14"/>
  <c r="J92" i="14"/>
  <c r="Y92" i="14"/>
  <c r="Y91" i="14"/>
  <c r="I75" i="14"/>
  <c r="S74" i="14"/>
  <c r="S73" i="14"/>
  <c r="BA162" i="6"/>
  <c r="BT162" i="6"/>
  <c r="BK162" i="6"/>
  <c r="BP162" i="6"/>
  <c r="BG162" i="6"/>
  <c r="BB162" i="6"/>
  <c r="BS162" i="6"/>
  <c r="AU162" i="6"/>
  <c r="BF162" i="6"/>
  <c r="BE162" i="6"/>
  <c r="AW162" i="6"/>
  <c r="BN162" i="6"/>
  <c r="BR162" i="6"/>
  <c r="BM162" i="6"/>
  <c r="BJ162" i="6"/>
  <c r="AX162" i="6"/>
  <c r="AV162" i="6"/>
  <c r="BU162" i="6"/>
  <c r="BO162" i="6"/>
  <c r="BD162" i="6"/>
  <c r="BQ162" i="6"/>
  <c r="BI162" i="6"/>
  <c r="AZ162" i="6"/>
  <c r="BL162" i="6"/>
  <c r="AY162" i="6"/>
  <c r="BC162" i="6"/>
  <c r="K91" i="14"/>
  <c r="K92" i="14"/>
  <c r="K93" i="14"/>
  <c r="AD6" i="14"/>
  <c r="AE6" i="14" s="1"/>
  <c r="V73" i="14"/>
  <c r="V74" i="14"/>
  <c r="V75" i="14"/>
  <c r="Z17" i="3"/>
  <c r="K73" i="14"/>
  <c r="K74" i="14"/>
  <c r="K75" i="14"/>
  <c r="O92" i="14"/>
  <c r="O91" i="14"/>
  <c r="O93" i="14"/>
  <c r="P74" i="14"/>
  <c r="P73" i="14"/>
  <c r="P75" i="14"/>
  <c r="U91" i="14"/>
  <c r="U92" i="14"/>
  <c r="U93" i="14"/>
  <c r="AD103" i="14"/>
  <c r="AE103" i="14" s="1"/>
  <c r="X17" i="3"/>
  <c r="AD25" i="14"/>
  <c r="AE25" i="14" s="1"/>
  <c r="F74" i="14"/>
  <c r="F73" i="14"/>
  <c r="F75" i="14"/>
  <c r="Q74" i="14"/>
  <c r="Q73" i="14"/>
  <c r="Q75" i="14"/>
  <c r="Q17" i="3"/>
  <c r="C161" i="5"/>
  <c r="D160" i="5"/>
  <c r="U17" i="3"/>
  <c r="Z91" i="14"/>
  <c r="Z92" i="14"/>
  <c r="Z93" i="14"/>
  <c r="K17" i="3"/>
  <c r="G73" i="14"/>
  <c r="G74" i="14"/>
  <c r="G75" i="14"/>
  <c r="AE22" i="14"/>
  <c r="AE23" i="14"/>
  <c r="Q142" i="1"/>
  <c r="I152" i="1"/>
  <c r="AA92" i="14"/>
  <c r="AA91" i="14"/>
  <c r="AA93" i="14"/>
  <c r="I92" i="14"/>
  <c r="I91" i="14"/>
  <c r="I93" i="14"/>
  <c r="P91" i="14"/>
  <c r="P92" i="14"/>
  <c r="P93" i="14"/>
  <c r="AE101" i="14"/>
  <c r="AE102" i="14"/>
  <c r="G204" i="1"/>
  <c r="M193" i="1"/>
  <c r="M195" i="1" s="1"/>
  <c r="AU172" i="6" a="1"/>
  <c r="H74" i="14"/>
  <c r="H73" i="14"/>
  <c r="H75" i="14"/>
  <c r="U74" i="14"/>
  <c r="U73" i="14"/>
  <c r="U75" i="14"/>
  <c r="AA17" i="3"/>
  <c r="P142" i="1"/>
  <c r="H152" i="1"/>
  <c r="H244" i="1"/>
  <c r="D74" i="14"/>
  <c r="D73" i="14"/>
  <c r="AD65" i="14"/>
  <c r="D75" i="14"/>
  <c r="L92" i="14"/>
  <c r="L91" i="14"/>
  <c r="L93" i="14"/>
  <c r="T74" i="14"/>
  <c r="T73" i="14"/>
  <c r="T75" i="14"/>
  <c r="N92" i="14"/>
  <c r="N91" i="14"/>
  <c r="N93" i="14"/>
  <c r="L193" i="1"/>
  <c r="L195" i="1" s="1"/>
  <c r="F204" i="1"/>
  <c r="E74" i="14"/>
  <c r="E73" i="14"/>
  <c r="E75" i="14"/>
  <c r="R91" i="14"/>
  <c r="R92" i="14"/>
  <c r="R93" i="14"/>
  <c r="M63" i="2"/>
  <c r="AB63" i="2" s="1"/>
  <c r="M38" i="2"/>
  <c r="M39" i="2" s="1"/>
  <c r="M52" i="2"/>
  <c r="M51" i="2"/>
  <c r="V91" i="14"/>
  <c r="V92" i="14"/>
  <c r="V93" i="14"/>
  <c r="D92" i="14"/>
  <c r="D91" i="14"/>
  <c r="AD83" i="14"/>
  <c r="D93" i="14"/>
  <c r="Z73" i="14"/>
  <c r="Z74" i="14"/>
  <c r="Z75" i="14"/>
  <c r="BR182" i="6"/>
  <c r="BJ182" i="6"/>
  <c r="BB182" i="6"/>
  <c r="AU182" i="6"/>
  <c r="BO182" i="6"/>
  <c r="BG182" i="6"/>
  <c r="AY182" i="6"/>
  <c r="BU182" i="6"/>
  <c r="BM182" i="6"/>
  <c r="BE182" i="6"/>
  <c r="AW182" i="6"/>
  <c r="BL182" i="6"/>
  <c r="AZ182" i="6"/>
  <c r="BI182" i="6"/>
  <c r="AV182" i="6"/>
  <c r="BS182" i="6"/>
  <c r="BF182" i="6"/>
  <c r="BN182" i="6"/>
  <c r="BK182" i="6"/>
  <c r="BH182" i="6"/>
  <c r="BC182" i="6"/>
  <c r="BT182" i="6"/>
  <c r="BA182" i="6"/>
  <c r="AX182" i="6"/>
  <c r="BQ182" i="6"/>
  <c r="BP182" i="6"/>
  <c r="BD182" i="6"/>
  <c r="AD24" i="14"/>
  <c r="AE24" i="14" s="1"/>
  <c r="AA74" i="14"/>
  <c r="AA73" i="14"/>
  <c r="AA75" i="14"/>
  <c r="M74" i="14"/>
  <c r="M73" i="14"/>
  <c r="M75" i="14"/>
  <c r="Q75" i="1"/>
  <c r="Q77" i="1" s="1"/>
  <c r="I77" i="1"/>
  <c r="C11" i="3"/>
  <c r="E91" i="14"/>
  <c r="E92" i="14"/>
  <c r="E93" i="14"/>
  <c r="Y17" i="3"/>
  <c r="K63" i="2"/>
  <c r="Z63" i="2" s="1"/>
  <c r="K52" i="2"/>
  <c r="K38" i="2"/>
  <c r="K51" i="2"/>
  <c r="J77" i="1"/>
  <c r="R75" i="1"/>
  <c r="R77" i="1" s="1"/>
  <c r="C18" i="3"/>
  <c r="T92" i="14"/>
  <c r="T91" i="14"/>
  <c r="T93" i="14"/>
  <c r="M91" i="14"/>
  <c r="M92" i="14"/>
  <c r="M93" i="14"/>
  <c r="AD7" i="14"/>
  <c r="AE7" i="14" s="1"/>
  <c r="O74" i="14"/>
  <c r="O73" i="14"/>
  <c r="O75" i="14"/>
  <c r="Q92" i="14"/>
  <c r="Q91" i="14"/>
  <c r="Q93" i="14"/>
  <c r="L63" i="2"/>
  <c r="AA63" i="2" s="1"/>
  <c r="L52" i="2"/>
  <c r="L38" i="2"/>
  <c r="L39" i="2" s="1"/>
  <c r="L51" i="2"/>
  <c r="O17" i="3"/>
  <c r="I17" i="3"/>
  <c r="W92" i="14"/>
  <c r="W91" i="14"/>
  <c r="W93" i="14"/>
  <c r="X74" i="14"/>
  <c r="X73" i="14"/>
  <c r="X75" i="14"/>
  <c r="R142" i="1"/>
  <c r="R146" i="1" s="1"/>
  <c r="J152" i="1"/>
  <c r="H91" i="14"/>
  <c r="H92" i="14"/>
  <c r="H93" i="14"/>
  <c r="L74" i="14"/>
  <c r="L73" i="14"/>
  <c r="L75" i="14"/>
  <c r="E29" i="2"/>
  <c r="D29" i="2"/>
  <c r="X91" i="14"/>
  <c r="X92" i="14"/>
  <c r="X93" i="14"/>
  <c r="AE4" i="14"/>
  <c r="AE5" i="14"/>
  <c r="Y73" i="14"/>
  <c r="Y74" i="14"/>
  <c r="Y75" i="14"/>
  <c r="AD104" i="14"/>
  <c r="AE104" i="14" s="1"/>
  <c r="G92" i="14"/>
  <c r="G91" i="14"/>
  <c r="G93" i="14"/>
  <c r="N17" i="3"/>
  <c r="S92" i="14"/>
  <c r="S91" i="14"/>
  <c r="S93" i="14"/>
  <c r="H77" i="1"/>
  <c r="P75" i="1"/>
  <c r="P77" i="1" s="1"/>
  <c r="C163" i="6" l="1"/>
  <c r="AE65" i="14"/>
  <c r="AE66" i="14"/>
  <c r="D161" i="5"/>
  <c r="C162" i="5"/>
  <c r="AD67" i="14"/>
  <c r="AE67" i="14" s="1"/>
  <c r="AD86" i="14"/>
  <c r="AE86" i="14" s="1"/>
  <c r="K39" i="2"/>
  <c r="C183" i="6"/>
  <c r="AE83" i="14"/>
  <c r="AE84" i="14"/>
  <c r="Q146" i="1"/>
  <c r="Z71" i="1"/>
  <c r="BU172" i="6"/>
  <c r="BM172" i="6"/>
  <c r="BE172" i="6"/>
  <c r="AW172" i="6"/>
  <c r="BR172" i="6"/>
  <c r="BJ172" i="6"/>
  <c r="BB172" i="6"/>
  <c r="AU172" i="6"/>
  <c r="BP172" i="6"/>
  <c r="BH172" i="6"/>
  <c r="AZ172" i="6"/>
  <c r="BK172" i="6"/>
  <c r="AX172" i="6"/>
  <c r="BT172" i="6"/>
  <c r="BG172" i="6"/>
  <c r="BQ172" i="6"/>
  <c r="BD172" i="6"/>
  <c r="BF172" i="6"/>
  <c r="BC172" i="6"/>
  <c r="BA172" i="6"/>
  <c r="BO172" i="6"/>
  <c r="AV172" i="6"/>
  <c r="BN172" i="6"/>
  <c r="BS172" i="6"/>
  <c r="BL172" i="6"/>
  <c r="BI172" i="6"/>
  <c r="AY172" i="6"/>
  <c r="AD85" i="14"/>
  <c r="AE85" i="14" s="1"/>
  <c r="P146" i="1"/>
  <c r="Y71" i="1"/>
  <c r="AF63" i="2"/>
  <c r="AD68" i="14"/>
  <c r="AE68" i="14" s="1"/>
  <c r="C173" i="6" l="1"/>
  <c r="C163" i="5"/>
  <c r="D162" i="5"/>
  <c r="D163" i="5" l="1"/>
  <c r="D164" i="5" s="1"/>
  <c r="G164" i="5"/>
  <c r="F132" i="5" l="1"/>
  <c r="C31" i="2" s="1"/>
  <c r="E132" i="5"/>
  <c r="D165" i="5"/>
  <c r="T139" i="5"/>
  <c r="C142" i="5"/>
  <c r="N140" i="5"/>
  <c r="N142" i="5"/>
  <c r="T141" i="5"/>
  <c r="C139" i="5"/>
  <c r="C141" i="5"/>
  <c r="K142" i="5"/>
  <c r="I142" i="5"/>
  <c r="K139" i="5"/>
  <c r="C172" i="5"/>
  <c r="C134" i="5" s="1"/>
  <c r="AT132" i="6" s="1"/>
  <c r="I139" i="5"/>
  <c r="I140" i="5"/>
  <c r="K140" i="5"/>
  <c r="C173" i="5"/>
  <c r="C135" i="5" s="1"/>
  <c r="AT133" i="6" s="1"/>
  <c r="I141" i="5"/>
  <c r="N139" i="5"/>
  <c r="C171" i="5"/>
  <c r="C133" i="5" s="1"/>
  <c r="AT131" i="6" s="1"/>
  <c r="C140" i="5"/>
  <c r="C170" i="5"/>
  <c r="C132" i="5" s="1"/>
  <c r="AT130" i="6" s="1"/>
  <c r="T140" i="5"/>
  <c r="N141" i="5"/>
  <c r="T142" i="5"/>
  <c r="K141" i="5"/>
  <c r="H142" i="5"/>
  <c r="H140" i="5"/>
  <c r="H139" i="5"/>
  <c r="H141" i="5"/>
  <c r="D140" i="5"/>
  <c r="O141" i="5"/>
  <c r="S141" i="5"/>
  <c r="G140" i="5"/>
  <c r="L142" i="5"/>
  <c r="Q142" i="5"/>
  <c r="O142" i="5"/>
  <c r="M142" i="5"/>
  <c r="E141" i="5"/>
  <c r="G139" i="5"/>
  <c r="S139" i="5"/>
  <c r="D142" i="5"/>
  <c r="P142" i="5"/>
  <c r="R141" i="5"/>
  <c r="F139" i="5"/>
  <c r="L141" i="5"/>
  <c r="Q139" i="5"/>
  <c r="M140" i="5"/>
  <c r="D139" i="5"/>
  <c r="P140" i="5"/>
  <c r="R139" i="5"/>
  <c r="F141" i="5"/>
  <c r="L139" i="5"/>
  <c r="J141" i="5"/>
  <c r="BA149" i="6" s="1"/>
  <c r="R140" i="5"/>
  <c r="E140" i="5"/>
  <c r="J140" i="5"/>
  <c r="BA148" i="6" s="1"/>
  <c r="S140" i="5"/>
  <c r="E142" i="5"/>
  <c r="J142" i="5"/>
  <c r="BA150" i="6" s="1"/>
  <c r="O140" i="5"/>
  <c r="M141" i="5"/>
  <c r="S142" i="5"/>
  <c r="O139" i="5"/>
  <c r="G141" i="5"/>
  <c r="L140" i="5"/>
  <c r="Q140" i="5"/>
  <c r="D141" i="5"/>
  <c r="P139" i="5"/>
  <c r="R142" i="5"/>
  <c r="M139" i="5"/>
  <c r="F142" i="5"/>
  <c r="E139" i="5"/>
  <c r="J139" i="5"/>
  <c r="BA147" i="6" s="1"/>
  <c r="P141" i="5"/>
  <c r="F140" i="5"/>
  <c r="G142" i="5"/>
  <c r="Q141" i="5"/>
  <c r="E31" i="2" l="1"/>
  <c r="D31" i="2"/>
  <c r="C30" i="2"/>
  <c r="BT130" i="6"/>
  <c r="BT202" i="6" s="1"/>
  <c r="BL130" i="6"/>
  <c r="BL202" i="6" s="1"/>
  <c r="BD130" i="6"/>
  <c r="BD202" i="6" s="1"/>
  <c r="AV130" i="6"/>
  <c r="AV202" i="6" s="1"/>
  <c r="BR130" i="6"/>
  <c r="BR202" i="6" s="1"/>
  <c r="BI130" i="6"/>
  <c r="BI202" i="6" s="1"/>
  <c r="AZ130" i="6"/>
  <c r="AZ202" i="6" s="1"/>
  <c r="AT71" i="6"/>
  <c r="BN130" i="6"/>
  <c r="BN202" i="6" s="1"/>
  <c r="BE130" i="6"/>
  <c r="BE202" i="6" s="1"/>
  <c r="AU130" i="6"/>
  <c r="AU202" i="6" s="1"/>
  <c r="BJ130" i="6"/>
  <c r="BJ202" i="6" s="1"/>
  <c r="AX130" i="6"/>
  <c r="AX202" i="6" s="1"/>
  <c r="BU130" i="6"/>
  <c r="BU202" i="6" s="1"/>
  <c r="BH130" i="6"/>
  <c r="BH202" i="6" s="1"/>
  <c r="AW130" i="6"/>
  <c r="AW202" i="6" s="1"/>
  <c r="BS130" i="6"/>
  <c r="BS202" i="6" s="1"/>
  <c r="BG130" i="6"/>
  <c r="BG202" i="6" s="1"/>
  <c r="BP130" i="6"/>
  <c r="BP202" i="6" s="1"/>
  <c r="BC130" i="6"/>
  <c r="BC202" i="6" s="1"/>
  <c r="BO130" i="6"/>
  <c r="BO202" i="6" s="1"/>
  <c r="BB130" i="6"/>
  <c r="BB202" i="6" s="1"/>
  <c r="AY130" i="6"/>
  <c r="AY202" i="6" s="1"/>
  <c r="BQ130" i="6"/>
  <c r="BQ202" i="6" s="1"/>
  <c r="BM130" i="6"/>
  <c r="BM202" i="6" s="1"/>
  <c r="BF130" i="6"/>
  <c r="BF202" i="6" s="1"/>
  <c r="BK130" i="6"/>
  <c r="BK202" i="6" s="1"/>
  <c r="BA130" i="6"/>
  <c r="BA202" i="6" s="1"/>
  <c r="AS71" i="6"/>
  <c r="AT136" i="6"/>
  <c r="AT202" i="6"/>
  <c r="BR148" i="6"/>
  <c r="BJ148" i="6"/>
  <c r="BB148" i="6"/>
  <c r="BO148" i="6"/>
  <c r="BG148" i="6"/>
  <c r="BU148" i="6"/>
  <c r="BK148" i="6"/>
  <c r="BS148" i="6"/>
  <c r="BH148" i="6"/>
  <c r="BP148" i="6"/>
  <c r="BE148" i="6"/>
  <c r="BQ148" i="6"/>
  <c r="BN148" i="6"/>
  <c r="BM148" i="6"/>
  <c r="BI148" i="6"/>
  <c r="BF148" i="6"/>
  <c r="BT148" i="6"/>
  <c r="BL148" i="6"/>
  <c r="BD148" i="6"/>
  <c r="BC148" i="6"/>
  <c r="BP133" i="6"/>
  <c r="BH133" i="6"/>
  <c r="AZ133" i="6"/>
  <c r="BQ133" i="6"/>
  <c r="BG133" i="6"/>
  <c r="AX133" i="6"/>
  <c r="BU133" i="6"/>
  <c r="BL133" i="6"/>
  <c r="BC133" i="6"/>
  <c r="BK133" i="6"/>
  <c r="AY133" i="6"/>
  <c r="BJ133" i="6"/>
  <c r="AW133" i="6"/>
  <c r="BT133" i="6"/>
  <c r="BI133" i="6"/>
  <c r="AV133" i="6"/>
  <c r="BR133" i="6"/>
  <c r="BE133" i="6"/>
  <c r="BO133" i="6"/>
  <c r="BD133" i="6"/>
  <c r="BM133" i="6"/>
  <c r="BF133" i="6"/>
  <c r="BB133" i="6"/>
  <c r="BA133" i="6"/>
  <c r="AU133" i="6"/>
  <c r="BS133" i="6"/>
  <c r="BN133" i="6"/>
  <c r="AT139" i="6"/>
  <c r="BT132" i="6"/>
  <c r="BL132" i="6"/>
  <c r="BD132" i="6"/>
  <c r="AV132" i="6"/>
  <c r="BQ132" i="6"/>
  <c r="BH132" i="6"/>
  <c r="AY132" i="6"/>
  <c r="BM132" i="6"/>
  <c r="BC132" i="6"/>
  <c r="BO132" i="6"/>
  <c r="BB132" i="6"/>
  <c r="BN132" i="6"/>
  <c r="BA132" i="6"/>
  <c r="AT76" i="6"/>
  <c r="BK132" i="6"/>
  <c r="AZ132" i="6"/>
  <c r="AS76" i="6"/>
  <c r="BU132" i="6"/>
  <c r="BI132" i="6"/>
  <c r="AW132" i="6"/>
  <c r="BS132" i="6"/>
  <c r="BG132" i="6"/>
  <c r="AU132" i="6"/>
  <c r="BF132" i="6"/>
  <c r="BE132" i="6"/>
  <c r="AX132" i="6"/>
  <c r="BP132" i="6"/>
  <c r="BR132" i="6"/>
  <c r="BJ132" i="6"/>
  <c r="AT138" i="6"/>
  <c r="BP150" i="6"/>
  <c r="BH150" i="6"/>
  <c r="BU150" i="6"/>
  <c r="BM150" i="6"/>
  <c r="BE150" i="6"/>
  <c r="BK150" i="6"/>
  <c r="BS150" i="6"/>
  <c r="BI150" i="6"/>
  <c r="BQ150" i="6"/>
  <c r="BF150" i="6"/>
  <c r="BJ150" i="6"/>
  <c r="BG150" i="6"/>
  <c r="BD150" i="6"/>
  <c r="BR150" i="6"/>
  <c r="BB150" i="6"/>
  <c r="BO150" i="6"/>
  <c r="BT150" i="6"/>
  <c r="BN150" i="6"/>
  <c r="BL150" i="6"/>
  <c r="BC150" i="6"/>
  <c r="BP131" i="6"/>
  <c r="BH131" i="6"/>
  <c r="AZ131" i="6"/>
  <c r="BR131" i="6"/>
  <c r="BI131" i="6"/>
  <c r="AY131" i="6"/>
  <c r="BM131" i="6"/>
  <c r="BD131" i="6"/>
  <c r="AU131" i="6"/>
  <c r="BS131" i="6"/>
  <c r="BF131" i="6"/>
  <c r="BQ131" i="6"/>
  <c r="BE131" i="6"/>
  <c r="BO131" i="6"/>
  <c r="BC131" i="6"/>
  <c r="BL131" i="6"/>
  <c r="BA131" i="6"/>
  <c r="BK131" i="6"/>
  <c r="AX131" i="6"/>
  <c r="BB131" i="6"/>
  <c r="AW131" i="6"/>
  <c r="AV131" i="6"/>
  <c r="BU131" i="6"/>
  <c r="BT131" i="6"/>
  <c r="BN131" i="6"/>
  <c r="BJ131" i="6"/>
  <c r="BG131" i="6"/>
  <c r="AT137" i="6"/>
  <c r="BU149" i="6"/>
  <c r="BM149" i="6"/>
  <c r="BE149" i="6"/>
  <c r="BR149" i="6"/>
  <c r="BJ149" i="6"/>
  <c r="BB149" i="6"/>
  <c r="BK149" i="6"/>
  <c r="BS149" i="6"/>
  <c r="BH149" i="6"/>
  <c r="BP149" i="6"/>
  <c r="BF149" i="6"/>
  <c r="BN149" i="6"/>
  <c r="BL149" i="6"/>
  <c r="BI149" i="6"/>
  <c r="BD149" i="6"/>
  <c r="BT149" i="6"/>
  <c r="BC149" i="6"/>
  <c r="BG149" i="6"/>
  <c r="BQ149" i="6"/>
  <c r="BO149" i="6"/>
  <c r="BO147" i="6"/>
  <c r="BO210" i="6" s="1"/>
  <c r="BG147" i="6"/>
  <c r="BG210" i="6" s="1"/>
  <c r="BT147" i="6"/>
  <c r="BT210" i="6" s="1"/>
  <c r="BL147" i="6"/>
  <c r="BL210" i="6" s="1"/>
  <c r="BD147" i="6"/>
  <c r="BD210" i="6" s="1"/>
  <c r="BU147" i="6"/>
  <c r="BU210" i="6" s="1"/>
  <c r="BJ147" i="6"/>
  <c r="BJ210" i="6" s="1"/>
  <c r="BR147" i="6"/>
  <c r="BR210" i="6" s="1"/>
  <c r="BH147" i="6"/>
  <c r="BH210" i="6" s="1"/>
  <c r="BP147" i="6"/>
  <c r="BP210" i="6" s="1"/>
  <c r="BE147" i="6"/>
  <c r="BE210" i="6" s="1"/>
  <c r="BC147" i="6"/>
  <c r="BC210" i="6" s="1"/>
  <c r="BS147" i="6"/>
  <c r="BS210" i="6" s="1"/>
  <c r="BB147" i="6"/>
  <c r="BB210" i="6" s="1"/>
  <c r="BQ147" i="6"/>
  <c r="BQ210" i="6" s="1"/>
  <c r="BM147" i="6"/>
  <c r="BM210" i="6" s="1"/>
  <c r="BK147" i="6"/>
  <c r="BK210" i="6" s="1"/>
  <c r="BN147" i="6"/>
  <c r="BN210" i="6" s="1"/>
  <c r="BF147" i="6"/>
  <c r="BF210" i="6" s="1"/>
  <c r="BI147" i="6"/>
  <c r="BI210" i="6" s="1"/>
  <c r="BA210" i="6"/>
  <c r="BP137" i="6" l="1"/>
  <c r="BH137" i="6"/>
  <c r="AZ137" i="6"/>
  <c r="BO137" i="6"/>
  <c r="BF137" i="6"/>
  <c r="AW137" i="6"/>
  <c r="BM137" i="6"/>
  <c r="BD137" i="6"/>
  <c r="AU137" i="6"/>
  <c r="BT137" i="6"/>
  <c r="BK137" i="6"/>
  <c r="BB137" i="6"/>
  <c r="BJ137" i="6"/>
  <c r="AV137" i="6"/>
  <c r="BI137" i="6"/>
  <c r="BU137" i="6"/>
  <c r="BG137" i="6"/>
  <c r="BR137" i="6"/>
  <c r="BC137" i="6"/>
  <c r="BQ137" i="6"/>
  <c r="BA137" i="6"/>
  <c r="BS137" i="6"/>
  <c r="AY137" i="6"/>
  <c r="BN137" i="6"/>
  <c r="BL137" i="6"/>
  <c r="BE137" i="6"/>
  <c r="AX137" i="6"/>
  <c r="BT138" i="6"/>
  <c r="BL138" i="6"/>
  <c r="BD138" i="6"/>
  <c r="AV138" i="6"/>
  <c r="BO138" i="6"/>
  <c r="BF138" i="6"/>
  <c r="AW138" i="6"/>
  <c r="BM138" i="6"/>
  <c r="BC138" i="6"/>
  <c r="BS138" i="6"/>
  <c r="BJ138" i="6"/>
  <c r="BA138" i="6"/>
  <c r="BK138" i="6"/>
  <c r="AX138" i="6"/>
  <c r="BI138" i="6"/>
  <c r="AU138" i="6"/>
  <c r="BH138" i="6"/>
  <c r="BR138" i="6"/>
  <c r="BE138" i="6"/>
  <c r="BQ138" i="6"/>
  <c r="BB138" i="6"/>
  <c r="AZ138" i="6"/>
  <c r="AY138" i="6"/>
  <c r="BU138" i="6"/>
  <c r="BP138" i="6"/>
  <c r="BN138" i="6"/>
  <c r="BG138" i="6"/>
  <c r="BK77" i="6"/>
  <c r="BK88" i="6" s="1"/>
  <c r="BC77" i="6"/>
  <c r="BC88" i="6" s="1"/>
  <c r="AU77" i="6"/>
  <c r="AU88" i="6" s="1"/>
  <c r="BI77" i="6"/>
  <c r="BI88" i="6" s="1"/>
  <c r="AZ77" i="6"/>
  <c r="AZ88" i="6" s="1"/>
  <c r="BF77" i="6"/>
  <c r="BF88" i="6" s="1"/>
  <c r="AV77" i="6"/>
  <c r="AV88" i="6" s="1"/>
  <c r="AT86" i="6"/>
  <c r="BE77" i="6"/>
  <c r="BE88" i="6" s="1"/>
  <c r="BD77" i="6"/>
  <c r="BD88" i="6" s="1"/>
  <c r="BA77" i="6"/>
  <c r="BA88" i="6" s="1"/>
  <c r="BJ77" i="6"/>
  <c r="BJ88" i="6" s="1"/>
  <c r="AY77" i="6"/>
  <c r="AY88" i="6" s="1"/>
  <c r="BH77" i="6"/>
  <c r="BH88" i="6" s="1"/>
  <c r="BG77" i="6"/>
  <c r="BG88" i="6" s="1"/>
  <c r="BB77" i="6"/>
  <c r="BB88" i="6" s="1"/>
  <c r="AX77" i="6"/>
  <c r="AX88" i="6" s="1"/>
  <c r="AW77" i="6"/>
  <c r="AW88" i="6" s="1"/>
  <c r="AO71" i="6"/>
  <c r="AO81" i="6" s="1"/>
  <c r="AG71" i="6"/>
  <c r="AG81" i="6" s="1"/>
  <c r="Y71" i="6"/>
  <c r="Y81" i="6" s="1"/>
  <c r="Q71" i="6"/>
  <c r="AK71" i="6"/>
  <c r="AK81" i="6" s="1"/>
  <c r="AB71" i="6"/>
  <c r="AB81" i="6" s="1"/>
  <c r="S71" i="6"/>
  <c r="AQ71" i="6"/>
  <c r="AQ81" i="6" s="1"/>
  <c r="AF71" i="6"/>
  <c r="AF81" i="6" s="1"/>
  <c r="V71" i="6"/>
  <c r="AP71" i="6"/>
  <c r="AP81" i="6" s="1"/>
  <c r="AE71" i="6"/>
  <c r="AE81" i="6" s="1"/>
  <c r="U71" i="6"/>
  <c r="AN71" i="6"/>
  <c r="AN81" i="6" s="1"/>
  <c r="AD71" i="6"/>
  <c r="AD81" i="6" s="1"/>
  <c r="T71" i="6"/>
  <c r="AS81" i="6"/>
  <c r="AL71" i="6"/>
  <c r="AL81" i="6" s="1"/>
  <c r="AA71" i="6"/>
  <c r="AA81" i="6" s="1"/>
  <c r="P71" i="6"/>
  <c r="AJ71" i="6"/>
  <c r="AJ81" i="6" s="1"/>
  <c r="Z71" i="6"/>
  <c r="Z81" i="6" s="1"/>
  <c r="O71" i="6"/>
  <c r="AR71" i="6"/>
  <c r="AR81" i="6" s="1"/>
  <c r="N71" i="6"/>
  <c r="AM71" i="6"/>
  <c r="AM81" i="6" s="1"/>
  <c r="AI71" i="6"/>
  <c r="AI81" i="6" s="1"/>
  <c r="AH71" i="6"/>
  <c r="AH81" i="6" s="1"/>
  <c r="AC71" i="6"/>
  <c r="AC81" i="6" s="1"/>
  <c r="X71" i="6"/>
  <c r="X81" i="6" s="1"/>
  <c r="W71" i="6"/>
  <c r="W81" i="6" s="1"/>
  <c r="R71" i="6"/>
  <c r="AS86" i="6"/>
  <c r="AM76" i="6"/>
  <c r="AM86" i="6" s="1"/>
  <c r="AE76" i="6"/>
  <c r="AE86" i="6" s="1"/>
  <c r="W76" i="6"/>
  <c r="W86" i="6" s="1"/>
  <c r="AQ76" i="6"/>
  <c r="AQ86" i="6" s="1"/>
  <c r="AH76" i="6"/>
  <c r="AH86" i="6" s="1"/>
  <c r="Y76" i="6"/>
  <c r="Y86" i="6" s="1"/>
  <c r="AK76" i="6"/>
  <c r="AK86" i="6" s="1"/>
  <c r="AA76" i="6"/>
  <c r="AA86" i="6" s="1"/>
  <c r="AJ76" i="6"/>
  <c r="AJ86" i="6" s="1"/>
  <c r="Z76" i="6"/>
  <c r="Z86" i="6" s="1"/>
  <c r="AI76" i="6"/>
  <c r="AI86" i="6" s="1"/>
  <c r="X76" i="6"/>
  <c r="X86" i="6" s="1"/>
  <c r="AP76" i="6"/>
  <c r="AP86" i="6" s="1"/>
  <c r="AF76" i="6"/>
  <c r="AF86" i="6" s="1"/>
  <c r="AO76" i="6"/>
  <c r="AO86" i="6" s="1"/>
  <c r="AD76" i="6"/>
  <c r="AD86" i="6" s="1"/>
  <c r="AL76" i="6"/>
  <c r="AL86" i="6" s="1"/>
  <c r="AG76" i="6"/>
  <c r="AG86" i="6" s="1"/>
  <c r="AC76" i="6"/>
  <c r="AC86" i="6" s="1"/>
  <c r="AB76" i="6"/>
  <c r="AB86" i="6" s="1"/>
  <c r="AR76" i="6"/>
  <c r="AR86" i="6" s="1"/>
  <c r="AN76" i="6"/>
  <c r="AN86" i="6" s="1"/>
  <c r="AT81" i="6"/>
  <c r="BE72" i="6"/>
  <c r="BE83" i="6" s="1"/>
  <c r="AW72" i="6"/>
  <c r="AW83" i="6" s="1"/>
  <c r="BC72" i="6"/>
  <c r="BC83" i="6" s="1"/>
  <c r="BK72" i="6"/>
  <c r="BK83" i="6" s="1"/>
  <c r="BA72" i="6"/>
  <c r="BA83" i="6" s="1"/>
  <c r="BJ72" i="6"/>
  <c r="BJ83" i="6" s="1"/>
  <c r="AZ72" i="6"/>
  <c r="AZ83" i="6" s="1"/>
  <c r="BI72" i="6"/>
  <c r="BI83" i="6" s="1"/>
  <c r="AY72" i="6"/>
  <c r="AY83" i="6" s="1"/>
  <c r="BG72" i="6"/>
  <c r="BG83" i="6" s="1"/>
  <c r="AV72" i="6"/>
  <c r="AV83" i="6" s="1"/>
  <c r="BF72" i="6"/>
  <c r="BF83" i="6" s="1"/>
  <c r="AU72" i="6"/>
  <c r="AU83" i="6" s="1"/>
  <c r="BH72" i="6"/>
  <c r="BH83" i="6" s="1"/>
  <c r="BD72" i="6"/>
  <c r="BD83" i="6" s="1"/>
  <c r="AX72" i="6"/>
  <c r="AX83" i="6" s="1"/>
  <c r="BB72" i="6"/>
  <c r="BB83" i="6" s="1"/>
  <c r="G50" i="2"/>
  <c r="C32" i="2"/>
  <c r="E30" i="2"/>
  <c r="D30" i="2"/>
  <c r="G79" i="2" s="1"/>
  <c r="BP139" i="6"/>
  <c r="BH139" i="6"/>
  <c r="AZ139" i="6"/>
  <c r="BN139" i="6"/>
  <c r="BE139" i="6"/>
  <c r="AV139" i="6"/>
  <c r="BU139" i="6"/>
  <c r="BL139" i="6"/>
  <c r="BC139" i="6"/>
  <c r="BS139" i="6"/>
  <c r="BJ139" i="6"/>
  <c r="BA139" i="6"/>
  <c r="BM139" i="6"/>
  <c r="AX139" i="6"/>
  <c r="BK139" i="6"/>
  <c r="AW139" i="6"/>
  <c r="BI139" i="6"/>
  <c r="AU139" i="6"/>
  <c r="BT139" i="6"/>
  <c r="BF139" i="6"/>
  <c r="BR139" i="6"/>
  <c r="BD139" i="6"/>
  <c r="BO139" i="6"/>
  <c r="BG139" i="6"/>
  <c r="BB139" i="6"/>
  <c r="AY139" i="6"/>
  <c r="BQ139" i="6"/>
  <c r="C206" i="6"/>
  <c r="BT136" i="6"/>
  <c r="BL136" i="6"/>
  <c r="BD136" i="6"/>
  <c r="AV136" i="6"/>
  <c r="BP136" i="6"/>
  <c r="BG136" i="6"/>
  <c r="AX136" i="6"/>
  <c r="BN136" i="6"/>
  <c r="BE136" i="6"/>
  <c r="BU136" i="6"/>
  <c r="BK136" i="6"/>
  <c r="BB136" i="6"/>
  <c r="BI136" i="6"/>
  <c r="AU136" i="6"/>
  <c r="BH136" i="6"/>
  <c r="BS136" i="6"/>
  <c r="BF136" i="6"/>
  <c r="BQ136" i="6"/>
  <c r="BA136" i="6"/>
  <c r="BO136" i="6"/>
  <c r="AZ136" i="6"/>
  <c r="BR136" i="6"/>
  <c r="BM136" i="6"/>
  <c r="BJ136" i="6"/>
  <c r="BC136" i="6"/>
  <c r="AY136" i="6"/>
  <c r="AW136" i="6"/>
  <c r="G80" i="2" l="1"/>
  <c r="N54" i="2"/>
  <c r="N55" i="2" s="1"/>
  <c r="O55" i="2" s="1"/>
  <c r="BG89" i="6"/>
  <c r="AY89" i="6"/>
  <c r="BJ89" i="6"/>
  <c r="BA89" i="6"/>
  <c r="BE89" i="6"/>
  <c r="AV89" i="6"/>
  <c r="BB89" i="6"/>
  <c r="AZ89" i="6"/>
  <c r="BK89" i="6"/>
  <c r="AX89" i="6"/>
  <c r="BH89" i="6"/>
  <c r="AU89" i="6"/>
  <c r="BF89" i="6"/>
  <c r="AT89" i="6"/>
  <c r="BI89" i="6"/>
  <c r="BD89" i="6"/>
  <c r="BC89" i="6"/>
  <c r="AW89" i="6"/>
  <c r="G52" i="2"/>
  <c r="E32" i="2"/>
  <c r="D32" i="2"/>
  <c r="V50" i="2" l="1"/>
  <c r="S50" i="2"/>
  <c r="R50" i="2"/>
  <c r="Q50" i="2"/>
  <c r="N50" i="2"/>
  <c r="T50" i="2"/>
  <c r="W50" i="2"/>
  <c r="U50" i="2"/>
  <c r="G53" i="2"/>
  <c r="G62" i="2" s="1"/>
  <c r="G63" i="2" s="1"/>
  <c r="G38" i="2" s="1"/>
  <c r="W63" i="2" l="1"/>
  <c r="W38" i="2"/>
  <c r="R63" i="2"/>
  <c r="R38" i="2"/>
  <c r="U63" i="2"/>
  <c r="U38" i="2"/>
  <c r="T63" i="2"/>
  <c r="T38" i="2"/>
  <c r="N63" i="2"/>
  <c r="AC63" i="2" s="1"/>
  <c r="N38" i="2"/>
  <c r="N52" i="2"/>
  <c r="N51" i="2"/>
  <c r="Q63" i="2"/>
  <c r="Q38" i="2"/>
  <c r="S63" i="2"/>
  <c r="S38" i="2"/>
  <c r="V63" i="2"/>
  <c r="V38" i="2"/>
  <c r="U39" i="2" l="1"/>
  <c r="AF40" i="2"/>
  <c r="AF47" i="2" s="1"/>
  <c r="AF41" i="2"/>
  <c r="AF48" i="2" s="1"/>
  <c r="S39" i="2"/>
  <c r="AD41" i="2"/>
  <c r="AD48" i="2" s="1"/>
  <c r="AD40" i="2"/>
  <c r="AD47" i="2" s="1"/>
  <c r="T39" i="2"/>
  <c r="AE40" i="2"/>
  <c r="AE47" i="2" s="1"/>
  <c r="AE41" i="2"/>
  <c r="AE48" i="2" s="1"/>
  <c r="Q39" i="2"/>
  <c r="AB41" i="2"/>
  <c r="AB48" i="2" s="1"/>
  <c r="AB40" i="2"/>
  <c r="AB47" i="2" s="1"/>
  <c r="R39" i="2"/>
  <c r="AC41" i="2"/>
  <c r="AC48" i="2" s="1"/>
  <c r="AC40" i="2"/>
  <c r="AC47" i="2" s="1"/>
  <c r="V39" i="2"/>
  <c r="AG40" i="2"/>
  <c r="AG47" i="2" s="1"/>
  <c r="AG41" i="2"/>
  <c r="AG48" i="2" s="1"/>
  <c r="N39" i="2"/>
  <c r="Z41" i="2"/>
  <c r="Z48" i="2" s="1"/>
  <c r="Z40" i="2"/>
  <c r="Z47" i="2" s="1"/>
  <c r="W39" i="2"/>
  <c r="AH41" i="2"/>
  <c r="AH48" i="2" s="1"/>
  <c r="AH40" i="2"/>
  <c r="AH47" i="2" s="1"/>
  <c r="AD68" i="2"/>
  <c r="AE6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98" authorId="0" shapeId="0" xr:uid="{00000000-0006-0000-0900-000001000000}">
      <text>
        <r>
          <rPr>
            <sz val="10"/>
            <color rgb="FF000000"/>
            <rFont val="Arial"/>
            <scheme val="minor"/>
          </rPr>
          <t>Includes weighting of corolla sales, the new models of which only have hybrid available.</t>
        </r>
      </text>
    </comment>
    <comment ref="D299" authorId="0" shapeId="0" xr:uid="{00000000-0006-0000-0900-000002000000}">
      <text>
        <r>
          <rPr>
            <sz val="10"/>
            <color rgb="FF000000"/>
            <rFont val="Arial"/>
            <scheme val="minor"/>
          </rPr>
          <t>Includes weighting of corolla sales, the new models of which only have hybrid available.</t>
        </r>
      </text>
    </comment>
    <comment ref="D301" authorId="0" shapeId="0" xr:uid="{00000000-0006-0000-0900-000003000000}">
      <text>
        <r>
          <rPr>
            <sz val="10"/>
            <color rgb="FF000000"/>
            <rFont val="Arial"/>
            <scheme val="minor"/>
          </rPr>
          <t>Weighting is split 50/50 between 2WD and 4WD</t>
        </r>
      </text>
    </comment>
    <comment ref="D302" authorId="0" shapeId="0" xr:uid="{00000000-0006-0000-0900-000004000000}">
      <text>
        <r>
          <rPr>
            <sz val="10"/>
            <color rgb="FF000000"/>
            <rFont val="Arial"/>
            <scheme val="minor"/>
          </rPr>
          <t>Weighting is split 50/50 between 2WD and 4WD</t>
        </r>
      </text>
    </comment>
    <comment ref="D303" authorId="0" shapeId="0" xr:uid="{00000000-0006-0000-0900-000005000000}">
      <text>
        <r>
          <rPr>
            <sz val="10"/>
            <color rgb="FF000000"/>
            <rFont val="Arial"/>
            <scheme val="minor"/>
          </rPr>
          <t>Includes weighting of corolla cross as new corolla cross models are hybrid only.</t>
        </r>
      </text>
    </comment>
    <comment ref="D307" authorId="0" shapeId="0" xr:uid="{00000000-0006-0000-0900-000006000000}">
      <text>
        <r>
          <rPr>
            <sz val="10"/>
            <color rgb="FF000000"/>
            <rFont val="Arial"/>
            <scheme val="minor"/>
          </rPr>
          <t>Includes weighting of Yaris Cross as new Yaris Cross models are hybrid only.</t>
        </r>
      </text>
    </comment>
    <comment ref="D308" authorId="0" shapeId="0" xr:uid="{00000000-0006-0000-0900-000007000000}">
      <text>
        <r>
          <rPr>
            <sz val="10"/>
            <color rgb="FF000000"/>
            <rFont val="Arial"/>
            <scheme val="minor"/>
          </rPr>
          <t>Includes weighting of Niro and C-HR models as both are now only available in hybrid or electric.</t>
        </r>
      </text>
    </comment>
  </commentList>
</comments>
</file>

<file path=xl/sharedStrings.xml><?xml version="1.0" encoding="utf-8"?>
<sst xmlns="http://schemas.openxmlformats.org/spreadsheetml/2006/main" count="17492" uniqueCount="2225">
  <si>
    <t>Home energy types</t>
  </si>
  <si>
    <t>Electricity kWh/day</t>
  </si>
  <si>
    <t>Gas kWh/day</t>
  </si>
  <si>
    <t>LPG kWh/day</t>
  </si>
  <si>
    <t>Wood kWh/day</t>
  </si>
  <si>
    <t>Petrol kWh/day</t>
  </si>
  <si>
    <t>Diesel kWh/day</t>
  </si>
  <si>
    <t>Total kWh/day</t>
  </si>
  <si>
    <t>Average home</t>
  </si>
  <si>
    <t>LPG &amp; petrol home</t>
  </si>
  <si>
    <t>Gas &amp; petrol home</t>
  </si>
  <si>
    <t>Electrified home on grid</t>
  </si>
  <si>
    <t>Solar electrified home</t>
  </si>
  <si>
    <t>Archetypes</t>
  </si>
  <si>
    <t>Total</t>
  </si>
  <si>
    <t>Emissions</t>
  </si>
  <si>
    <t>Gas stove and water, heat pump</t>
  </si>
  <si>
    <t>Gas heating, water, and stove</t>
  </si>
  <si>
    <t>LPG stove and water, heat pump</t>
  </si>
  <si>
    <t>LPG heating, water, and stove</t>
  </si>
  <si>
    <t>Wood fire, Gas water heater, gas stove petrol cars</t>
  </si>
  <si>
    <t>Electric resistance everything</t>
  </si>
  <si>
    <t>Electric heat pump, resistance everything else</t>
  </si>
  <si>
    <t>Electrified on grid</t>
  </si>
  <si>
    <t>Electrified solar + grid</t>
  </si>
  <si>
    <t>Electrified solar &amp; battery</t>
  </si>
  <si>
    <t>Chart energy use in main home types</t>
  </si>
  <si>
    <t>Electricity - home</t>
  </si>
  <si>
    <t>Electricity - vehicles</t>
  </si>
  <si>
    <t>Label - electrcity</t>
  </si>
  <si>
    <t>Label - electricity vehicles</t>
  </si>
  <si>
    <t>Label - gas</t>
  </si>
  <si>
    <t>Label - LPG</t>
  </si>
  <si>
    <t>Label - wood</t>
  </si>
  <si>
    <t>Label - petrol</t>
  </si>
  <si>
    <t>Label - diesel</t>
  </si>
  <si>
    <t>Electricity</t>
  </si>
  <si>
    <t>Gas</t>
  </si>
  <si>
    <t>LPG</t>
  </si>
  <si>
    <t>Wood</t>
  </si>
  <si>
    <t>Petrol</t>
  </si>
  <si>
    <t>Diesel</t>
  </si>
  <si>
    <t>Gas appliances &amp; petrol vehicles</t>
  </si>
  <si>
    <t>Gas or LPG</t>
  </si>
  <si>
    <t>Electrified appliances &amp; vehicles</t>
  </si>
  <si>
    <t>Electricity: home</t>
  </si>
  <si>
    <t>Electricity: vehicles</t>
  </si>
  <si>
    <t>Label</t>
  </si>
  <si>
    <t>86 kWh</t>
  </si>
  <si>
    <t>28 kWh</t>
  </si>
  <si>
    <t>Chart househould energy proportions</t>
  </si>
  <si>
    <t>Average home energy use (excluding vehicles)</t>
  </si>
  <si>
    <t>Electrified</t>
  </si>
  <si>
    <t>Gas and Petrol</t>
  </si>
  <si>
    <t>Househould energy proportions</t>
  </si>
  <si>
    <t>Average home energy use (including vehicles)</t>
  </si>
  <si>
    <t>Space heating</t>
  </si>
  <si>
    <t>Space cooling</t>
  </si>
  <si>
    <t>Water heating</t>
  </si>
  <si>
    <t>Cooktops</t>
  </si>
  <si>
    <t>Refrigeration</t>
  </si>
  <si>
    <t>Lighting</t>
  </si>
  <si>
    <t>Laundry</t>
  </si>
  <si>
    <t>Other</t>
  </si>
  <si>
    <t>Vehicles</t>
  </si>
  <si>
    <t>Vehicle fuels</t>
  </si>
  <si>
    <t>Label Space heating</t>
  </si>
  <si>
    <t>Labe space coolinh</t>
  </si>
  <si>
    <t>Label water</t>
  </si>
  <si>
    <t>Label Cook</t>
  </si>
  <si>
    <t>Label Light</t>
  </si>
  <si>
    <t>Label Laundry</t>
  </si>
  <si>
    <t>Label Other</t>
  </si>
  <si>
    <t>Label Vehicles</t>
  </si>
  <si>
    <t>Label saving</t>
  </si>
  <si>
    <t>Savings</t>
  </si>
  <si>
    <t>Type</t>
  </si>
  <si>
    <t>How many in country</t>
  </si>
  <si>
    <t>How many per home</t>
  </si>
  <si>
    <t>COP</t>
  </si>
  <si>
    <t>Base energy needs</t>
  </si>
  <si>
    <t>#</t>
  </si>
  <si>
    <t># / home</t>
  </si>
  <si>
    <t>%</t>
  </si>
  <si>
    <t>kWh/day</t>
  </si>
  <si>
    <t>Total energy use</t>
  </si>
  <si>
    <t>Time of use</t>
  </si>
  <si>
    <t>Grid</t>
  </si>
  <si>
    <t>Solar window</t>
  </si>
  <si>
    <t>n/a</t>
  </si>
  <si>
    <t>Natural behaviour</t>
  </si>
  <si>
    <t>Ideal (and feasible) behaviour</t>
  </si>
  <si>
    <t>Options for homes &gt;</t>
  </si>
  <si>
    <t>Average home devices</t>
  </si>
  <si>
    <t>If Ngas</t>
  </si>
  <si>
    <t>If LPG</t>
  </si>
  <si>
    <t>If Wood</t>
  </si>
  <si>
    <t>If diesel boiler</t>
  </si>
  <si>
    <t>If resistive</t>
  </si>
  <si>
    <t>If heat pump on grid</t>
  </si>
  <si>
    <t>If heat pump + solar</t>
  </si>
  <si>
    <t>Chart</t>
  </si>
  <si>
    <t>LPG heating</t>
  </si>
  <si>
    <t>Gas heating</t>
  </si>
  <si>
    <t>Wood fire</t>
  </si>
  <si>
    <t>Resistive electric</t>
  </si>
  <si>
    <t>Heat pump electric</t>
  </si>
  <si>
    <t>Heat pump with solar &amp; grid mix</t>
  </si>
  <si>
    <t>kWh/year</t>
  </si>
  <si>
    <t>Energy use per day</t>
  </si>
  <si>
    <t>Running cost per year</t>
  </si>
  <si>
    <t>Approx. Efficiency</t>
  </si>
  <si>
    <t>Fixed</t>
  </si>
  <si>
    <t>Lifetime (years)</t>
  </si>
  <si>
    <t>Upfront cost</t>
  </si>
  <si>
    <t>Running cost over lifetime</t>
  </si>
  <si>
    <t>Energy bills over lifetime (15yr)</t>
  </si>
  <si>
    <t>Chart - Energy efficiency</t>
  </si>
  <si>
    <t>Additional fixed cost portion (for Gas) over lifetime</t>
  </si>
  <si>
    <t>Fixed energy bills proportion</t>
  </si>
  <si>
    <t>Total operating costs</t>
  </si>
  <si>
    <t>Replacement capital costs</t>
  </si>
  <si>
    <t>Operating emissions (15yr)</t>
  </si>
  <si>
    <t>Replacement install costs</t>
  </si>
  <si>
    <t>Total replacement costs</t>
  </si>
  <si>
    <t>Energy chart</t>
  </si>
  <si>
    <t>Wood heating</t>
  </si>
  <si>
    <t>Gas or LPG Heating</t>
  </si>
  <si>
    <t>Operating cost chart</t>
  </si>
  <si>
    <t>Heat pump electric on grid + solar (30%)</t>
  </si>
  <si>
    <t>Grid electricity</t>
  </si>
  <si>
    <t>Solar</t>
  </si>
  <si>
    <t>Fixed costs</t>
  </si>
  <si>
    <t>Labels</t>
  </si>
  <si>
    <t>Emissions per year (KgCO2e)</t>
  </si>
  <si>
    <t>Label - Energy costs</t>
  </si>
  <si>
    <t>Energy bills</t>
  </si>
  <si>
    <t>Emissions over lifetime (KgCO2e)</t>
  </si>
  <si>
    <t>Label - Upfront costs</t>
  </si>
  <si>
    <t>Upfront costs</t>
  </si>
  <si>
    <t>Label - Fixed energy costs</t>
  </si>
  <si>
    <t>Fixed bills</t>
  </si>
  <si>
    <t>Label - Emissions</t>
  </si>
  <si>
    <t>AC ducted</t>
  </si>
  <si>
    <t>AC non-ducted (split and WW)</t>
  </si>
  <si>
    <t>Fans</t>
  </si>
  <si>
    <t>Heat pump use percentage fro cooling</t>
  </si>
  <si>
    <t>Cooling days</t>
  </si>
  <si>
    <t>Solar window utilisation</t>
  </si>
  <si>
    <t>Options for homes</t>
  </si>
  <si>
    <t>Water heaters</t>
  </si>
  <si>
    <t>N/A</t>
  </si>
  <si>
    <t>Peak</t>
  </si>
  <si>
    <t>Off peak</t>
  </si>
  <si>
    <t>Solar window utilisation heat pump</t>
  </si>
  <si>
    <t>Solar window utilisation resistive</t>
  </si>
  <si>
    <t>If resistive (&amp; ripple control)</t>
  </si>
  <si>
    <t>If resistive + solar</t>
  </si>
  <si>
    <t>Gas or LPG instant</t>
  </si>
  <si>
    <t>Resistive tank electric</t>
  </si>
  <si>
    <t>Chart costs</t>
  </si>
  <si>
    <t>Resistive on grid + ripple control</t>
  </si>
  <si>
    <t>Resistive with solar + grid</t>
  </si>
  <si>
    <t>Heat pump on grid</t>
  </si>
  <si>
    <t>Heat pump with solar + grid</t>
  </si>
  <si>
    <t>Additional fixed cost portion (for Gas)</t>
  </si>
  <si>
    <t>Energy costs (15yr)</t>
  </si>
  <si>
    <t>Installation cost differences</t>
  </si>
  <si>
    <t>Fixed energy costs</t>
  </si>
  <si>
    <t>Total costs</t>
  </si>
  <si>
    <t>Difference to heat pump costs</t>
  </si>
  <si>
    <t>Difference to heat pump + solar</t>
  </si>
  <si>
    <t>Chart operating costs</t>
  </si>
  <si>
    <t>Resistive (with ripple control)</t>
  </si>
  <si>
    <t>Resistive with solar</t>
  </si>
  <si>
    <t>Heat pump</t>
  </si>
  <si>
    <t>Heat pump with solar</t>
  </si>
  <si>
    <t>Difference to resistance + solar</t>
  </si>
  <si>
    <t>Total lifetime cost</t>
  </si>
  <si>
    <t>Savings comparison</t>
  </si>
  <si>
    <t>Savings compared to average over lifetime</t>
  </si>
  <si>
    <t>Savings compared to gas over lifetime</t>
  </si>
  <si>
    <t>Savings compared to LPG over lifetime</t>
  </si>
  <si>
    <t>Payback period - switching from gas</t>
  </si>
  <si>
    <t>Payback period - switching from LPG</t>
  </si>
  <si>
    <t>Payback switching from resistive</t>
  </si>
  <si>
    <t>Cooking</t>
  </si>
  <si>
    <t>Total (kWh/day)</t>
  </si>
  <si>
    <t>Base energy</t>
  </si>
  <si>
    <t>If induction</t>
  </si>
  <si>
    <t>if resistive</t>
  </si>
  <si>
    <t>if gas</t>
  </si>
  <si>
    <t>if LPG</t>
  </si>
  <si>
    <t>if solar induction</t>
  </si>
  <si>
    <t>Cooktops (from RBS)</t>
  </si>
  <si>
    <t>Microwave (from RBS)</t>
  </si>
  <si>
    <t>Ovens (from RBS)</t>
  </si>
  <si>
    <t>Uprights (from RBS)</t>
  </si>
  <si>
    <t>Cooktop - Electric resistance</t>
  </si>
  <si>
    <t>Cooktop - Electric induction</t>
  </si>
  <si>
    <t>Cooktop - Gas</t>
  </si>
  <si>
    <t>Cooktop - LPG</t>
  </si>
  <si>
    <t>Oven - Electric</t>
  </si>
  <si>
    <t>Oven - Gas</t>
  </si>
  <si>
    <t>Oven - LPG</t>
  </si>
  <si>
    <t>Upright - Electric</t>
  </si>
  <si>
    <t>Upright - Gas</t>
  </si>
  <si>
    <t>Upright - LPG</t>
  </si>
  <si>
    <t>Microwave</t>
  </si>
  <si>
    <t>Ratio of cooktop to oven estimate</t>
  </si>
  <si>
    <t>Cooktop options</t>
  </si>
  <si>
    <t>LPG Cooktop</t>
  </si>
  <si>
    <t>Gas Cooktop</t>
  </si>
  <si>
    <t>Resistive electric cooktop</t>
  </si>
  <si>
    <t>Induction electric cooktop</t>
  </si>
  <si>
    <t>Total cost</t>
  </si>
  <si>
    <t>Payback period over gas</t>
  </si>
  <si>
    <t>Payback period over LPG</t>
  </si>
  <si>
    <t>Chart energy use</t>
  </si>
  <si>
    <t>Gas or LPG cooktop</t>
  </si>
  <si>
    <t>Electric resistance cooktop</t>
  </si>
  <si>
    <t>Electric induction cooktop</t>
  </si>
  <si>
    <t>Other cooking</t>
  </si>
  <si>
    <t>Electric</t>
  </si>
  <si>
    <t>Oven</t>
  </si>
  <si>
    <t>Dishwasher</t>
  </si>
  <si>
    <t>Total other cooking</t>
  </si>
  <si>
    <t>Cost per year Other cooking</t>
  </si>
  <si>
    <t>Assumed lifetime</t>
  </si>
  <si>
    <t>Cost over lifetime Other cooking</t>
  </si>
  <si>
    <t>Total cooking emissions</t>
  </si>
  <si>
    <t>Other appliances</t>
  </si>
  <si>
    <t>Other usage</t>
  </si>
  <si>
    <t>Cost per day</t>
  </si>
  <si>
    <t>Cost per year</t>
  </si>
  <si>
    <t>Lifetime</t>
  </si>
  <si>
    <t>Cost over 15 years</t>
  </si>
  <si>
    <t>Lights</t>
  </si>
  <si>
    <t>Washing machine</t>
  </si>
  <si>
    <t>Dryer</t>
  </si>
  <si>
    <t>Total Other</t>
  </si>
  <si>
    <t>Per house (kWh/day)</t>
  </si>
  <si>
    <t>Per vehicle</t>
  </si>
  <si>
    <t>Options</t>
  </si>
  <si>
    <t>Petrol vehicles</t>
  </si>
  <si>
    <t>Diesel vehicles</t>
  </si>
  <si>
    <t>Electric solar charged</t>
  </si>
  <si>
    <t>Electric car | 80c Fast charger</t>
  </si>
  <si>
    <t>RUCs Assumed km</t>
  </si>
  <si>
    <t>Litres/day</t>
  </si>
  <si>
    <t>Electric vehicle efficiency factor</t>
  </si>
  <si>
    <t>Driving cost per "tank" (500km/50L)</t>
  </si>
  <si>
    <t>Petrol car | at $3.00/L</t>
  </si>
  <si>
    <t>Electric Car | Fast Charger (80c)</t>
  </si>
  <si>
    <t>Electric car | Charged from Grid at home</t>
  </si>
  <si>
    <t>Electric car | Charged from Solar at home</t>
  </si>
  <si>
    <t>RUCs per year</t>
  </si>
  <si>
    <t>Cost per tank</t>
  </si>
  <si>
    <t>RUCS</t>
  </si>
  <si>
    <t>RUCs over lifetime</t>
  </si>
  <si>
    <t>Petrol car</t>
  </si>
  <si>
    <t>Electric car | 80c Fast Charger</t>
  </si>
  <si>
    <t>Electric car | grid charged</t>
  </si>
  <si>
    <t>Electric car | solar charged</t>
  </si>
  <si>
    <t>EV charger costs</t>
  </si>
  <si>
    <t>Replacement capital costs for 1.8 cars</t>
  </si>
  <si>
    <t>Total lifetime costs 1.8 cars</t>
  </si>
  <si>
    <t>Vehicle servicing</t>
  </si>
  <si>
    <t>RUCs</t>
  </si>
  <si>
    <t>Yearly per car</t>
  </si>
  <si>
    <t>Energy costs - 1 yr</t>
  </si>
  <si>
    <t>Vehicle maintenance</t>
  </si>
  <si>
    <t>Replacement capital costs per car</t>
  </si>
  <si>
    <t>Fuel bills</t>
  </si>
  <si>
    <t>Total lifetime costs per car</t>
  </si>
  <si>
    <t>Label - RUCs</t>
  </si>
  <si>
    <t>Included</t>
  </si>
  <si>
    <t>Label - servicing</t>
  </si>
  <si>
    <t>$/day</t>
  </si>
  <si>
    <t>$/year</t>
  </si>
  <si>
    <t>Home heating costs in 2023 - Consumer NZ</t>
  </si>
  <si>
    <t>Proportion assumptions for bringing fixed costs of gas/lpg into opex of appliances. All homes have fixed electricity costs.</t>
  </si>
  <si>
    <t>Space</t>
  </si>
  <si>
    <t>Water</t>
  </si>
  <si>
    <t>Customisable assumptions</t>
  </si>
  <si>
    <t>Location</t>
  </si>
  <si>
    <t>Average</t>
  </si>
  <si>
    <t>Space heating needs (changes based on location)</t>
  </si>
  <si>
    <t>Household (appliance) energy use (% of average)</t>
  </si>
  <si>
    <t>Vehicle number</t>
  </si>
  <si>
    <t>Vehicle energy use (% of average)</t>
  </si>
  <si>
    <t>Solar capacity factor (changes based on location)</t>
  </si>
  <si>
    <t>Solar size</t>
  </si>
  <si>
    <t>Feed in tariff</t>
  </si>
  <si>
    <t>Solar self consumption on appliances</t>
  </si>
  <si>
    <t>Solar self consumption on EV charging</t>
  </si>
  <si>
    <t>Battery size</t>
  </si>
  <si>
    <t>Primary finance rate</t>
  </si>
  <si>
    <t>Green loan rate</t>
  </si>
  <si>
    <t>Finance term (which can be shorter than lifetime)</t>
  </si>
  <si>
    <t>Operational lifetime (defines opex bills)</t>
  </si>
  <si>
    <t>Electrified energy calcs</t>
  </si>
  <si>
    <t>kWh per year</t>
  </si>
  <si>
    <t>% of total needs</t>
  </si>
  <si>
    <t>kWh per day over lifetime</t>
  </si>
  <si>
    <t>Total electricity needs</t>
  </si>
  <si>
    <t>Electricity needs - appliances</t>
  </si>
  <si>
    <t>Electricity needs - vehicles</t>
  </si>
  <si>
    <t>Generated from from solar</t>
  </si>
  <si>
    <t xml:space="preserve"> - self consumed of total generated</t>
  </si>
  <si>
    <t>Energy consumed from grid</t>
  </si>
  <si>
    <t>Stored into battery then consumed or exported</t>
  </si>
  <si>
    <t>Exported (from solar or battery)</t>
  </si>
  <si>
    <t>Home options</t>
  </si>
  <si>
    <t>LPG appliances &amp; petrol vehicles</t>
  </si>
  <si>
    <t>Electrified on grid only (excludes grid upgrade costs)</t>
  </si>
  <si>
    <t>Electrified with solar &amp; battery</t>
  </si>
  <si>
    <t>Chart home comparison</t>
  </si>
  <si>
    <t>Electrified home &amp; vehicles on grid only</t>
  </si>
  <si>
    <t>Electrified appliances &amp; vehicles with solar &amp; battery</t>
  </si>
  <si>
    <t>Electrified 2024</t>
  </si>
  <si>
    <t>Electrified 2025</t>
  </si>
  <si>
    <t>Electrified 2026</t>
  </si>
  <si>
    <t>Electrified 2027</t>
  </si>
  <si>
    <t>Electrified 2028</t>
  </si>
  <si>
    <t>Electrified 2029</t>
  </si>
  <si>
    <t>Electrified 2030</t>
  </si>
  <si>
    <t>Savings comparison chart</t>
  </si>
  <si>
    <t>Electrified appliances &amp; vehicles plus solar &amp; battery 2023</t>
  </si>
  <si>
    <t>Total combined capex and opex</t>
  </si>
  <si>
    <t>Capital costs</t>
  </si>
  <si>
    <t>Total including 5.5% finance</t>
  </si>
  <si>
    <t>Total savings with solar electrification</t>
  </si>
  <si>
    <t>Space heaters</t>
  </si>
  <si>
    <t>Battery</t>
  </si>
  <si>
    <t>Water heater</t>
  </si>
  <si>
    <t>Space heating capital costs</t>
  </si>
  <si>
    <t>Cooktop</t>
  </si>
  <si>
    <t>Forecast</t>
  </si>
  <si>
    <t>Water heating capital costs</t>
  </si>
  <si>
    <t>Vehicle(s)</t>
  </si>
  <si>
    <t>Label forecast</t>
  </si>
  <si>
    <t>Cooktop capital costs</t>
  </si>
  <si>
    <t>Vehicle capital costs</t>
  </si>
  <si>
    <t>Capital costs divided over lifetime</t>
  </si>
  <si>
    <t>Yearly</t>
  </si>
  <si>
    <t>Vehicle servicing costs</t>
  </si>
  <si>
    <t>Electricity volume costs</t>
  </si>
  <si>
    <t>Energy bills over lifetime</t>
  </si>
  <si>
    <t>Electricity fixed costs</t>
  </si>
  <si>
    <t>Feed in tarrif</t>
  </si>
  <si>
    <t>Total at 1%</t>
  </si>
  <si>
    <t>Electricity bills total</t>
  </si>
  <si>
    <t>Gas volue costs</t>
  </si>
  <si>
    <t>Emissions (kg CO2e)</t>
  </si>
  <si>
    <t>Gas fixed costs</t>
  </si>
  <si>
    <t>Gas bills total</t>
  </si>
  <si>
    <t>Chart - simple comparison</t>
  </si>
  <si>
    <t>Gas/LPG appliances and petrol vehicles</t>
  </si>
  <si>
    <t>LPG fixed</t>
  </si>
  <si>
    <t>LPG bills total</t>
  </si>
  <si>
    <t>Total energy bills</t>
  </si>
  <si>
    <t>Energy usage</t>
  </si>
  <si>
    <t>Total electricity</t>
  </si>
  <si>
    <t>Electricity - appliances</t>
  </si>
  <si>
    <t>Energy and fuel bills</t>
  </si>
  <si>
    <t>Electricity bills</t>
  </si>
  <si>
    <t>Vehicle costs</t>
  </si>
  <si>
    <t>Space heating energy (kWh /year)</t>
  </si>
  <si>
    <t>Water heating energy (kWh /year)</t>
  </si>
  <si>
    <t>Cooktop energy (kWh /year)</t>
  </si>
  <si>
    <t>Other appliances and household loads (kWh /year)</t>
  </si>
  <si>
    <t>Vehicle energy (kWh /year)</t>
  </si>
  <si>
    <t>Emissions per year (kg CO2e)</t>
  </si>
  <si>
    <t>Emissions over 15 years (kg CO2e)</t>
  </si>
  <si>
    <t>Label - bills</t>
  </si>
  <si>
    <t>Label Vehicle costs</t>
  </si>
  <si>
    <t>Label Space heaters</t>
  </si>
  <si>
    <t>Label RUCs</t>
  </si>
  <si>
    <t>Location scenario variables</t>
  </si>
  <si>
    <t>Space heating needs</t>
  </si>
  <si>
    <t>Number of space heaters</t>
  </si>
  <si>
    <t>Solar capacity factor</t>
  </si>
  <si>
    <t>Label water heater</t>
  </si>
  <si>
    <t>Label vehicle servicing</t>
  </si>
  <si>
    <t>Label cooktop</t>
  </si>
  <si>
    <t>Auckland</t>
  </si>
  <si>
    <t>Label solar</t>
  </si>
  <si>
    <t>Wellington</t>
  </si>
  <si>
    <t>Label battery</t>
  </si>
  <si>
    <t>Christchurch</t>
  </si>
  <si>
    <t>Label Finance</t>
  </si>
  <si>
    <t>Dunedin</t>
  </si>
  <si>
    <t>Label Savings</t>
  </si>
  <si>
    <t>Label emissions</t>
  </si>
  <si>
    <t>Label finance GreenLoan</t>
  </si>
  <si>
    <t>Electricity use per year (kWh)</t>
  </si>
  <si>
    <t>10 years</t>
  </si>
  <si>
    <t>20 years</t>
  </si>
  <si>
    <t>25 years</t>
  </si>
  <si>
    <t>Electricity price</t>
  </si>
  <si>
    <t>Cost over 25 years</t>
  </si>
  <si>
    <t>Solar export earnings</t>
  </si>
  <si>
    <t>Electricity costs</t>
  </si>
  <si>
    <t>Net position</t>
  </si>
  <si>
    <t>Savings compared to grid only</t>
  </si>
  <si>
    <t>Cumulative savings</t>
  </si>
  <si>
    <t>Generaiton per year</t>
  </si>
  <si>
    <t>Self consumed</t>
  </si>
  <si>
    <t>Exported</t>
  </si>
  <si>
    <t>Export rate</t>
  </si>
  <si>
    <t>Cost per kW</t>
  </si>
  <si>
    <t>Additional inverter</t>
  </si>
  <si>
    <t>Total install cost</t>
  </si>
  <si>
    <t>Interest</t>
  </si>
  <si>
    <t>Term</t>
  </si>
  <si>
    <t>Year</t>
  </si>
  <si>
    <t>Electricity supply</t>
  </si>
  <si>
    <t>Petrol vehicle 2</t>
  </si>
  <si>
    <t>Gas cooktop</t>
  </si>
  <si>
    <t>Gas water heater</t>
  </si>
  <si>
    <t>Petrol vehicle 1</t>
  </si>
  <si>
    <t>Gas space heater</t>
  </si>
  <si>
    <t>Household emissions</t>
  </si>
  <si>
    <t>Emissions line</t>
  </si>
  <si>
    <t>Space electrified</t>
  </si>
  <si>
    <t>Water electrified</t>
  </si>
  <si>
    <t>Vehicle 1 electrified</t>
  </si>
  <si>
    <t>Vehicle 2 electrified</t>
  </si>
  <si>
    <t>Zero emission electricity</t>
  </si>
  <si>
    <t>Label: household emissions</t>
  </si>
  <si>
    <t>Electricity pricing</t>
  </si>
  <si>
    <t>Notes</t>
  </si>
  <si>
    <t>$/kWh volume (grid average flat)</t>
  </si>
  <si>
    <t>Daily fixed</t>
  </si>
  <si>
    <t>Fixed average per kWh</t>
  </si>
  <si>
    <t>Peak per kWh</t>
  </si>
  <si>
    <t>Off peak / ripple per kWh</t>
  </si>
  <si>
    <t>Next 15 years average price (linear trend)</t>
  </si>
  <si>
    <t>Next 15 years ripple</t>
  </si>
  <si>
    <t>Electricity (Grid average flat)</t>
  </si>
  <si>
    <t>Chart - electricity price stack</t>
  </si>
  <si>
    <t>Grid electricity average</t>
  </si>
  <si>
    <t>Grid electricity volume cost excl fixed costs</t>
  </si>
  <si>
    <t>Rooftop solar (0% finance)</t>
  </si>
  <si>
    <t>Rooftop solar with finance comparison</t>
  </si>
  <si>
    <t>Rooftop solar (10% finance)</t>
  </si>
  <si>
    <t>Forecast prices</t>
  </si>
  <si>
    <t>Rooftop solar and 50% storage</t>
  </si>
  <si>
    <t>Rooftop solar</t>
  </si>
  <si>
    <t>Generation</t>
  </si>
  <si>
    <t>Transmission</t>
  </si>
  <si>
    <t>Electricity price stack</t>
  </si>
  <si>
    <t>Incl GST</t>
  </si>
  <si>
    <t>Excl Gst</t>
  </si>
  <si>
    <t>Total Inc GST</t>
  </si>
  <si>
    <t>% fixed</t>
  </si>
  <si>
    <t>Volume $/kWh</t>
  </si>
  <si>
    <t>Fixed $/kWh</t>
  </si>
  <si>
    <t>Consumer NZ fixed cost</t>
  </si>
  <si>
    <t>Distribution</t>
  </si>
  <si>
    <t>Source from EMI, average NZ wholesale price over period 2019-2023 inclusive.  Distribution losses of 3.5% added per MBIE QSDEP document</t>
  </si>
  <si>
    <t>https://www.mbie.govt.nz/building-and-energy/energy-and-natural-resources/energy-statistics-and-modelling/energy-statistics/energy-prices/electricity-cost-and-price-monitoring/</t>
  </si>
  <si>
    <t>Per year</t>
  </si>
  <si>
    <t>Retail</t>
  </si>
  <si>
    <t>QSDEP Transmission component, average of 2023</t>
  </si>
  <si>
    <t>Per day</t>
  </si>
  <si>
    <t>Metering</t>
  </si>
  <si>
    <t>QSDEP Distribution component, average of 2023</t>
  </si>
  <si>
    <t>Other (EA levy)</t>
  </si>
  <si>
    <t>Other (EA Levy)</t>
  </si>
  <si>
    <t>https://www.ea.govt.nz/documents/3353/Gazette_Notice__Invoiced_levy_rates_2023-24.pdf</t>
  </si>
  <si>
    <t>Solar finance at 1%</t>
  </si>
  <si>
    <t>Solar finance at 5%</t>
  </si>
  <si>
    <t>Yearly fixed costs</t>
  </si>
  <si>
    <t>MBIE Price average</t>
  </si>
  <si>
    <t>Energy prices | Ministry of Business, Innovation &amp; Employment (mbie.govt.nz)</t>
  </si>
  <si>
    <t>https://www.mbie.govt.nz/assets/Uploads/Quarterly-Survey-of-Domestic-Electricity-Prices-QSDEP-15-November-2022.pdf</t>
  </si>
  <si>
    <t>https://www.ea.govt.nz/your-power/bill/</t>
  </si>
  <si>
    <t>Finance at 1%</t>
  </si>
  <si>
    <t>GreenLoan at 1%</t>
  </si>
  <si>
    <t>Finance at 5.5%</t>
  </si>
  <si>
    <t>Forecast cost</t>
  </si>
  <si>
    <t>$/kWh volume</t>
  </si>
  <si>
    <t>Natural gas</t>
  </si>
  <si>
    <t>https://www.gasindustry.co.nz/data/gas-pricing/</t>
  </si>
  <si>
    <t>Fixed rate calculation</t>
  </si>
  <si>
    <t>Average yearly use</t>
  </si>
  <si>
    <t>Fixed rate estimate</t>
  </si>
  <si>
    <t>$/kWh</t>
  </si>
  <si>
    <t>kWh/bottle</t>
  </si>
  <si>
    <t>Price per bottle</t>
  </si>
  <si>
    <t>Source1</t>
  </si>
  <si>
    <t>Source2</t>
  </si>
  <si>
    <t>LPG bottled</t>
  </si>
  <si>
    <t>How Long Do 45kg Gas Bottles Last - Elgas NZ</t>
  </si>
  <si>
    <t>Explore bottled gas pricing | Genesis NZ (genesisenergy.co.nz)</t>
  </si>
  <si>
    <t>kWh/kg</t>
  </si>
  <si>
    <t>Weight per cubic metre (Kg)</t>
  </si>
  <si>
    <t>Price per cubic metre</t>
  </si>
  <si>
    <t>MJ/kg</t>
  </si>
  <si>
    <t>Buying firewood: what to consider - Consumer NZ</t>
  </si>
  <si>
    <t>Wood fuel (mcgill.ca)</t>
  </si>
  <si>
    <t>$/L</t>
  </si>
  <si>
    <t>kWh/L</t>
  </si>
  <si>
    <t>AutoLPG</t>
  </si>
  <si>
    <t>Chart of fuel prices in New Zealand - myLPG.eu</t>
  </si>
  <si>
    <t>Price/kWh</t>
  </si>
  <si>
    <t>Upfront cost / KW</t>
  </si>
  <si>
    <t>Source</t>
  </si>
  <si>
    <t>CapFac</t>
  </si>
  <si>
    <t>Degredation / year</t>
  </si>
  <si>
    <t>Degredation multiplier</t>
  </si>
  <si>
    <t>https://www.eeca.govt.nz/assets/EECA-Resources/Research-papers-guides/Commercial-scale-solar-in-New-Zealand.pdf</t>
  </si>
  <si>
    <t>SEANZ May 2023</t>
  </si>
  <si>
    <t>Solar usage assumptions</t>
  </si>
  <si>
    <t>Grid or battery</t>
  </si>
  <si>
    <t>https://cdn.auckland.ac.nz/assets/business/about/our-research/research-institutes-and-centres/energy-centre/Working%20papers/Solar%20PV%20in%20a%20hydro%20based%20grid%20-A%20New%20Zealand%20case%20study.pdf</t>
  </si>
  <si>
    <t>Stove</t>
  </si>
  <si>
    <t>Other household</t>
  </si>
  <si>
    <t>Example system total cost (9kW + inverter replacement)</t>
  </si>
  <si>
    <t>Cost/kWh</t>
  </si>
  <si>
    <t>Upfront cost total</t>
  </si>
  <si>
    <t>Forecast pricing</t>
  </si>
  <si>
    <t>Upfront cost (example 9kW system) + inverter replacement</t>
  </si>
  <si>
    <t>Financed at 0%</t>
  </si>
  <si>
    <t>Financed at 1%</t>
  </si>
  <si>
    <t>Financed at 5.5%</t>
  </si>
  <si>
    <t>Financed at 10%</t>
  </si>
  <si>
    <t>Solar year by year</t>
  </si>
  <si>
    <t>Generated energy</t>
  </si>
  <si>
    <t>Degredation per year</t>
  </si>
  <si>
    <t>Year 1</t>
  </si>
  <si>
    <t>Year 2</t>
  </si>
  <si>
    <t>STAT FAQs Part 2: Lifetime of PV Panels | State, Local, and Tribal Governments | NREL</t>
  </si>
  <si>
    <t>Year 3</t>
  </si>
  <si>
    <t>Year 4</t>
  </si>
  <si>
    <t>Year 5</t>
  </si>
  <si>
    <t>3kW</t>
  </si>
  <si>
    <t>4kW</t>
  </si>
  <si>
    <t>5kW</t>
  </si>
  <si>
    <t>6kW</t>
  </si>
  <si>
    <t>7kW</t>
  </si>
  <si>
    <t>10kW</t>
  </si>
  <si>
    <t>Year 6</t>
  </si>
  <si>
    <t>Adelaide, SA</t>
  </si>
  <si>
    <t>Year 7</t>
  </si>
  <si>
    <t>Brisbane, QLD</t>
  </si>
  <si>
    <t>Year 8</t>
  </si>
  <si>
    <t>Canberra, ACT</t>
  </si>
  <si>
    <t>Year 9</t>
  </si>
  <si>
    <t>Darwin, NT</t>
  </si>
  <si>
    <t>Year 10</t>
  </si>
  <si>
    <t>Hobart, TAS</t>
  </si>
  <si>
    <t>Year 11</t>
  </si>
  <si>
    <t>Melbourne, VIC</t>
  </si>
  <si>
    <t>Year 12</t>
  </si>
  <si>
    <t>Sydney, NSW</t>
  </si>
  <si>
    <t>Year 13</t>
  </si>
  <si>
    <t>Perth, WA</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</si>
  <si>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</si>
  <si>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</si>
  <si>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</si>
  <si>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</si>
  <si>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</si>
  <si>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</si>
  <si>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</si>
  <si>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</si>
  <si>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</si>
  <si>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</si>
  <si>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</si>
  <si>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</si>
  <si>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</si>
  <si>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</si>
  <si>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</si>
  <si>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</si>
  <si>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</si>
  <si>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Total generaiton over 25 years</t>
  </si>
  <si>
    <t>Total generation over 30 years</t>
  </si>
  <si>
    <t>Degredation average</t>
  </si>
  <si>
    <t>Cost per kWh generated</t>
  </si>
  <si>
    <t>System example (9kW - Aus average 2023)</t>
  </si>
  <si>
    <t>Cost upfront</t>
  </si>
  <si>
    <t>Inverter replacement (assumes 1)</t>
  </si>
  <si>
    <t>Generated over lifetime</t>
  </si>
  <si>
    <t>Cost per kWh including inverter replacement (assumes 9kW install)</t>
  </si>
  <si>
    <t>Rate</t>
  </si>
  <si>
    <t>Battery pricing</t>
  </si>
  <si>
    <t>Upfront cost / kWh</t>
  </si>
  <si>
    <t>Upfront cost with degredation</t>
  </si>
  <si>
    <t>Average degredation over lifetime</t>
  </si>
  <si>
    <t>Financed at 5%</t>
  </si>
  <si>
    <t>Upfront cost (example 10kWh system)</t>
  </si>
  <si>
    <t>Degredation curve</t>
  </si>
  <si>
    <t>ETS Solar</t>
  </si>
  <si>
    <t>1kw solar</t>
  </si>
  <si>
    <t>Usable kWh of storage over life</t>
  </si>
  <si>
    <t>Example system (10kWh)</t>
  </si>
  <si>
    <t>Total upfront cost</t>
  </si>
  <si>
    <t>This section is in Quarters, rest is in years</t>
  </si>
  <si>
    <t>Quarterly CPI (quarters)</t>
  </si>
  <si>
    <t>Solid fuels</t>
  </si>
  <si>
    <t>All CPI</t>
  </si>
  <si>
    <t>Label today</t>
  </si>
  <si>
    <t>Average CPI change per year</t>
  </si>
  <si>
    <t>Average CPI change per year over last 10 years</t>
  </si>
  <si>
    <t>Average CPI change per year over last 5 years</t>
  </si>
  <si>
    <t>Average yearly CPI</t>
  </si>
  <si>
    <t>Label Electricity (excl fixed)</t>
  </si>
  <si>
    <t>Grid electricity (excl fixed)</t>
  </si>
  <si>
    <t>Label Gas</t>
  </si>
  <si>
    <t>Label Solid fuels</t>
  </si>
  <si>
    <t>Label Petrol</t>
  </si>
  <si>
    <t>Label All CPI</t>
  </si>
  <si>
    <t>Label LPG</t>
  </si>
  <si>
    <t>Label Electricity (incl fixed)</t>
  </si>
  <si>
    <t>Grid electricity (incl fixed)</t>
  </si>
  <si>
    <t>Price of energy (2023)</t>
  </si>
  <si>
    <t>Electricity (excl fixed)</t>
  </si>
  <si>
    <t>Electricity (incl fixed)</t>
  </si>
  <si>
    <t>Electricity fixed price</t>
  </si>
  <si>
    <t>Electricity: feed in tarrif</t>
  </si>
  <si>
    <t>Solar and battery prices</t>
  </si>
  <si>
    <t>https://ourworldindata.org/grapher/solar-pv-prices</t>
  </si>
  <si>
    <t>Price of solar (historic intnl adjusted to NZ)</t>
  </si>
  <si>
    <t>Forecast solar (NREL adjusted to NZ)</t>
  </si>
  <si>
    <t>Index ($/W for panels only)</t>
  </si>
  <si>
    <t>Solar at 0% finance</t>
  </si>
  <si>
    <t>Solar at 5.5%</t>
  </si>
  <si>
    <t>Label solar 5.5%</t>
  </si>
  <si>
    <t>Solar at 5.5% finance</t>
  </si>
  <si>
    <t>Forecast solar</t>
  </si>
  <si>
    <t>Solar purchased 2023 flat</t>
  </si>
  <si>
    <t>Solar flat label</t>
  </si>
  <si>
    <t>Solar installed with 5.5% finance in 2023</t>
  </si>
  <si>
    <t>Price of batteries (cycle)</t>
  </si>
  <si>
    <t>Forecast battery</t>
  </si>
  <si>
    <t>Index</t>
  </si>
  <si>
    <t>Battery at 0% finance</t>
  </si>
  <si>
    <t>Battery at 5.5%</t>
  </si>
  <si>
    <t>Forecast battery at 5.5%</t>
  </si>
  <si>
    <t>Label battery at 5.5%</t>
  </si>
  <si>
    <t>Battery at 5.5% finance</t>
  </si>
  <si>
    <t>Combined solar and battery (50%)</t>
  </si>
  <si>
    <t>Label combined solar and battery</t>
  </si>
  <si>
    <t xml:space="preserve">Solar &amp; 50% storage at 0% finance </t>
  </si>
  <si>
    <t>Forecast - Combined solar and battery (50%)</t>
  </si>
  <si>
    <t>Solar and battery (50%) at 5.5% finance</t>
  </si>
  <si>
    <t>Label solar and battery financed</t>
  </si>
  <si>
    <t xml:space="preserve">Solar &amp; 50% storage at 5.5% finance </t>
  </si>
  <si>
    <t>Forecast - Solar and battery (50%) at 5.5% finance</t>
  </si>
  <si>
    <t>Solar and battery (50%) purchased 2023</t>
  </si>
  <si>
    <t>Label solar and battery flat</t>
  </si>
  <si>
    <t>Solar and battery (50% stored) installed with 5.5% finance in 2023</t>
  </si>
  <si>
    <t>Productive prices</t>
  </si>
  <si>
    <t>Petrol through car</t>
  </si>
  <si>
    <t>Petrol trend</t>
  </si>
  <si>
    <t>Petrol label 2</t>
  </si>
  <si>
    <t>Petrol through engine</t>
  </si>
  <si>
    <t>Gas heating/water heating</t>
  </si>
  <si>
    <t>Gas trend</t>
  </si>
  <si>
    <t>Gas label</t>
  </si>
  <si>
    <t>LPG heating/water heating</t>
  </si>
  <si>
    <t>LPG trend</t>
  </si>
  <si>
    <t>LPG label</t>
  </si>
  <si>
    <t>Grid electricity through heat pump</t>
  </si>
  <si>
    <t>Trend</t>
  </si>
  <si>
    <t>Grid through heat pump</t>
  </si>
  <si>
    <t>Solar through heat pump</t>
  </si>
  <si>
    <t>Grid through EV</t>
  </si>
  <si>
    <t>Solar through EV</t>
  </si>
  <si>
    <t>Financed at __%</t>
  </si>
  <si>
    <t>Solar financed at 0%</t>
  </si>
  <si>
    <t>Solar financed at 1%</t>
  </si>
  <si>
    <t>Solar financed at 5.5%</t>
  </si>
  <si>
    <t>Solar financed at 10%</t>
  </si>
  <si>
    <t>Battery financed at 0%</t>
  </si>
  <si>
    <t>Battery financed at 1%</t>
  </si>
  <si>
    <t>Battery financed at 5.5%</t>
  </si>
  <si>
    <t>Battery financed at 10%</t>
  </si>
  <si>
    <t>Combined solar (100%) and battery (50%)</t>
  </si>
  <si>
    <t>Solar + battery (50%)</t>
  </si>
  <si>
    <t>Forecast solar 2030</t>
  </si>
  <si>
    <t>Forecast solar 2040</t>
  </si>
  <si>
    <t>Forecast battery 2030</t>
  </si>
  <si>
    <t>Forecast battery 2040</t>
  </si>
  <si>
    <t>Average home (mixed fuels)</t>
  </si>
  <si>
    <t>Cost over 12 years</t>
  </si>
  <si>
    <t>Savings over 12 years</t>
  </si>
  <si>
    <t>Linear trend average home</t>
  </si>
  <si>
    <t>Conventional gas and petrol home</t>
  </si>
  <si>
    <t>Linear trend with 30 years of CPI</t>
  </si>
  <si>
    <t>Label for average home</t>
  </si>
  <si>
    <t>Gas &amp; petrol conventional home</t>
  </si>
  <si>
    <t>Linear trend from 30 year CPI history</t>
  </si>
  <si>
    <t>Label for gas</t>
  </si>
  <si>
    <t>Gas and Petrol home</t>
  </si>
  <si>
    <t>Energy use</t>
  </si>
  <si>
    <t>LPG &amp; petrol conventional home</t>
  </si>
  <si>
    <t>Label for LPG</t>
  </si>
  <si>
    <t>LPG &amp; Petrol home</t>
  </si>
  <si>
    <t>Electrified home using grid electricity</t>
  </si>
  <si>
    <t>Label for electrified grid only</t>
  </si>
  <si>
    <t>Electrified home solar &amp; grid</t>
  </si>
  <si>
    <t>Label for solar &amp; grid</t>
  </si>
  <si>
    <t>Electrified home using solar and battery (60%)</t>
  </si>
  <si>
    <t>Label for solar &amp; battery</t>
  </si>
  <si>
    <t>Electrified, solar &amp; battery</t>
  </si>
  <si>
    <t>Forecast electrified home using solar and battery (60%)</t>
  </si>
  <si>
    <t>Label for forecast</t>
  </si>
  <si>
    <t>Forecast 2030</t>
  </si>
  <si>
    <t>Solar photovoltaic module price</t>
  </si>
  <si>
    <t>Battery price calculation</t>
  </si>
  <si>
    <t>Battery price</t>
  </si>
  <si>
    <t>Homes</t>
  </si>
  <si>
    <t>Occupied private dwellings September 2022</t>
  </si>
  <si>
    <t>View table - Infoshare - Statistics New Zealand (stats.govt.nz)</t>
  </si>
  <si>
    <t>People per home</t>
  </si>
  <si>
    <t>Cars per home</t>
  </si>
  <si>
    <t>Lifetimes</t>
  </si>
  <si>
    <t>Study report SR329 Heat pumps in New Zealand (d39d3mj7qio96p.cloudfront.net)</t>
  </si>
  <si>
    <t>Appliance capacity factors</t>
  </si>
  <si>
    <t>Electric Resistive Heating / Bar heating</t>
  </si>
  <si>
    <t>Warm Homes Technical Report: Detailed Study of Heating Options in New Zealand: Phase 1 Report (environment.govt.nz)</t>
  </si>
  <si>
    <t>Electric Heat Pump (AC)</t>
  </si>
  <si>
    <t>EECA</t>
  </si>
  <si>
    <t>Electric underfloor</t>
  </si>
  <si>
    <t>Natural Gas Heating - Flued</t>
  </si>
  <si>
    <t>Natural Gas Heating - Radiant</t>
  </si>
  <si>
    <t>Gas - flame effect</t>
  </si>
  <si>
    <t>Gas - portable unflued</t>
  </si>
  <si>
    <t>Gas central heating</t>
  </si>
  <si>
    <t>LPG Heating</t>
  </si>
  <si>
    <t>Pellet Burner</t>
  </si>
  <si>
    <t>Diesel boiler</t>
  </si>
  <si>
    <t>Electric Tank Resistive</t>
  </si>
  <si>
    <t>Assumed</t>
  </si>
  <si>
    <t>Electric Tank Heat Pump</t>
  </si>
  <si>
    <t>Natural Gas Instant</t>
  </si>
  <si>
    <t>Water Heater Key Product Criteria | ENERGY STAR</t>
  </si>
  <si>
    <t>LPG Instant</t>
  </si>
  <si>
    <t>Natural Gas Tank</t>
  </si>
  <si>
    <t>Wood Water Heating</t>
  </si>
  <si>
    <t>Calculated by tank efficieny multiplied by wood space heating efficiency</t>
  </si>
  <si>
    <t>Solar - Electric backup</t>
  </si>
  <si>
    <t>Solar - gas backup</t>
  </si>
  <si>
    <t>https://cao-94612.s3.amazonaws.com/documents/Induction-Range-Final-Report-July-2019.pdf</t>
  </si>
  <si>
    <t>Electric Oven</t>
  </si>
  <si>
    <t>Natural Gas Oven</t>
  </si>
  <si>
    <t>LPG Oven</t>
  </si>
  <si>
    <t>Natural Gas Cooktop</t>
  </si>
  <si>
    <t>Electric Resistive Cooktop</t>
  </si>
  <si>
    <t>Electric Induction Cooktop</t>
  </si>
  <si>
    <t>Electric Upright (Uses 86% stove / 14% oven)</t>
  </si>
  <si>
    <t>Natural Gas Upright (Uses 86% stove / 14% oven)</t>
  </si>
  <si>
    <t>LPG Upright (Uses 86% stove / 14% oven)</t>
  </si>
  <si>
    <t>Average Electric Cooking Efficiency (Excl Microwaves)</t>
  </si>
  <si>
    <t>Average NG Cooking Efficiency</t>
  </si>
  <si>
    <t>Average LPG Cooking Efficiency</t>
  </si>
  <si>
    <t>Microwave Cooking Efficiency</t>
  </si>
  <si>
    <t>Vehicle energy factors</t>
  </si>
  <si>
    <t>Gasoline car</t>
  </si>
  <si>
    <t>Where the Energy Goes: Gasoline Vehicles (fueleconomy.gov)</t>
  </si>
  <si>
    <t>Hybrid (not PHEV)</t>
  </si>
  <si>
    <t>Where the Energy Goes: Hybrids (fueleconomy.gov)</t>
  </si>
  <si>
    <t>Electric car</t>
  </si>
  <si>
    <t>Where the Energy Goes: Electric Cars (fueleconomy.gov)</t>
  </si>
  <si>
    <t>Charging losses (included above)</t>
  </si>
  <si>
    <t>EV to ICE ratio</t>
  </si>
  <si>
    <t>Diesel Generator</t>
  </si>
  <si>
    <t>(PDF) Opportunities for Waste Heat Recovery at Contingency Bases (researchgate.net)</t>
  </si>
  <si>
    <t>Conversion factors</t>
  </si>
  <si>
    <t xml:space="preserve">1 PJ = kWh </t>
  </si>
  <si>
    <t>1 TJ = kWh</t>
  </si>
  <si>
    <t>1 GJ = kWh</t>
  </si>
  <si>
    <t>Heating - Cooling AC ratio</t>
  </si>
  <si>
    <t>Cooking misc</t>
  </si>
  <si>
    <t>Amount of induction stoves assumed</t>
  </si>
  <si>
    <t>Public Interest in Gas Stoves, Heating Systems Has Inched Down Over the Past Year (morningconsult.com)</t>
  </si>
  <si>
    <t>Amount of gas used by stoves to ovens ratio</t>
  </si>
  <si>
    <t>Vehicle misc</t>
  </si>
  <si>
    <t>Fuel</t>
  </si>
  <si>
    <t>Hybrid energy use scale</t>
  </si>
  <si>
    <t>PHEV energy use scale</t>
  </si>
  <si>
    <t>EPA Fuel Economy</t>
  </si>
  <si>
    <t>1 gallon of gasoline=33.7 kWh</t>
  </si>
  <si>
    <t>Km per mile</t>
  </si>
  <si>
    <t>Litres per gallon</t>
  </si>
  <si>
    <t>Petrol kWh/L</t>
  </si>
  <si>
    <t>Diesel kWh/L</t>
  </si>
  <si>
    <t>AutoLPG kWh/L</t>
  </si>
  <si>
    <t>https://d39d3mj7qio96p.cloudfront.net/media/documents/SR221_Energy_use_in_New_Zealand_Households_-_final_HEEP_report.pdf</t>
  </si>
  <si>
    <t>Emissions factors</t>
  </si>
  <si>
    <t>Electricity (grid)</t>
  </si>
  <si>
    <t>https://figure.nz/chart/vdTbdOaKUE9zTKo3</t>
  </si>
  <si>
    <t>People</t>
  </si>
  <si>
    <t>Average per home</t>
  </si>
  <si>
    <t>Occupied private dwellings</t>
  </si>
  <si>
    <t>Emissions Factors</t>
  </si>
  <si>
    <t>Natural Gas</t>
  </si>
  <si>
    <t>kgCO2e/kWh</t>
  </si>
  <si>
    <t>EECA gas water heater sales</t>
  </si>
  <si>
    <t>Sales Units</t>
  </si>
  <si>
    <t>Estimated (linear trend)</t>
  </si>
  <si>
    <t>EECA data</t>
  </si>
  <si>
    <t>Energy price forecasts</t>
  </si>
  <si>
    <t>CPI adjusted from today's energy prices</t>
  </si>
  <si>
    <t>Solar price forecast</t>
  </si>
  <si>
    <t>$/kW</t>
  </si>
  <si>
    <t>Advanced</t>
  </si>
  <si>
    <t>Residential PV | Electricity | 2023 | ATB | NREL</t>
  </si>
  <si>
    <t>Battery price forecast</t>
  </si>
  <si>
    <t>Multiplier</t>
  </si>
  <si>
    <t>Residential Battery Storage | Electricity | 2023 | ATB | NREL</t>
  </si>
  <si>
    <t>Electric vehicle price</t>
  </si>
  <si>
    <t>% of parity</t>
  </si>
  <si>
    <t>Use delayed multiplier</t>
  </si>
  <si>
    <t>Standard multiplier</t>
  </si>
  <si>
    <t>Delayed multiplier (by 1 year - 2022 = 152%)</t>
  </si>
  <si>
    <t>Multiplier in use</t>
  </si>
  <si>
    <t>Source:</t>
  </si>
  <si>
    <t>https://www.transportenvironment.org/sites/te/files/publications/2021_05_05_Electric_vehicle_price_parity_and_adoption_in_Europe_Final.pdf</t>
  </si>
  <si>
    <t>Heat pump cost curve</t>
  </si>
  <si>
    <t>$/kW (USD from IEA)</t>
  </si>
  <si>
    <t>Cumulative capacity and capital cost learning curve for vapour compression applications in the Sustainable Development Scenario, 2019-2070 – Charts – Data &amp; Statistics - IEA</t>
  </si>
  <si>
    <t>Home batteries</t>
  </si>
  <si>
    <t>Heat pumps</t>
  </si>
  <si>
    <t>EV's</t>
  </si>
  <si>
    <t>Home battery</t>
  </si>
  <si>
    <t>Label heat pump</t>
  </si>
  <si>
    <t>Label EV</t>
  </si>
  <si>
    <t>Battery forecast</t>
  </si>
  <si>
    <t>Input from 2023 NREL</t>
  </si>
  <si>
    <t>NREL Advanced curve</t>
  </si>
  <si>
    <t>NREL Moderate curve</t>
  </si>
  <si>
    <t>NZ price per kWh Offset by 1 year</t>
  </si>
  <si>
    <t>Moderate</t>
  </si>
  <si>
    <t>PV forecast</t>
  </si>
  <si>
    <t>Historic</t>
  </si>
  <si>
    <t>RBS Homes occupied and unoccupied</t>
  </si>
  <si>
    <t>New Zealand</t>
  </si>
  <si>
    <t>PJ</t>
  </si>
  <si>
    <t>Space conditioning</t>
  </si>
  <si>
    <t>Electric resistive</t>
  </si>
  <si>
    <t>Evaporative (mostly central)</t>
  </si>
  <si>
    <t>LPG gas non-ducted</t>
  </si>
  <si>
    <t>Mains gas ducted</t>
  </si>
  <si>
    <t>Mains gas non-ducted</t>
  </si>
  <si>
    <t>Wood Heaters</t>
  </si>
  <si>
    <t>Electric Water - Med/Large</t>
  </si>
  <si>
    <t>Electric Water - Small</t>
  </si>
  <si>
    <t>Gas instant (LPG)</t>
  </si>
  <si>
    <t>Gas instant (mains)</t>
  </si>
  <si>
    <t>Gas storage (LPG)</t>
  </si>
  <si>
    <t>Gas storage (mains)</t>
  </si>
  <si>
    <t>Solar electric</t>
  </si>
  <si>
    <t>Solar gas</t>
  </si>
  <si>
    <t>Ovens</t>
  </si>
  <si>
    <t>Uprights</t>
  </si>
  <si>
    <t>CFL</t>
  </si>
  <si>
    <t>ELV halogen</t>
  </si>
  <si>
    <t>LED</t>
  </si>
  <si>
    <t>Linear fluorescent</t>
  </si>
  <si>
    <t>MV halogen</t>
  </si>
  <si>
    <t>MV incandescent</t>
  </si>
  <si>
    <t>Whitegoods</t>
  </si>
  <si>
    <t>Clothes dryers</t>
  </si>
  <si>
    <t>Clothes washers</t>
  </si>
  <si>
    <t>Dishwashers</t>
  </si>
  <si>
    <t>Freezers</t>
  </si>
  <si>
    <t>Refrigerators</t>
  </si>
  <si>
    <t>Pool Equipment - Elec</t>
  </si>
  <si>
    <t>Pool Equipment - NG</t>
  </si>
  <si>
    <t>Pumps</t>
  </si>
  <si>
    <t>IT&amp;Media</t>
  </si>
  <si>
    <t>Misc &amp; other</t>
  </si>
  <si>
    <t>Other total - excluding Pool and Pumps</t>
  </si>
  <si>
    <t>Reconcile with total</t>
  </si>
  <si>
    <t>Appliances</t>
  </si>
  <si>
    <t>Transport</t>
  </si>
  <si>
    <t>Total Electricity</t>
  </si>
  <si>
    <t>Total Natural Gas</t>
  </si>
  <si>
    <t>Total LPG</t>
  </si>
  <si>
    <t>Total Wood</t>
  </si>
  <si>
    <t>Total Energy</t>
  </si>
  <si>
    <t>Total energy</t>
  </si>
  <si>
    <t>Sum of Stock</t>
  </si>
  <si>
    <t xml:space="preserve">White goods  </t>
  </si>
  <si>
    <t>IT&amp;HE</t>
  </si>
  <si>
    <t>Computers - desktop</t>
  </si>
  <si>
    <t>Computers - laptop</t>
  </si>
  <si>
    <t>Game consoles</t>
  </si>
  <si>
    <t>Home entertainment - other (mostly audio equipment)</t>
  </si>
  <si>
    <t>Miscellaneous IT equipment</t>
  </si>
  <si>
    <t>Monitors (used with desktop computers)</t>
  </si>
  <si>
    <t>Set-top box - free-to-air</t>
  </si>
  <si>
    <t>Set-top box - subscription</t>
  </si>
  <si>
    <t>Television - composite average</t>
  </si>
  <si>
    <t>Video players and media recorders</t>
  </si>
  <si>
    <t>Wireless/Wired networked device</t>
  </si>
  <si>
    <t>Other Equipment</t>
  </si>
  <si>
    <t>Battery chargers</t>
  </si>
  <si>
    <t>Class 2 Common Areas</t>
  </si>
  <si>
    <t>Miscellaneous</t>
  </si>
  <si>
    <t>Cooking Products</t>
  </si>
  <si>
    <t>Combined space heating and space cooling equipment</t>
  </si>
  <si>
    <t>Heating Equipment</t>
  </si>
  <si>
    <t>Space cooling equipment</t>
  </si>
  <si>
    <t>Hot water heaters</t>
  </si>
  <si>
    <t>PV</t>
  </si>
  <si>
    <t>PV NZ</t>
  </si>
  <si>
    <t>BSS</t>
  </si>
  <si>
    <t>Batt Storage</t>
  </si>
  <si>
    <t>Electric vehicle</t>
  </si>
  <si>
    <t>EV</t>
  </si>
  <si>
    <t>Item price</t>
  </si>
  <si>
    <t>Install cost</t>
  </si>
  <si>
    <t>Heat pump large</t>
  </si>
  <si>
    <t>Heat pump small</t>
  </si>
  <si>
    <t>Gas heater mains</t>
  </si>
  <si>
    <t>Gas heater LPG</t>
  </si>
  <si>
    <t>Resistance electric</t>
  </si>
  <si>
    <t>Install cost - replace different or new</t>
  </si>
  <si>
    <t>Total cost - replace different</t>
  </si>
  <si>
    <t>Heat pump water heater large</t>
  </si>
  <si>
    <t>Resistive water heater large</t>
  </si>
  <si>
    <t>Resistive water heater small</t>
  </si>
  <si>
    <t>Gas water heater instant</t>
  </si>
  <si>
    <t>LPG water heater instant</t>
  </si>
  <si>
    <t>Induction</t>
  </si>
  <si>
    <t>Resistive</t>
  </si>
  <si>
    <t>Assumed price</t>
  </si>
  <si>
    <t>Link/source</t>
  </si>
  <si>
    <t>Install costs</t>
  </si>
  <si>
    <t>Full installed price</t>
  </si>
  <si>
    <t>Date accessed</t>
  </si>
  <si>
    <t>Small ~3kW</t>
  </si>
  <si>
    <t>Bunnings</t>
  </si>
  <si>
    <t>Carrier Supply &amp; Standard Install 3.50kw Cool 3.75 Heat $2,005.00</t>
  </si>
  <si>
    <t>Rinnai Q Series Supply &amp; Standard Install 3.4kw Cool 3.5kw Heat $1,959.00</t>
  </si>
  <si>
    <t>Rinnai Pro Series Supply &amp; Standard Install 3.5kw Cool 4kw Heat $2,050.00</t>
  </si>
  <si>
    <t>Toshiba Haori Supply &amp; Standard Install 2.5kw Cool 3.2kw Heat $2,779.00</t>
  </si>
  <si>
    <t>https://www.bunnings.co.nz/mitsubishi-avanti-3-5kw-reverse-cycle-split-system-heat-pump_p4442100</t>
  </si>
  <si>
    <t>Mitre10</t>
  </si>
  <si>
    <t>Heat Pumps &amp; Air Conditioners | Mitre 10 | Mitre10™</t>
  </si>
  <si>
    <t>ConsumerNZ</t>
  </si>
  <si>
    <t>https://www.consumer.org.nz/articles/heat-pump-installation-and-costs</t>
  </si>
  <si>
    <t>KiwiHeatPump</t>
  </si>
  <si>
    <t>https://www.kiwiheatpump.co.nz/product/daikin-cora-ftxm35uvmz-2-8kw-heat-pumpair-conditioner/</t>
  </si>
  <si>
    <t>PlaceMakers</t>
  </si>
  <si>
    <t>https://www.placemakers.co.nz/online/p/7729288</t>
  </si>
  <si>
    <t>https://www.placemakers.co.nz/online/p/7729378</t>
  </si>
  <si>
    <t>https://www.placemakers.co.nz/online/p/7729292</t>
  </si>
  <si>
    <t>Large ~7kW</t>
  </si>
  <si>
    <t>Rinnai Q Series Supply &amp; Standard Install 7.0kw Cool 7.0kw Heat $2,879.00</t>
  </si>
  <si>
    <t>Carrier Supply &amp; Standard Install 7kw Cool 7.6kw Heat $2,899.00</t>
  </si>
  <si>
    <t>Rinnai Pro Series Supply &amp; Standard Install 7kw Cool 7.5kw Heat $3,155.00</t>
  </si>
  <si>
    <t>Rinnai Pro Series Supply &amp; Standard Install 6kw Cool 6.2kw Heat $2,760.00</t>
  </si>
  <si>
    <t>Hitachi | Premium Heat Pump Air Conditioner 7kW/8kW Reverse | Mitre10</t>
  </si>
  <si>
    <t>https://www.kiwiheatpump.co.nz/product/daikin-cora-ftxm60uvmz-7-3kw-heat-pumpair-conditioner/</t>
  </si>
  <si>
    <t>https://www.placemakers.co.nz/online/p/7765327</t>
  </si>
  <si>
    <t>Seiya Heat Pump 7.1kW Cool / 8kW Heat</t>
  </si>
  <si>
    <t>https://www.placemakers.co.nz/online/p/7738581</t>
  </si>
  <si>
    <t>Carrier Hi Wall Heat Pump 8.30kW Heat / 8.00kW Cool 53QHG080</t>
  </si>
  <si>
    <t>https://www.placemakers.co.nz/online/p/7772043</t>
  </si>
  <si>
    <t>Rinnai Pro Series High Wall Heat Pump 8kW Wi-Fi</t>
  </si>
  <si>
    <t>https://www.placemakers.co.nz/online/p/7738580</t>
  </si>
  <si>
    <t>Carrier Hi Wall Heat Pump 7.60kW Heat / 7.00kW Cool 53QHG070</t>
  </si>
  <si>
    <t>Fujitsu E3 Lifestyle Wall Mounted Heat Pump Hi Wall Set 7.1kW Cool 8.0kW Heat</t>
  </si>
  <si>
    <t>https://www.placemakers.co.nz/online/p/7758936</t>
  </si>
  <si>
    <t>Toshiba Hi Wall Heat Pump 8.0kW / 7.1kW E2KVSG24</t>
  </si>
  <si>
    <t>https://www.kiwiheatpump.co.nz/product/fujitsu-astg18kmcb-6-0kw-wifi-heat-pump-air-conditioner/</t>
  </si>
  <si>
    <t>FUJITSU ASTG18KMCB 6.0KW WIFI HEAT PUMP/ AIR CONDITIONER</t>
  </si>
  <si>
    <t>Gas heaters</t>
  </si>
  <si>
    <t>PlumbingPlusNZ</t>
  </si>
  <si>
    <t>https://www.plumbingplus.co.nz/products/rinnai-energysaver-561ft-gas-heater/</t>
  </si>
  <si>
    <t>https://www.plumbingplus.co.nz/products/rinnai-energysaver-1005ft-gas-heater/</t>
  </si>
  <si>
    <t>Rinnai | Energysaver NG Convector Heater 5.3kW | Mitre10</t>
  </si>
  <si>
    <t>https://www.consumer.org.nz/articles/flued-gas-heaters</t>
  </si>
  <si>
    <t>https://www.placemakers.co.nz/online/p/3801266</t>
  </si>
  <si>
    <t>Rinnai Energysaver 559 Power Flued Natural Gas Heater RHF559FTWN</t>
  </si>
  <si>
    <t>https://www.placemakers.co.nz/online/p/3800355</t>
  </si>
  <si>
    <t>Rinnai Energysaver 1005 Power Flued Natural Gas Heater 8.8kW White RHF1005FTWN</t>
  </si>
  <si>
    <t>LPG heaters</t>
  </si>
  <si>
    <t>https://www.placemakers.co.nz/online/p/3801681</t>
  </si>
  <si>
    <t>Rinnai Energysaver 561 Power Flued Gas Heater 4.8kW LPG White RHF561FTWL</t>
  </si>
  <si>
    <t>https://www.placemakers.co.nz/online/p/3800354</t>
  </si>
  <si>
    <t>Rinnai Energysaver 1005 Power Flued Gas Heater 8.8kW LPG White RHF1005FTWL</t>
  </si>
  <si>
    <t>Item Price</t>
  </si>
  <si>
    <t>Flue cost</t>
  </si>
  <si>
    <t>Full price</t>
  </si>
  <si>
    <t>https://www.mitre10.co.nz/shop/metrofires-wee-rad-woody-wood-fire/p/290929</t>
  </si>
  <si>
    <t>15kW peak</t>
  </si>
  <si>
    <t>https://kent.co.nz/product/aspiring-wood-fire/</t>
  </si>
  <si>
    <t>18kW peak</t>
  </si>
  <si>
    <t>https://www.mitre10.co.nz/shop/metrofires-xtreme-rad-wood-fire/p/280158</t>
  </si>
  <si>
    <t>https://metrofires.co.nz/products/fires/indoor-fires/freestanding-fires/rad-plus/</t>
  </si>
  <si>
    <t>16kW peak</t>
  </si>
  <si>
    <t>Assumed install cost</t>
  </si>
  <si>
    <t>https://www.mitre10.co.nz/shop/woodsman-log-burner-flare-wood-box/p/192756</t>
  </si>
  <si>
    <t>12kW peak</t>
  </si>
  <si>
    <t>https://metrofires.co.nz/products/fires/indoor-fires/freestanding-fires/ambie-one-ht/</t>
  </si>
  <si>
    <t>https://metrofires.co.nz/products/fires/indoor-fires/freestanding-fires/ltd-wee-rad-base/</t>
  </si>
  <si>
    <t>15 kW peak</t>
  </si>
  <si>
    <t>https://www.mitre10.co.nz/shop/masport-flue-kit-for-wood-fires/p/269962</t>
  </si>
  <si>
    <t>Flue kit</t>
  </si>
  <si>
    <t>https://www.mitre10.co.nz/shop/woodsman-heatsaver-flue-kit-w/1200-heat-shield/p/232676</t>
  </si>
  <si>
    <t>https://www.mitre10.co.nz/shop/metrofires-eco-flue-kit---galvanised-liner/p/319881</t>
  </si>
  <si>
    <t>https://metrofires.co.nz/products/accessories/flue-systems/eco-flue-kit-stainless-liner/</t>
  </si>
  <si>
    <t>Resistance water heating</t>
  </si>
  <si>
    <t>Install costs - Replace gas</t>
  </si>
  <si>
    <t>Install costs - Replace same</t>
  </si>
  <si>
    <t>Full install price - Replace gas</t>
  </si>
  <si>
    <t>Full install price - Replace same</t>
  </si>
  <si>
    <t>Small-medium resistance</t>
  </si>
  <si>
    <t>HotWaterSolutions</t>
  </si>
  <si>
    <t>Rheem Cylinder 180L VE - Hot Water Solutions</t>
  </si>
  <si>
    <t>Thermann Cylinder 180L - Hot Water Solutions</t>
  </si>
  <si>
    <t>Protank Plus Cylinder 185L - Hot Water Solutions</t>
  </si>
  <si>
    <t>AKLPlumbersGrp</t>
  </si>
  <si>
    <t>https://aucklandplumbersgroup.co.nz/shop/thermann-180l-hwc-upgrade/</t>
  </si>
  <si>
    <t>https://aucklandplumbersgroup.co.nz/shop/rheem-mains%e2%80%91pressure-upgrade/</t>
  </si>
  <si>
    <t>Rheem Electric Water Heater 180L 488 x 1720mm Galvanised Steel - Bunnings New Zealand</t>
  </si>
  <si>
    <t>Rinnai | Enamel Mains Pressure Indoor/Outdoor Hot Water Cylinder | Mitre10</t>
  </si>
  <si>
    <t>HotWaterShopCoNZ</t>
  </si>
  <si>
    <t>https://hotwatershop.co.nz/product/dux-proflow-180l-outdoor-mains-pressure-cylinder-1697-x-492/</t>
  </si>
  <si>
    <t>https://hotwatershop.co.nz/product/rheem180l-hot-water-system-installation-all-inclusive/</t>
  </si>
  <si>
    <t>https://www.plumbingplus.co.nz/products/rheem-180l-mains-pressure-vitreous-enamel-electric-water-heater/</t>
  </si>
  <si>
    <t>https://www.plumbingplus.co.nz/products/rheem-180l-optima-mains-pressure-electric-water-heater/</t>
  </si>
  <si>
    <t>https://www.plumbingplus.co.nz/products/dux-water-heaters-dux-hot-water-cylinder-125l/</t>
  </si>
  <si>
    <t>Average for small-medium resistance</t>
  </si>
  <si>
    <t>Large resistance</t>
  </si>
  <si>
    <t>Rheem Cylinder 250L VE - Hot Water Solutions</t>
  </si>
  <si>
    <t>Rheem Cylinder 300L SS - Hot Water Solutions</t>
  </si>
  <si>
    <t>LaserQueenstown</t>
  </si>
  <si>
    <t>250L</t>
  </si>
  <si>
    <t>https://hotwatershop.co.nz/product/dux-proflow-250l-outdoor-mains-pressure-cylinder-620-x-1445/</t>
  </si>
  <si>
    <t>https://hotwatershop.co.nz/product/rheem-300l-mains-pressure-hot-water-cylinder-580x1815mm/</t>
  </si>
  <si>
    <t>https://www.plumbingplus.co.nz/products/rheem-300l-mains-pressure-vitreous-enamel-electric-water-heater/</t>
  </si>
  <si>
    <t>https://www.plumbingplus.co.nz/products/rheem-300l-optima-mains-pressure-electric-water-heater/</t>
  </si>
  <si>
    <t>https://www.plumbingplus.co.nz/products/dux-water-heaters-dux-hot-water-cylinder-250l/</t>
  </si>
  <si>
    <t>Average for large resistance</t>
  </si>
  <si>
    <t>Average for resistance combined</t>
  </si>
  <si>
    <t>Enviroheat Heat Pump Hot Water 200L - Hot Water Solutions</t>
  </si>
  <si>
    <t>Enviroheat Heat Pump Hot Water 250L - Hot Water Solutions</t>
  </si>
  <si>
    <t>Rheem Ambiheat Heat Pump 270L - Hot Water Solutions</t>
  </si>
  <si>
    <t>Stiebel Eltron Heat Pump Hot Water 220L - Hot Water Solutions</t>
  </si>
  <si>
    <t>Stiebel Eltron Heat Pump Hot Water 302L - Hot Water Solutions</t>
  </si>
  <si>
    <t>Ecospring Heat Pump Hot Water 190L - Hot Water Solutions</t>
  </si>
  <si>
    <t>Ecospring Heat Pump Hot Water 300L - Hot Water Solutions</t>
  </si>
  <si>
    <t>HP300 Heat Pump Hot Water Cylinder 300L | Hot Water Shop</t>
  </si>
  <si>
    <t>https://hotwatershop.co.nz/product/es190-heat-pump-hot-water-cylinder/</t>
  </si>
  <si>
    <t>https://hotwatershop.co.nz/product/econergy-hp4000lt-heat-pump-water-heater/</t>
  </si>
  <si>
    <t>https://hotwatershop.co.nz/product/stiebel-eltron-220l-hot-water-heat-pump-690-1553mm/</t>
  </si>
  <si>
    <t>https://www.plumbingplus.co.nz/products/parex-ecospring-190-litre-hot-water-heat-pump/</t>
  </si>
  <si>
    <t>https://www.placemakers.co.nz/online/electrical-heatingcooling/heating-ventilation-cooling/heat-pumps/special-order-heat-pumps/hydraheat-hot-water-heat-pump/p/7819866</t>
  </si>
  <si>
    <t>Gas instant</t>
  </si>
  <si>
    <t>Install costs - Replace cylinder</t>
  </si>
  <si>
    <t>Full install price - Replace cylinder</t>
  </si>
  <si>
    <t>Rheem Gas 16 - Hot Water Solutions</t>
  </si>
  <si>
    <t>Rheem Gas 20 - Hot Water Solutions</t>
  </si>
  <si>
    <t>Reliable Rheem Gas Water Heaters - Efficient Hot Water Supply (hotwatersolutions.nz)</t>
  </si>
  <si>
    <t>Endless Hot Water with Rinnai Infinity Gas Hot Water System (hotwatersolutions.nz)</t>
  </si>
  <si>
    <t>Rinnai Infinity Gas 26 - Hot Water Solutions</t>
  </si>
  <si>
    <t>Thermann Gas Hot Water Califont in NZ (hotwatersolutions.nz)</t>
  </si>
  <si>
    <t>Thermann Gas 26R - Hot Water Solutions</t>
  </si>
  <si>
    <t>Thermann Gas 32R - Hot Water Solutions</t>
  </si>
  <si>
    <t>https://aucklandplumbersgroup.co.nz/shop/rinnai-infinity/</t>
  </si>
  <si>
    <t>https://aucklandplumbersgroup.co.nz/shop/thermann-26/</t>
  </si>
  <si>
    <t>https://www.bunnings.co.nz/rheem-26l-natural-gas-continuous-flow-water-heater-external_p0119137</t>
  </si>
  <si>
    <t>https://www.bunnings.co.nz/rheem-27l-natural-gas-continuous-flow-external-water-heater_p0289093</t>
  </si>
  <si>
    <t>Rheem | Continuous Flow Gas Water Heater | Mitre10</t>
  </si>
  <si>
    <t>https://hotwatershop.co.nz/product/rinnai-hot-water-unit-a16l/</t>
  </si>
  <si>
    <t>https://hotwatershop.co.nz/product/rinnai-gas-hot-water-system/</t>
  </si>
  <si>
    <t>https://www.plumbingplus.co.nz/products/rinnai-infinity-a20-20l-external-continuous-flow-gas-water-heater/</t>
  </si>
  <si>
    <t>https://www.plumbingplus.co.nz/products/rheem-20l-gas-continuous-flow-external-water-heater/</t>
  </si>
  <si>
    <t>https://www.plumbingplus.co.nz/products/rheem-27l-gas-continuous-flow-external-water-heater/</t>
  </si>
  <si>
    <t>https://www.plumbingplus.co.nz/products/dux-water-heaters-dux-non-condensing-flow-unit-21l/</t>
  </si>
  <si>
    <t>LPG instant</t>
  </si>
  <si>
    <t>Rheem LPG Gas Continuous Flow Water Heater External 20L - Bunnings New Zealand</t>
  </si>
  <si>
    <t>Rheem 27L LPG Gas Continuous Flow External Water Heater - Bunnings New Zealand</t>
  </si>
  <si>
    <t>Rinnai | LPG Continuous Flow External Gas Hot Water Heater | Mitre10</t>
  </si>
  <si>
    <t>Item</t>
  </si>
  <si>
    <t>Total installed cost</t>
  </si>
  <si>
    <t>Gas hob</t>
  </si>
  <si>
    <t>Gas Hob Installation | Auckland Plumbers Group</t>
  </si>
  <si>
    <t>HarveyNorman</t>
  </si>
  <si>
    <t>https://www.harveynorman.co.nz/whiteware/kitchen/cooktops/whirlpool-60cm-4-burner-gas-cooktop-stainless-steel-gmwl628ixlaus.html</t>
  </si>
  <si>
    <t>https://www.harveynorman.co.nz/whiteware/kitchen/cooktops/aeg-60cm-4-burner-gas-on-steel-cooktop-stainless-steel-hg60fxa.html</t>
  </si>
  <si>
    <t>https://www.harveynorman.co.nz/whiteware/kitchen/cooktops/fisher-and-paykel-60cm-4-burner-lpg-gas-cooktop-stainless-steel-series-5-cg604clpx2.html</t>
  </si>
  <si>
    <t>https://www.harveynorman.co.nz/whiteware/kitchen/cooktops/haier-gas-cooktop.html</t>
  </si>
  <si>
    <t>https://www.harveynorman.co.nz/whiteware/kitchen/cooktops/miele-60cm-gas-cooktop.html</t>
  </si>
  <si>
    <t>https://www.harveynorman.co.nz/whiteware/kitchen/cooktops/westinghouse-60cm-stainless-steel-gas-cooktop-en.html</t>
  </si>
  <si>
    <t>https://www.harveynorman.co.nz/whiteware/kitchen/cooktops/bosch-60cm-gas-cooktop-en.html</t>
  </si>
  <si>
    <t>https://www.bunnings.co.nz/everdure-600mm-stainless-steel-gas-cooktop_p0276157</t>
  </si>
  <si>
    <t>https://www.bunnings.co.nz/parmco-600mm-stainless-steel-gas-hob_p0224738</t>
  </si>
  <si>
    <t>Solar One</t>
  </si>
  <si>
    <t>Replacing gas with gas (2500 for replacing electric with gas)</t>
  </si>
  <si>
    <t>JVS Gasfitting</t>
  </si>
  <si>
    <r>
      <rPr>
        <u/>
        <sz val="10"/>
        <color rgb="FF0000FF"/>
        <rFont val="Arial"/>
      </rPr>
      <t>https://www.jvsgasfitting.co.nz/gas-cooking</t>
    </r>
    <r>
      <rPr>
        <sz val="10"/>
        <color rgb="FF000000"/>
        <rFont val="Arial"/>
      </rPr>
      <t xml:space="preserve"> - replacement install</t>
    </r>
  </si>
  <si>
    <r>
      <rPr>
        <u/>
        <sz val="10"/>
        <color rgb="FF0000FF"/>
        <rFont val="Arial"/>
      </rPr>
      <t>https://www.jvsgasfitting.co.nz/gas-cooking</t>
    </r>
    <r>
      <rPr>
        <sz val="10"/>
        <color rgb="FF000000"/>
        <rFont val="Arial"/>
      </rPr>
      <t xml:space="preserve"> - new install</t>
    </r>
  </si>
  <si>
    <t>Auckland Plumbing</t>
  </si>
  <si>
    <t>https://www.auckland.plumbing/gasfitting/residential-gasfitting/gas-hob-gas-cook-top-installation-re-location-natural-gas-and-lpg/</t>
  </si>
  <si>
    <t>Electric resistance</t>
  </si>
  <si>
    <t>Laser Queenstown</t>
  </si>
  <si>
    <t>https://www.harveynorman.co.nz/whiteware/kitchen/cooktops/haier-60cm-ceramic-cooktop-black-glass.html</t>
  </si>
  <si>
    <t>https://www.harveynorman.co.nz/whiteware/kitchen/cooktops/aeg-60cm-ceramic-cooktop.html</t>
  </si>
  <si>
    <t>https://www.harveynorman.co.nz/whiteware/kitchen/cooktops/whirlpool-60cm-ceramic-cooktop-en.html</t>
  </si>
  <si>
    <t>https://www.harveynorman.co.nz/whiteware/kitchen/cooktops/fisher-and-paykel-60cm-4-zoneceramic-cooktop-black-series-5-ce604dtb1.html</t>
  </si>
  <si>
    <t>https://www.harveynorman.co.nz/whiteware/kitchen/cooktops/panasonic-60cm-ceramic-cooktop.html</t>
  </si>
  <si>
    <t>https://www.harveynorman.co.nz/whiteware/kitchen/cooktops/bosch-60cm-series-2-electric-cooktop-black.html</t>
  </si>
  <si>
    <t>https://www.bunnings.co.nz/everdure-600mm-black-ceramic-cooktop_p0229901</t>
  </si>
  <si>
    <t>https://www.bunnings.co.nz/parmco-600mm-cooktop_p0074068</t>
  </si>
  <si>
    <t>https://www.bunnings.co.nz/bellini-60cm-ceramic-hob_p5104068</t>
  </si>
  <si>
    <t>Electic induction</t>
  </si>
  <si>
    <t>https://www.harveynorman.co.nz/whiteware/kitchen/cooktops/haier-60cm-4-zoneinduction-cooktop-grey-glass-hci604tg3.html</t>
  </si>
  <si>
    <t>https://www.harveynorman.co.nz/whiteware/kitchen/cooktops/bosch-series-6-60cm-induction-cooktop.html</t>
  </si>
  <si>
    <t>https://www.harveynorman.co.nz/whiteware/kitchen/cooktops/whirlpool-65cm-4-zone-built-in-induction-cooktop-black-wss8865nep.html</t>
  </si>
  <si>
    <t>https://www.harveynorman.co.nz/whiteware/kitchen/cooktops/whirlpool-65cm-3-zone-electric-induction-cooktop-black-smc653fbtixl.html</t>
  </si>
  <si>
    <t>https://www.harveynorman.co.nz/whiteware/kitchen/cooktops/aeg-60cm-4-zone-induction-cooktop-black-ipe64551fb.html</t>
  </si>
  <si>
    <t>https://www.harveynorman.co.nz/whiteware/kitchen/cooktops/haier-60cm-induction-cooktop.html</t>
  </si>
  <si>
    <t>https://www.bunnings.co.nz/everdure-600mm-black-induction-cooktop_p0276155</t>
  </si>
  <si>
    <t>https://www.bunnings.co.nz/parmco-600mm-induction-hob_p0092935</t>
  </si>
  <si>
    <t>https://www.bunnings.co.nz/bellini-60cm-induction-cooktop_p0376105</t>
  </si>
  <si>
    <t>Petrol/Diesel Vehicle</t>
  </si>
  <si>
    <t>Sales weighting</t>
  </si>
  <si>
    <t>Price</t>
  </si>
  <si>
    <t>MPG</t>
  </si>
  <si>
    <t>Replacement EV</t>
  </si>
  <si>
    <t>SUZUKI</t>
  </si>
  <si>
    <t>SWIFT</t>
  </si>
  <si>
    <t>GWM Ora</t>
  </si>
  <si>
    <t>HONDA</t>
  </si>
  <si>
    <t>JAZZ</t>
  </si>
  <si>
    <t>Nissan Leaf</t>
  </si>
  <si>
    <t>TOYOTA</t>
  </si>
  <si>
    <t>RAV4</t>
  </si>
  <si>
    <t>BYD Atto 3</t>
  </si>
  <si>
    <t>MITSUBISHI</t>
  </si>
  <si>
    <t>OUTLANDER</t>
  </si>
  <si>
    <t>Tesla Model Y RWD</t>
  </si>
  <si>
    <t>ECLIPSE CROSS</t>
  </si>
  <si>
    <t>KIA</t>
  </si>
  <si>
    <t>SELTOS</t>
  </si>
  <si>
    <t>MG 4</t>
  </si>
  <si>
    <t>STONIC</t>
  </si>
  <si>
    <t>HYUNDAI</t>
  </si>
  <si>
    <t>TUCSON</t>
  </si>
  <si>
    <t>ASX</t>
  </si>
  <si>
    <t>KONA</t>
  </si>
  <si>
    <t>IGNIS</t>
  </si>
  <si>
    <t>BYD Dolphin</t>
  </si>
  <si>
    <t>MG</t>
  </si>
  <si>
    <t>ZS</t>
  </si>
  <si>
    <t>MG ZS EV</t>
  </si>
  <si>
    <t>HAVAL</t>
  </si>
  <si>
    <t>H6</t>
  </si>
  <si>
    <t>SPORTAGE</t>
  </si>
  <si>
    <t>JIMNY</t>
  </si>
  <si>
    <t>Tesla Model Y AWD</t>
  </si>
  <si>
    <t>NISSAN</t>
  </si>
  <si>
    <t>X-TRAIL</t>
  </si>
  <si>
    <t>FORD</t>
  </si>
  <si>
    <t>RANGER</t>
  </si>
  <si>
    <t>LDV Ute</t>
  </si>
  <si>
    <t>HILUX</t>
  </si>
  <si>
    <t>EVEREST</t>
  </si>
  <si>
    <t>KIA EV 9 4WD</t>
  </si>
  <si>
    <t>Efficiency and price average</t>
  </si>
  <si>
    <t>Car type</t>
  </si>
  <si>
    <t>Petrol Vehicle</t>
  </si>
  <si>
    <t>Electric Vehicle</t>
  </si>
  <si>
    <t>$</t>
  </si>
  <si>
    <t>Ford F150 AWD</t>
  </si>
  <si>
    <t>Ford Ranger AWD</t>
  </si>
  <si>
    <t>Toyota Highlander Limited</t>
  </si>
  <si>
    <t>Mitsubishi Outlander AWD</t>
  </si>
  <si>
    <t>VW Golf</t>
  </si>
  <si>
    <t>Mitsubishi Eclipse Cross</t>
  </si>
  <si>
    <t>Kia Sportage 2WD</t>
  </si>
  <si>
    <t>Mazda 3</t>
  </si>
  <si>
    <t>Toyota RAV 4 GXL AWD</t>
  </si>
  <si>
    <t>Kia Rio</t>
  </si>
  <si>
    <t>Ford F150 Lightning AWD</t>
  </si>
  <si>
    <t>Rivian R1T</t>
  </si>
  <si>
    <t>NIssan Leaf</t>
  </si>
  <si>
    <t>KIA EV6 AWD</t>
  </si>
  <si>
    <t>Tesla Model 3 RWD</t>
  </si>
  <si>
    <t>Kia EV 9 4WD</t>
  </si>
  <si>
    <t>Ford Everest 4WD</t>
  </si>
  <si>
    <t>LDV Ute 2WD</t>
  </si>
  <si>
    <t>Ford Ranger 4WD</t>
  </si>
  <si>
    <t>Nissan X-Trail 4WD</t>
  </si>
  <si>
    <t>Hyundai Tucsan 2WD</t>
  </si>
  <si>
    <t>Mitsubishi Outlander 4WD</t>
  </si>
  <si>
    <t>Mitsubishi Outlander 2WD</t>
  </si>
  <si>
    <t>Toyota Hilux 4WD</t>
  </si>
  <si>
    <t>Toyota RAV4 4WD</t>
  </si>
  <si>
    <t>Hyundai Kona Petrol</t>
  </si>
  <si>
    <t>Toyota RAV4 2WD</t>
  </si>
  <si>
    <t>HAVEL H6</t>
  </si>
  <si>
    <t>Suzuki Jimny</t>
  </si>
  <si>
    <t>Kia Seltos</t>
  </si>
  <si>
    <t>Honda Jazz</t>
  </si>
  <si>
    <t>Kia Stonic</t>
  </si>
  <si>
    <t>Mitsubishi ASX</t>
  </si>
  <si>
    <t>MG ZS Petrol</t>
  </si>
  <si>
    <t>Suzuki Ignis</t>
  </si>
  <si>
    <t>Suzuki Swift</t>
  </si>
  <si>
    <t>Energy use per vehicle calcs, 2019 is used as 2020 and 2021 data are influence by COVID lockdowns (less driving than usual)</t>
  </si>
  <si>
    <t>Energy End Use Database | EECA</t>
  </si>
  <si>
    <t>Energy use 2019</t>
  </si>
  <si>
    <t>Electricity (TJ)</t>
  </si>
  <si>
    <t>Petrol (TJ)</t>
  </si>
  <si>
    <t>Diesel (TJ)</t>
  </si>
  <si>
    <t>LPG (TJ)</t>
  </si>
  <si>
    <t>Light passenger</t>
  </si>
  <si>
    <t>Light commercial</t>
  </si>
  <si>
    <t>Motorcycle</t>
  </si>
  <si>
    <t>kWh</t>
  </si>
  <si>
    <t>Amount</t>
  </si>
  <si>
    <t>Passenger cars September 2022</t>
  </si>
  <si>
    <t>Count</t>
  </si>
  <si>
    <t>Goods vans, trucks and utlities September 2022</t>
  </si>
  <si>
    <t>Motorcycles 2022</t>
  </si>
  <si>
    <t>PETROL</t>
  </si>
  <si>
    <t>DIESEL</t>
  </si>
  <si>
    <t>ELECTRIC</t>
  </si>
  <si>
    <t>PETROL HYBRID</t>
  </si>
  <si>
    <t>DIESEL HYBRID</t>
  </si>
  <si>
    <t>PETROL ELECTRIC HYBRID</t>
  </si>
  <si>
    <t>DIESEL ELECTRIC HYBRID</t>
  </si>
  <si>
    <t>PLUGIN PETROL HYBRID</t>
  </si>
  <si>
    <t>PLUGIN DIESEL HYBRID</t>
  </si>
  <si>
    <t>ELECTRIC [PETROL EXTENDED]</t>
  </si>
  <si>
    <t>CNG</t>
  </si>
  <si>
    <t>ELECTRIC [DIESEL EXTENDED]</t>
  </si>
  <si>
    <t>ELECTRIC FUEL CELL HYDROGEN</t>
  </si>
  <si>
    <t>OTHER</t>
  </si>
  <si>
    <t>Total combined</t>
  </si>
  <si>
    <t>Passenger cars December 2019</t>
  </si>
  <si>
    <t>Per car</t>
  </si>
  <si>
    <t>Goods vans, trucks and utilities December 2019</t>
  </si>
  <si>
    <t>Motorcycles 2019</t>
  </si>
  <si>
    <t>Per bike</t>
  </si>
  <si>
    <t>Petrol Hybrid</t>
  </si>
  <si>
    <t>Diesel Hybrid</t>
  </si>
  <si>
    <t>Lpg</t>
  </si>
  <si>
    <t>Petrol Electric Hybrid</t>
  </si>
  <si>
    <t>Diesel Electric Hybrid</t>
  </si>
  <si>
    <t>Cng</t>
  </si>
  <si>
    <t>Plugin Petrol Hybrid</t>
  </si>
  <si>
    <t>Plugin Diesel Hybrid</t>
  </si>
  <si>
    <t>Electric [Petrol Extended]</t>
  </si>
  <si>
    <t>Electric [Diesel Extended]</t>
  </si>
  <si>
    <t>Electric Fuel Cell Hydrogen</t>
  </si>
  <si>
    <t>Average car</t>
  </si>
  <si>
    <t>Ratio</t>
  </si>
  <si>
    <t>LCV</t>
  </si>
  <si>
    <t>Motorcycles</t>
  </si>
  <si>
    <t>National Vehicle Fleet status | Waka Kotahi NZ Transport Agency (nzta.govt.nz)</t>
  </si>
  <si>
    <t>Total(1)(2) registered vehicles by type</t>
  </si>
  <si>
    <r>
      <rPr>
        <b/>
        <sz val="11"/>
        <color theme="1"/>
        <rFont val="Arial"/>
      </rPr>
      <t>Total</t>
    </r>
    <r>
      <rPr>
        <b/>
        <vertAlign val="superscript"/>
        <sz val="11"/>
        <color theme="1"/>
        <rFont val="Arial"/>
      </rPr>
      <t>(1)(2)</t>
    </r>
    <r>
      <rPr>
        <b/>
        <sz val="11"/>
        <color theme="1"/>
        <rFont val="Arial"/>
      </rPr>
      <t xml:space="preserve"> registered vehicles by type</t>
    </r>
  </si>
  <si>
    <t>As at 30 September 2022</t>
  </si>
  <si>
    <t>As at 31 December 2019</t>
  </si>
  <si>
    <t>Total cars at homes</t>
  </si>
  <si>
    <t>Cars</t>
  </si>
  <si>
    <t>Vehicle Type</t>
  </si>
  <si>
    <t>Open data catalogue | Waka Kotahi open data (arcgis.com)</t>
  </si>
  <si>
    <t>Utes</t>
  </si>
  <si>
    <t>Agricultural machine</t>
  </si>
  <si>
    <t>AGRICULTURAL MACHINE</t>
  </si>
  <si>
    <t>ATV</t>
  </si>
  <si>
    <t>MIA Registration data</t>
  </si>
  <si>
    <t>MIA &gt; Sales Data &gt; Vehicle Sales</t>
  </si>
  <si>
    <t>Of cars</t>
  </si>
  <si>
    <t>Bus</t>
  </si>
  <si>
    <t>CARS</t>
  </si>
  <si>
    <t>BUS</t>
  </si>
  <si>
    <t>Goods van/truck/utility</t>
  </si>
  <si>
    <t>RENTAL CARS</t>
  </si>
  <si>
    <t>GOODS VAN/TRUCK/UTILITY</t>
  </si>
  <si>
    <t>High speed agricultural vehicle</t>
  </si>
  <si>
    <t>TAXIS</t>
  </si>
  <si>
    <t>HIGH SPEED AGRICULTURAL VEHICLE</t>
  </si>
  <si>
    <t>Mobile machine</t>
  </si>
  <si>
    <t>TRUCKS</t>
  </si>
  <si>
    <t>MOBILE MACHINE</t>
  </si>
  <si>
    <t>Moped</t>
  </si>
  <si>
    <t>BUSES/COACHES</t>
  </si>
  <si>
    <t>MOPED</t>
  </si>
  <si>
    <t>Motor caravan</t>
  </si>
  <si>
    <t>TRAILERS/CARAVANS</t>
  </si>
  <si>
    <t>MOTOR CARAVAN</t>
  </si>
  <si>
    <t>MOTORCYCLES</t>
  </si>
  <si>
    <t>MOTORCYCLE</t>
  </si>
  <si>
    <t>Passenger car/van</t>
  </si>
  <si>
    <t>MOPEDS</t>
  </si>
  <si>
    <t>PASSENGER CAR/VAN</t>
  </si>
  <si>
    <t>Special purpose vehicle</t>
  </si>
  <si>
    <t>TRACTORS</t>
  </si>
  <si>
    <t>SPECIAL PURPOSE VEHICLE</t>
  </si>
  <si>
    <t>Tractor</t>
  </si>
  <si>
    <t>EXEMPTVEHICLES</t>
  </si>
  <si>
    <t>TRACTOR</t>
  </si>
  <si>
    <t>Trailer not designed for h/way use</t>
  </si>
  <si>
    <t>MISCELLANEOUS</t>
  </si>
  <si>
    <t>TRAILER NOT DESIGNED FOR H/WAY USE</t>
  </si>
  <si>
    <t>Trailer/caravan</t>
  </si>
  <si>
    <t>TOTAL</t>
  </si>
  <si>
    <t>TRAILER/CARAVAN</t>
  </si>
  <si>
    <t>km per year</t>
  </si>
  <si>
    <t>Maintenance</t>
  </si>
  <si>
    <t>Cost per mile</t>
  </si>
  <si>
    <t>ICE</t>
  </si>
  <si>
    <t>USD</t>
  </si>
  <si>
    <t>NZD</t>
  </si>
  <si>
    <t>Was previously live link - updated 16/3/24</t>
  </si>
  <si>
    <t>NZD/km</t>
  </si>
  <si>
    <t>12000km</t>
  </si>
  <si>
    <t>Over 15 years</t>
  </si>
  <si>
    <t>https://publications.anl.gov/anlpubs/2021/05/167399.pdf</t>
  </si>
  <si>
    <t>TESLA</t>
  </si>
  <si>
    <t>MODEL Y</t>
  </si>
  <si>
    <t>Mid-Size SUV</t>
  </si>
  <si>
    <t>Small</t>
  </si>
  <si>
    <t>BYD</t>
  </si>
  <si>
    <t>ATTO 3</t>
  </si>
  <si>
    <t>Ute</t>
  </si>
  <si>
    <t>4</t>
  </si>
  <si>
    <t>YARIS CROSS</t>
  </si>
  <si>
    <t>COROLLA CROSS</t>
  </si>
  <si>
    <t>C-HR</t>
  </si>
  <si>
    <t>$price</t>
  </si>
  <si>
    <t>effciency</t>
  </si>
  <si>
    <t>repacement</t>
  </si>
  <si>
    <t>MODEL 3</t>
  </si>
  <si>
    <t>COROLLA</t>
  </si>
  <si>
    <t>YARIS</t>
  </si>
  <si>
    <t>NIRO</t>
  </si>
  <si>
    <t>EV6</t>
  </si>
  <si>
    <t>VITARA</t>
  </si>
  <si>
    <t>TRITON</t>
  </si>
  <si>
    <t>ZRV</t>
  </si>
  <si>
    <t>HIGHLANDER</t>
  </si>
  <si>
    <t>4wd</t>
  </si>
  <si>
    <t>JOLION</t>
  </si>
  <si>
    <t>CRV</t>
  </si>
  <si>
    <t>QASHQAI</t>
  </si>
  <si>
    <t>MAZDA</t>
  </si>
  <si>
    <t>CX-5</t>
  </si>
  <si>
    <t>MIRAGE</t>
  </si>
  <si>
    <t>MINI</t>
  </si>
  <si>
    <t>HATCH</t>
  </si>
  <si>
    <t>TNT MOTOR</t>
  </si>
  <si>
    <t>ROMA</t>
  </si>
  <si>
    <t>SUBARU</t>
  </si>
  <si>
    <t>OUTBACK</t>
  </si>
  <si>
    <t>FIAT</t>
  </si>
  <si>
    <t>DUCATO</t>
  </si>
  <si>
    <t>COUNTRYMAN</t>
  </si>
  <si>
    <t>ISUZU</t>
  </si>
  <si>
    <t>D-MAX</t>
  </si>
  <si>
    <t>VOLKSWAGEN</t>
  </si>
  <si>
    <t>TIGUAN</t>
  </si>
  <si>
    <t>SORENTO</t>
  </si>
  <si>
    <t>DOLPHIN</t>
  </si>
  <si>
    <t>HARLEY DAVIDSON</t>
  </si>
  <si>
    <t>SOFTAIL</t>
  </si>
  <si>
    <t>3</t>
  </si>
  <si>
    <t>ESCAPE</t>
  </si>
  <si>
    <t>LANDCRUISER</t>
  </si>
  <si>
    <t>LEXUS</t>
  </si>
  <si>
    <t>UX250H</t>
  </si>
  <si>
    <t>SANTA FE</t>
  </si>
  <si>
    <t>HS</t>
  </si>
  <si>
    <t>GWM</t>
  </si>
  <si>
    <t>ORA</t>
  </si>
  <si>
    <t>CB</t>
  </si>
  <si>
    <t>POLESTAR</t>
  </si>
  <si>
    <t>POLESTAR 2</t>
  </si>
  <si>
    <t>S-CROSS</t>
  </si>
  <si>
    <t>T-ROC</t>
  </si>
  <si>
    <t>FORESTER</t>
  </si>
  <si>
    <t>ID.4</t>
  </si>
  <si>
    <t>NAVARA</t>
  </si>
  <si>
    <t>UZ50</t>
  </si>
  <si>
    <t>PEUGEOT</t>
  </si>
  <si>
    <t>208</t>
  </si>
  <si>
    <t>GSX250</t>
  </si>
  <si>
    <t>CX-3</t>
  </si>
  <si>
    <t>NX</t>
  </si>
  <si>
    <t>MUSTANG MACH-E</t>
  </si>
  <si>
    <t>MAZDA2</t>
  </si>
  <si>
    <t>LEAF</t>
  </si>
  <si>
    <t>TRANSIT</t>
  </si>
  <si>
    <t>CROSSTREK</t>
  </si>
  <si>
    <t>FORZA</t>
  </si>
  <si>
    <t>CICLONE</t>
  </si>
  <si>
    <t>SKODA</t>
  </si>
  <si>
    <t>ENYAQ</t>
  </si>
  <si>
    <t>GOLF</t>
  </si>
  <si>
    <t>CIVIC</t>
  </si>
  <si>
    <t>LAND ROVER</t>
  </si>
  <si>
    <t>RANGE ROVER SPORT</t>
  </si>
  <si>
    <t>CX-30</t>
  </si>
  <si>
    <t>PUMA</t>
  </si>
  <si>
    <t>PAJERO SPORT</t>
  </si>
  <si>
    <t>LANDCRUISER PRADO</t>
  </si>
  <si>
    <t>KTM</t>
  </si>
  <si>
    <t>390</t>
  </si>
  <si>
    <t>MAHINDRA</t>
  </si>
  <si>
    <t>XUV</t>
  </si>
  <si>
    <t>2008</t>
  </si>
  <si>
    <t>KAWASAKI</t>
  </si>
  <si>
    <t>EX</t>
  </si>
  <si>
    <t>XV</t>
  </si>
  <si>
    <t>FOCUS</t>
  </si>
  <si>
    <t>DEFENDER</t>
  </si>
  <si>
    <t>VOLVO</t>
  </si>
  <si>
    <t>XC40</t>
  </si>
  <si>
    <t>CAMRY</t>
  </si>
  <si>
    <t>MERCEDES-BENZ</t>
  </si>
  <si>
    <t>SPRINTER</t>
  </si>
  <si>
    <t>FORTUNER</t>
  </si>
  <si>
    <t>YAMAHA</t>
  </si>
  <si>
    <t>YZF-R3A</t>
  </si>
  <si>
    <t>CAPRI</t>
  </si>
  <si>
    <t>FTN MOTION</t>
  </si>
  <si>
    <t>STREETDOG</t>
  </si>
  <si>
    <t>UBCO</t>
  </si>
  <si>
    <t>2X2ADV</t>
  </si>
  <si>
    <t>PORSCHE</t>
  </si>
  <si>
    <t>MACAN</t>
  </si>
  <si>
    <t>XTZ690</t>
  </si>
  <si>
    <t>BMW</t>
  </si>
  <si>
    <t>X1</t>
  </si>
  <si>
    <t>CBR</t>
  </si>
  <si>
    <t>IONIQ 5</t>
  </si>
  <si>
    <t>SV650</t>
  </si>
  <si>
    <t>AUDI</t>
  </si>
  <si>
    <t>Q3</t>
  </si>
  <si>
    <t>HIACE</t>
  </si>
  <si>
    <t>HAVAL H6</t>
  </si>
  <si>
    <t>MAZDA3</t>
  </si>
  <si>
    <t>TOURING</t>
  </si>
  <si>
    <t>ROYAL ENFIELD</t>
  </si>
  <si>
    <t>SUPER METEOR 650</t>
  </si>
  <si>
    <t>T-CROSS</t>
  </si>
  <si>
    <t>FACTORY BUILT</t>
  </si>
  <si>
    <t>VIVA</t>
  </si>
  <si>
    <t>OPEL</t>
  </si>
  <si>
    <t>MOKKA</t>
  </si>
  <si>
    <t>X5</t>
  </si>
  <si>
    <t>HOSKINGS</t>
  </si>
  <si>
    <t>TRAILER</t>
  </si>
  <si>
    <t>HAVAL JOLION</t>
  </si>
  <si>
    <t>CRF</t>
  </si>
  <si>
    <t>INDIAN</t>
  </si>
  <si>
    <t>SCOUT</t>
  </si>
  <si>
    <t>GR COROLLA</t>
  </si>
  <si>
    <t>MT03LA</t>
  </si>
  <si>
    <t>CUPRA</t>
  </si>
  <si>
    <t>FORMENTOR</t>
  </si>
  <si>
    <t>AMAROK</t>
  </si>
  <si>
    <t>DMW</t>
  </si>
  <si>
    <t>CBF</t>
  </si>
  <si>
    <t>890</t>
  </si>
  <si>
    <t>VESPA</t>
  </si>
  <si>
    <t>GTS</t>
  </si>
  <si>
    <t>4 SERIES</t>
  </si>
  <si>
    <t>GLC</t>
  </si>
  <si>
    <t>CLASSIC</t>
  </si>
  <si>
    <t>JAYCO</t>
  </si>
  <si>
    <t>JOURNEY</t>
  </si>
  <si>
    <t>TOUAREG</t>
  </si>
  <si>
    <t>RX</t>
  </si>
  <si>
    <t>MUSTANG</t>
  </si>
  <si>
    <t>RANGE ROVER</t>
  </si>
  <si>
    <t>CX-60</t>
  </si>
  <si>
    <t>Q5</t>
  </si>
  <si>
    <t>CMX</t>
  </si>
  <si>
    <t>DS250</t>
  </si>
  <si>
    <t>IVECO</t>
  </si>
  <si>
    <t>DAILY</t>
  </si>
  <si>
    <t>METEOR</t>
  </si>
  <si>
    <t>TRIUMPH</t>
  </si>
  <si>
    <t>TRIDENT</t>
  </si>
  <si>
    <t>STREET TRIPLE</t>
  </si>
  <si>
    <t>NSC</t>
  </si>
  <si>
    <t>KODIAQ</t>
  </si>
  <si>
    <t>R1250</t>
  </si>
  <si>
    <t>CT</t>
  </si>
  <si>
    <t>RAM</t>
  </si>
  <si>
    <t>1500</t>
  </si>
  <si>
    <t>Q2</t>
  </si>
  <si>
    <t>I</t>
  </si>
  <si>
    <t>EN</t>
  </si>
  <si>
    <t>3008</t>
  </si>
  <si>
    <t>GSX-S750</t>
  </si>
  <si>
    <t>JOURNEY OUTBACK</t>
  </si>
  <si>
    <t>YZF-R7LA</t>
  </si>
  <si>
    <t>2 SERIES</t>
  </si>
  <si>
    <t>SSANGYONG</t>
  </si>
  <si>
    <t>G4 REXTON</t>
  </si>
  <si>
    <t>XL</t>
  </si>
  <si>
    <t>Load</t>
  </si>
  <si>
    <t>Day of Year</t>
  </si>
  <si>
    <t>Season</t>
  </si>
  <si>
    <t>Date</t>
  </si>
  <si>
    <t>Month Day</t>
  </si>
  <si>
    <t>Day</t>
  </si>
  <si>
    <t>Summer</t>
  </si>
  <si>
    <t>Autumn</t>
  </si>
  <si>
    <t>Winter</t>
  </si>
  <si>
    <t>Spring</t>
  </si>
  <si>
    <t>Space heating &amp; cooling</t>
  </si>
  <si>
    <t>Average loads</t>
  </si>
  <si>
    <t>Total daily</t>
  </si>
  <si>
    <t>Solar production winter (kWh)</t>
  </si>
  <si>
    <t>Winter appliance load</t>
  </si>
  <si>
    <t>Average winter day</t>
  </si>
  <si>
    <t>% of daily needs</t>
  </si>
  <si>
    <t>Appliance load</t>
  </si>
  <si>
    <t>Solar generation</t>
  </si>
  <si>
    <t>Solar export</t>
  </si>
  <si>
    <t>Solar self consumption</t>
  </si>
  <si>
    <t>Grid import</t>
  </si>
  <si>
    <t>Grid export</t>
  </si>
  <si>
    <t>Solar production summer (kWh)</t>
  </si>
  <si>
    <t>Summer appliance load</t>
  </si>
  <si>
    <t>Average summer day</t>
  </si>
  <si>
    <t>Solar production average (kWh)</t>
  </si>
  <si>
    <t>Average total appliance load</t>
  </si>
  <si>
    <t>Average day</t>
  </si>
  <si>
    <t>NIWA data</t>
  </si>
  <si>
    <t>Ideal loads</t>
  </si>
  <si>
    <t>00:00</t>
  </si>
  <si>
    <t>01:00</t>
  </si>
  <si>
    <t>02:00</t>
  </si>
  <si>
    <t>03:00</t>
  </si>
  <si>
    <t>04:00</t>
  </si>
  <si>
    <t>05:00</t>
  </si>
  <si>
    <t>06:00</t>
  </si>
  <si>
    <t>07:00</t>
  </si>
  <si>
    <t>08:00</t>
  </si>
  <si>
    <t>09:00</t>
  </si>
  <si>
    <t>10:00</t>
  </si>
  <si>
    <t>11:00</t>
  </si>
  <si>
    <t>12:00</t>
  </si>
  <si>
    <t>13:00</t>
  </si>
  <si>
    <t>14:00</t>
  </si>
  <si>
    <t>15:00</t>
  </si>
  <si>
    <t>16:00</t>
  </si>
  <si>
    <t>17:00</t>
  </si>
  <si>
    <t>18:00</t>
  </si>
  <si>
    <t>19:00</t>
  </si>
  <si>
    <t>20:00</t>
  </si>
  <si>
    <t>21:00</t>
  </si>
  <si>
    <t>22:00</t>
  </si>
  <si>
    <t>23:00</t>
  </si>
  <si>
    <t>Grand Total</t>
  </si>
  <si>
    <t>Average loads x kWh</t>
  </si>
  <si>
    <t>Peak start</t>
  </si>
  <si>
    <t>Peak end</t>
  </si>
  <si>
    <t>Percentage of total generation</t>
  </si>
  <si>
    <t>Month &amp; hour</t>
  </si>
  <si>
    <t>Jan</t>
  </si>
  <si>
    <t>Feb</t>
  </si>
  <si>
    <t>Mar</t>
  </si>
  <si>
    <t>Apr</t>
  </si>
  <si>
    <t>May</t>
  </si>
  <si>
    <t>Jun</t>
  </si>
  <si>
    <t>Jul</t>
  </si>
  <si>
    <t>Aug</t>
  </si>
  <si>
    <t>Sep</t>
  </si>
  <si>
    <t>Oct</t>
  </si>
  <si>
    <t>Nov</t>
  </si>
  <si>
    <t>Dec</t>
  </si>
  <si>
    <t xml:space="preserve">from </t>
  </si>
  <si>
    <t>https://docs.google.com/spreadsheets/d/114kQR3TnN270c-BAyV-WoKSx4zAJe8gqX-oDuYpe_VQ/edit#gid=1444618431</t>
  </si>
  <si>
    <t>annual average</t>
  </si>
  <si>
    <t>https://www.rbnz.govt.nz/statistics/series/exchange-and-interest-rates/new-residential-mortgage-standard-interest-rates</t>
  </si>
  <si>
    <t>Floating rate</t>
  </si>
  <si>
    <t>6 month rate</t>
  </si>
  <si>
    <t>1 year rate</t>
  </si>
  <si>
    <t>2 year rate</t>
  </si>
  <si>
    <t>3 year rate</t>
  </si>
  <si>
    <t>4 year rate</t>
  </si>
  <si>
    <t>5 year rate</t>
  </si>
  <si>
    <t>5 year average</t>
  </si>
  <si>
    <t>10 year average</t>
  </si>
  <si>
    <t>15 year average</t>
  </si>
  <si>
    <t>19 year average</t>
  </si>
  <si>
    <t>Return to contents</t>
  </si>
  <si>
    <t>Nominal quarterly average energy prices</t>
  </si>
  <si>
    <t>NZ cents per unit</t>
  </si>
  <si>
    <t>Quarter</t>
  </si>
  <si>
    <t>Includes GST?</t>
  </si>
  <si>
    <r>
      <rPr>
        <b/>
        <sz val="11"/>
        <color theme="1"/>
        <rFont val="Calibri"/>
      </rPr>
      <t xml:space="preserve">Petrol (c/l) </t>
    </r>
    <r>
      <rPr>
        <b/>
        <vertAlign val="superscript"/>
        <sz val="11"/>
        <color theme="1"/>
        <rFont val="Calibri"/>
      </rPr>
      <t>1</t>
    </r>
  </si>
  <si>
    <t>Y</t>
  </si>
  <si>
    <t>Premium Petrol</t>
  </si>
  <si>
    <t>Regular Petrol</t>
  </si>
  <si>
    <r>
      <rPr>
        <b/>
        <sz val="11"/>
        <color theme="1"/>
        <rFont val="Calibri"/>
      </rPr>
      <t xml:space="preserve">Diesel (c/l) </t>
    </r>
    <r>
      <rPr>
        <b/>
        <vertAlign val="superscript"/>
        <sz val="11"/>
        <color theme="1"/>
        <rFont val="Calibri"/>
      </rPr>
      <t>2</t>
    </r>
  </si>
  <si>
    <t>Commercial</t>
  </si>
  <si>
    <t>N</t>
  </si>
  <si>
    <r>
      <rPr>
        <b/>
        <sz val="11"/>
        <color theme="1"/>
        <rFont val="Calibri"/>
      </rPr>
      <t xml:space="preserve">Fuel Oil (c/l) </t>
    </r>
    <r>
      <rPr>
        <b/>
        <vertAlign val="superscript"/>
        <sz val="11"/>
        <color theme="1"/>
        <rFont val="Calibri"/>
      </rPr>
      <t>3</t>
    </r>
  </si>
  <si>
    <t>-</t>
  </si>
  <si>
    <t>Light Fuel Oil</t>
  </si>
  <si>
    <t>Heavy Fuel Oil</t>
  </si>
  <si>
    <r>
      <rPr>
        <b/>
        <sz val="11"/>
        <color theme="1"/>
        <rFont val="Calibri"/>
      </rPr>
      <t xml:space="preserve">Natural Gas (c/kWh) </t>
    </r>
    <r>
      <rPr>
        <b/>
        <vertAlign val="superscript"/>
        <sz val="11"/>
        <color theme="1"/>
        <rFont val="Calibri"/>
      </rPr>
      <t>4</t>
    </r>
  </si>
  <si>
    <t>Residential</t>
  </si>
  <si>
    <t/>
  </si>
  <si>
    <t>Industrial</t>
  </si>
  <si>
    <t>Wholesale</t>
  </si>
  <si>
    <t>Electricity Cost (c/kWh)</t>
  </si>
  <si>
    <r>
      <rPr>
        <sz val="11"/>
        <color theme="1"/>
        <rFont val="Calibri"/>
      </rPr>
      <t>Residential</t>
    </r>
    <r>
      <rPr>
        <vertAlign val="superscript"/>
        <sz val="11"/>
        <color theme="1"/>
        <rFont val="Calibri"/>
      </rPr>
      <t>5</t>
    </r>
  </si>
  <si>
    <t>Notes:</t>
  </si>
  <si>
    <r>
      <rPr>
        <vertAlign val="superscript"/>
        <sz val="11"/>
        <color theme="1"/>
        <rFont val="Calibri"/>
      </rPr>
      <t>1</t>
    </r>
    <r>
      <rPr>
        <sz val="11"/>
        <color theme="1"/>
        <rFont val="Calibri"/>
      </rPr>
      <t xml:space="preserve"> Petrol prices expressed here are retail prices sourced from Statistics NZ. The total petrol price given here is a sales-weighted average of the regular and premium petrol prices.</t>
    </r>
  </si>
  <si>
    <r>
      <rPr>
        <vertAlign val="superscript"/>
        <sz val="11"/>
        <color theme="1"/>
        <rFont val="Calibri"/>
      </rPr>
      <t>2</t>
    </r>
    <r>
      <rPr>
        <sz val="11"/>
        <color theme="1"/>
        <rFont val="Calibri"/>
      </rPr>
      <t xml:space="preserve"> A sales-weighted average price for diesel is not given here due to lack of information on the split between retail and commercial sales.</t>
    </r>
  </si>
  <si>
    <r>
      <rPr>
        <vertAlign val="superscript"/>
        <sz val="11"/>
        <color theme="1"/>
        <rFont val="Calibri"/>
      </rPr>
      <t>3</t>
    </r>
    <r>
      <rPr>
        <sz val="11"/>
        <color theme="1"/>
        <rFont val="Calibri"/>
      </rPr>
      <t xml:space="preserve"> The fuel oil price given here is a sales-weighted average of the light and heavy fuel oil prices.</t>
    </r>
  </si>
  <si>
    <r>
      <rPr>
        <vertAlign val="superscript"/>
        <sz val="11"/>
        <color theme="1"/>
        <rFont val="Calibri"/>
      </rPr>
      <t>4</t>
    </r>
    <r>
      <rPr>
        <sz val="11"/>
        <color theme="1"/>
        <rFont val="Calibri"/>
      </rPr>
      <t xml:space="preserve"> A sales-weighted average price for natural gas is not given here due to lack of information on the split between retail and wholesale sales.</t>
    </r>
  </si>
  <si>
    <t>5 More information on residential electricity costs are available from https://www.mbie.govt.nz/building-and-energy/energy-and-natural-resources/energy-statistics-and-modelling/energy-statistics/energy-prices/electricity-cost-and-price-monitoring/. Contact Statistics New Zealand for further information on the household electricity price index.</t>
  </si>
  <si>
    <t>https://infoshare.stats.govt.nz/ViewTable.aspx?pxID=69b8d25e-e21f-4b14-b89a-10c79ac1ffb5</t>
  </si>
  <si>
    <t>CPI Level 3 Classes for New Zealand (Qrtly-Mar/Jun/Sep/Dec)</t>
  </si>
  <si>
    <t>Average over all periods</t>
  </si>
  <si>
    <t>Average over 10 years</t>
  </si>
  <si>
    <t>Average over 5 years</t>
  </si>
  <si>
    <t>Average over 1 year</t>
  </si>
  <si>
    <t>1974Q4</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</si>
  <si>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</si>
  <si>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</si>
  <si>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</si>
  <si>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</si>
  <si>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</si>
  <si>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</si>
  <si>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</si>
  <si>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</si>
  <si>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</si>
  <si>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</si>
  <si>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</si>
  <si>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</si>
  <si>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</si>
  <si>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</si>
  <si>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</si>
  <si>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</si>
  <si>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</si>
  <si>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</si>
  <si>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</si>
  <si>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</si>
  <si>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</si>
  <si>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</si>
  <si>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</si>
  <si>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</si>
  <si>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</si>
  <si>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</si>
  <si>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</si>
  <si>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</si>
  <si>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</si>
  <si>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</si>
  <si>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</si>
  <si>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</si>
  <si>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</si>
  <si>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</si>
  <si>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</si>
  <si>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</si>
  <si>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</si>
  <si>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</si>
  <si>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</si>
  <si>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</si>
  <si>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</si>
  <si>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</si>
  <si>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</si>
  <si>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</si>
  <si>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</si>
  <si>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</si>
  <si>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</si>
  <si>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</si>
  <si>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</si>
  <si>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</si>
  <si>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</si>
  <si>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</si>
  <si>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</si>
  <si>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</si>
  <si>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</si>
  <si>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</si>
  <si>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</si>
  <si>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</si>
  <si>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</si>
  <si>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</si>
  <si>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</si>
  <si>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</si>
  <si>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</si>
  <si>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</si>
  <si>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</si>
  <si>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</si>
  <si>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</si>
  <si>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</si>
  <si>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</si>
  <si>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</si>
  <si>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</si>
  <si>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</si>
  <si>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</si>
  <si>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</si>
  <si>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</si>
  <si>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</si>
  <si>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</si>
  <si>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</si>
  <si>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</si>
  <si>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</si>
  <si>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</si>
  <si>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</si>
  <si>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</si>
  <si>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</si>
  <si>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</si>
  <si>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</si>
  <si>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</si>
  <si>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</si>
  <si>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</si>
  <si>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</si>
  <si>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</si>
  <si>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</si>
  <si>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</si>
  <si>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</si>
  <si>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</si>
  <si>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</si>
  <si>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</si>
  <si>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</si>
  <si>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</si>
  <si>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</si>
  <si>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</si>
  <si>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</si>
  <si>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</si>
  <si>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</si>
  <si>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</si>
  <si>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</si>
  <si>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</si>
  <si>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</si>
  <si>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</si>
  <si>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</si>
  <si>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</si>
  <si>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</si>
  <si>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</si>
  <si>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</si>
  <si>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</si>
  <si>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</si>
  <si>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</si>
  <si>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</si>
  <si>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</si>
  <si>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</si>
  <si>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</si>
  <si>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</si>
  <si>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</si>
  <si>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</si>
  <si>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</si>
  <si>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</si>
  <si>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</si>
  <si>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</si>
  <si>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</si>
  <si>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</si>
  <si>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</si>
  <si>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</si>
  <si>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</si>
  <si>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</si>
  <si>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</si>
  <si>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</si>
  <si>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</si>
  <si>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</si>
  <si>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</si>
  <si>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</si>
  <si>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</si>
  <si>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</si>
  <si>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</si>
  <si>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</si>
  <si>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</si>
  <si>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</si>
  <si>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</si>
  <si>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</si>
  <si>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</si>
  <si>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</si>
  <si>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</si>
  <si>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</si>
  <si>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</si>
  <si>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</si>
  <si>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</si>
  <si>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</si>
  <si>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</si>
  <si>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</si>
  <si>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</si>
  <si>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</si>
  <si>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</si>
  <si>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</si>
  <si>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</si>
  <si>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</si>
  <si>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</si>
  <si>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</si>
  <si>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</si>
  <si>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</si>
  <si>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</si>
  <si>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</si>
  <si>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</si>
  <si>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</si>
  <si>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</si>
  <si>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</si>
  <si>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</si>
  <si>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</si>
  <si>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</si>
  <si>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</si>
  <si>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</si>
  <si>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</si>
  <si>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</si>
  <si>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</si>
  <si>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</si>
  <si>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</si>
  <si>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</si>
  <si>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</si>
  <si>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</si>
  <si>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</si>
  <si>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</si>
  <si>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</si>
  <si>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</si>
  <si>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</si>
  <si>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</si>
  <si>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</si>
  <si>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</si>
  <si>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All CPI (https://infoshare.stats.govt.nz/ViewTable.aspx?pxID=5decae19-9d81-480b-b54a-67221bd29a04)</t>
  </si>
  <si>
    <t>Fruit</t>
  </si>
  <si>
    <t>..</t>
  </si>
  <si>
    <t>Vegetables</t>
  </si>
  <si>
    <t>Meat and poultry</t>
  </si>
  <si>
    <t>Fish and other seafood</t>
  </si>
  <si>
    <t>Bread and cereals</t>
  </si>
  <si>
    <t>Milk, cheese and eggs</t>
  </si>
  <si>
    <t>Oils and fats</t>
  </si>
  <si>
    <t>Food additives and condiments</t>
  </si>
  <si>
    <t>Confectionery, nuts and snacks</t>
  </si>
  <si>
    <t>Other grocery food</t>
  </si>
  <si>
    <t>Coffee, tea and other hot drinks</t>
  </si>
  <si>
    <t>Soft drinks, waters and juices</t>
  </si>
  <si>
    <t>Restaurant meals</t>
  </si>
  <si>
    <t>Ready-to-eat food</t>
  </si>
  <si>
    <t>Beer</t>
  </si>
  <si>
    <t>Wine</t>
  </si>
  <si>
    <t>Spirits and liqueurs</t>
  </si>
  <si>
    <t>Cigarettes and tobacco</t>
  </si>
  <si>
    <t>Men's clothing</t>
  </si>
  <si>
    <t>Women's clothing</t>
  </si>
  <si>
    <t>Children's and infants' clothing</t>
  </si>
  <si>
    <t>Clothing accessories</t>
  </si>
  <si>
    <t>Knitting and sewing supplies</t>
  </si>
  <si>
    <t>Clothing services</t>
  </si>
  <si>
    <t>Men's footwear</t>
  </si>
  <si>
    <t>Women's footwear</t>
  </si>
  <si>
    <t>Children's and infants' footwear</t>
  </si>
  <si>
    <t>Actual rentals for housing</t>
  </si>
  <si>
    <t>Purchase of housing</t>
  </si>
  <si>
    <t>Property maintenance materials</t>
  </si>
  <si>
    <t>Property maintenance services</t>
  </si>
  <si>
    <t>Water supply</t>
  </si>
  <si>
    <t>Refuse disposal and recycling</t>
  </si>
  <si>
    <t>Local authority rates and payments</t>
  </si>
  <si>
    <t>Other property related services</t>
  </si>
  <si>
    <t>Furniture and furnishings</t>
  </si>
  <si>
    <t>Carpets and other floor coverings</t>
  </si>
  <si>
    <t>Household textiles</t>
  </si>
  <si>
    <t>Major household appliances</t>
  </si>
  <si>
    <t>Small electrical household appliances</t>
  </si>
  <si>
    <t>Repair and hire of household appliances</t>
  </si>
  <si>
    <t>Glassware, tableware and household utensils</t>
  </si>
  <si>
    <t>Major tools and equipment for the house and garden</t>
  </si>
  <si>
    <t>Small tools and accessories for the house and garden</t>
  </si>
  <si>
    <t>Cleaning products and other household supplies</t>
  </si>
  <si>
    <t>Other household services</t>
  </si>
  <si>
    <t>Pharmaceutical products</t>
  </si>
  <si>
    <t>Other medical products</t>
  </si>
  <si>
    <t>Therapeutic appliances and equipment</t>
  </si>
  <si>
    <t>Medical services</t>
  </si>
  <si>
    <t>Dental services</t>
  </si>
  <si>
    <t>Paramedical services</t>
  </si>
  <si>
    <t>Hospital services</t>
  </si>
  <si>
    <t>Purchase of new motor cars</t>
  </si>
  <si>
    <t>Purchase of second-hand motor cars</t>
  </si>
  <si>
    <t>Purchase of motorcycles</t>
  </si>
  <si>
    <t>Purchase of bicycles</t>
  </si>
  <si>
    <t>Vehicle parts and accessories</t>
  </si>
  <si>
    <t>Other vehicle fuels and lubricants</t>
  </si>
  <si>
    <t>Vehicle servicing and repairs</t>
  </si>
  <si>
    <t>Other private transport services</t>
  </si>
  <si>
    <t>Rail passenger transport</t>
  </si>
  <si>
    <t>Road passenger transport</t>
  </si>
  <si>
    <t>Domestic air transport</t>
  </si>
  <si>
    <t>International air transport</t>
  </si>
  <si>
    <t>Sea passenger transport</t>
  </si>
  <si>
    <t>Postal services</t>
  </si>
  <si>
    <t>Telecommunication equipment</t>
  </si>
  <si>
    <t>Telecommunication services</t>
  </si>
  <si>
    <t>Audio-visual equipment</t>
  </si>
  <si>
    <t>Computing equipment</t>
  </si>
  <si>
    <t>Recording media</t>
  </si>
  <si>
    <t>Major recreational and cultural equipment</t>
  </si>
  <si>
    <t>Games, toys and hobbies</t>
  </si>
  <si>
    <t>Equipment for sport, camping and outdoor recreation</t>
  </si>
  <si>
    <t>Plants, flowers and gardening supplies</t>
  </si>
  <si>
    <t>Pets and pet-related products</t>
  </si>
  <si>
    <t>Recreational and sporting services</t>
  </si>
  <si>
    <t>Cultural services</t>
  </si>
  <si>
    <t>Veterinary services</t>
  </si>
  <si>
    <t>Books</t>
  </si>
  <si>
    <t>Newspapers and magazines</t>
  </si>
  <si>
    <t>Stationery and drawing materials</t>
  </si>
  <si>
    <t>Accommodation services</t>
  </si>
  <si>
    <t>Domestic accommodation services</t>
  </si>
  <si>
    <t>Overseas accommodation prepaid in New Zealand</t>
  </si>
  <si>
    <t>Early childhood education</t>
  </si>
  <si>
    <t>Primary and secondary education</t>
  </si>
  <si>
    <t>Tertiary and other post school education</t>
  </si>
  <si>
    <t>Other educational fees</t>
  </si>
  <si>
    <t>Hairdressing and personal grooming services</t>
  </si>
  <si>
    <t>Electrical appliances for personal care</t>
  </si>
  <si>
    <t>Other appliances, articles and products for personal care</t>
  </si>
  <si>
    <t>Jewellery and watches</t>
  </si>
  <si>
    <t>Other personal effects</t>
  </si>
  <si>
    <t>Life insurance</t>
  </si>
  <si>
    <t>Dwelling insurance</t>
  </si>
  <si>
    <t>Contents insurance</t>
  </si>
  <si>
    <t>Health insurance</t>
  </si>
  <si>
    <t>Vehicle insurance</t>
  </si>
  <si>
    <t>Direct credit service charges</t>
  </si>
  <si>
    <t>Vocational services</t>
  </si>
  <si>
    <t>Professional services</t>
  </si>
  <si>
    <t>Real estate services</t>
  </si>
  <si>
    <t>Other miscellaneous services not elsewhere classified</t>
  </si>
  <si>
    <t>Table information:  
Units:
Index, Magnitude = Units
Footnotes:
Base: June 2017 quarter (=1000).
From the September 2006 quarter, prices for fresh fruit are seasonally unadjusted. They were seasonally adjusted until the June 2006 quarter.
From the September 2006 quarter, prices for fresh vegetables are seasonally unadjusted. They were seasonally adjusted until the June 2006 quarter.
Symbols:
.. figure not available
C: Confidential
E: Early Estimate
P: Provisional
R: Revised
S: Suppressed
Status flags are not displayed
Table reference: 
CPI013AA
Last updated:
17 October 2023 10:45am
Source: Statistics New Zealand
Contact: Information Centre
Telephone: 0508 525 525
Email:info@stats.govt.nz</t>
  </si>
  <si>
    <t>% change on previous qtr</t>
  </si>
  <si>
    <t>Dataset: Number of usual residents in household by number of rooms, for households in occupied private dwellings, 2006, 2013, and 2018 Censuses (RC, TA, DHB, SA2)</t>
  </si>
  <si>
    <t>2018 census, people per household</t>
  </si>
  <si>
    <t>Excluded from percentages</t>
  </si>
  <si>
    <t>Energy archetype categories</t>
  </si>
  <si>
    <t>1 person home</t>
  </si>
  <si>
    <t>2 - 3 person home</t>
  </si>
  <si>
    <t>4+ person home</t>
  </si>
  <si>
    <t>Northland Region</t>
  </si>
  <si>
    <t>Auckland Region</t>
  </si>
  <si>
    <t>Waikato Region</t>
  </si>
  <si>
    <t>Bay of Plenty Region</t>
  </si>
  <si>
    <t>Gisborne Region</t>
  </si>
  <si>
    <t>Hawke's Bay Region</t>
  </si>
  <si>
    <t>Taranaki Region</t>
  </si>
  <si>
    <t>Manawatu-Wanganui Region</t>
  </si>
  <si>
    <t>Wellington Region</t>
  </si>
  <si>
    <t>Tasman Region</t>
  </si>
  <si>
    <t>Nelson Region</t>
  </si>
  <si>
    <t>Marlborough Region</t>
  </si>
  <si>
    <t>West Coast Region</t>
  </si>
  <si>
    <t>Canterbury Region</t>
  </si>
  <si>
    <t>Otago Region</t>
  </si>
  <si>
    <t>Southland Region</t>
  </si>
  <si>
    <t>Total - Regional Council Areas</t>
  </si>
  <si>
    <t>Area Outside Region</t>
  </si>
  <si>
    <t>Gisborne/Hawkes Bay Regions</t>
  </si>
  <si>
    <t>Number of usual residents in household</t>
  </si>
  <si>
    <t>Total households - number of usual residents</t>
  </si>
  <si>
    <t>No usual residents</t>
  </si>
  <si>
    <t>One usual resident</t>
  </si>
  <si>
    <t>Two usual residents</t>
  </si>
  <si>
    <t>Three usual residents</t>
  </si>
  <si>
    <t>Four usual residents</t>
  </si>
  <si>
    <t>Five usual residents</t>
  </si>
  <si>
    <t>Six usual residents</t>
  </si>
  <si>
    <t>Seven usual residents</t>
  </si>
  <si>
    <t>Eight or more usual residents</t>
  </si>
  <si>
    <t>Number of usual residents unidentifiable</t>
  </si>
  <si>
    <t>Average Income from All Sources collected</t>
  </si>
  <si>
    <t>Median Income from All Sources collected</t>
  </si>
  <si>
    <t>Total Household Type</t>
  </si>
  <si>
    <t>Couple only</t>
  </si>
  <si>
    <t>Couple only and other(s)</t>
  </si>
  <si>
    <t>Couple with one dependent child</t>
  </si>
  <si>
    <t>Couple with two dependent children</t>
  </si>
  <si>
    <t>Couple with three or more dependent children</t>
  </si>
  <si>
    <t>Couple with dependent and adult children</t>
  </si>
  <si>
    <t>Couple with adult child(ren) only</t>
  </si>
  <si>
    <t>Couple with dependent child(ren) and other(s)</t>
  </si>
  <si>
    <t>Couple with adult child(ren) only and other(s)</t>
  </si>
  <si>
    <t>One parent with dependent child(ren) only</t>
  </si>
  <si>
    <t>One parent with dependent and adult children</t>
  </si>
  <si>
    <t>One parent with adult child(ren) only</t>
  </si>
  <si>
    <t>One parent with dependent child(ren) and other(s)</t>
  </si>
  <si>
    <t>One parent with adult child(ren) only and other(s)</t>
  </si>
  <si>
    <t>One-person household</t>
  </si>
  <si>
    <t>Household composition unidentifiable</t>
  </si>
  <si>
    <t>Total - New Zealand by Regional Council/SA2</t>
  </si>
  <si>
    <t>data extracted on 03 Nov 2023 21:18 UTC (GMT) from NZ.Stat</t>
  </si>
  <si>
    <t>Number of motor vehicles</t>
  </si>
  <si>
    <t>Total households - number of motor vehicles</t>
  </si>
  <si>
    <t>No motor vehicle</t>
  </si>
  <si>
    <t>One motor vehicle</t>
  </si>
  <si>
    <t>Two motor vehicles</t>
  </si>
  <si>
    <t>Three motor vehicles</t>
  </si>
  <si>
    <t>Four motor vehicles</t>
  </si>
  <si>
    <t>Five or more motor vehicles</t>
  </si>
  <si>
    <t>Total households stated</t>
  </si>
  <si>
    <t>Not Elsewhere Included</t>
  </si>
  <si>
    <t>Tenure of household</t>
  </si>
  <si>
    <t>Total households - tenure of household</t>
  </si>
  <si>
    <t>Area</t>
  </si>
  <si>
    <t>Vehicles per home</t>
  </si>
  <si>
    <t>5+</t>
  </si>
  <si>
    <t>Total NZ</t>
  </si>
  <si>
    <t>Average weekly household expenditure 2019</t>
  </si>
  <si>
    <t>Expenditure category</t>
  </si>
  <si>
    <t>Household energy</t>
  </si>
  <si>
    <t>Private transport supplies and services</t>
  </si>
  <si>
    <t>Passenger transport services</t>
  </si>
  <si>
    <t>Food</t>
  </si>
  <si>
    <t>Fruit and vegetables</t>
  </si>
  <si>
    <t>Meat, poultry and fish</t>
  </si>
  <si>
    <t>Grocery food</t>
  </si>
  <si>
    <t>Non-alcoholic beverages</t>
  </si>
  <si>
    <t>Restaurant meals and ready-to-eat food</t>
  </si>
  <si>
    <t>Alcoholic beverages, tobacco and illicit drugs</t>
  </si>
  <si>
    <t>Alcoholic beverages</t>
  </si>
  <si>
    <t>Illicit drugs</t>
  </si>
  <si>
    <t>Clothing and footwear</t>
  </si>
  <si>
    <t>Clothing</t>
  </si>
  <si>
    <t>Footwear</t>
  </si>
  <si>
    <t>Housing and household utilities</t>
  </si>
  <si>
    <t>Home ownership</t>
  </si>
  <si>
    <t>Property maintenance</t>
  </si>
  <si>
    <t>Property rates and related services</t>
  </si>
  <si>
    <t>Other housing expenses</t>
  </si>
  <si>
    <t>Household contents and services</t>
  </si>
  <si>
    <t>Furniture, furnishings and floor coverings</t>
  </si>
  <si>
    <t>Household appliances</t>
  </si>
  <si>
    <t>Tools and equipment for house and garden</t>
  </si>
  <si>
    <t>Other household supplies and services</t>
  </si>
  <si>
    <t>Health</t>
  </si>
  <si>
    <t>Medical products, appliances and equipment</t>
  </si>
  <si>
    <t>Out-patient services</t>
  </si>
  <si>
    <t>Purchase of vehicles</t>
  </si>
  <si>
    <t>Communication</t>
  </si>
  <si>
    <t>Recreation and culture</t>
  </si>
  <si>
    <t>Audio-visual and computing equipment</t>
  </si>
  <si>
    <t>Other recreational equipment and supplies</t>
  </si>
  <si>
    <t>Recreational and cultural services</t>
  </si>
  <si>
    <t>Newspapers, books and stationery</t>
  </si>
  <si>
    <t>Package holidays</t>
  </si>
  <si>
    <t>Miscellaneous domestic holiday costs</t>
  </si>
  <si>
    <t>Flights and Accommodation</t>
  </si>
  <si>
    <t>Education</t>
  </si>
  <si>
    <t>Primary, intermediate and secondary education</t>
  </si>
  <si>
    <t>Miscellaneous goods and services</t>
  </si>
  <si>
    <t>Personal care</t>
  </si>
  <si>
    <t>Prostitution</t>
  </si>
  <si>
    <t>Personal effects nec</t>
  </si>
  <si>
    <t>Insurance</t>
  </si>
  <si>
    <t>Credit services</t>
  </si>
  <si>
    <t>Other miscellaneous services</t>
  </si>
  <si>
    <t>Other expenditure</t>
  </si>
  <si>
    <t>Interest payments</t>
  </si>
  <si>
    <t>Contributions to savings</t>
  </si>
  <si>
    <t>Money given to others (excluding donations)</t>
  </si>
  <si>
    <t>Fines</t>
  </si>
  <si>
    <t>Expenditure incurred whilst overseas</t>
  </si>
  <si>
    <t>Sales, trade-ins and refunds</t>
  </si>
  <si>
    <t>Sales of clothing and footwear</t>
  </si>
  <si>
    <t>Sales and trade-ins of property and materials for property improvement and maintenance</t>
  </si>
  <si>
    <t>Sales and trade-ins of household contents</t>
  </si>
  <si>
    <t>Sales, trade-ins and refunds for health (excluding insurance claims)</t>
  </si>
  <si>
    <t>Sales and trade-ins of vehicles, vehicle parts and accessories</t>
  </si>
  <si>
    <t>Sales and trade-ins for communication</t>
  </si>
  <si>
    <t>Sales, trade-ins and refunds of equipment for recreation and culture</t>
  </si>
  <si>
    <t>Refunds for education</t>
  </si>
  <si>
    <t>Sales, trade-ins and refunds of miscellaneous goods, cash receipts from insurance claims</t>
  </si>
  <si>
    <t>Income group</t>
  </si>
  <si>
    <t>% on home energy</t>
  </si>
  <si>
    <t>Income group 1</t>
  </si>
  <si>
    <t>Income group 2</t>
  </si>
  <si>
    <t>Income group 3</t>
  </si>
  <si>
    <t>Income group 4</t>
  </si>
  <si>
    <t>Income group 5</t>
  </si>
  <si>
    <t>Income group 6</t>
  </si>
  <si>
    <t>Income group 7</t>
  </si>
  <si>
    <t>Income group 8</t>
  </si>
  <si>
    <t>Income group 9</t>
  </si>
  <si>
    <t>Income group 10</t>
  </si>
  <si>
    <t>All income groups</t>
  </si>
  <si>
    <t>Quarterly electricity generation and consumption</t>
  </si>
  <si>
    <t>Gigawatt hours (GWh)</t>
  </si>
  <si>
    <t>Calendar quarter</t>
  </si>
  <si>
    <t>% change when compared to the same quarter of the previous year</t>
  </si>
  <si>
    <r>
      <rPr>
        <b/>
        <sz val="11"/>
        <color theme="1"/>
        <rFont val="Calibri"/>
      </rPr>
      <t>Net Generation (GWh)</t>
    </r>
    <r>
      <rPr>
        <b/>
        <vertAlign val="superscript"/>
        <sz val="11"/>
        <color theme="1"/>
        <rFont val="Calibri"/>
      </rPr>
      <t>1,2</t>
    </r>
  </si>
  <si>
    <t>Hydro</t>
  </si>
  <si>
    <t>Geothermal</t>
  </si>
  <si>
    <t>Biogas</t>
  </si>
  <si>
    <t>Wind</t>
  </si>
  <si>
    <r>
      <rPr>
        <sz val="11"/>
        <color theme="1"/>
        <rFont val="Calibri"/>
      </rPr>
      <t>Solar</t>
    </r>
    <r>
      <rPr>
        <vertAlign val="superscript"/>
        <sz val="11"/>
        <color theme="1"/>
        <rFont val="Calibri"/>
      </rPr>
      <t>3</t>
    </r>
  </si>
  <si>
    <t>Oil</t>
  </si>
  <si>
    <t>Coal</t>
  </si>
  <si>
    <r>
      <rPr>
        <sz val="11"/>
        <color theme="1"/>
        <rFont val="Calibri"/>
      </rPr>
      <t>Waste Heat</t>
    </r>
    <r>
      <rPr>
        <vertAlign val="superscript"/>
        <sz val="11"/>
        <color theme="1"/>
        <rFont val="Calibri"/>
      </rPr>
      <t>4</t>
    </r>
  </si>
  <si>
    <t>Renewable Share (%)</t>
  </si>
  <si>
    <t>Renewable Share (%) – 4-Quarter Moving Average</t>
  </si>
  <si>
    <r>
      <rPr>
        <b/>
        <sz val="11"/>
        <color theme="1"/>
        <rFont val="Calibri"/>
      </rPr>
      <t>Consumption</t>
    </r>
    <r>
      <rPr>
        <b/>
        <vertAlign val="superscript"/>
        <sz val="11"/>
        <color theme="1"/>
        <rFont val="Calibri"/>
      </rPr>
      <t xml:space="preserve"> </t>
    </r>
    <r>
      <rPr>
        <b/>
        <sz val="11"/>
        <color theme="1"/>
        <rFont val="Calibri"/>
      </rPr>
      <t>(GWh)</t>
    </r>
    <r>
      <rPr>
        <b/>
        <vertAlign val="superscript"/>
        <sz val="11"/>
        <color theme="1"/>
        <rFont val="Calibri"/>
      </rPr>
      <t>5</t>
    </r>
  </si>
  <si>
    <t>Agriculture, Forestry, and Fishing</t>
  </si>
  <si>
    <t xml:space="preserve">   Industrial</t>
  </si>
  <si>
    <t xml:space="preserve">   Commercial</t>
  </si>
  <si>
    <t xml:space="preserve">   Residential</t>
  </si>
  <si>
    <t xml:space="preserve">   Unallocated onsite consumption</t>
  </si>
  <si>
    <r>
      <rPr>
        <b/>
        <sz val="11"/>
        <color theme="1"/>
        <rFont val="Calibri"/>
      </rPr>
      <t>Number of ICPs</t>
    </r>
    <r>
      <rPr>
        <b/>
        <vertAlign val="superscript"/>
        <sz val="11"/>
        <color theme="1"/>
        <rFont val="Calibri"/>
      </rPr>
      <t>5</t>
    </r>
  </si>
  <si>
    <r>
      <rPr>
        <b/>
        <sz val="11"/>
        <color theme="1"/>
        <rFont val="Calibri"/>
      </rPr>
      <t>Average consumption per ICP (kWh)</t>
    </r>
    <r>
      <rPr>
        <b/>
        <vertAlign val="superscript"/>
        <sz val="11"/>
        <color theme="1"/>
        <rFont val="Calibri"/>
      </rPr>
      <t>5</t>
    </r>
  </si>
  <si>
    <t xml:space="preserve">    Industrial</t>
  </si>
  <si>
    <t xml:space="preserve">    Commercial</t>
  </si>
  <si>
    <t xml:space="preserve">    Residential</t>
  </si>
  <si>
    <r>
      <rPr>
        <vertAlign val="superscript"/>
        <sz val="11"/>
        <color theme="1"/>
        <rFont val="Calibri"/>
      </rPr>
      <t>1</t>
    </r>
    <r>
      <rPr>
        <sz val="11"/>
        <color theme="1"/>
        <rFont val="Calibri"/>
      </rPr>
      <t xml:space="preserve"> These fuels include generation from cogeneration plants. </t>
    </r>
  </si>
  <si>
    <r>
      <rPr>
        <vertAlign val="superscript"/>
        <sz val="11"/>
        <color theme="1"/>
        <rFont val="Calibri"/>
      </rPr>
      <t>2</t>
    </r>
    <r>
      <rPr>
        <sz val="11"/>
        <color theme="1"/>
        <rFont val="Calibri"/>
      </rPr>
      <t xml:space="preserve"> 1 Gigawatt Hour (GWh) = 0.0036 Petajoules (PJ).</t>
    </r>
  </si>
  <si>
    <r>
      <rPr>
        <vertAlign val="superscript"/>
        <sz val="11"/>
        <color theme="1"/>
        <rFont val="Calibri"/>
      </rPr>
      <t>3</t>
    </r>
    <r>
      <rPr>
        <sz val="11"/>
        <color theme="1"/>
        <rFont val="Calibri"/>
      </rPr>
      <t xml:space="preserve"> Distributed Solar PV Generation has been estimated using Electricity Authority data.</t>
    </r>
  </si>
  <si>
    <r>
      <rPr>
        <vertAlign val="superscript"/>
        <sz val="11"/>
        <color theme="1"/>
        <rFont val="Calibri"/>
      </rPr>
      <t>4</t>
    </r>
    <r>
      <rPr>
        <sz val="11"/>
        <color theme="1"/>
        <rFont val="Calibri"/>
      </rPr>
      <t xml:space="preserve"> Waste heat includes heat from chemical processes - e.g. fertiliser industry.</t>
    </r>
  </si>
  <si>
    <r>
      <rPr>
        <vertAlign val="superscript"/>
        <sz val="11"/>
        <color theme="1"/>
        <rFont val="Calibri"/>
      </rPr>
      <t>5</t>
    </r>
    <r>
      <rPr>
        <sz val="11"/>
        <color theme="1"/>
        <rFont val="Calibri"/>
      </rPr>
      <t xml:space="preserve"> Prior to the June quarter 2013, retail sales information was collected annually. Consumption data includes estimates of solar PV demand (based on capacity data from the Electricity Authority) for the September quarter 2013 onwards.</t>
    </r>
  </si>
  <si>
    <t>Annual electricity generation and consumption</t>
  </si>
  <si>
    <t>Calendar year</t>
  </si>
  <si>
    <t>Annual % change</t>
  </si>
  <si>
    <t>Total Line Losses (GWh)</t>
  </si>
  <si>
    <t>Losses - Transmission</t>
  </si>
  <si>
    <t>Losses - Distribution</t>
  </si>
  <si>
    <r>
      <rPr>
        <b/>
        <sz val="11"/>
        <color theme="1"/>
        <rFont val="Calibri"/>
      </rPr>
      <t>Consumption (GWh)</t>
    </r>
    <r>
      <rPr>
        <b/>
        <vertAlign val="superscript"/>
        <sz val="11"/>
        <color theme="1"/>
        <rFont val="Calibri"/>
      </rPr>
      <t xml:space="preserve">5  </t>
    </r>
    <r>
      <rPr>
        <b/>
        <sz val="11"/>
        <color theme="1"/>
        <rFont val="Calibri"/>
      </rPr>
      <t>̶  based on actual sales</t>
    </r>
  </si>
  <si>
    <t>Industrial:</t>
  </si>
  <si>
    <t>Mining</t>
  </si>
  <si>
    <t>Food Processing</t>
  </si>
  <si>
    <t>Wood, Pulp, Paper and Printing</t>
  </si>
  <si>
    <t>Chemicals</t>
  </si>
  <si>
    <t>Basic Metals</t>
  </si>
  <si>
    <t>Other Minor Sectors</t>
  </si>
  <si>
    <t xml:space="preserve">    Unallocated Onsite Generation</t>
  </si>
  <si>
    <r>
      <rPr>
        <b/>
        <sz val="11"/>
        <color theme="1"/>
        <rFont val="Calibri"/>
      </rPr>
      <t>Consumption (GWh)</t>
    </r>
    <r>
      <rPr>
        <b/>
        <vertAlign val="superscript"/>
        <sz val="11"/>
        <color theme="1"/>
        <rFont val="Calibri"/>
      </rPr>
      <t xml:space="preserve">6  </t>
    </r>
    <r>
      <rPr>
        <b/>
        <sz val="11"/>
        <color theme="1"/>
        <rFont val="Calibri"/>
      </rPr>
      <t>̶  based on estimated sales</t>
    </r>
  </si>
  <si>
    <t xml:space="preserve">    Unallocated Demand</t>
  </si>
  <si>
    <t>Number of ICPs</t>
  </si>
  <si>
    <t>Commercial (incl. Transport)</t>
  </si>
  <si>
    <t>Average consumption per ICP (KWh)</t>
  </si>
  <si>
    <r>
      <rPr>
        <vertAlign val="superscript"/>
        <sz val="11"/>
        <color theme="1"/>
        <rFont val="Calibri"/>
      </rPr>
      <t>1</t>
    </r>
    <r>
      <rPr>
        <sz val="11"/>
        <color theme="1"/>
        <rFont val="Calibri"/>
      </rPr>
      <t xml:space="preserve"> These fuels include generation from cogeneration plants. 
</t>
    </r>
  </si>
  <si>
    <r>
      <rPr>
        <sz val="11"/>
        <color theme="1"/>
        <rFont val="Calibri"/>
      </rPr>
      <t xml:space="preserve">   </t>
    </r>
    <r>
      <rPr>
        <vertAlign val="superscript"/>
        <sz val="11"/>
        <color theme="1"/>
        <rFont val="Calibri"/>
      </rPr>
      <t>3</t>
    </r>
    <r>
      <rPr>
        <sz val="11"/>
        <color theme="1"/>
        <rFont val="Calibri"/>
      </rPr>
      <t xml:space="preserve"> Distributed Solar PV Generation has been estimated using Electricity Authority data.</t>
    </r>
  </si>
  <si>
    <r>
      <rPr>
        <vertAlign val="superscript"/>
        <sz val="11"/>
        <color theme="1"/>
        <rFont val="Calibri"/>
      </rPr>
      <t>5</t>
    </r>
    <r>
      <rPr>
        <sz val="11"/>
        <color theme="1"/>
        <rFont val="Calibri"/>
      </rPr>
      <t xml:space="preserve"> Compiled based on actual quarterly sales data, which is also presented in Table 1.  
This also includes estimates of solar PV demand (based on capacity data from the Electricity Authority) for 2013 onwards. Solar PV use by the industrial sector is included in "Other Minor Sectors".</t>
    </r>
  </si>
  <si>
    <r>
      <rPr>
        <vertAlign val="superscript"/>
        <sz val="11"/>
        <color theme="1"/>
        <rFont val="Calibri"/>
      </rPr>
      <t>6</t>
    </r>
    <r>
      <rPr>
        <sz val="11"/>
        <color theme="1"/>
        <rFont val="Calibri"/>
      </rPr>
      <t xml:space="preserve"> Compiled based on estimated quarterly sales data.  Estimated sales data is calculated by using quarterly grid exit point (GXP) demand data from the Electricity Authority to allocate March year electricity sales data to quarters.
This also includes estimates of solar PV demand (based on capacity data from the Electricity Authority) for 2013 onwards. Solar PV use by the industrial sector is included in "Other Minor Sectors".</t>
    </r>
  </si>
  <si>
    <t>Petajoules (PJ)</t>
  </si>
  <si>
    <r>
      <rPr>
        <b/>
        <sz val="11"/>
        <color theme="1"/>
        <rFont val="Calibri"/>
      </rPr>
      <t>Net Generation (PJ)</t>
    </r>
    <r>
      <rPr>
        <b/>
        <vertAlign val="superscript"/>
        <sz val="11"/>
        <color theme="1"/>
        <rFont val="Calibri"/>
      </rPr>
      <t>1,2</t>
    </r>
  </si>
  <si>
    <t>Renewable Share (%) – Four-Quarter Moving Average</t>
  </si>
  <si>
    <r>
      <rPr>
        <b/>
        <sz val="11"/>
        <color theme="1"/>
        <rFont val="Calibri"/>
      </rPr>
      <t>Consumption</t>
    </r>
    <r>
      <rPr>
        <b/>
        <vertAlign val="superscript"/>
        <sz val="11"/>
        <color theme="1"/>
        <rFont val="Calibri"/>
      </rPr>
      <t xml:space="preserve"> </t>
    </r>
    <r>
      <rPr>
        <b/>
        <sz val="11"/>
        <color theme="1"/>
        <rFont val="Calibri"/>
      </rPr>
      <t>(PJ)</t>
    </r>
    <r>
      <rPr>
        <b/>
        <vertAlign val="superscript"/>
        <sz val="11"/>
        <color theme="1"/>
        <rFont val="Calibri"/>
      </rPr>
      <t>5</t>
    </r>
  </si>
  <si>
    <r>
      <rPr>
        <vertAlign val="superscript"/>
        <sz val="11"/>
        <color theme="1"/>
        <rFont val="Calibri"/>
      </rPr>
      <t>5</t>
    </r>
    <r>
      <rPr>
        <sz val="11"/>
        <color theme="1"/>
        <rFont val="Calibri"/>
      </rPr>
      <t xml:space="preserve"> Prior to the June quarter 2013, retail sales information was collected annually.  Consumption data includes estimates of solar PV demand (based on Electricity Authority data) for the September quarter 2013 onwards.</t>
    </r>
  </si>
  <si>
    <t>Annual electricity generation and consumption (PJ)</t>
  </si>
  <si>
    <t>Total Line Losses</t>
  </si>
  <si>
    <r>
      <rPr>
        <b/>
        <sz val="11"/>
        <color theme="1"/>
        <rFont val="Calibri"/>
      </rPr>
      <t>Consumption</t>
    </r>
    <r>
      <rPr>
        <b/>
        <vertAlign val="superscript"/>
        <sz val="11"/>
        <color theme="1"/>
        <rFont val="Calibri"/>
      </rPr>
      <t xml:space="preserve"> </t>
    </r>
    <r>
      <rPr>
        <b/>
        <sz val="11"/>
        <color theme="1"/>
        <rFont val="Calibri"/>
      </rPr>
      <t>(PJ)  ̶  based on actual sales</t>
    </r>
    <r>
      <rPr>
        <b/>
        <vertAlign val="superscript"/>
        <sz val="11"/>
        <color theme="1"/>
        <rFont val="Calibri"/>
      </rPr>
      <t>5</t>
    </r>
  </si>
  <si>
    <r>
      <rPr>
        <b/>
        <sz val="11"/>
        <color theme="1"/>
        <rFont val="Calibri"/>
      </rPr>
      <t>Consumption</t>
    </r>
    <r>
      <rPr>
        <b/>
        <vertAlign val="superscript"/>
        <sz val="11"/>
        <color theme="1"/>
        <rFont val="Calibri"/>
      </rPr>
      <t xml:space="preserve"> </t>
    </r>
    <r>
      <rPr>
        <b/>
        <sz val="11"/>
        <color theme="1"/>
        <rFont val="Calibri"/>
      </rPr>
      <t>(PJ)  ̶  based on estimated sales</t>
    </r>
    <r>
      <rPr>
        <b/>
        <vertAlign val="superscript"/>
        <sz val="11"/>
        <color theme="1"/>
        <rFont val="Calibri"/>
      </rPr>
      <t>6</t>
    </r>
  </si>
  <si>
    <t>Electricity Supply and Demand Energy Balance (GWh)</t>
  </si>
  <si>
    <t>SUPPLY</t>
  </si>
  <si>
    <t>Total Gross Generation</t>
  </si>
  <si>
    <r>
      <rPr>
        <sz val="11"/>
        <color theme="1"/>
        <rFont val="Calibri"/>
      </rPr>
      <t>Own Use ~ Parasitic Load</t>
    </r>
    <r>
      <rPr>
        <vertAlign val="superscript"/>
        <sz val="11"/>
        <color theme="1"/>
        <rFont val="Calibri"/>
      </rPr>
      <t>1</t>
    </r>
  </si>
  <si>
    <t>Total Net Generation</t>
  </si>
  <si>
    <t>Electricity Only Plant</t>
  </si>
  <si>
    <t>Combined Heat and Power Plant</t>
  </si>
  <si>
    <r>
      <rPr>
        <sz val="11"/>
        <color theme="1"/>
        <rFont val="Calibri"/>
      </rPr>
      <t>Small Scale Distributed Generation</t>
    </r>
    <r>
      <rPr>
        <vertAlign val="superscript"/>
        <sz val="11"/>
        <color theme="1"/>
        <rFont val="Calibri"/>
      </rPr>
      <t>2</t>
    </r>
  </si>
  <si>
    <r>
      <rPr>
        <b/>
        <sz val="11"/>
        <color theme="1"/>
        <rFont val="Calibri"/>
      </rPr>
      <t>Total Lines Losses</t>
    </r>
    <r>
      <rPr>
        <b/>
        <vertAlign val="superscript"/>
        <sz val="11"/>
        <color theme="1"/>
        <rFont val="Calibri"/>
      </rPr>
      <t>3</t>
    </r>
  </si>
  <si>
    <t>Losses ~ Transmission</t>
  </si>
  <si>
    <t>Losses ~ Distribution</t>
  </si>
  <si>
    <t>Total Electricity Demand (Calculated)</t>
  </si>
  <si>
    <r>
      <rPr>
        <sz val="11"/>
        <color theme="1"/>
        <rFont val="Calibri"/>
      </rPr>
      <t>Statistical Difference</t>
    </r>
    <r>
      <rPr>
        <vertAlign val="superscript"/>
        <sz val="11"/>
        <color theme="1"/>
        <rFont val="Calibri"/>
      </rPr>
      <t>4</t>
    </r>
  </si>
  <si>
    <t>DEMAND</t>
  </si>
  <si>
    <r>
      <rPr>
        <b/>
        <sz val="11"/>
        <color theme="1"/>
        <rFont val="Calibri"/>
      </rPr>
      <t>Total Electricity Demand (Observed)</t>
    </r>
    <r>
      <rPr>
        <b/>
        <vertAlign val="superscript"/>
        <sz val="11"/>
        <color theme="1"/>
        <rFont val="Calibri"/>
      </rPr>
      <t>5</t>
    </r>
  </si>
  <si>
    <r>
      <rPr>
        <sz val="11"/>
        <color theme="1"/>
        <rFont val="Calibri"/>
      </rPr>
      <t>Calculated Onsite Consumption</t>
    </r>
    <r>
      <rPr>
        <vertAlign val="superscript"/>
        <sz val="11"/>
        <color theme="1"/>
        <rFont val="Calibri"/>
      </rPr>
      <t>6</t>
    </r>
  </si>
  <si>
    <r>
      <rPr>
        <sz val="11"/>
        <color theme="1"/>
        <rFont val="Calibri"/>
      </rPr>
      <t>Electricity entering system</t>
    </r>
    <r>
      <rPr>
        <vertAlign val="superscript"/>
        <sz val="11"/>
        <color theme="1"/>
        <rFont val="Calibri"/>
      </rPr>
      <t>7</t>
    </r>
  </si>
  <si>
    <r>
      <rPr>
        <sz val="11"/>
        <color theme="1"/>
        <rFont val="Calibri"/>
      </rPr>
      <t>National loss ratio</t>
    </r>
    <r>
      <rPr>
        <vertAlign val="superscript"/>
        <sz val="11"/>
        <color theme="1"/>
        <rFont val="Calibri"/>
      </rPr>
      <t>8</t>
    </r>
  </si>
  <si>
    <t xml:space="preserve">Notes </t>
  </si>
  <si>
    <r>
      <rPr>
        <vertAlign val="superscript"/>
        <sz val="11"/>
        <color theme="1"/>
        <rFont val="Calibri"/>
      </rPr>
      <t>1</t>
    </r>
    <r>
      <rPr>
        <sz val="11"/>
        <color theme="1"/>
        <rFont val="Calibri"/>
      </rPr>
      <t xml:space="preserve"> Electricity used by the generator for auxilliary services (e.g. lighting, coal grinders) and internal losses</t>
    </r>
  </si>
  <si>
    <r>
      <rPr>
        <vertAlign val="superscript"/>
        <sz val="11"/>
        <color theme="1"/>
        <rFont val="Calibri"/>
      </rPr>
      <t>2</t>
    </r>
    <r>
      <rPr>
        <sz val="11"/>
        <color theme="1"/>
        <rFont val="Calibri"/>
      </rPr>
      <t xml:space="preserve"> Currently only accounts for distributed Solar PV generation calculated using capacity data from the Electricity Authority. </t>
    </r>
  </si>
  <si>
    <r>
      <rPr>
        <vertAlign val="superscript"/>
        <sz val="11"/>
        <color theme="1"/>
        <rFont val="Calibri"/>
      </rPr>
      <t>3</t>
    </r>
    <r>
      <rPr>
        <sz val="11"/>
        <color theme="1"/>
        <rFont val="Calibri"/>
      </rPr>
      <t xml:space="preserve"> Loss information is obtained through electricity disclosures by Transpower and the distribution companies. </t>
    </r>
  </si>
  <si>
    <r>
      <rPr>
        <vertAlign val="superscript"/>
        <sz val="11"/>
        <color theme="1"/>
        <rFont val="Calibri"/>
      </rPr>
      <t>4</t>
    </r>
    <r>
      <rPr>
        <sz val="11"/>
        <color theme="1"/>
        <rFont val="Calibri"/>
      </rPr>
      <t xml:space="preserve"> Statistical differences exist between supply and demand figures as the information comes from different sources</t>
    </r>
  </si>
  <si>
    <r>
      <rPr>
        <vertAlign val="superscript"/>
        <sz val="11"/>
        <color theme="1"/>
        <rFont val="Calibri"/>
      </rPr>
      <t>5</t>
    </r>
    <r>
      <rPr>
        <sz val="11"/>
        <color theme="1"/>
        <rFont val="Calibri"/>
      </rPr>
      <t xml:space="preserve"> Demand numbers in this table are based on data calculated with estimated sales.  For more information see footnote 6 in Table 2.</t>
    </r>
  </si>
  <si>
    <r>
      <rPr>
        <vertAlign val="superscript"/>
        <sz val="11"/>
        <color theme="1"/>
        <rFont val="Calibri"/>
      </rPr>
      <t>6</t>
    </r>
    <r>
      <rPr>
        <sz val="11"/>
        <color theme="1"/>
        <rFont val="Calibri"/>
      </rPr>
      <t xml:space="preserve"> Calculated estimate based on the difference between net production and electricity entering the system. This includes on-site generation not exported into the network. 
</t>
    </r>
  </si>
  <si>
    <t xml:space="preserve">Note in 2011 and 2012 an improved estimate has been made from a mix of data sources (net generation, Electricity Authority GXP generation, and annual onsite generation). </t>
  </si>
  <si>
    <t>For the energy balance tables, this figure is added to the Industrial Unallocated sector.</t>
  </si>
  <si>
    <r>
      <rPr>
        <vertAlign val="superscript"/>
        <sz val="11"/>
        <color theme="1"/>
        <rFont val="Calibri"/>
      </rPr>
      <t>7</t>
    </r>
    <r>
      <rPr>
        <sz val="11"/>
        <color theme="1"/>
        <rFont val="Calibri"/>
      </rPr>
      <t xml:space="preserve"> Total amount of electricity entering the local and national transmission and distribution networks. Includes embedded generation.</t>
    </r>
  </si>
  <si>
    <r>
      <rPr>
        <vertAlign val="superscript"/>
        <sz val="11"/>
        <color theme="1"/>
        <rFont val="Calibri"/>
      </rPr>
      <t>8</t>
    </r>
    <r>
      <rPr>
        <sz val="11"/>
        <color theme="1"/>
        <rFont val="Calibri"/>
      </rPr>
      <t xml:space="preserve"> Loss ratio calculated as the transmission and distribution losses divide by the total electricity entering the system.</t>
    </r>
  </si>
  <si>
    <t>km/year</t>
  </si>
  <si>
    <t>https://agrilink.co.nz/casestudy/life-cycle-assessment-nz-fuel-and-electricity/</t>
  </si>
  <si>
    <t>Appliance</t>
  </si>
  <si>
    <t>Battery production (t CO2e)</t>
  </si>
  <si>
    <t>Fuel cycle (kgCO2e/km)</t>
  </si>
  <si>
    <t>Vehicle manufacture (t CO2e)</t>
  </si>
  <si>
    <t>recycling</t>
  </si>
  <si>
    <t>FUel cycle emissions per year</t>
  </si>
  <si>
    <t>total emissions (from home study)</t>
  </si>
  <si>
    <t>Fuel cycle emissions</t>
  </si>
  <si>
    <t>gCO2e/L</t>
  </si>
  <si>
    <t>gCO2/km (assuming 10L/500km)</t>
  </si>
  <si>
    <t>gCO2e/kWh</t>
  </si>
  <si>
    <t>gCO2/km (assuming 0.28kWh/km)</t>
  </si>
  <si>
    <t>petrol</t>
  </si>
  <si>
    <t>Car - EV 2021 study</t>
  </si>
  <si>
    <t>diesel</t>
  </si>
  <si>
    <t>Car - Tesla 3/Y</t>
  </si>
  <si>
    <t>electricity</t>
  </si>
  <si>
    <t>Car - ICE petrol</t>
  </si>
  <si>
    <t>NA</t>
  </si>
  <si>
    <t>Car - ICE diesel</t>
  </si>
  <si>
    <t>https://theicct.org/publication/effects-of-battery-manufacturing-on-electric-vehicle-life-cycle-greenhouse-gas-emissions/</t>
  </si>
  <si>
    <t>https://www.transportenvironment.org/discover/how-clean-are-electric-cars/</t>
  </si>
  <si>
    <t>https://www.tesla.com/ns_videos/2022-tesla-impact-report.pdf</t>
  </si>
  <si>
    <t>Solar panels</t>
  </si>
  <si>
    <t>Emissions (kg/kW)</t>
  </si>
  <si>
    <t>2016 study</t>
  </si>
  <si>
    <t>https://circularecology.com/solar-pv-embodied-carbon.html</t>
  </si>
  <si>
    <t>2020 study</t>
  </si>
  <si>
    <t>520-780</t>
  </si>
  <si>
    <t>https://www.willmottdixon.co.uk/asset/17094</t>
  </si>
  <si>
    <t>Our estimate is likely conservative as four of the world’s largest solar manufacturers (Longi, Jinko, First Solar, and Hanwha Q-Cells) have signed up to RE100, committing to 100% renewable electricity supplies for their operations. Other manufacturers are taking a similar approach. Solar powered solar. (From Etude article)</t>
  </si>
  <si>
    <t>Batteries</t>
  </si>
  <si>
    <t>same as EV batteries (?)</t>
  </si>
  <si>
    <t>7kg CO2e/kg</t>
  </si>
  <si>
    <t>2563-5600kg CO2e</t>
  </si>
  <si>
    <t>60.49 kg CO2e/m^2</t>
  </si>
  <si>
    <t>https://sustain.ubc.ca/sites/default/files/2020-26_Assessing_Embodied_Emissions_of_buildings_Tolia.pdf</t>
  </si>
  <si>
    <t>https://www.sciencedirect.com/science/article/pii/S0378778817323101</t>
  </si>
  <si>
    <t>https://library.mitsubishielectric.co.uk/pdf/download_full/4851</t>
  </si>
  <si>
    <t>https://www.ncbi.nlm.nih.gov/pmc/articles/PMC10550614/</t>
  </si>
  <si>
    <t>https://environment.govt.nz/assets/publications/Measuring-Emissions-Guidance_DetailedGuide_2023_ME1764.pdf</t>
  </si>
  <si>
    <t>year</t>
  </si>
  <si>
    <t>total energy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</si>
</sst>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0.0"/>
    <numFmt numFmtId="165" formatCode="#,##0.0"/>
    <numFmt numFmtId="166" formatCode="0.000"/>
    <numFmt numFmtId="167" formatCode="&quot;$&quot;#,##0"/>
    <numFmt numFmtId="168" formatCode="0\ &quot;kgCO2e&quot;"/>
    <numFmt numFmtId="169" formatCode="&quot;$&quot;#,##0.00"/>
    <numFmt numFmtId="170" formatCode="&quot;$&quot;#,##0.000"/>
    <numFmt numFmtId="171" formatCode="0.0%"/>
    <numFmt numFmtId="172" formatCode="&quot;$&quot;#,##0.0"/>
    <numFmt numFmtId="173" formatCode="0.000%"/>
    <numFmt numFmtId="174" formatCode="&quot;$&quot;#,##0.0000"/>
    <numFmt numFmtId="175" formatCode="#,#00&quot;kg&quot;\ &quot;emissions&quot;"/>
    <numFmt numFmtId="176" formatCode="[$$]#,##0.00"/>
    <numFmt numFmtId="177" formatCode="[$$]#,##0.000"/>
    <numFmt numFmtId="178" formatCode="yyyy"/>
    <numFmt numFmtId="179" formatCode="0.0000"/>
    <numFmt numFmtId="180" formatCode="hh:mm"/>
    <numFmt numFmtId="181" formatCode="yyyy\-mm\-dd"/>
    <numFmt numFmtId="182" formatCode="mmmm\ d"/>
    <numFmt numFmtId="183" formatCode="0\ &quot;kW&quot;"/>
    <numFmt numFmtId="184" formatCode="d\-m\-yyyy"/>
    <numFmt numFmtId="185" formatCode="dd\-mm\-yyyy"/>
    <numFmt numFmtId="186" formatCode="_(* #,##0.00_);_(* \(#,##0.00\);_(* &quot;-&quot;??_);_(@_)"/>
    <numFmt numFmtId="187" formatCode="mmm\ yy"/>
    <numFmt numFmtId="188" formatCode="_-* #,##0_-;\-* #,##0_-;_-* &quot;-&quot;??_-;_-@"/>
    <numFmt numFmtId="189" formatCode="#,##0.00_ ;\-#,##0.00\ "/>
    <numFmt numFmtId="190" formatCode="_-* #,##0.00_-;\-* #,##0.00_-;_-* &quot;-&quot;??_-;_-@"/>
    <numFmt numFmtId="191" formatCode="_-* #,##0_-;\-* #,##0_-;_-* &quot;-&quot;_-;_-@"/>
    <numFmt numFmtId="192" formatCode="_-* #,##0.00_-;\-* #,##0.00_-;_-* &quot;-&quot;_-;_-@"/>
    <numFmt numFmtId="193" formatCode="_-* #,##0.000_-;\-* #,##0.000_-;_-* &quot;-&quot;??_-;_-@"/>
    <numFmt numFmtId="194" formatCode="0.00000"/>
  </numFmts>
  <fonts count="73">
    <font>
      <sz val="10"/>
      <color rgb="FF000000"/>
      <name val="Arial"/>
      <scheme val="minor"/>
    </font>
    <font>
      <sz val="10"/>
      <color theme="1"/>
      <name val="Arial"/>
      <scheme val="minor"/>
    </font>
    <font>
      <b/>
      <sz val="19"/>
      <color theme="1"/>
      <name val="Arial"/>
      <scheme val="minor"/>
    </font>
    <font>
      <b/>
      <sz val="10"/>
      <color theme="1"/>
      <name val="Arial"/>
      <scheme val="minor"/>
    </font>
    <font>
      <sz val="10"/>
      <color rgb="FFB7B7B7"/>
      <name val="Arial"/>
      <scheme val="minor"/>
    </font>
    <font>
      <sz val="10"/>
      <color rgb="FF000000"/>
      <name val="Arial"/>
      <scheme val="minor"/>
    </font>
    <font>
      <b/>
      <sz val="22"/>
      <color theme="1"/>
      <name val="Arial"/>
      <scheme val="minor"/>
    </font>
    <font>
      <b/>
      <sz val="25"/>
      <color theme="1"/>
      <name val="Arial"/>
      <scheme val="minor"/>
    </font>
    <font>
      <b/>
      <sz val="24"/>
      <color theme="1"/>
      <name val="Arial"/>
      <scheme val="minor"/>
    </font>
    <font>
      <b/>
      <sz val="33"/>
      <color theme="1"/>
      <name val="Arial"/>
      <scheme val="minor"/>
    </font>
    <font>
      <b/>
      <sz val="16"/>
      <color theme="1"/>
      <name val="Arial"/>
      <scheme val="minor"/>
    </font>
    <font>
      <u/>
      <sz val="10"/>
      <color rgb="FF0000FF"/>
      <name val="Arial"/>
    </font>
    <font>
      <b/>
      <sz val="13"/>
      <color theme="1"/>
      <name val="Arial"/>
      <scheme val="minor"/>
    </font>
    <font>
      <b/>
      <sz val="10"/>
      <color rgb="FFFF0000"/>
      <name val="Arial"/>
      <scheme val="minor"/>
    </font>
    <font>
      <b/>
      <sz val="23"/>
      <color rgb="FFFFFFFF"/>
      <name val="Arial"/>
      <scheme val="minor"/>
    </font>
    <font>
      <sz val="10"/>
      <color rgb="FFFFFFFF"/>
      <name val="Arial"/>
      <scheme val="minor"/>
    </font>
    <font>
      <b/>
      <sz val="9"/>
      <color theme="1"/>
      <name val="Arial"/>
      <scheme val="minor"/>
    </font>
    <font>
      <b/>
      <sz val="10"/>
      <color rgb="FFFFFFFF"/>
      <name val="Arial"/>
      <scheme val="minor"/>
    </font>
    <font>
      <sz val="10"/>
      <color rgb="FF666666"/>
      <name val="Arial"/>
      <scheme val="minor"/>
    </font>
    <font>
      <sz val="10"/>
      <color theme="1"/>
      <name val="Calibri"/>
    </font>
    <font>
      <sz val="9"/>
      <color rgb="FF000000"/>
      <name val="&quot;Google Sans&quot;"/>
    </font>
    <font>
      <u/>
      <sz val="9"/>
      <color rgb="FF000000"/>
      <name val="&quot;Google Sans&quot;"/>
    </font>
    <font>
      <sz val="10"/>
      <color rgb="FF000000"/>
      <name val="Docs-Calibri"/>
    </font>
    <font>
      <sz val="10"/>
      <color rgb="FF000000"/>
      <name val="Arial"/>
    </font>
    <font>
      <sz val="11"/>
      <color rgb="FF000000"/>
      <name val="Calibri"/>
    </font>
    <font>
      <sz val="11"/>
      <color theme="1"/>
      <name val="Calibri"/>
    </font>
    <font>
      <b/>
      <sz val="11"/>
      <color theme="1"/>
      <name val="Arial"/>
    </font>
    <font>
      <sz val="11"/>
      <color theme="1"/>
      <name val="Arial"/>
    </font>
    <font>
      <b/>
      <sz val="11"/>
      <color theme="1"/>
      <name val="Calibri"/>
    </font>
    <font>
      <u/>
      <sz val="10"/>
      <color rgb="FF0563C1"/>
      <name val="Arial"/>
    </font>
    <font>
      <sz val="10"/>
      <color rgb="FF000000"/>
      <name val="Calibri"/>
    </font>
    <font>
      <sz val="10"/>
      <color theme="1"/>
      <name val="Arial"/>
    </font>
    <font>
      <b/>
      <sz val="11"/>
      <color rgb="FF000000"/>
      <name val="&quot;Franklin Gothic&quot;"/>
    </font>
    <font>
      <sz val="11"/>
      <color rgb="FF000000"/>
      <name val="&quot;Franklin Gothic&quot;"/>
    </font>
    <font>
      <u/>
      <sz val="10"/>
      <color rgb="FF1155CC"/>
      <name val="Arial"/>
    </font>
    <font>
      <u/>
      <sz val="9"/>
      <color rgb="FF0563C1"/>
      <name val="Arial"/>
    </font>
    <font>
      <b/>
      <sz val="21"/>
      <color theme="1"/>
      <name val="Arial"/>
      <scheme val="minor"/>
    </font>
    <font>
      <sz val="11"/>
      <color rgb="FF000000"/>
      <name val="Arial"/>
    </font>
    <font>
      <sz val="8"/>
      <color rgb="FF000000"/>
      <name val="Arial"/>
    </font>
    <font>
      <sz val="10"/>
      <name val="Arial"/>
    </font>
    <font>
      <sz val="8"/>
      <color theme="1"/>
      <name val="Arial"/>
    </font>
    <font>
      <b/>
      <sz val="8"/>
      <color rgb="FF000000"/>
      <name val="Arial"/>
    </font>
    <font>
      <b/>
      <sz val="9"/>
      <color theme="1"/>
      <name val="Arial"/>
    </font>
    <font>
      <b/>
      <sz val="8"/>
      <color theme="1"/>
      <name val="Arial"/>
    </font>
    <font>
      <u/>
      <sz val="9"/>
      <color rgb="FF205D9E"/>
      <name val="Helvetica"/>
    </font>
    <font>
      <b/>
      <sz val="10"/>
      <color theme="1"/>
      <name val="Arial"/>
    </font>
    <font>
      <u/>
      <sz val="11"/>
      <color rgb="FF0070C0"/>
      <name val="Calibri"/>
    </font>
    <font>
      <u/>
      <sz val="11"/>
      <color theme="10"/>
      <name val="Arial"/>
    </font>
    <font>
      <b/>
      <sz val="16"/>
      <color theme="1"/>
      <name val="Calibri"/>
    </font>
    <font>
      <b/>
      <i/>
      <sz val="11"/>
      <color theme="1"/>
      <name val="Calibri"/>
    </font>
    <font>
      <b/>
      <sz val="11"/>
      <color rgb="FF000000"/>
      <name val="Calibri"/>
    </font>
    <font>
      <b/>
      <u/>
      <sz val="9"/>
      <color rgb="FF003366"/>
      <name val="Verdana"/>
    </font>
    <font>
      <b/>
      <sz val="10"/>
      <color rgb="FF000000"/>
      <name val="Arial"/>
      <scheme val="minor"/>
    </font>
    <font>
      <b/>
      <u/>
      <sz val="10"/>
      <color rgb="FF0000FF"/>
      <name val="Arial"/>
    </font>
    <font>
      <sz val="8"/>
      <color rgb="FFFFFFFF"/>
      <name val="Verdana"/>
    </font>
    <font>
      <b/>
      <u/>
      <sz val="8"/>
      <color rgb="FFFFFFFF"/>
      <name val="Verdana"/>
    </font>
    <font>
      <u/>
      <sz val="8"/>
      <color rgb="FFFFFFFF"/>
      <name val="Verdana"/>
    </font>
    <font>
      <b/>
      <sz val="8"/>
      <color rgb="FFFFFFFF"/>
      <name val="Verdana"/>
    </font>
    <font>
      <b/>
      <sz val="8"/>
      <color rgb="FF000000"/>
      <name val="Verdana"/>
    </font>
    <font>
      <b/>
      <sz val="9"/>
      <color rgb="FFFF0000"/>
      <name val="&quot;Courier New&quot;"/>
    </font>
    <font>
      <sz val="8"/>
      <color theme="1"/>
      <name val="Verdana"/>
    </font>
    <font>
      <u/>
      <sz val="8"/>
      <color rgb="FF0000FF"/>
      <name val="Verdana"/>
    </font>
    <font>
      <b/>
      <u/>
      <sz val="8"/>
      <color rgb="FF0000FF"/>
      <name val="Verdana"/>
    </font>
    <font>
      <sz val="11"/>
      <color rgb="FF006100"/>
      <name val="Calibri"/>
    </font>
    <font>
      <u/>
      <sz val="10"/>
      <color rgb="FF9999FF"/>
      <name val="Calibri"/>
    </font>
    <font>
      <i/>
      <sz val="11"/>
      <color theme="1"/>
      <name val="Calibri"/>
    </font>
    <font>
      <sz val="11"/>
      <color rgb="FF2D3033"/>
      <name val="&quot;Avenir LT W01_45 Book1475508&quot;"/>
    </font>
    <font>
      <sz val="12"/>
      <color rgb="FF2D3033"/>
      <name val="&quot;Avenir LT W01_45 Book1475508&quot;"/>
    </font>
    <font>
      <b/>
      <vertAlign val="superscript"/>
      <sz val="11"/>
      <color theme="1"/>
      <name val="Arial"/>
    </font>
    <font>
      <b/>
      <vertAlign val="superscript"/>
      <sz val="11"/>
      <color theme="1"/>
      <name val="Calibri"/>
    </font>
    <font>
      <vertAlign val="superscript"/>
      <sz val="11"/>
      <color theme="1"/>
      <name val="Calibri"/>
    </font>
    <font>
      <b/>
      <sz val="10"/>
      <color rgb="FF000000"/>
      <name val="Arial"/>
      <family val="2"/>
      <scheme val="minor"/>
    </font>
    <font>
      <sz val="10"/>
      <color theme="1"/>
      <name val="Arial"/>
      <family val="2"/>
      <scheme val="minor"/>
    </font>
  </fonts>
  <fills count="70">
    <fill>
      <patternFill patternType="none"/>
    </fill>
    <fill>
      <patternFill patternType="gray125"/>
    </fill>
    <fill>
      <patternFill patternType="solid">
        <fgColor rgb="FF000000"/>
        <bgColor rgb="FF000000"/>
      </patternFill>
    </fill>
    <fill>
      <patternFill patternType="solid">
        <fgColor rgb="FFD9D9D9"/>
        <bgColor rgb="FFD9D9D9"/>
      </patternFill>
    </fill>
    <fill>
      <patternFill patternType="solid">
        <fgColor rgb="FFA4C2F4"/>
        <bgColor rgb="FFA4C2F4"/>
      </patternFill>
    </fill>
    <fill>
      <patternFill patternType="solid">
        <fgColor rgb="FFD5A6BD"/>
        <bgColor rgb="FFD5A6BD"/>
      </patternFill>
    </fill>
    <fill>
      <patternFill patternType="solid">
        <fgColor rgb="FFB4A7D6"/>
        <bgColor rgb="FFB4A7D6"/>
      </patternFill>
    </fill>
    <fill>
      <patternFill patternType="solid">
        <fgColor rgb="FFEAD39C"/>
        <bgColor rgb="FFEAD39C"/>
      </patternFill>
    </fill>
    <fill>
      <patternFill patternType="solid">
        <fgColor rgb="FFDD7E6B"/>
        <bgColor rgb="FFDD7E6B"/>
      </patternFill>
    </fill>
    <fill>
      <patternFill patternType="solid">
        <fgColor rgb="FF999999"/>
        <bgColor rgb="FF999999"/>
      </patternFill>
    </fill>
    <fill>
      <patternFill patternType="solid">
        <fgColor rgb="FFEFEFEF"/>
        <bgColor rgb="FFEFEFEF"/>
      </patternFill>
    </fill>
    <fill>
      <patternFill patternType="solid">
        <fgColor rgb="FFF6B26B"/>
        <bgColor rgb="FFF6B26B"/>
      </patternFill>
    </fill>
    <fill>
      <patternFill patternType="solid">
        <fgColor rgb="FFEAD1DC"/>
        <bgColor rgb="FFEAD1DC"/>
      </patternFill>
    </fill>
    <fill>
      <patternFill patternType="solid">
        <fgColor rgb="FFFCE5CD"/>
        <bgColor rgb="FFFCE5CD"/>
      </patternFill>
    </fill>
    <fill>
      <patternFill patternType="solid">
        <fgColor rgb="FF6D9EEB"/>
        <bgColor rgb="FF6D9EEB"/>
      </patternFill>
    </fill>
    <fill>
      <patternFill patternType="solid">
        <fgColor rgb="FFFFF2CC"/>
        <bgColor rgb="FFFFF2CC"/>
      </patternFill>
    </fill>
    <fill>
      <patternFill patternType="solid">
        <fgColor rgb="FFB6D7A8"/>
        <bgColor rgb="FFB6D7A8"/>
      </patternFill>
    </fill>
    <fill>
      <patternFill patternType="solid">
        <fgColor rgb="FFCCCCCC"/>
        <bgColor rgb="FFCCCCCC"/>
      </patternFill>
    </fill>
    <fill>
      <patternFill patternType="solid">
        <fgColor rgb="FFEA9999"/>
        <bgColor rgb="FFEA9999"/>
      </patternFill>
    </fill>
    <fill>
      <patternFill patternType="solid">
        <fgColor rgb="FFF4CCCC"/>
        <bgColor rgb="FFF4CCCC"/>
      </patternFill>
    </fill>
    <fill>
      <patternFill patternType="solid">
        <fgColor rgb="FFB7B7B7"/>
        <bgColor rgb="FFB7B7B7"/>
      </patternFill>
    </fill>
    <fill>
      <patternFill patternType="solid">
        <fgColor rgb="FF8E7CC3"/>
        <bgColor rgb="FF8E7CC3"/>
      </patternFill>
    </fill>
    <fill>
      <patternFill patternType="solid">
        <fgColor rgb="FFC27BA0"/>
        <bgColor rgb="FFC27BA0"/>
      </patternFill>
    </fill>
    <fill>
      <patternFill patternType="solid">
        <fgColor rgb="FFFFE599"/>
        <bgColor rgb="FFFFE599"/>
      </patternFill>
    </fill>
    <fill>
      <patternFill patternType="solid">
        <fgColor rgb="FFD9D2E9"/>
        <bgColor rgb="FFD9D2E9"/>
      </patternFill>
    </fill>
    <fill>
      <patternFill patternType="solid">
        <fgColor rgb="FFE5D9B7"/>
        <bgColor rgb="FFE5D9B7"/>
      </patternFill>
    </fill>
    <fill>
      <patternFill patternType="solid">
        <fgColor rgb="FFE6B8AF"/>
        <bgColor rgb="FFE6B8AF"/>
      </patternFill>
    </fill>
    <fill>
      <patternFill patternType="solid">
        <fgColor rgb="FFC9DAF8"/>
        <bgColor rgb="FFC9DAF8"/>
      </patternFill>
    </fill>
    <fill>
      <patternFill patternType="solid">
        <fgColor rgb="FFCFE2F3"/>
        <bgColor rgb="FFCFE2F3"/>
      </patternFill>
    </fill>
    <fill>
      <patternFill patternType="solid">
        <fgColor rgb="FF9FC5E8"/>
        <bgColor rgb="FF9FC5E8"/>
      </patternFill>
    </fill>
    <fill>
      <patternFill patternType="solid">
        <fgColor theme="6"/>
        <bgColor theme="6"/>
      </patternFill>
    </fill>
    <fill>
      <patternFill patternType="solid">
        <fgColor rgb="FFF9CB9C"/>
        <bgColor rgb="FFF9CB9C"/>
      </patternFill>
    </fill>
    <fill>
      <patternFill patternType="solid">
        <fgColor rgb="FFF3F3F3"/>
        <bgColor rgb="FFF3F3F3"/>
      </patternFill>
    </fill>
    <fill>
      <patternFill patternType="solid">
        <fgColor rgb="FFE06666"/>
        <bgColor rgb="FFE06666"/>
      </patternFill>
    </fill>
    <fill>
      <patternFill patternType="solid">
        <fgColor rgb="FFF5CCCC"/>
        <bgColor rgb="FFF5CCCC"/>
      </patternFill>
    </fill>
    <fill>
      <patternFill patternType="solid">
        <fgColor rgb="FF434343"/>
        <bgColor rgb="FF434343"/>
      </patternFill>
    </fill>
    <fill>
      <patternFill patternType="solid">
        <fgColor rgb="FFFFD966"/>
        <bgColor rgb="FFFFD966"/>
      </patternFill>
    </fill>
    <fill>
      <patternFill patternType="solid">
        <fgColor rgb="FFF1C232"/>
        <bgColor rgb="FFF1C232"/>
      </patternFill>
    </fill>
    <fill>
      <patternFill patternType="solid">
        <fgColor theme="7"/>
        <bgColor theme="7"/>
      </patternFill>
    </fill>
    <fill>
      <patternFill patternType="solid">
        <fgColor rgb="FF93C47D"/>
        <bgColor rgb="FF93C47D"/>
      </patternFill>
    </fill>
    <fill>
      <patternFill patternType="solid">
        <fgColor rgb="FFFFFFFF"/>
        <bgColor rgb="FFFFFFFF"/>
      </patternFill>
    </fill>
    <fill>
      <patternFill patternType="solid">
        <fgColor rgb="FFBF9000"/>
        <bgColor rgb="FFBF9000"/>
      </patternFill>
    </fill>
    <fill>
      <patternFill patternType="solid">
        <fgColor rgb="FF6FA8DC"/>
        <bgColor rgb="FF6FA8DC"/>
      </patternFill>
    </fill>
    <fill>
      <patternFill patternType="solid">
        <fgColor rgb="FFD9EAD3"/>
        <bgColor rgb="FFD9EAD3"/>
      </patternFill>
    </fill>
    <fill>
      <patternFill patternType="solid">
        <fgColor rgb="FFFF0000"/>
        <bgColor rgb="FFFF0000"/>
      </patternFill>
    </fill>
    <fill>
      <patternFill patternType="solid">
        <fgColor rgb="FFFFFF00"/>
        <bgColor rgb="FFFFFF00"/>
      </patternFill>
    </fill>
    <fill>
      <patternFill patternType="solid">
        <fgColor rgb="FFFFEFDF"/>
        <bgColor rgb="FFFFEFDF"/>
      </patternFill>
    </fill>
    <fill>
      <patternFill patternType="solid">
        <fgColor rgb="FFEFAEAE"/>
        <bgColor rgb="FFEFAEAE"/>
      </patternFill>
    </fill>
    <fill>
      <patternFill patternType="solid">
        <fgColor rgb="FFF3C2C2"/>
        <bgColor rgb="FFF3C2C2"/>
      </patternFill>
    </fill>
    <fill>
      <patternFill patternType="solid">
        <fgColor rgb="FFF7D7D7"/>
        <bgColor rgb="FFF7D7D7"/>
      </patternFill>
    </fill>
    <fill>
      <patternFill patternType="solid">
        <fgColor rgb="FFF8DCDC"/>
        <bgColor rgb="FFF8DCDC"/>
      </patternFill>
    </fill>
    <fill>
      <patternFill patternType="solid">
        <fgColor rgb="FFFAE6E6"/>
        <bgColor rgb="FFFAE6E6"/>
      </patternFill>
    </fill>
    <fill>
      <patternFill patternType="solid">
        <fgColor rgb="FFF9E1E1"/>
        <bgColor rgb="FFF9E1E1"/>
      </patternFill>
    </fill>
    <fill>
      <patternFill patternType="solid">
        <fgColor rgb="FFFCEDED"/>
        <bgColor rgb="FFFCEDED"/>
      </patternFill>
    </fill>
    <fill>
      <patternFill patternType="solid">
        <fgColor rgb="FFFBEBEB"/>
        <bgColor rgb="FFFBEBEB"/>
      </patternFill>
    </fill>
    <fill>
      <patternFill patternType="solid">
        <fgColor rgb="FFF6D2D2"/>
        <bgColor rgb="FFF6D2D2"/>
      </patternFill>
    </fill>
    <fill>
      <patternFill patternType="solid">
        <fgColor rgb="FFEC9F9F"/>
        <bgColor rgb="FFEC9F9F"/>
      </patternFill>
    </fill>
    <fill>
      <patternFill patternType="solid">
        <fgColor rgb="FFEEA9A9"/>
        <bgColor rgb="FFEEA9A9"/>
      </patternFill>
    </fill>
    <fill>
      <patternFill patternType="solid">
        <fgColor rgb="FFF2BCBC"/>
        <bgColor rgb="FFF2BCBC"/>
      </patternFill>
    </fill>
    <fill>
      <patternFill patternType="solid">
        <fgColor theme="0"/>
        <bgColor theme="0"/>
      </patternFill>
    </fill>
    <fill>
      <patternFill patternType="solid">
        <fgColor rgb="FF6AA84F"/>
        <bgColor rgb="FF6AA84F"/>
      </patternFill>
    </fill>
    <fill>
      <patternFill patternType="solid">
        <fgColor rgb="FF67999A"/>
        <bgColor rgb="FF67999A"/>
      </patternFill>
    </fill>
    <fill>
      <patternFill patternType="solid">
        <fgColor rgb="FFD7F7F6"/>
        <bgColor rgb="FFD7F7F6"/>
      </patternFill>
    </fill>
    <fill>
      <patternFill patternType="solid">
        <fgColor rgb="FFEEEEEE"/>
        <bgColor rgb="FFEEEEEE"/>
      </patternFill>
    </fill>
    <fill>
      <patternFill patternType="solid">
        <fgColor rgb="FFC6EFCE"/>
        <bgColor rgb="FFC6EFCE"/>
      </patternFill>
    </fill>
    <fill>
      <patternFill patternType="solid">
        <fgColor rgb="FFEAF1DD"/>
        <bgColor rgb="FFEAF1DD"/>
      </patternFill>
    </fill>
    <fill>
      <patternFill patternType="solid">
        <fgColor rgb="FF8DB3E2"/>
        <bgColor rgb="FF8DB3E2"/>
      </patternFill>
    </fill>
    <fill>
      <patternFill patternType="solid">
        <fgColor rgb="FFFDE9D9"/>
        <bgColor rgb="FFFDE9D9"/>
      </patternFill>
    </fill>
    <fill>
      <patternFill patternType="solid">
        <fgColor rgb="FFDBE5F1"/>
        <bgColor rgb="FFDBE5F1"/>
      </patternFill>
    </fill>
    <fill>
      <patternFill patternType="solid">
        <fgColor rgb="FF92CDDC"/>
        <bgColor rgb="FF92CDDC"/>
      </patternFill>
    </fill>
  </fills>
  <borders count="21">
    <border>
      <left/>
      <right/>
      <top/>
      <bottom/>
      <diagonal/>
    </border>
    <border>
      <left style="thin">
        <color rgb="FFF5F5F5"/>
      </left>
      <right style="thin">
        <color rgb="FFF5F5F5"/>
      </right>
      <top style="thin">
        <color rgb="FFF5F5F5"/>
      </top>
      <bottom style="thin">
        <color rgb="FFF5F5F5"/>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double">
        <color rgb="FF000000"/>
      </bottom>
      <diagonal/>
    </border>
    <border>
      <left/>
      <right style="thin">
        <color rgb="FF000000"/>
      </right>
      <top/>
      <bottom style="double">
        <color rgb="FF000000"/>
      </bottom>
      <diagonal/>
    </border>
    <border>
      <left/>
      <right/>
      <top style="thin">
        <color rgb="FF000000"/>
      </top>
      <bottom style="double">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C0C0C0"/>
      </left>
      <right style="thin">
        <color rgb="FFC0C0C0"/>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000000"/>
      </left>
      <right/>
      <top/>
      <bottom style="thin">
        <color rgb="FF000000"/>
      </bottom>
      <diagonal/>
    </border>
    <border>
      <left style="thin">
        <color rgb="FF000000"/>
      </left>
      <right/>
      <top/>
      <bottom/>
      <diagonal/>
    </border>
    <border>
      <left/>
      <right/>
      <top/>
      <bottom/>
      <diagonal/>
    </border>
    <border>
      <left/>
      <right/>
      <top style="thin">
        <color rgb="FF000000"/>
      </top>
      <bottom/>
      <diagonal/>
    </border>
  </borders>
  <cellStyleXfs count="1">
    <xf numFmtId="0" fontId="0" fillId="0" borderId="0"/>
  </cellStyleXfs>
  <cellXfs count="624">
    <xf numFmtId="0" fontId="0" fillId="0" borderId="0" xfId="0"/>
    <xf numFmtId="9" fontId="1" fillId="0" borderId="0" xfId="0" applyNumberFormat="1" applyFont="1"/>
    <xf numFmtId="0" fontId="2" fillId="3"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1" fillId="8" borderId="0" xfId="0" applyFont="1" applyFill="1"/>
    <xf numFmtId="0" fontId="1" fillId="9" borderId="0" xfId="0" applyFont="1" applyFill="1"/>
    <xf numFmtId="0" fontId="1" fillId="3" borderId="0" xfId="0" applyFont="1" applyFill="1"/>
    <xf numFmtId="0" fontId="1" fillId="0" borderId="0" xfId="0" applyFont="1"/>
    <xf numFmtId="2" fontId="1" fillId="10" borderId="0" xfId="0" applyNumberFormat="1" applyFont="1" applyFill="1"/>
    <xf numFmtId="164" fontId="1" fillId="10" borderId="0" xfId="0" applyNumberFormat="1" applyFont="1" applyFill="1"/>
    <xf numFmtId="0" fontId="1" fillId="10" borderId="0" xfId="0" applyFont="1" applyFill="1"/>
    <xf numFmtId="4" fontId="1" fillId="10" borderId="0" xfId="0" applyNumberFormat="1" applyFont="1" applyFill="1"/>
    <xf numFmtId="165" fontId="1" fillId="10" borderId="0" xfId="0" applyNumberFormat="1" applyFont="1" applyFill="1"/>
    <xf numFmtId="166" fontId="1" fillId="10" borderId="0" xfId="0" applyNumberFormat="1" applyFont="1" applyFill="1"/>
    <xf numFmtId="9" fontId="1" fillId="10" borderId="0" xfId="0" applyNumberFormat="1" applyFont="1" applyFill="1"/>
    <xf numFmtId="0" fontId="3" fillId="3" borderId="0" xfId="0" applyFont="1" applyFill="1" applyAlignment="1">
      <alignment wrapText="1"/>
    </xf>
    <xf numFmtId="0" fontId="1" fillId="4" borderId="0" xfId="0" applyFont="1" applyFill="1" applyAlignment="1">
      <alignment wrapText="1"/>
    </xf>
    <xf numFmtId="0" fontId="1" fillId="5" borderId="0" xfId="0" applyFont="1" applyFill="1" applyAlignment="1">
      <alignment wrapText="1"/>
    </xf>
    <xf numFmtId="0" fontId="1" fillId="6" borderId="0" xfId="0" applyFont="1" applyFill="1" applyAlignment="1">
      <alignment wrapText="1"/>
    </xf>
    <xf numFmtId="0" fontId="1" fillId="7" borderId="0" xfId="0" applyFont="1" applyFill="1" applyAlignment="1">
      <alignment wrapText="1"/>
    </xf>
    <xf numFmtId="0" fontId="1" fillId="8" borderId="0" xfId="0" applyFont="1" applyFill="1" applyAlignment="1">
      <alignment wrapText="1"/>
    </xf>
    <xf numFmtId="0" fontId="1" fillId="9" borderId="0" xfId="0" applyFont="1" applyFill="1" applyAlignment="1">
      <alignment wrapText="1"/>
    </xf>
    <xf numFmtId="0" fontId="1" fillId="3" borderId="0" xfId="0" applyFont="1" applyFill="1" applyAlignment="1">
      <alignment wrapText="1"/>
    </xf>
    <xf numFmtId="0" fontId="1" fillId="11" borderId="0" xfId="0" applyFont="1" applyFill="1" applyAlignment="1">
      <alignment wrapText="1"/>
    </xf>
    <xf numFmtId="167" fontId="1" fillId="0" borderId="0" xfId="0" applyNumberFormat="1" applyFont="1"/>
    <xf numFmtId="0" fontId="1" fillId="0" borderId="0" xfId="0" applyFont="1" applyAlignment="1">
      <alignment wrapText="1"/>
    </xf>
    <xf numFmtId="0" fontId="1" fillId="12" borderId="0" xfId="0" applyFont="1" applyFill="1"/>
    <xf numFmtId="0" fontId="4" fillId="10" borderId="0" xfId="0" applyFont="1" applyFill="1" applyAlignment="1">
      <alignment horizontal="right"/>
    </xf>
    <xf numFmtId="1" fontId="4" fillId="10" borderId="0" xfId="0" applyNumberFormat="1" applyFont="1" applyFill="1" applyAlignment="1">
      <alignment horizontal="right"/>
    </xf>
    <xf numFmtId="164" fontId="1" fillId="13" borderId="0" xfId="0" applyNumberFormat="1" applyFont="1" applyFill="1"/>
    <xf numFmtId="166" fontId="5" fillId="10" borderId="0" xfId="0" applyNumberFormat="1" applyFont="1" applyFill="1" applyAlignment="1">
      <alignment horizontal="right"/>
    </xf>
    <xf numFmtId="0" fontId="5" fillId="10" borderId="0" xfId="0" applyFont="1" applyFill="1" applyAlignment="1">
      <alignment horizontal="right"/>
    </xf>
    <xf numFmtId="164" fontId="5" fillId="10" borderId="0" xfId="0" applyNumberFormat="1" applyFont="1" applyFill="1" applyAlignment="1">
      <alignment horizontal="right"/>
    </xf>
    <xf numFmtId="0" fontId="1" fillId="14" borderId="0" xfId="0" applyFont="1" applyFill="1"/>
    <xf numFmtId="0" fontId="1" fillId="15" borderId="0" xfId="0" applyFont="1" applyFill="1"/>
    <xf numFmtId="0" fontId="1" fillId="13" borderId="0" xfId="0" applyFont="1" applyFill="1"/>
    <xf numFmtId="0" fontId="1" fillId="16" borderId="0" xfId="0" applyFont="1" applyFill="1"/>
    <xf numFmtId="0" fontId="3" fillId="10" borderId="0" xfId="0" applyFont="1" applyFill="1"/>
    <xf numFmtId="0" fontId="6" fillId="19" borderId="0" xfId="0" applyFont="1" applyFill="1"/>
    <xf numFmtId="0" fontId="1" fillId="19" borderId="0" xfId="0" applyFont="1" applyFill="1"/>
    <xf numFmtId="0" fontId="1" fillId="19" borderId="0" xfId="0" applyFont="1" applyFill="1" applyAlignment="1">
      <alignment vertical="center"/>
    </xf>
    <xf numFmtId="0" fontId="3" fillId="17" borderId="0" xfId="0" applyFont="1" applyFill="1" applyAlignment="1">
      <alignment wrapText="1"/>
    </xf>
    <xf numFmtId="9" fontId="3" fillId="17" borderId="0" xfId="0" applyNumberFormat="1" applyFont="1" applyFill="1" applyAlignment="1">
      <alignment wrapText="1"/>
    </xf>
    <xf numFmtId="0" fontId="3" fillId="9" borderId="0" xfId="0" applyFont="1" applyFill="1" applyAlignment="1">
      <alignment wrapText="1"/>
    </xf>
    <xf numFmtId="0" fontId="1" fillId="20" borderId="0" xfId="0" applyFont="1" applyFill="1"/>
    <xf numFmtId="3" fontId="1" fillId="10" borderId="0" xfId="0" applyNumberFormat="1" applyFont="1" applyFill="1"/>
    <xf numFmtId="2" fontId="1" fillId="9" borderId="0" xfId="0" applyNumberFormat="1" applyFont="1" applyFill="1"/>
    <xf numFmtId="2" fontId="1" fillId="0" borderId="0" xfId="0" applyNumberFormat="1" applyFont="1"/>
    <xf numFmtId="0" fontId="1" fillId="17" borderId="0" xfId="0" applyFont="1" applyFill="1"/>
    <xf numFmtId="2" fontId="1" fillId="17" borderId="0" xfId="0" applyNumberFormat="1" applyFont="1" applyFill="1"/>
    <xf numFmtId="9" fontId="1" fillId="17" borderId="0" xfId="0" applyNumberFormat="1" applyFont="1" applyFill="1"/>
    <xf numFmtId="0" fontId="3" fillId="3" borderId="0" xfId="0" applyFont="1" applyFill="1"/>
    <xf numFmtId="10" fontId="1" fillId="3" borderId="0" xfId="0" applyNumberFormat="1" applyFont="1" applyFill="1"/>
    <xf numFmtId="9" fontId="1" fillId="3" borderId="0" xfId="0" applyNumberFormat="1" applyFont="1" applyFill="1"/>
    <xf numFmtId="0" fontId="3" fillId="17" borderId="0" xfId="0" applyFont="1" applyFill="1"/>
    <xf numFmtId="0" fontId="3" fillId="6" borderId="0" xfId="0" applyFont="1" applyFill="1"/>
    <xf numFmtId="0" fontId="3" fillId="21" borderId="0" xfId="0" applyFont="1" applyFill="1"/>
    <xf numFmtId="0" fontId="3" fillId="7" borderId="0" xfId="0" applyFont="1" applyFill="1"/>
    <xf numFmtId="0" fontId="3" fillId="22" borderId="0" xfId="0" applyFont="1" applyFill="1"/>
    <xf numFmtId="0" fontId="3" fillId="14" borderId="0" xfId="0" applyFont="1" applyFill="1"/>
    <xf numFmtId="0" fontId="3" fillId="4" borderId="0" xfId="0" applyFont="1" applyFill="1"/>
    <xf numFmtId="0" fontId="3" fillId="23" borderId="0" xfId="0" applyFont="1" applyFill="1"/>
    <xf numFmtId="0" fontId="3" fillId="10" borderId="0" xfId="0" applyFont="1" applyFill="1" applyAlignment="1">
      <alignment wrapText="1"/>
    </xf>
    <xf numFmtId="166" fontId="1" fillId="24" borderId="0" xfId="0" applyNumberFormat="1" applyFont="1" applyFill="1"/>
    <xf numFmtId="166" fontId="1" fillId="6" borderId="0" xfId="0" applyNumberFormat="1" applyFont="1" applyFill="1"/>
    <xf numFmtId="164" fontId="1" fillId="25" borderId="0" xfId="0" applyNumberFormat="1" applyFont="1" applyFill="1"/>
    <xf numFmtId="164" fontId="1" fillId="26" borderId="0" xfId="0" applyNumberFormat="1" applyFont="1" applyFill="1"/>
    <xf numFmtId="164" fontId="1" fillId="27" borderId="0" xfId="0" applyNumberFormat="1" applyFont="1" applyFill="1"/>
    <xf numFmtId="166" fontId="1" fillId="28" borderId="0" xfId="0" applyNumberFormat="1" applyFont="1" applyFill="1"/>
    <xf numFmtId="164" fontId="1" fillId="15" borderId="0" xfId="0" applyNumberFormat="1" applyFont="1" applyFill="1"/>
    <xf numFmtId="167" fontId="1" fillId="10" borderId="0" xfId="0" applyNumberFormat="1" applyFont="1" applyFill="1"/>
    <xf numFmtId="1" fontId="1" fillId="10" borderId="0" xfId="0" applyNumberFormat="1" applyFont="1" applyFill="1"/>
    <xf numFmtId="1" fontId="1" fillId="24" borderId="0" xfId="0" applyNumberFormat="1" applyFont="1" applyFill="1"/>
    <xf numFmtId="1" fontId="1" fillId="6" borderId="0" xfId="0" applyNumberFormat="1" applyFont="1" applyFill="1"/>
    <xf numFmtId="1" fontId="1" fillId="25" borderId="0" xfId="0" applyNumberFormat="1" applyFont="1" applyFill="1"/>
    <xf numFmtId="1" fontId="1" fillId="26" borderId="0" xfId="0" applyNumberFormat="1" applyFont="1" applyFill="1"/>
    <xf numFmtId="1" fontId="1" fillId="27" borderId="0" xfId="0" applyNumberFormat="1" applyFont="1" applyFill="1"/>
    <xf numFmtId="1" fontId="1" fillId="28" borderId="0" xfId="0" applyNumberFormat="1" applyFont="1" applyFill="1"/>
    <xf numFmtId="1" fontId="1" fillId="15" borderId="0" xfId="0" applyNumberFormat="1" applyFont="1" applyFill="1"/>
    <xf numFmtId="168" fontId="1" fillId="10" borderId="0" xfId="0" applyNumberFormat="1" applyFont="1" applyFill="1"/>
    <xf numFmtId="167" fontId="1" fillId="24" borderId="0" xfId="0" applyNumberFormat="1" applyFont="1" applyFill="1"/>
    <xf numFmtId="167" fontId="1" fillId="6" borderId="0" xfId="0" applyNumberFormat="1" applyFont="1" applyFill="1"/>
    <xf numFmtId="167" fontId="1" fillId="25" borderId="0" xfId="0" applyNumberFormat="1" applyFont="1" applyFill="1"/>
    <xf numFmtId="167" fontId="1" fillId="26" borderId="0" xfId="0" applyNumberFormat="1" applyFont="1" applyFill="1"/>
    <xf numFmtId="167" fontId="1" fillId="27" borderId="0" xfId="0" applyNumberFormat="1" applyFont="1" applyFill="1"/>
    <xf numFmtId="167" fontId="1" fillId="28" borderId="0" xfId="0" applyNumberFormat="1" applyFont="1" applyFill="1"/>
    <xf numFmtId="167" fontId="1" fillId="15" borderId="0" xfId="0" applyNumberFormat="1" applyFont="1" applyFill="1"/>
    <xf numFmtId="1" fontId="3" fillId="10" borderId="0" xfId="0" applyNumberFormat="1" applyFont="1" applyFill="1" applyAlignment="1">
      <alignment wrapText="1"/>
    </xf>
    <xf numFmtId="1" fontId="1" fillId="0" borderId="0" xfId="0" applyNumberFormat="1" applyFont="1"/>
    <xf numFmtId="169" fontId="1" fillId="6" borderId="0" xfId="0" applyNumberFormat="1" applyFont="1" applyFill="1"/>
    <xf numFmtId="0" fontId="1" fillId="25" borderId="0" xfId="0" applyFont="1" applyFill="1"/>
    <xf numFmtId="0" fontId="1" fillId="26" borderId="0" xfId="0" applyFont="1" applyFill="1"/>
    <xf numFmtId="0" fontId="1" fillId="27" borderId="0" xfId="0" applyFont="1" applyFill="1"/>
    <xf numFmtId="0" fontId="1" fillId="28" borderId="0" xfId="0" applyFont="1" applyFill="1"/>
    <xf numFmtId="169" fontId="1" fillId="10" borderId="0" xfId="0" applyNumberFormat="1" applyFont="1" applyFill="1"/>
    <xf numFmtId="0" fontId="1" fillId="24" borderId="0" xfId="0" applyFont="1" applyFill="1"/>
    <xf numFmtId="9" fontId="1" fillId="6" borderId="0" xfId="0" applyNumberFormat="1" applyFont="1" applyFill="1"/>
    <xf numFmtId="0" fontId="1" fillId="10" borderId="0" xfId="0" applyFont="1" applyFill="1" applyAlignment="1">
      <alignment wrapText="1"/>
    </xf>
    <xf numFmtId="0" fontId="3" fillId="18" borderId="0" xfId="0" applyFont="1" applyFill="1" applyAlignment="1">
      <alignment wrapText="1"/>
    </xf>
    <xf numFmtId="0" fontId="1" fillId="18" borderId="0" xfId="0" applyFont="1" applyFill="1"/>
    <xf numFmtId="9" fontId="1" fillId="18" borderId="0" xfId="0" applyNumberFormat="1" applyFont="1" applyFill="1"/>
    <xf numFmtId="0" fontId="1" fillId="18" borderId="0" xfId="0" applyFont="1" applyFill="1" applyAlignment="1">
      <alignment wrapText="1"/>
    </xf>
    <xf numFmtId="1" fontId="1" fillId="18" borderId="0" xfId="0" applyNumberFormat="1" applyFont="1" applyFill="1"/>
    <xf numFmtId="0" fontId="6" fillId="29" borderId="0" xfId="0" applyFont="1" applyFill="1"/>
    <xf numFmtId="0" fontId="1" fillId="29" borderId="0" xfId="0" applyFont="1" applyFill="1"/>
    <xf numFmtId="9" fontId="1" fillId="29" borderId="0" xfId="0" applyNumberFormat="1" applyFont="1" applyFill="1"/>
    <xf numFmtId="4" fontId="1" fillId="0" borderId="0" xfId="0" applyNumberFormat="1" applyFont="1"/>
    <xf numFmtId="2" fontId="1" fillId="28" borderId="0" xfId="0" applyNumberFormat="1" applyFont="1" applyFill="1"/>
    <xf numFmtId="2" fontId="1" fillId="15" borderId="0" xfId="0" applyNumberFormat="1" applyFont="1" applyFill="1"/>
    <xf numFmtId="0" fontId="6" fillId="18" borderId="0" xfId="0" applyFont="1" applyFill="1"/>
    <xf numFmtId="9" fontId="3" fillId="17" borderId="0" xfId="0" applyNumberFormat="1" applyFont="1" applyFill="1"/>
    <xf numFmtId="0" fontId="3" fillId="20" borderId="0" xfId="0" applyFont="1" applyFill="1"/>
    <xf numFmtId="0" fontId="3" fillId="0" borderId="0" xfId="0" applyFont="1"/>
    <xf numFmtId="2" fontId="1" fillId="20" borderId="0" xfId="0" applyNumberFormat="1" applyFont="1" applyFill="1"/>
    <xf numFmtId="4" fontId="1" fillId="17" borderId="0" xfId="0" applyNumberFormat="1" applyFont="1" applyFill="1"/>
    <xf numFmtId="169" fontId="1" fillId="0" borderId="0" xfId="0" applyNumberFormat="1" applyFont="1"/>
    <xf numFmtId="0" fontId="3" fillId="30" borderId="0" xfId="0" applyFont="1" applyFill="1"/>
    <xf numFmtId="2" fontId="1" fillId="26" borderId="0" xfId="0" applyNumberFormat="1" applyFont="1" applyFill="1"/>
    <xf numFmtId="2" fontId="1" fillId="27" borderId="0" xfId="0" applyNumberFormat="1" applyFont="1" applyFill="1"/>
    <xf numFmtId="2" fontId="1" fillId="23" borderId="0" xfId="0" applyNumberFormat="1" applyFont="1" applyFill="1"/>
    <xf numFmtId="1" fontId="1" fillId="23" borderId="0" xfId="0" applyNumberFormat="1" applyFont="1" applyFill="1"/>
    <xf numFmtId="167" fontId="1" fillId="23" borderId="0" xfId="0" applyNumberFormat="1" applyFont="1" applyFill="1"/>
    <xf numFmtId="0" fontId="1" fillId="23" borderId="0" xfId="0" applyFont="1" applyFill="1"/>
    <xf numFmtId="164" fontId="1" fillId="18" borderId="0" xfId="0" applyNumberFormat="1" applyFont="1" applyFill="1"/>
    <xf numFmtId="0" fontId="7" fillId="31" borderId="0" xfId="0" applyFont="1" applyFill="1"/>
    <xf numFmtId="0" fontId="1" fillId="31" borderId="0" xfId="0" applyFont="1" applyFill="1" applyAlignment="1">
      <alignment horizontal="center" vertical="center"/>
    </xf>
    <xf numFmtId="0" fontId="1" fillId="31" borderId="0" xfId="0" applyFont="1" applyFill="1"/>
    <xf numFmtId="9" fontId="1" fillId="31" borderId="0" xfId="0" applyNumberFormat="1" applyFont="1" applyFill="1"/>
    <xf numFmtId="3" fontId="1" fillId="13" borderId="0" xfId="0" applyNumberFormat="1" applyFont="1" applyFill="1"/>
    <xf numFmtId="2" fontId="1" fillId="13" borderId="0" xfId="0" applyNumberFormat="1" applyFont="1" applyFill="1"/>
    <xf numFmtId="9" fontId="1" fillId="13" borderId="0" xfId="0" applyNumberFormat="1" applyFont="1" applyFill="1"/>
    <xf numFmtId="4" fontId="1" fillId="13" borderId="0" xfId="0" applyNumberFormat="1" applyFont="1" applyFill="1"/>
    <xf numFmtId="10" fontId="1" fillId="0" borderId="0" xfId="0" applyNumberFormat="1" applyFont="1"/>
    <xf numFmtId="0" fontId="3" fillId="32" borderId="0" xfId="0" applyFont="1" applyFill="1"/>
    <xf numFmtId="166" fontId="1" fillId="27" borderId="0" xfId="0" applyNumberFormat="1" applyFont="1" applyFill="1"/>
    <xf numFmtId="164" fontId="1" fillId="28" borderId="0" xfId="0" applyNumberFormat="1" applyFont="1" applyFill="1"/>
    <xf numFmtId="170" fontId="1" fillId="27" borderId="0" xfId="0" applyNumberFormat="1" applyFont="1" applyFill="1"/>
    <xf numFmtId="0" fontId="8" fillId="3" borderId="0" xfId="0" applyFont="1" applyFill="1"/>
    <xf numFmtId="0" fontId="3" fillId="4" borderId="0" xfId="0" applyFont="1" applyFill="1" applyAlignment="1">
      <alignment wrapText="1"/>
    </xf>
    <xf numFmtId="2" fontId="1" fillId="3" borderId="0" xfId="0" applyNumberFormat="1" applyFont="1" applyFill="1"/>
    <xf numFmtId="1" fontId="1" fillId="3" borderId="0" xfId="0" applyNumberFormat="1" applyFont="1" applyFill="1"/>
    <xf numFmtId="169" fontId="1" fillId="3" borderId="0" xfId="0" applyNumberFormat="1" applyFont="1" applyFill="1"/>
    <xf numFmtId="167" fontId="1" fillId="3" borderId="0" xfId="0" applyNumberFormat="1" applyFont="1" applyFill="1"/>
    <xf numFmtId="0" fontId="9" fillId="6" borderId="0" xfId="0" applyFont="1" applyFill="1"/>
    <xf numFmtId="0" fontId="1" fillId="6" borderId="0" xfId="0" applyFont="1" applyFill="1" applyAlignment="1">
      <alignment horizontal="center" vertical="center"/>
    </xf>
    <xf numFmtId="164" fontId="1" fillId="0" borderId="0" xfId="0" applyNumberFormat="1" applyFont="1"/>
    <xf numFmtId="0" fontId="3" fillId="33" borderId="0" xfId="0" applyFont="1" applyFill="1"/>
    <xf numFmtId="164" fontId="3" fillId="34" borderId="0" xfId="0" applyNumberFormat="1" applyFont="1" applyFill="1"/>
    <xf numFmtId="164" fontId="1" fillId="14" borderId="0" xfId="0" applyNumberFormat="1" applyFont="1" applyFill="1"/>
    <xf numFmtId="164" fontId="1" fillId="24" borderId="0" xfId="0" applyNumberFormat="1" applyFont="1" applyFill="1"/>
    <xf numFmtId="2" fontId="1" fillId="24" borderId="0" xfId="0" applyNumberFormat="1" applyFont="1" applyFill="1"/>
    <xf numFmtId="171" fontId="1" fillId="27" borderId="0" xfId="0" applyNumberFormat="1" applyFont="1" applyFill="1"/>
    <xf numFmtId="171" fontId="1" fillId="15" borderId="0" xfId="0" applyNumberFormat="1" applyFont="1" applyFill="1"/>
    <xf numFmtId="170" fontId="1" fillId="10" borderId="0" xfId="0" applyNumberFormat="1" applyFont="1" applyFill="1"/>
    <xf numFmtId="167" fontId="1" fillId="14" borderId="0" xfId="0" applyNumberFormat="1" applyFont="1" applyFill="1"/>
    <xf numFmtId="171" fontId="1" fillId="14" borderId="0" xfId="0" applyNumberFormat="1" applyFont="1" applyFill="1"/>
    <xf numFmtId="0" fontId="10" fillId="3" borderId="0" xfId="0" applyFont="1" applyFill="1"/>
    <xf numFmtId="0" fontId="11" fillId="3" borderId="0" xfId="0" applyFont="1" applyFill="1"/>
    <xf numFmtId="172" fontId="1" fillId="3" borderId="0" xfId="0" applyNumberFormat="1" applyFont="1" applyFill="1"/>
    <xf numFmtId="173" fontId="1" fillId="3" borderId="0" xfId="0" applyNumberFormat="1" applyFont="1" applyFill="1"/>
    <xf numFmtId="0" fontId="12" fillId="17" borderId="0" xfId="0" applyFont="1" applyFill="1"/>
    <xf numFmtId="9" fontId="1" fillId="19" borderId="0" xfId="0" applyNumberFormat="1" applyFont="1" applyFill="1"/>
    <xf numFmtId="0" fontId="1" fillId="36" borderId="0" xfId="0" applyFont="1" applyFill="1"/>
    <xf numFmtId="9" fontId="1" fillId="15" borderId="0" xfId="0" applyNumberFormat="1" applyFont="1" applyFill="1"/>
    <xf numFmtId="169" fontId="1" fillId="15" borderId="0" xfId="0" applyNumberFormat="1" applyFont="1" applyFill="1"/>
    <xf numFmtId="171" fontId="1" fillId="13" borderId="0" xfId="0" applyNumberFormat="1" applyFont="1" applyFill="1"/>
    <xf numFmtId="0" fontId="13" fillId="0" borderId="0" xfId="0" applyFont="1"/>
    <xf numFmtId="0" fontId="1" fillId="37" borderId="0" xfId="0" applyFont="1" applyFill="1"/>
    <xf numFmtId="1" fontId="1" fillId="37" borderId="0" xfId="0" applyNumberFormat="1" applyFont="1" applyFill="1"/>
    <xf numFmtId="9" fontId="1" fillId="37" borderId="0" xfId="0" applyNumberFormat="1" applyFont="1" applyFill="1"/>
    <xf numFmtId="164" fontId="1" fillId="37" borderId="0" xfId="0" applyNumberFormat="1" applyFont="1" applyFill="1"/>
    <xf numFmtId="1" fontId="1" fillId="4" borderId="0" xfId="0" applyNumberFormat="1" applyFont="1" applyFill="1"/>
    <xf numFmtId="9" fontId="1" fillId="4" borderId="0" xfId="0" applyNumberFormat="1" applyFont="1" applyFill="1"/>
    <xf numFmtId="164" fontId="1" fillId="4" borderId="0" xfId="0" applyNumberFormat="1" applyFont="1" applyFill="1"/>
    <xf numFmtId="1" fontId="1" fillId="16" borderId="0" xfId="0" applyNumberFormat="1" applyFont="1" applyFill="1"/>
    <xf numFmtId="9" fontId="1" fillId="16" borderId="0" xfId="0" applyNumberFormat="1" applyFont="1" applyFill="1"/>
    <xf numFmtId="164" fontId="1" fillId="16" borderId="0" xfId="0" applyNumberFormat="1" applyFont="1" applyFill="1"/>
    <xf numFmtId="174" fontId="1" fillId="0" borderId="0" xfId="0" applyNumberFormat="1" applyFont="1"/>
    <xf numFmtId="0" fontId="1" fillId="11" borderId="0" xfId="0" applyFont="1" applyFill="1"/>
    <xf numFmtId="1" fontId="1" fillId="11" borderId="0" xfId="0" applyNumberFormat="1" applyFont="1" applyFill="1"/>
    <xf numFmtId="9" fontId="1" fillId="11" borderId="0" xfId="0" applyNumberFormat="1" applyFont="1" applyFill="1"/>
    <xf numFmtId="164" fontId="1" fillId="11" borderId="0" xfId="0" applyNumberFormat="1" applyFont="1" applyFill="1"/>
    <xf numFmtId="0" fontId="14" fillId="35" borderId="0" xfId="0" applyFont="1" applyFill="1"/>
    <xf numFmtId="0" fontId="15" fillId="35" borderId="0" xfId="0" applyFont="1" applyFill="1"/>
    <xf numFmtId="0" fontId="16" fillId="6" borderId="0" xfId="0" applyFont="1" applyFill="1" applyAlignment="1">
      <alignment wrapText="1"/>
    </xf>
    <xf numFmtId="0" fontId="16" fillId="5" borderId="0" xfId="0" applyFont="1" applyFill="1" applyAlignment="1">
      <alignment wrapText="1"/>
    </xf>
    <xf numFmtId="0" fontId="16" fillId="14" borderId="0" xfId="0" applyFont="1" applyFill="1" applyAlignment="1">
      <alignment wrapText="1"/>
    </xf>
    <xf numFmtId="0" fontId="16" fillId="37" borderId="0" xfId="0" applyFont="1" applyFill="1" applyAlignment="1">
      <alignment wrapText="1"/>
    </xf>
    <xf numFmtId="0" fontId="1" fillId="37" borderId="0" xfId="0" applyFont="1" applyFill="1" applyAlignment="1">
      <alignment wrapText="1"/>
    </xf>
    <xf numFmtId="0" fontId="1" fillId="16" borderId="0" xfId="0" applyFont="1" applyFill="1" applyAlignment="1">
      <alignment wrapText="1"/>
    </xf>
    <xf numFmtId="167" fontId="1" fillId="20" borderId="0" xfId="0" applyNumberFormat="1" applyFont="1" applyFill="1"/>
    <xf numFmtId="0" fontId="17" fillId="35" borderId="0" xfId="0" applyFont="1" applyFill="1"/>
    <xf numFmtId="167" fontId="17" fillId="35" borderId="0" xfId="0" applyNumberFormat="1" applyFont="1" applyFill="1"/>
    <xf numFmtId="167" fontId="1" fillId="18" borderId="0" xfId="0" applyNumberFormat="1" applyFont="1" applyFill="1"/>
    <xf numFmtId="167" fontId="1" fillId="16" borderId="0" xfId="0" applyNumberFormat="1" applyFont="1" applyFill="1"/>
    <xf numFmtId="167" fontId="1" fillId="8" borderId="0" xfId="0" applyNumberFormat="1" applyFont="1" applyFill="1"/>
    <xf numFmtId="167" fontId="1" fillId="13" borderId="0" xfId="0" applyNumberFormat="1" applyFont="1" applyFill="1"/>
    <xf numFmtId="167" fontId="1" fillId="17" borderId="0" xfId="0" applyNumberFormat="1" applyFont="1" applyFill="1"/>
    <xf numFmtId="167" fontId="1" fillId="37" borderId="0" xfId="0" applyNumberFormat="1" applyFont="1" applyFill="1"/>
    <xf numFmtId="167" fontId="1" fillId="38" borderId="0" xfId="0" applyNumberFormat="1" applyFont="1" applyFill="1"/>
    <xf numFmtId="0" fontId="1" fillId="39" borderId="0" xfId="0" applyFont="1" applyFill="1"/>
    <xf numFmtId="167" fontId="1" fillId="39" borderId="0" xfId="0" applyNumberFormat="1" applyFont="1" applyFill="1"/>
    <xf numFmtId="169" fontId="15" fillId="35" borderId="0" xfId="0" applyNumberFormat="1" applyFont="1" applyFill="1"/>
    <xf numFmtId="167" fontId="18" fillId="28" borderId="0" xfId="0" applyNumberFormat="1" applyFont="1" applyFill="1"/>
    <xf numFmtId="167" fontId="1" fillId="29" borderId="0" xfId="0" applyNumberFormat="1" applyFont="1" applyFill="1"/>
    <xf numFmtId="167" fontId="1" fillId="12" borderId="0" xfId="0" applyNumberFormat="1" applyFont="1" applyFill="1"/>
    <xf numFmtId="1" fontId="1" fillId="19" borderId="0" xfId="0" applyNumberFormat="1" applyFont="1" applyFill="1"/>
    <xf numFmtId="175" fontId="1" fillId="19" borderId="0" xfId="0" applyNumberFormat="1" applyFont="1" applyFill="1"/>
    <xf numFmtId="175" fontId="1" fillId="0" borderId="0" xfId="0" applyNumberFormat="1" applyFont="1"/>
    <xf numFmtId="167" fontId="1" fillId="5" borderId="0" xfId="0" applyNumberFormat="1" applyFont="1" applyFill="1"/>
    <xf numFmtId="167" fontId="1" fillId="19" borderId="0" xfId="0" applyNumberFormat="1" applyFont="1" applyFill="1"/>
    <xf numFmtId="167" fontId="1" fillId="4" borderId="0" xfId="0" applyNumberFormat="1" applyFont="1" applyFill="1"/>
    <xf numFmtId="0" fontId="1" fillId="22" borderId="0" xfId="0" applyFont="1" applyFill="1"/>
    <xf numFmtId="167" fontId="1" fillId="22" borderId="0" xfId="0" applyNumberFormat="1" applyFont="1" applyFill="1"/>
    <xf numFmtId="0" fontId="3" fillId="18" borderId="0" xfId="0" applyFont="1" applyFill="1"/>
    <xf numFmtId="1" fontId="1" fillId="5" borderId="0" xfId="0" applyNumberFormat="1" applyFont="1" applyFill="1"/>
    <xf numFmtId="1" fontId="1" fillId="8" borderId="0" xfId="0" applyNumberFormat="1" applyFont="1" applyFill="1"/>
    <xf numFmtId="10" fontId="1" fillId="17" borderId="0" xfId="0" applyNumberFormat="1" applyFont="1" applyFill="1"/>
    <xf numFmtId="171" fontId="1" fillId="0" borderId="0" xfId="0" applyNumberFormat="1" applyFont="1"/>
    <xf numFmtId="0" fontId="19" fillId="0" borderId="0" xfId="0" applyFont="1"/>
    <xf numFmtId="169" fontId="1" fillId="27" borderId="0" xfId="0" applyNumberFormat="1" applyFont="1" applyFill="1"/>
    <xf numFmtId="176" fontId="1" fillId="10" borderId="0" xfId="0" applyNumberFormat="1" applyFont="1" applyFill="1"/>
    <xf numFmtId="177" fontId="1" fillId="10" borderId="0" xfId="0" applyNumberFormat="1" applyFont="1" applyFill="1"/>
    <xf numFmtId="9" fontId="1" fillId="27" borderId="0" xfId="0" applyNumberFormat="1" applyFont="1" applyFill="1"/>
    <xf numFmtId="0" fontId="20" fillId="40" borderId="0" xfId="0" applyFont="1" applyFill="1"/>
    <xf numFmtId="0" fontId="21" fillId="27" borderId="0" xfId="0" applyFont="1" applyFill="1"/>
    <xf numFmtId="170" fontId="1" fillId="3" borderId="0" xfId="0" applyNumberFormat="1" applyFont="1" applyFill="1"/>
    <xf numFmtId="166" fontId="1" fillId="0" borderId="0" xfId="0" applyNumberFormat="1" applyFont="1"/>
    <xf numFmtId="0" fontId="3" fillId="5" borderId="0" xfId="0" applyFont="1" applyFill="1"/>
    <xf numFmtId="169" fontId="1" fillId="12" borderId="0" xfId="0" applyNumberFormat="1" applyFont="1" applyFill="1"/>
    <xf numFmtId="2" fontId="1" fillId="12" borderId="0" xfId="0" applyNumberFormat="1" applyFont="1" applyFill="1"/>
    <xf numFmtId="1" fontId="1" fillId="12" borderId="0" xfId="0" applyNumberFormat="1" applyFont="1" applyFill="1"/>
    <xf numFmtId="0" fontId="3" fillId="41" borderId="0" xfId="0" applyFont="1" applyFill="1"/>
    <xf numFmtId="2" fontId="1" fillId="7" borderId="0" xfId="0" applyNumberFormat="1" applyFont="1" applyFill="1"/>
    <xf numFmtId="166" fontId="1" fillId="7" borderId="0" xfId="0" applyNumberFormat="1" applyFont="1" applyFill="1"/>
    <xf numFmtId="2" fontId="1" fillId="19" borderId="0" xfId="0" applyNumberFormat="1" applyFont="1" applyFill="1"/>
    <xf numFmtId="166" fontId="1" fillId="19" borderId="0" xfId="0" applyNumberFormat="1" applyFont="1" applyFill="1"/>
    <xf numFmtId="0" fontId="3" fillId="36" borderId="0" xfId="0" applyFont="1" applyFill="1"/>
    <xf numFmtId="170" fontId="1" fillId="15" borderId="0" xfId="0" applyNumberFormat="1" applyFont="1" applyFill="1"/>
    <xf numFmtId="0" fontId="5" fillId="15" borderId="0" xfId="0" applyFont="1" applyFill="1"/>
    <xf numFmtId="10" fontId="1" fillId="15" borderId="0" xfId="0" applyNumberFormat="1" applyFont="1" applyFill="1"/>
    <xf numFmtId="166" fontId="1" fillId="15" borderId="0" xfId="0" applyNumberFormat="1" applyFont="1" applyFill="1"/>
    <xf numFmtId="0" fontId="3" fillId="15" borderId="0" xfId="0" applyFont="1" applyFill="1"/>
    <xf numFmtId="9" fontId="1" fillId="23" borderId="0" xfId="0" applyNumberFormat="1" applyFont="1" applyFill="1"/>
    <xf numFmtId="170" fontId="3" fillId="15" borderId="0" xfId="0" applyNumberFormat="1" applyFont="1" applyFill="1"/>
    <xf numFmtId="167" fontId="3" fillId="15" borderId="0" xfId="0" applyNumberFormat="1" applyFont="1" applyFill="1"/>
    <xf numFmtId="0" fontId="5" fillId="0" borderId="1" xfId="0" applyFont="1" applyBorder="1" applyAlignment="1">
      <alignment horizontal="center"/>
    </xf>
    <xf numFmtId="0" fontId="5" fillId="0" borderId="1" xfId="0" applyFont="1" applyBorder="1" applyAlignment="1">
      <alignment horizontal="center" vertical="top"/>
    </xf>
    <xf numFmtId="167" fontId="5" fillId="0" borderId="1" xfId="0" applyNumberFormat="1" applyFont="1" applyBorder="1" applyAlignment="1">
      <alignment horizontal="center" vertical="top"/>
    </xf>
    <xf numFmtId="3" fontId="1" fillId="15" borderId="0" xfId="0" applyNumberFormat="1" applyFont="1" applyFill="1"/>
    <xf numFmtId="1" fontId="17" fillId="35" borderId="0" xfId="0" applyNumberFormat="1" applyFont="1" applyFill="1"/>
    <xf numFmtId="2" fontId="17" fillId="35" borderId="0" xfId="0" applyNumberFormat="1" applyFont="1" applyFill="1"/>
    <xf numFmtId="178" fontId="1" fillId="0" borderId="0" xfId="0" applyNumberFormat="1" applyFont="1"/>
    <xf numFmtId="0" fontId="3" fillId="12" borderId="0" xfId="0" applyFont="1" applyFill="1" applyAlignment="1">
      <alignment wrapText="1"/>
    </xf>
    <xf numFmtId="178" fontId="1" fillId="12" borderId="0" xfId="0" applyNumberFormat="1" applyFont="1" applyFill="1"/>
    <xf numFmtId="0" fontId="3" fillId="12" borderId="0" xfId="0" applyFont="1" applyFill="1"/>
    <xf numFmtId="164" fontId="1" fillId="12" borderId="0" xfId="0" applyNumberFormat="1" applyFont="1" applyFill="1"/>
    <xf numFmtId="164" fontId="1" fillId="3" borderId="0" xfId="0" applyNumberFormat="1" applyFont="1" applyFill="1"/>
    <xf numFmtId="164" fontId="22" fillId="12" borderId="0" xfId="0" applyNumberFormat="1" applyFont="1" applyFill="1" applyAlignment="1">
      <alignment horizontal="right"/>
    </xf>
    <xf numFmtId="0" fontId="1" fillId="40" borderId="0" xfId="0" applyFont="1" applyFill="1"/>
    <xf numFmtId="10" fontId="1" fillId="12" borderId="0" xfId="0" applyNumberFormat="1" applyFont="1" applyFill="1"/>
    <xf numFmtId="0" fontId="3" fillId="40" borderId="0" xfId="0" applyFont="1" applyFill="1"/>
    <xf numFmtId="164" fontId="1" fillId="17" borderId="0" xfId="0" applyNumberFormat="1" applyFont="1" applyFill="1"/>
    <xf numFmtId="1" fontId="3" fillId="17" borderId="0" xfId="0" applyNumberFormat="1" applyFont="1" applyFill="1"/>
    <xf numFmtId="1" fontId="3" fillId="3" borderId="0" xfId="0" applyNumberFormat="1" applyFont="1" applyFill="1"/>
    <xf numFmtId="2" fontId="1" fillId="32" borderId="0" xfId="0" applyNumberFormat="1" applyFont="1" applyFill="1"/>
    <xf numFmtId="0" fontId="1" fillId="32" borderId="0" xfId="0" applyFont="1" applyFill="1"/>
    <xf numFmtId="2" fontId="1" fillId="40" borderId="0" xfId="0" applyNumberFormat="1" applyFont="1" applyFill="1"/>
    <xf numFmtId="2" fontId="3" fillId="17" borderId="0" xfId="0" applyNumberFormat="1" applyFont="1" applyFill="1"/>
    <xf numFmtId="169" fontId="1" fillId="32" borderId="0" xfId="0" applyNumberFormat="1" applyFont="1" applyFill="1"/>
    <xf numFmtId="2" fontId="23" fillId="32" borderId="0" xfId="0" applyNumberFormat="1" applyFont="1" applyFill="1" applyAlignment="1">
      <alignment horizontal="left"/>
    </xf>
    <xf numFmtId="169" fontId="1" fillId="17" borderId="0" xfId="0" applyNumberFormat="1" applyFont="1" applyFill="1"/>
    <xf numFmtId="10" fontId="1" fillId="27" borderId="0" xfId="0" applyNumberFormat="1" applyFont="1" applyFill="1"/>
    <xf numFmtId="10" fontId="1" fillId="16" borderId="0" xfId="0" applyNumberFormat="1" applyFont="1" applyFill="1"/>
    <xf numFmtId="169" fontId="1" fillId="16" borderId="0" xfId="0" applyNumberFormat="1" applyFont="1" applyFill="1"/>
    <xf numFmtId="10" fontId="1" fillId="23" borderId="0" xfId="0" applyNumberFormat="1" applyFont="1" applyFill="1"/>
    <xf numFmtId="169" fontId="1" fillId="23" borderId="0" xfId="0" applyNumberFormat="1" applyFont="1" applyFill="1"/>
    <xf numFmtId="0" fontId="1" fillId="42" borderId="0" xfId="0" applyFont="1" applyFill="1"/>
    <xf numFmtId="9" fontId="1" fillId="42" borderId="0" xfId="0" applyNumberFormat="1" applyFont="1" applyFill="1"/>
    <xf numFmtId="10" fontId="1" fillId="42" borderId="0" xfId="0" applyNumberFormat="1" applyFont="1" applyFill="1"/>
    <xf numFmtId="169" fontId="1" fillId="42" borderId="0" xfId="0" applyNumberFormat="1" applyFont="1" applyFill="1"/>
    <xf numFmtId="4" fontId="1" fillId="12" borderId="0" xfId="0" applyNumberFormat="1" applyFont="1" applyFill="1"/>
    <xf numFmtId="166" fontId="1" fillId="12" borderId="0" xfId="0" applyNumberFormat="1" applyFont="1" applyFill="1"/>
    <xf numFmtId="10" fontId="1" fillId="6" borderId="0" xfId="0" applyNumberFormat="1" applyFont="1" applyFill="1"/>
    <xf numFmtId="4" fontId="1" fillId="6" borderId="0" xfId="0" applyNumberFormat="1" applyFont="1" applyFill="1"/>
    <xf numFmtId="165" fontId="1" fillId="6" borderId="0" xfId="0" applyNumberFormat="1" applyFont="1" applyFill="1"/>
    <xf numFmtId="164" fontId="1" fillId="6" borderId="0" xfId="0" applyNumberFormat="1" applyFont="1" applyFill="1"/>
    <xf numFmtId="4" fontId="1" fillId="27" borderId="0" xfId="0" applyNumberFormat="1" applyFont="1" applyFill="1"/>
    <xf numFmtId="4" fontId="1" fillId="15" borderId="0" xfId="0" applyNumberFormat="1" applyFont="1" applyFill="1"/>
    <xf numFmtId="0" fontId="1" fillId="43" borderId="0" xfId="0" applyFont="1" applyFill="1"/>
    <xf numFmtId="164" fontId="1" fillId="43" borderId="0" xfId="0" applyNumberFormat="1" applyFont="1" applyFill="1"/>
    <xf numFmtId="4" fontId="1" fillId="43" borderId="0" xfId="0" applyNumberFormat="1" applyFont="1" applyFill="1"/>
    <xf numFmtId="169" fontId="1" fillId="43" borderId="0" xfId="0" applyNumberFormat="1" applyFont="1" applyFill="1"/>
    <xf numFmtId="0" fontId="24" fillId="0" borderId="0" xfId="0" applyFont="1"/>
    <xf numFmtId="0" fontId="24" fillId="0" borderId="0" xfId="0" applyFont="1" applyAlignment="1">
      <alignment horizontal="right"/>
    </xf>
    <xf numFmtId="0" fontId="25" fillId="0" borderId="0" xfId="0" applyFont="1"/>
    <xf numFmtId="3" fontId="1" fillId="17" borderId="0" xfId="0" applyNumberFormat="1" applyFont="1" applyFill="1"/>
    <xf numFmtId="0" fontId="26" fillId="0" borderId="0" xfId="0" applyFont="1"/>
    <xf numFmtId="0" fontId="26" fillId="10" borderId="0" xfId="0" applyFont="1" applyFill="1"/>
    <xf numFmtId="0" fontId="25" fillId="10" borderId="0" xfId="0" applyFont="1" applyFill="1"/>
    <xf numFmtId="9" fontId="27" fillId="10" borderId="0" xfId="0" applyNumberFormat="1" applyFont="1" applyFill="1" applyAlignment="1">
      <alignment horizontal="right"/>
    </xf>
    <xf numFmtId="10" fontId="27" fillId="10" borderId="0" xfId="0" applyNumberFormat="1" applyFont="1" applyFill="1" applyAlignment="1">
      <alignment horizontal="right"/>
    </xf>
    <xf numFmtId="0" fontId="5" fillId="10" borderId="0" xfId="0" applyFont="1" applyFill="1"/>
    <xf numFmtId="9" fontId="25" fillId="10" borderId="0" xfId="0" applyNumberFormat="1" applyFont="1" applyFill="1"/>
    <xf numFmtId="0" fontId="28" fillId="3" borderId="0" xfId="0" applyFont="1" applyFill="1"/>
    <xf numFmtId="0" fontId="25" fillId="3" borderId="0" xfId="0" applyFont="1" applyFill="1"/>
    <xf numFmtId="9" fontId="25" fillId="3" borderId="0" xfId="0" applyNumberFormat="1" applyFont="1" applyFill="1"/>
    <xf numFmtId="9" fontId="25" fillId="44" borderId="0" xfId="0" applyNumberFormat="1" applyFont="1" applyFill="1"/>
    <xf numFmtId="0" fontId="25" fillId="19" borderId="0" xfId="0" applyFont="1" applyFill="1"/>
    <xf numFmtId="9" fontId="25" fillId="19" borderId="0" xfId="0" applyNumberFormat="1" applyFont="1" applyFill="1"/>
    <xf numFmtId="169" fontId="25" fillId="19" borderId="0" xfId="0" applyNumberFormat="1" applyFont="1" applyFill="1"/>
    <xf numFmtId="0" fontId="27" fillId="0" borderId="0" xfId="0" applyFont="1"/>
    <xf numFmtId="1" fontId="27" fillId="0" borderId="0" xfId="0" applyNumberFormat="1" applyFont="1" applyAlignment="1">
      <alignment horizontal="right"/>
    </xf>
    <xf numFmtId="1" fontId="25" fillId="0" borderId="0" xfId="0" applyNumberFormat="1" applyFont="1"/>
    <xf numFmtId="164" fontId="25" fillId="0" borderId="0" xfId="0" applyNumberFormat="1" applyFont="1" applyAlignment="1">
      <alignment horizontal="right"/>
    </xf>
    <xf numFmtId="0" fontId="29" fillId="0" borderId="0" xfId="0" applyFont="1"/>
    <xf numFmtId="3" fontId="1" fillId="3" borderId="0" xfId="0" applyNumberFormat="1" applyFont="1" applyFill="1"/>
    <xf numFmtId="0" fontId="30" fillId="3" borderId="0" xfId="0" applyFont="1" applyFill="1" applyAlignment="1">
      <alignment horizontal="left"/>
    </xf>
    <xf numFmtId="0" fontId="31" fillId="3" borderId="0" xfId="0" applyFont="1" applyFill="1" applyAlignment="1">
      <alignment horizontal="right"/>
    </xf>
    <xf numFmtId="0" fontId="32" fillId="0" borderId="0" xfId="0" applyFont="1" applyAlignment="1">
      <alignment horizontal="left"/>
    </xf>
    <xf numFmtId="0" fontId="32" fillId="0" borderId="0" xfId="0" applyFont="1" applyAlignment="1">
      <alignment horizontal="right"/>
    </xf>
    <xf numFmtId="0" fontId="33" fillId="0" borderId="0" xfId="0" applyFont="1" applyAlignment="1">
      <alignment horizontal="left"/>
    </xf>
    <xf numFmtId="0" fontId="33" fillId="0" borderId="0" xfId="0" applyFont="1" applyAlignment="1">
      <alignment horizontal="right"/>
    </xf>
    <xf numFmtId="0" fontId="3" fillId="19" borderId="0" xfId="0" applyFont="1" applyFill="1"/>
    <xf numFmtId="0" fontId="34" fillId="23" borderId="0" xfId="0" applyFont="1" applyFill="1" applyAlignment="1">
      <alignment horizontal="left"/>
    </xf>
    <xf numFmtId="0" fontId="3" fillId="27" borderId="0" xfId="0" applyFont="1" applyFill="1"/>
    <xf numFmtId="0" fontId="35" fillId="27" borderId="0" xfId="0" applyFont="1" applyFill="1"/>
    <xf numFmtId="0" fontId="3" fillId="26" borderId="0" xfId="0" applyFont="1" applyFill="1"/>
    <xf numFmtId="0" fontId="3" fillId="16" borderId="0" xfId="0" applyFont="1" applyFill="1"/>
    <xf numFmtId="3" fontId="1" fillId="0" borderId="0" xfId="0" applyNumberFormat="1" applyFont="1"/>
    <xf numFmtId="165" fontId="1" fillId="0" borderId="0" xfId="0" applyNumberFormat="1" applyFont="1"/>
    <xf numFmtId="179" fontId="1" fillId="0" borderId="0" xfId="0" applyNumberFormat="1" applyFont="1"/>
    <xf numFmtId="3" fontId="3" fillId="0" borderId="0" xfId="0" applyNumberFormat="1" applyFont="1"/>
    <xf numFmtId="0" fontId="1" fillId="45" borderId="0" xfId="0" applyFont="1" applyFill="1"/>
    <xf numFmtId="3" fontId="1" fillId="45" borderId="0" xfId="0" applyNumberFormat="1" applyFont="1" applyFill="1"/>
    <xf numFmtId="0" fontId="3" fillId="31" borderId="0" xfId="0" applyFont="1" applyFill="1"/>
    <xf numFmtId="0" fontId="3" fillId="31" borderId="0" xfId="0" applyFont="1" applyFill="1" applyAlignment="1">
      <alignment wrapText="1"/>
    </xf>
    <xf numFmtId="0" fontId="3" fillId="24" borderId="0" xfId="0" applyFont="1" applyFill="1"/>
    <xf numFmtId="0" fontId="2" fillId="19" borderId="0" xfId="0" applyFont="1" applyFill="1"/>
    <xf numFmtId="0" fontId="3" fillId="19" borderId="0" xfId="0" applyFont="1" applyFill="1" applyAlignment="1">
      <alignment wrapText="1"/>
    </xf>
    <xf numFmtId="0" fontId="5" fillId="0" borderId="0" xfId="0" applyFont="1"/>
    <xf numFmtId="0" fontId="1" fillId="46" borderId="0" xfId="0" applyFont="1" applyFill="1"/>
    <xf numFmtId="0" fontId="2" fillId="33" borderId="0" xfId="0" applyFont="1" applyFill="1"/>
    <xf numFmtId="0" fontId="1" fillId="33" borderId="0" xfId="0" applyFont="1" applyFill="1"/>
    <xf numFmtId="0" fontId="1" fillId="14" borderId="0" xfId="0" applyFont="1" applyFill="1" applyAlignment="1">
      <alignment wrapText="1"/>
    </xf>
    <xf numFmtId="14" fontId="1" fillId="3" borderId="0" xfId="0" applyNumberFormat="1" applyFont="1" applyFill="1"/>
    <xf numFmtId="14" fontId="1" fillId="0" borderId="0" xfId="0" applyNumberFormat="1" applyFont="1"/>
    <xf numFmtId="14" fontId="1" fillId="17" borderId="0" xfId="0" applyNumberFormat="1" applyFont="1" applyFill="1"/>
    <xf numFmtId="0" fontId="1" fillId="29" borderId="0" xfId="0" applyFont="1" applyFill="1" applyAlignment="1">
      <alignment wrapText="1"/>
    </xf>
    <xf numFmtId="0" fontId="3" fillId="29" borderId="0" xfId="0" applyFont="1" applyFill="1"/>
    <xf numFmtId="0" fontId="36" fillId="13" borderId="0" xfId="0" applyFont="1" applyFill="1"/>
    <xf numFmtId="14" fontId="1" fillId="11" borderId="0" xfId="0" applyNumberFormat="1" applyFont="1" applyFill="1"/>
    <xf numFmtId="167" fontId="1" fillId="31" borderId="0" xfId="0" applyNumberFormat="1" applyFont="1" applyFill="1"/>
    <xf numFmtId="0" fontId="36" fillId="6" borderId="0" xfId="0" applyFont="1" applyFill="1"/>
    <xf numFmtId="3" fontId="1" fillId="24" borderId="0" xfId="0" applyNumberFormat="1" applyFont="1" applyFill="1"/>
    <xf numFmtId="0" fontId="1" fillId="21" borderId="0" xfId="0" applyFont="1" applyFill="1"/>
    <xf numFmtId="167" fontId="1" fillId="21" borderId="0" xfId="0" applyNumberFormat="1" applyFont="1" applyFill="1"/>
    <xf numFmtId="164" fontId="1" fillId="21" borderId="0" xfId="0" applyNumberFormat="1" applyFont="1" applyFill="1"/>
    <xf numFmtId="171" fontId="1" fillId="21" borderId="0" xfId="0" applyNumberFormat="1" applyFont="1" applyFill="1"/>
    <xf numFmtId="3" fontId="19" fillId="0" borderId="0" xfId="0" applyNumberFormat="1" applyFont="1"/>
    <xf numFmtId="167" fontId="19" fillId="0" borderId="0" xfId="0" applyNumberFormat="1" applyFont="1" applyAlignment="1">
      <alignment horizontal="right"/>
    </xf>
    <xf numFmtId="3" fontId="19" fillId="0" borderId="0" xfId="0" applyNumberFormat="1" applyFont="1" applyAlignment="1">
      <alignment horizontal="right"/>
    </xf>
    <xf numFmtId="10" fontId="1" fillId="10" borderId="0" xfId="0" applyNumberFormat="1" applyFont="1" applyFill="1"/>
    <xf numFmtId="171" fontId="1" fillId="3" borderId="0" xfId="0" applyNumberFormat="1" applyFont="1" applyFill="1"/>
    <xf numFmtId="0" fontId="26" fillId="0" borderId="0" xfId="0" applyFont="1" applyAlignment="1">
      <alignment horizontal="left"/>
    </xf>
    <xf numFmtId="0" fontId="37" fillId="0" borderId="0" xfId="0" applyFont="1"/>
    <xf numFmtId="0" fontId="31" fillId="0" borderId="0" xfId="0" applyFont="1"/>
    <xf numFmtId="0" fontId="41" fillId="3" borderId="4" xfId="0" applyFont="1" applyFill="1" applyBorder="1" applyAlignment="1">
      <alignment horizontal="center"/>
    </xf>
    <xf numFmtId="0" fontId="38" fillId="0" borderId="4" xfId="0" applyFont="1" applyBorder="1" applyAlignment="1">
      <alignment horizontal="left"/>
    </xf>
    <xf numFmtId="0" fontId="42" fillId="0" borderId="0" xfId="0" applyFont="1"/>
    <xf numFmtId="0" fontId="25" fillId="0" borderId="5" xfId="0" applyFont="1" applyBorder="1"/>
    <xf numFmtId="0" fontId="40" fillId="0" borderId="6" xfId="0" applyFont="1" applyBorder="1"/>
    <xf numFmtId="3" fontId="40" fillId="0" borderId="6" xfId="0" applyNumberFormat="1" applyFont="1" applyBorder="1" applyAlignment="1">
      <alignment horizontal="center"/>
    </xf>
    <xf numFmtId="0" fontId="42" fillId="0" borderId="7" xfId="0" applyFont="1" applyBorder="1"/>
    <xf numFmtId="0" fontId="24" fillId="0" borderId="0" xfId="0" applyFont="1" applyAlignment="1">
      <alignment horizontal="left"/>
    </xf>
    <xf numFmtId="164" fontId="24" fillId="0" borderId="0" xfId="0" applyNumberFormat="1" applyFont="1" applyAlignment="1">
      <alignment horizontal="left"/>
    </xf>
    <xf numFmtId="9" fontId="24" fillId="0" borderId="0" xfId="0" applyNumberFormat="1" applyFont="1" applyAlignment="1">
      <alignment horizontal="right"/>
    </xf>
    <xf numFmtId="2" fontId="31" fillId="45" borderId="0" xfId="0" applyNumberFormat="1" applyFont="1" applyFill="1" applyAlignment="1">
      <alignment horizontal="right"/>
    </xf>
    <xf numFmtId="2" fontId="1" fillId="45" borderId="0" xfId="0" applyNumberFormat="1" applyFont="1" applyFill="1"/>
    <xf numFmtId="0" fontId="44" fillId="0" borderId="0" xfId="0" applyFont="1"/>
    <xf numFmtId="0" fontId="28" fillId="0" borderId="0" xfId="0" applyFont="1"/>
    <xf numFmtId="3" fontId="28" fillId="0" borderId="0" xfId="0" applyNumberFormat="1" applyFont="1" applyAlignment="1">
      <alignment horizontal="right"/>
    </xf>
    <xf numFmtId="3" fontId="25" fillId="0" borderId="0" xfId="0" applyNumberFormat="1" applyFont="1" applyAlignment="1">
      <alignment horizontal="right"/>
    </xf>
    <xf numFmtId="0" fontId="23" fillId="40" borderId="0" xfId="0" applyFont="1" applyFill="1" applyAlignment="1">
      <alignment horizontal="right"/>
    </xf>
    <xf numFmtId="180" fontId="3" fillId="3" borderId="0" xfId="0" applyNumberFormat="1" applyFont="1" applyFill="1"/>
    <xf numFmtId="181" fontId="1" fillId="0" borderId="0" xfId="0" applyNumberFormat="1" applyFont="1"/>
    <xf numFmtId="182" fontId="1" fillId="0" borderId="0" xfId="0" applyNumberFormat="1" applyFont="1"/>
    <xf numFmtId="180" fontId="1" fillId="0" borderId="0" xfId="0" applyNumberFormat="1" applyFont="1"/>
    <xf numFmtId="10" fontId="1" fillId="14" borderId="0" xfId="0" applyNumberFormat="1" applyFont="1" applyFill="1"/>
    <xf numFmtId="180" fontId="3" fillId="20" borderId="0" xfId="0" applyNumberFormat="1" applyFont="1" applyFill="1"/>
    <xf numFmtId="9" fontId="3" fillId="20" borderId="0" xfId="0" applyNumberFormat="1" applyFont="1" applyFill="1"/>
    <xf numFmtId="0" fontId="3" fillId="37" borderId="0" xfId="0" applyFont="1" applyFill="1"/>
    <xf numFmtId="166" fontId="1" fillId="3" borderId="0" xfId="0" applyNumberFormat="1" applyFont="1" applyFill="1"/>
    <xf numFmtId="180" fontId="1" fillId="31" borderId="0" xfId="0" applyNumberFormat="1" applyFont="1" applyFill="1"/>
    <xf numFmtId="10" fontId="1" fillId="31" borderId="0" xfId="0" applyNumberFormat="1" applyFont="1" applyFill="1"/>
    <xf numFmtId="0" fontId="1" fillId="2" borderId="0" xfId="0" applyFont="1" applyFill="1"/>
    <xf numFmtId="9" fontId="1" fillId="24" borderId="0" xfId="0" applyNumberFormat="1" applyFont="1" applyFill="1"/>
    <xf numFmtId="10" fontId="1" fillId="24" borderId="0" xfId="0" applyNumberFormat="1" applyFont="1" applyFill="1"/>
    <xf numFmtId="0" fontId="45" fillId="3" borderId="0" xfId="0" applyFont="1" applyFill="1"/>
    <xf numFmtId="171" fontId="31" fillId="34" borderId="0" xfId="0" applyNumberFormat="1" applyFont="1" applyFill="1" applyAlignment="1">
      <alignment horizontal="right"/>
    </xf>
    <xf numFmtId="171" fontId="31" fillId="47" borderId="0" xfId="0" applyNumberFormat="1" applyFont="1" applyFill="1" applyAlignment="1">
      <alignment horizontal="right"/>
    </xf>
    <xf numFmtId="171" fontId="31" fillId="48" borderId="0" xfId="0" applyNumberFormat="1" applyFont="1" applyFill="1" applyAlignment="1">
      <alignment horizontal="right"/>
    </xf>
    <xf numFmtId="171" fontId="31" fillId="49" borderId="0" xfId="0" applyNumberFormat="1" applyFont="1" applyFill="1" applyAlignment="1">
      <alignment horizontal="right"/>
    </xf>
    <xf numFmtId="171" fontId="31" fillId="50" borderId="0" xfId="0" applyNumberFormat="1" applyFont="1" applyFill="1" applyAlignment="1">
      <alignment horizontal="right"/>
    </xf>
    <xf numFmtId="171" fontId="31" fillId="51" borderId="0" xfId="0" applyNumberFormat="1" applyFont="1" applyFill="1" applyAlignment="1">
      <alignment horizontal="right"/>
    </xf>
    <xf numFmtId="171" fontId="31" fillId="52" borderId="0" xfId="0" applyNumberFormat="1" applyFont="1" applyFill="1" applyAlignment="1">
      <alignment horizontal="right"/>
    </xf>
    <xf numFmtId="171" fontId="31" fillId="53" borderId="0" xfId="0" applyNumberFormat="1" applyFont="1" applyFill="1" applyAlignment="1">
      <alignment horizontal="right"/>
    </xf>
    <xf numFmtId="171" fontId="31" fillId="54" borderId="0" xfId="0" applyNumberFormat="1" applyFont="1" applyFill="1" applyAlignment="1">
      <alignment horizontal="right"/>
    </xf>
    <xf numFmtId="171" fontId="31" fillId="55" borderId="0" xfId="0" applyNumberFormat="1" applyFont="1" applyFill="1" applyAlignment="1">
      <alignment horizontal="right"/>
    </xf>
    <xf numFmtId="171" fontId="31" fillId="56" borderId="0" xfId="0" applyNumberFormat="1" applyFont="1" applyFill="1" applyAlignment="1">
      <alignment horizontal="right"/>
    </xf>
    <xf numFmtId="171" fontId="31" fillId="57" borderId="0" xfId="0" applyNumberFormat="1" applyFont="1" applyFill="1" applyAlignment="1">
      <alignment horizontal="right"/>
    </xf>
    <xf numFmtId="171" fontId="31" fillId="58" borderId="0" xfId="0" applyNumberFormat="1" applyFont="1" applyFill="1" applyAlignment="1">
      <alignment horizontal="right"/>
    </xf>
    <xf numFmtId="180" fontId="1" fillId="3" borderId="0" xfId="0" applyNumberFormat="1" applyFont="1" applyFill="1"/>
    <xf numFmtId="9" fontId="31" fillId="3" borderId="0" xfId="0" applyNumberFormat="1" applyFont="1" applyFill="1" applyAlignment="1">
      <alignment horizontal="right"/>
    </xf>
    <xf numFmtId="183" fontId="1" fillId="3" borderId="0" xfId="0" applyNumberFormat="1" applyFont="1" applyFill="1"/>
    <xf numFmtId="179" fontId="1" fillId="3" borderId="0" xfId="0" applyNumberFormat="1" applyFont="1" applyFill="1"/>
    <xf numFmtId="4" fontId="31" fillId="3" borderId="0" xfId="0" applyNumberFormat="1" applyFont="1" applyFill="1" applyAlignment="1">
      <alignment horizontal="right"/>
    </xf>
    <xf numFmtId="20" fontId="31" fillId="0" borderId="0" xfId="0" applyNumberFormat="1" applyFont="1" applyAlignment="1">
      <alignment horizontal="right"/>
    </xf>
    <xf numFmtId="10" fontId="31" fillId="0" borderId="0" xfId="0" applyNumberFormat="1" applyFont="1" applyAlignment="1">
      <alignment horizontal="right"/>
    </xf>
    <xf numFmtId="184" fontId="1" fillId="0" borderId="0" xfId="0" applyNumberFormat="1" applyFont="1"/>
    <xf numFmtId="185" fontId="1" fillId="0" borderId="0" xfId="0" applyNumberFormat="1" applyFont="1"/>
    <xf numFmtId="0" fontId="28" fillId="59" borderId="8" xfId="0" applyFont="1" applyFill="1" applyBorder="1" applyAlignment="1">
      <alignment horizontal="left" vertical="center"/>
    </xf>
    <xf numFmtId="0" fontId="28" fillId="59" borderId="9" xfId="0" applyFont="1" applyFill="1" applyBorder="1" applyAlignment="1">
      <alignment horizontal="left" vertical="center"/>
    </xf>
    <xf numFmtId="187" fontId="50" fillId="40" borderId="0" xfId="0" applyNumberFormat="1" applyFont="1" applyFill="1" applyAlignment="1">
      <alignment horizontal="right"/>
    </xf>
    <xf numFmtId="186" fontId="24" fillId="40" borderId="0" xfId="0" applyNumberFormat="1" applyFont="1" applyFill="1" applyAlignment="1">
      <alignment horizontal="right"/>
    </xf>
    <xf numFmtId="186" fontId="28" fillId="40" borderId="0" xfId="0" applyNumberFormat="1" applyFont="1" applyFill="1" applyAlignment="1">
      <alignment horizontal="right"/>
    </xf>
    <xf numFmtId="0" fontId="24" fillId="40" borderId="0" xfId="0" applyFont="1" applyFill="1" applyAlignment="1">
      <alignment horizontal="right"/>
    </xf>
    <xf numFmtId="0" fontId="3" fillId="0" borderId="0" xfId="0" applyFont="1" applyAlignment="1">
      <alignment horizontal="center"/>
    </xf>
    <xf numFmtId="0" fontId="3" fillId="17" borderId="0" xfId="0" applyFont="1" applyFill="1" applyAlignment="1">
      <alignment horizontal="left"/>
    </xf>
    <xf numFmtId="0" fontId="1" fillId="60" borderId="0" xfId="0" applyFont="1" applyFill="1"/>
    <xf numFmtId="0" fontId="52" fillId="16" borderId="0" xfId="0" applyFont="1" applyFill="1" applyAlignment="1">
      <alignment wrapText="1"/>
    </xf>
    <xf numFmtId="0" fontId="3" fillId="16" borderId="0" xfId="0" applyFont="1" applyFill="1" applyAlignment="1">
      <alignment wrapText="1"/>
    </xf>
    <xf numFmtId="10" fontId="1" fillId="43" borderId="0" xfId="0" applyNumberFormat="1" applyFont="1" applyFill="1"/>
    <xf numFmtId="0" fontId="53" fillId="16" borderId="0" xfId="0" applyFont="1" applyFill="1" applyAlignment="1">
      <alignment wrapText="1"/>
    </xf>
    <xf numFmtId="0" fontId="55" fillId="61" borderId="14" xfId="0" applyFont="1" applyFill="1" applyBorder="1" applyAlignment="1">
      <alignment horizontal="right" wrapText="1"/>
    </xf>
    <xf numFmtId="0" fontId="54" fillId="61" borderId="13" xfId="0" applyFont="1" applyFill="1" applyBorder="1" applyAlignment="1">
      <alignment horizontal="center" vertical="top" wrapText="1"/>
    </xf>
    <xf numFmtId="0" fontId="57" fillId="61" borderId="14" xfId="0" applyFont="1" applyFill="1" applyBorder="1" applyAlignment="1">
      <alignment horizontal="right"/>
    </xf>
    <xf numFmtId="0" fontId="54" fillId="61" borderId="15" xfId="0" applyFont="1" applyFill="1" applyBorder="1" applyAlignment="1">
      <alignment horizontal="center" vertical="top" wrapText="1"/>
    </xf>
    <xf numFmtId="0" fontId="58" fillId="62" borderId="16" xfId="0" applyFont="1" applyFill="1" applyBorder="1"/>
    <xf numFmtId="0" fontId="59" fillId="40" borderId="15" xfId="0" applyFont="1" applyFill="1" applyBorder="1" applyAlignment="1">
      <alignment horizontal="center"/>
    </xf>
    <xf numFmtId="0" fontId="60" fillId="62" borderId="16" xfId="0" applyFont="1" applyFill="1" applyBorder="1" applyAlignment="1">
      <alignment vertical="top"/>
    </xf>
    <xf numFmtId="0" fontId="40" fillId="0" borderId="15" xfId="0" applyFont="1" applyBorder="1" applyAlignment="1">
      <alignment horizontal="right"/>
    </xf>
    <xf numFmtId="0" fontId="40" fillId="63" borderId="15" xfId="0" applyFont="1" applyFill="1" applyBorder="1" applyAlignment="1">
      <alignment horizontal="right"/>
    </xf>
    <xf numFmtId="4" fontId="40" fillId="63" borderId="15" xfId="0" applyNumberFormat="1" applyFont="1" applyFill="1" applyBorder="1" applyAlignment="1">
      <alignment horizontal="right"/>
    </xf>
    <xf numFmtId="0" fontId="61" fillId="62" borderId="16" xfId="0" applyFont="1" applyFill="1" applyBorder="1" applyAlignment="1">
      <alignment vertical="top"/>
    </xf>
    <xf numFmtId="0" fontId="62" fillId="62" borderId="16" xfId="0" applyFont="1" applyFill="1" applyBorder="1"/>
    <xf numFmtId="0" fontId="59" fillId="3" borderId="15" xfId="0" applyFont="1" applyFill="1" applyBorder="1" applyAlignment="1">
      <alignment horizontal="center"/>
    </xf>
    <xf numFmtId="10" fontId="40" fillId="0" borderId="15" xfId="0" applyNumberFormat="1" applyFont="1" applyBorder="1" applyAlignment="1">
      <alignment horizontal="right"/>
    </xf>
    <xf numFmtId="0" fontId="63" fillId="64" borderId="15" xfId="0" applyFont="1" applyFill="1" applyBorder="1" applyAlignment="1">
      <alignment horizontal="right"/>
    </xf>
    <xf numFmtId="0" fontId="28" fillId="59" borderId="9" xfId="0" applyFont="1" applyFill="1" applyBorder="1" applyAlignment="1">
      <alignment horizontal="left" wrapText="1"/>
    </xf>
    <xf numFmtId="187" fontId="28" fillId="59" borderId="8" xfId="0" applyNumberFormat="1" applyFont="1" applyFill="1" applyBorder="1"/>
    <xf numFmtId="17" fontId="28" fillId="59" borderId="8" xfId="0" applyNumberFormat="1" applyFont="1" applyFill="1" applyBorder="1"/>
    <xf numFmtId="187" fontId="25" fillId="59" borderId="17" xfId="0" applyNumberFormat="1" applyFont="1" applyFill="1" applyBorder="1" applyAlignment="1">
      <alignment horizontal="right" wrapText="1"/>
    </xf>
    <xf numFmtId="0" fontId="25" fillId="59" borderId="18" xfId="0" applyFont="1" applyFill="1" applyBorder="1"/>
    <xf numFmtId="171" fontId="28" fillId="59" borderId="18" xfId="0" applyNumberFormat="1" applyFont="1" applyFill="1" applyBorder="1" applyAlignment="1">
      <alignment horizontal="right"/>
    </xf>
    <xf numFmtId="171" fontId="25" fillId="59" borderId="18" xfId="0" applyNumberFormat="1" applyFont="1" applyFill="1" applyBorder="1" applyAlignment="1">
      <alignment horizontal="right"/>
    </xf>
    <xf numFmtId="171" fontId="25" fillId="65" borderId="18" xfId="0" applyNumberFormat="1" applyFont="1" applyFill="1" applyBorder="1" applyAlignment="1">
      <alignment horizontal="right"/>
    </xf>
    <xf numFmtId="9" fontId="24" fillId="59" borderId="18" xfId="0" applyNumberFormat="1" applyFont="1" applyFill="1" applyBorder="1"/>
    <xf numFmtId="0" fontId="28" fillId="59" borderId="9" xfId="0" applyFont="1" applyFill="1" applyBorder="1" applyAlignment="1">
      <alignment horizontal="left" vertical="center" wrapText="1"/>
    </xf>
    <xf numFmtId="1" fontId="28" fillId="59" borderId="8" xfId="0" applyNumberFormat="1" applyFont="1" applyFill="1" applyBorder="1" applyAlignment="1">
      <alignment horizontal="right"/>
    </xf>
    <xf numFmtId="171" fontId="25" fillId="59" borderId="8" xfId="0" applyNumberFormat="1" applyFont="1" applyFill="1" applyBorder="1" applyAlignment="1">
      <alignment horizontal="right"/>
    </xf>
    <xf numFmtId="187" fontId="25" fillId="59" borderId="8" xfId="0" applyNumberFormat="1" applyFont="1" applyFill="1" applyBorder="1" applyAlignment="1">
      <alignment horizontal="right" wrapText="1"/>
    </xf>
    <xf numFmtId="171" fontId="25" fillId="59" borderId="8" xfId="0" applyNumberFormat="1" applyFont="1" applyFill="1" applyBorder="1" applyAlignment="1">
      <alignment horizontal="center"/>
    </xf>
    <xf numFmtId="0" fontId="25" fillId="40" borderId="20" xfId="0" applyFont="1" applyFill="1" applyBorder="1"/>
    <xf numFmtId="3" fontId="25" fillId="40" borderId="20" xfId="0" applyNumberFormat="1" applyFont="1" applyFill="1" applyBorder="1" applyAlignment="1">
      <alignment horizontal="center"/>
    </xf>
    <xf numFmtId="0" fontId="25" fillId="40" borderId="8" xfId="0" applyFont="1" applyFill="1" applyBorder="1"/>
    <xf numFmtId="171" fontId="25" fillId="40" borderId="8" xfId="0" applyNumberFormat="1" applyFont="1" applyFill="1" applyBorder="1" applyAlignment="1">
      <alignment horizontal="center"/>
    </xf>
    <xf numFmtId="0" fontId="1" fillId="0" borderId="0" xfId="0" applyFont="1" applyAlignment="1">
      <alignment horizontal="right"/>
    </xf>
    <xf numFmtId="0" fontId="66" fillId="40" borderId="0" xfId="0" applyFont="1" applyFill="1" applyAlignment="1">
      <alignment horizontal="left" wrapText="1"/>
    </xf>
    <xf numFmtId="0" fontId="67" fillId="40" borderId="0" xfId="0" applyFont="1" applyFill="1" applyAlignment="1">
      <alignment horizontal="left" wrapText="1"/>
    </xf>
    <xf numFmtId="0" fontId="11" fillId="0" borderId="0" xfId="0" applyFont="1"/>
    <xf numFmtId="0" fontId="21" fillId="40" borderId="0" xfId="0" applyFont="1" applyFill="1"/>
    <xf numFmtId="0" fontId="11" fillId="12" borderId="0" xfId="0" applyFont="1" applyFill="1"/>
    <xf numFmtId="0" fontId="11" fillId="24" borderId="0" xfId="0" applyFont="1" applyFill="1"/>
    <xf numFmtId="0" fontId="11" fillId="7" borderId="0" xfId="0" applyFont="1" applyFill="1"/>
    <xf numFmtId="0" fontId="11" fillId="19" borderId="0" xfId="0" applyFont="1" applyFill="1"/>
    <xf numFmtId="0" fontId="11" fillId="15" borderId="0" xfId="0" applyFont="1" applyFill="1"/>
    <xf numFmtId="0" fontId="11" fillId="40" borderId="0" xfId="0" applyFont="1" applyFill="1"/>
    <xf numFmtId="0" fontId="11" fillId="17" borderId="0" xfId="0" applyFont="1" applyFill="1"/>
    <xf numFmtId="0" fontId="11" fillId="10" borderId="0" xfId="0" applyFont="1" applyFill="1"/>
    <xf numFmtId="0" fontId="11" fillId="26" borderId="0" xfId="0" applyFont="1" applyFill="1"/>
    <xf numFmtId="0" fontId="11" fillId="4" borderId="0" xfId="0" applyFont="1" applyFill="1"/>
    <xf numFmtId="0" fontId="11" fillId="36" borderId="0" xfId="0" applyFont="1" applyFill="1"/>
    <xf numFmtId="0" fontId="11" fillId="46" borderId="0" xfId="0" applyFont="1" applyFill="1"/>
    <xf numFmtId="0" fontId="25" fillId="0" borderId="8" xfId="0" applyFont="1" applyBorder="1"/>
    <xf numFmtId="3" fontId="41" fillId="3" borderId="9" xfId="0" applyNumberFormat="1" applyFont="1" applyFill="1" applyBorder="1" applyAlignment="1">
      <alignment horizontal="center"/>
    </xf>
    <xf numFmtId="0" fontId="25" fillId="0" borderId="18" xfId="0" applyFont="1" applyBorder="1"/>
    <xf numFmtId="0" fontId="40" fillId="0" borderId="10" xfId="0" applyFont="1" applyBorder="1"/>
    <xf numFmtId="3" fontId="40" fillId="0" borderId="10" xfId="0" applyNumberFormat="1" applyFont="1" applyBorder="1" applyAlignment="1">
      <alignment horizontal="center"/>
    </xf>
    <xf numFmtId="3" fontId="38" fillId="0" borderId="9" xfId="0" applyNumberFormat="1" applyFont="1" applyBorder="1" applyAlignment="1">
      <alignment horizontal="center"/>
    </xf>
    <xf numFmtId="0" fontId="38" fillId="0" borderId="9" xfId="0" applyFont="1" applyBorder="1" applyAlignment="1">
      <alignment horizontal="center"/>
    </xf>
    <xf numFmtId="3" fontId="25" fillId="0" borderId="17" xfId="0" applyNumberFormat="1" applyFont="1" applyBorder="1"/>
    <xf numFmtId="3" fontId="43" fillId="0" borderId="9" xfId="0" applyNumberFormat="1" applyFont="1" applyBorder="1" applyAlignment="1">
      <alignment horizontal="center"/>
    </xf>
    <xf numFmtId="186" fontId="46" fillId="59" borderId="19" xfId="0" applyNumberFormat="1" applyFont="1" applyFill="1" applyBorder="1" applyAlignment="1">
      <alignment horizontal="left"/>
    </xf>
    <xf numFmtId="186" fontId="25" fillId="59" borderId="10" xfId="0" applyNumberFormat="1" applyFont="1" applyFill="1" applyBorder="1" applyAlignment="1">
      <alignment horizontal="left"/>
    </xf>
    <xf numFmtId="186" fontId="25" fillId="59" borderId="19" xfId="0" applyNumberFormat="1" applyFont="1" applyFill="1" applyBorder="1"/>
    <xf numFmtId="186" fontId="25" fillId="59" borderId="10" xfId="0" applyNumberFormat="1" applyFont="1" applyFill="1" applyBorder="1"/>
    <xf numFmtId="186" fontId="25" fillId="59" borderId="19" xfId="0" applyNumberFormat="1" applyFont="1" applyFill="1" applyBorder="1" applyAlignment="1">
      <alignment horizontal="left"/>
    </xf>
    <xf numFmtId="186" fontId="47" fillId="59" borderId="19" xfId="0" applyNumberFormat="1" applyFont="1" applyFill="1" applyBorder="1"/>
    <xf numFmtId="0" fontId="48" fillId="59" borderId="19" xfId="0" applyFont="1" applyFill="1" applyBorder="1" applyAlignment="1">
      <alignment horizontal="left" vertical="center"/>
    </xf>
    <xf numFmtId="1" fontId="28" fillId="59" borderId="10" xfId="0" applyNumberFormat="1" applyFont="1" applyFill="1" applyBorder="1" applyAlignment="1">
      <alignment horizontal="left" vertical="center"/>
    </xf>
    <xf numFmtId="0" fontId="49" fillId="59" borderId="19" xfId="0" applyFont="1" applyFill="1" applyBorder="1" applyAlignment="1">
      <alignment horizontal="left" vertical="center"/>
    </xf>
    <xf numFmtId="1" fontId="25" fillId="59" borderId="10" xfId="0" applyNumberFormat="1" applyFont="1" applyFill="1" applyBorder="1" applyAlignment="1">
      <alignment horizontal="left"/>
    </xf>
    <xf numFmtId="187" fontId="28" fillId="59" borderId="19" xfId="0" applyNumberFormat="1" applyFont="1" applyFill="1" applyBorder="1"/>
    <xf numFmtId="188" fontId="28" fillId="59" borderId="19" xfId="0" applyNumberFormat="1" applyFont="1" applyFill="1" applyBorder="1" applyAlignment="1">
      <alignment horizontal="left" vertical="center" wrapText="1"/>
    </xf>
    <xf numFmtId="1" fontId="28" fillId="59" borderId="10" xfId="0" applyNumberFormat="1" applyFont="1" applyFill="1" applyBorder="1" applyAlignment="1">
      <alignment horizontal="left" vertical="center" wrapText="1"/>
    </xf>
    <xf numFmtId="186" fontId="28" fillId="59" borderId="19" xfId="0" applyNumberFormat="1" applyFont="1" applyFill="1" applyBorder="1" applyAlignment="1">
      <alignment horizontal="right"/>
    </xf>
    <xf numFmtId="186" fontId="25" fillId="59" borderId="19" xfId="0" applyNumberFormat="1" applyFont="1" applyFill="1" applyBorder="1" applyAlignment="1">
      <alignment horizontal="right"/>
    </xf>
    <xf numFmtId="0" fontId="28" fillId="59" borderId="19" xfId="0" applyFont="1" applyFill="1" applyBorder="1" applyAlignment="1">
      <alignment horizontal="left" vertical="center" wrapText="1"/>
    </xf>
    <xf numFmtId="188" fontId="28" fillId="59" borderId="10" xfId="0" applyNumberFormat="1" applyFont="1" applyFill="1" applyBorder="1" applyAlignment="1">
      <alignment horizontal="left" vertical="center" wrapText="1"/>
    </xf>
    <xf numFmtId="189" fontId="28" fillId="59" borderId="19" xfId="0" applyNumberFormat="1" applyFont="1" applyFill="1" applyBorder="1" applyAlignment="1">
      <alignment horizontal="right"/>
    </xf>
    <xf numFmtId="188" fontId="25" fillId="59" borderId="19" xfId="0" applyNumberFormat="1" applyFont="1" applyFill="1" applyBorder="1" applyAlignment="1">
      <alignment horizontal="left"/>
    </xf>
    <xf numFmtId="188" fontId="25" fillId="59" borderId="10" xfId="0" applyNumberFormat="1" applyFont="1" applyFill="1" applyBorder="1" applyAlignment="1">
      <alignment horizontal="left"/>
    </xf>
    <xf numFmtId="189" fontId="25" fillId="59" borderId="19" xfId="0" applyNumberFormat="1" applyFont="1" applyFill="1" applyBorder="1" applyAlignment="1">
      <alignment horizontal="right"/>
    </xf>
    <xf numFmtId="188" fontId="25" fillId="59" borderId="19" xfId="0" applyNumberFormat="1" applyFont="1" applyFill="1" applyBorder="1"/>
    <xf numFmtId="188" fontId="25" fillId="59" borderId="10" xfId="0" applyNumberFormat="1" applyFont="1" applyFill="1" applyBorder="1"/>
    <xf numFmtId="9" fontId="25" fillId="59" borderId="19" xfId="0" applyNumberFormat="1" applyFont="1" applyFill="1" applyBorder="1" applyAlignment="1">
      <alignment horizontal="right"/>
    </xf>
    <xf numFmtId="186" fontId="28" fillId="59" borderId="10" xfId="0" applyNumberFormat="1" applyFont="1" applyFill="1" applyBorder="1"/>
    <xf numFmtId="0" fontId="28" fillId="59" borderId="19" xfId="0" applyFont="1" applyFill="1" applyBorder="1" applyAlignment="1">
      <alignment horizontal="left" vertical="center"/>
    </xf>
    <xf numFmtId="0" fontId="25" fillId="59" borderId="19" xfId="0" applyFont="1" applyFill="1" applyBorder="1" applyAlignment="1">
      <alignment horizontal="left" vertical="center" wrapText="1"/>
    </xf>
    <xf numFmtId="186" fontId="25" fillId="59" borderId="10" xfId="0" applyNumberFormat="1" applyFont="1" applyFill="1" applyBorder="1" applyAlignment="1">
      <alignment horizontal="center"/>
    </xf>
    <xf numFmtId="0" fontId="51" fillId="0" borderId="11" xfId="0" applyFont="1" applyBorder="1" applyAlignment="1">
      <alignment horizontal="left"/>
    </xf>
    <xf numFmtId="0" fontId="53" fillId="32" borderId="0" xfId="0" applyFont="1" applyFill="1"/>
    <xf numFmtId="0" fontId="56" fillId="61" borderId="13" xfId="0" applyFont="1" applyFill="1" applyBorder="1" applyAlignment="1">
      <alignment horizontal="center" vertical="top" wrapText="1"/>
    </xf>
    <xf numFmtId="0" fontId="46" fillId="59" borderId="10" xfId="0" applyFont="1" applyFill="1" applyBorder="1"/>
    <xf numFmtId="0" fontId="64" fillId="59" borderId="19" xfId="0" applyFont="1" applyFill="1" applyBorder="1"/>
    <xf numFmtId="0" fontId="25" fillId="59" borderId="19" xfId="0" applyFont="1" applyFill="1" applyBorder="1"/>
    <xf numFmtId="190" fontId="25" fillId="59" borderId="19" xfId="0" applyNumberFormat="1" applyFont="1" applyFill="1" applyBorder="1"/>
    <xf numFmtId="0" fontId="25" fillId="59" borderId="10" xfId="0" applyFont="1" applyFill="1" applyBorder="1" applyAlignment="1">
      <alignment horizontal="left"/>
    </xf>
    <xf numFmtId="0" fontId="25" fillId="59" borderId="19" xfId="0" applyFont="1" applyFill="1" applyBorder="1" applyAlignment="1">
      <alignment horizontal="left"/>
    </xf>
    <xf numFmtId="191" fontId="25" fillId="59" borderId="19" xfId="0" applyNumberFormat="1" applyFont="1" applyFill="1" applyBorder="1"/>
    <xf numFmtId="188" fontId="48" fillId="59" borderId="10" xfId="0" applyNumberFormat="1" applyFont="1" applyFill="1" applyBorder="1" applyAlignment="1">
      <alignment horizontal="left" vertical="center"/>
    </xf>
    <xf numFmtId="0" fontId="48" fillId="59" borderId="19" xfId="0" applyFont="1" applyFill="1" applyBorder="1" applyAlignment="1">
      <alignment horizontal="left" wrapText="1"/>
    </xf>
    <xf numFmtId="0" fontId="49" fillId="59" borderId="10" xfId="0" applyFont="1" applyFill="1" applyBorder="1" applyAlignment="1">
      <alignment horizontal="left"/>
    </xf>
    <xf numFmtId="191" fontId="49" fillId="59" borderId="19" xfId="0" applyNumberFormat="1" applyFont="1" applyFill="1" applyBorder="1" applyAlignment="1">
      <alignment horizontal="left"/>
    </xf>
    <xf numFmtId="0" fontId="25" fillId="59" borderId="10" xfId="0" applyFont="1" applyFill="1" applyBorder="1" applyAlignment="1">
      <alignment horizontal="left" vertical="center" wrapText="1"/>
    </xf>
    <xf numFmtId="0" fontId="28" fillId="59" borderId="10" xfId="0" applyFont="1" applyFill="1" applyBorder="1" applyAlignment="1">
      <alignment horizontal="left" vertical="center" wrapText="1"/>
    </xf>
    <xf numFmtId="191" fontId="28" fillId="59" borderId="19" xfId="0" applyNumberFormat="1" applyFont="1" applyFill="1" applyBorder="1" applyAlignment="1">
      <alignment horizontal="right"/>
    </xf>
    <xf numFmtId="188" fontId="28" fillId="59" borderId="19" xfId="0" applyNumberFormat="1" applyFont="1" applyFill="1" applyBorder="1" applyAlignment="1">
      <alignment horizontal="right"/>
    </xf>
    <xf numFmtId="0" fontId="28" fillId="59" borderId="19" xfId="0" applyFont="1" applyFill="1" applyBorder="1"/>
    <xf numFmtId="0" fontId="25" fillId="65" borderId="10" xfId="0" applyFont="1" applyFill="1" applyBorder="1" applyAlignment="1">
      <alignment horizontal="left"/>
    </xf>
    <xf numFmtId="171" fontId="24" fillId="65" borderId="19" xfId="0" applyNumberFormat="1" applyFont="1" applyFill="1" applyBorder="1"/>
    <xf numFmtId="171" fontId="25" fillId="59" borderId="19" xfId="0" applyNumberFormat="1" applyFont="1" applyFill="1" applyBorder="1"/>
    <xf numFmtId="9" fontId="24" fillId="59" borderId="19" xfId="0" applyNumberFormat="1" applyFont="1" applyFill="1" applyBorder="1"/>
    <xf numFmtId="0" fontId="28" fillId="59" borderId="10" xfId="0" applyFont="1" applyFill="1" applyBorder="1"/>
    <xf numFmtId="191" fontId="28" fillId="59" borderId="19" xfId="0" applyNumberFormat="1" applyFont="1" applyFill="1" applyBorder="1"/>
    <xf numFmtId="171" fontId="28" fillId="59" borderId="19" xfId="0" applyNumberFormat="1" applyFont="1" applyFill="1" applyBorder="1"/>
    <xf numFmtId="192" fontId="25" fillId="59" borderId="19" xfId="0" applyNumberFormat="1" applyFont="1" applyFill="1" applyBorder="1"/>
    <xf numFmtId="0" fontId="25" fillId="59" borderId="10" xfId="0" applyFont="1" applyFill="1" applyBorder="1"/>
    <xf numFmtId="0" fontId="28" fillId="59" borderId="19" xfId="0" applyFont="1" applyFill="1" applyBorder="1" applyAlignment="1">
      <alignment horizontal="left"/>
    </xf>
    <xf numFmtId="0" fontId="25" fillId="59" borderId="10" xfId="0" applyFont="1" applyFill="1" applyBorder="1" applyAlignment="1">
      <alignment vertical="top" wrapText="1"/>
    </xf>
    <xf numFmtId="0" fontId="25" fillId="59" borderId="19" xfId="0" applyFont="1" applyFill="1" applyBorder="1" applyAlignment="1">
      <alignment horizontal="left" wrapText="1"/>
    </xf>
    <xf numFmtId="193" fontId="25" fillId="59" borderId="19" xfId="0" applyNumberFormat="1" applyFont="1" applyFill="1" applyBorder="1"/>
    <xf numFmtId="10" fontId="25" fillId="59" borderId="19" xfId="0" applyNumberFormat="1" applyFont="1" applyFill="1" applyBorder="1"/>
    <xf numFmtId="0" fontId="49" fillId="59" borderId="10" xfId="0" applyFont="1" applyFill="1" applyBorder="1" applyAlignment="1">
      <alignment horizontal="left" vertical="center" wrapText="1"/>
    </xf>
    <xf numFmtId="0" fontId="49" fillId="59" borderId="19" xfId="0" applyFont="1" applyFill="1" applyBorder="1" applyAlignment="1">
      <alignment horizontal="left"/>
    </xf>
    <xf numFmtId="1" fontId="25" fillId="59" borderId="19" xfId="0" applyNumberFormat="1" applyFont="1" applyFill="1" applyBorder="1" applyAlignment="1">
      <alignment horizontal="right"/>
    </xf>
    <xf numFmtId="194" fontId="25" fillId="59" borderId="19" xfId="0" applyNumberFormat="1" applyFont="1" applyFill="1" applyBorder="1" applyAlignment="1">
      <alignment horizontal="right"/>
    </xf>
    <xf numFmtId="171" fontId="25" fillId="59" borderId="19" xfId="0" applyNumberFormat="1" applyFont="1" applyFill="1" applyBorder="1" applyAlignment="1">
      <alignment horizontal="right"/>
    </xf>
    <xf numFmtId="171" fontId="28" fillId="59" borderId="19" xfId="0" applyNumberFormat="1" applyFont="1" applyFill="1" applyBorder="1" applyAlignment="1">
      <alignment horizontal="right"/>
    </xf>
    <xf numFmtId="171" fontId="25" fillId="65" borderId="19" xfId="0" applyNumberFormat="1" applyFont="1" applyFill="1" applyBorder="1"/>
    <xf numFmtId="171" fontId="25" fillId="65" borderId="19" xfId="0" applyNumberFormat="1" applyFont="1" applyFill="1" applyBorder="1" applyAlignment="1">
      <alignment horizontal="right"/>
    </xf>
    <xf numFmtId="9" fontId="25" fillId="59" borderId="19" xfId="0" applyNumberFormat="1" applyFont="1" applyFill="1" applyBorder="1"/>
    <xf numFmtId="0" fontId="28" fillId="59" borderId="10" xfId="0" applyFont="1" applyFill="1" applyBorder="1" applyAlignment="1">
      <alignment horizontal="left"/>
    </xf>
    <xf numFmtId="0" fontId="65" fillId="59" borderId="10" xfId="0" applyFont="1" applyFill="1" applyBorder="1" applyAlignment="1">
      <alignment horizontal="left"/>
    </xf>
    <xf numFmtId="0" fontId="65" fillId="59" borderId="19" xfId="0" applyFont="1" applyFill="1" applyBorder="1" applyAlignment="1">
      <alignment horizontal="left"/>
    </xf>
    <xf numFmtId="191" fontId="65" fillId="59" borderId="19" xfId="0" applyNumberFormat="1" applyFont="1" applyFill="1" applyBorder="1"/>
    <xf numFmtId="4" fontId="25" fillId="59" borderId="19" xfId="0" applyNumberFormat="1" applyFont="1" applyFill="1" applyBorder="1"/>
    <xf numFmtId="0" fontId="25" fillId="59" borderId="10" xfId="0" applyFont="1" applyFill="1" applyBorder="1" applyAlignment="1">
      <alignment wrapText="1"/>
    </xf>
    <xf numFmtId="0" fontId="25" fillId="59" borderId="10" xfId="0" applyFont="1" applyFill="1" applyBorder="1" applyAlignment="1">
      <alignment horizontal="left" wrapText="1"/>
    </xf>
    <xf numFmtId="0" fontId="25" fillId="59" borderId="10" xfId="0" applyFont="1" applyFill="1" applyBorder="1" applyAlignment="1">
      <alignment horizontal="left" vertical="top" wrapText="1"/>
    </xf>
    <xf numFmtId="192" fontId="28" fillId="59" borderId="19" xfId="0" applyNumberFormat="1" applyFont="1" applyFill="1" applyBorder="1" applyAlignment="1">
      <alignment horizontal="right"/>
    </xf>
    <xf numFmtId="192" fontId="28" fillId="59" borderId="19" xfId="0" applyNumberFormat="1" applyFont="1" applyFill="1" applyBorder="1"/>
    <xf numFmtId="192" fontId="65" fillId="59" borderId="19" xfId="0" applyNumberFormat="1" applyFont="1" applyFill="1" applyBorder="1"/>
    <xf numFmtId="190" fontId="28" fillId="59" borderId="19" xfId="0" applyNumberFormat="1" applyFont="1" applyFill="1" applyBorder="1" applyAlignment="1">
      <alignment horizontal="left"/>
    </xf>
    <xf numFmtId="0" fontId="46" fillId="0" borderId="0" xfId="0" applyFont="1"/>
    <xf numFmtId="0" fontId="25" fillId="40" borderId="19" xfId="0" applyFont="1" applyFill="1" applyBorder="1"/>
    <xf numFmtId="0" fontId="48" fillId="40" borderId="19" xfId="0" applyFont="1" applyFill="1" applyBorder="1"/>
    <xf numFmtId="0" fontId="28" fillId="40" borderId="19" xfId="0" applyFont="1" applyFill="1" applyBorder="1"/>
    <xf numFmtId="0" fontId="25" fillId="66" borderId="19" xfId="0" applyFont="1" applyFill="1" applyBorder="1" applyAlignment="1">
      <alignment horizontal="center" vertical="center" wrapText="1"/>
    </xf>
    <xf numFmtId="0" fontId="28" fillId="66" borderId="19" xfId="0" applyFont="1" applyFill="1" applyBorder="1" applyAlignment="1">
      <alignment horizontal="center" vertical="center" wrapText="1"/>
    </xf>
    <xf numFmtId="3" fontId="28" fillId="68" borderId="19" xfId="0" applyNumberFormat="1" applyFont="1" applyFill="1" applyBorder="1" applyAlignment="1">
      <alignment horizontal="center"/>
    </xf>
    <xf numFmtId="171" fontId="28" fillId="68" borderId="19" xfId="0" applyNumberFormat="1" applyFont="1" applyFill="1" applyBorder="1" applyAlignment="1">
      <alignment horizontal="center"/>
    </xf>
    <xf numFmtId="190" fontId="25" fillId="40" borderId="19" xfId="0" applyNumberFormat="1" applyFont="1" applyFill="1" applyBorder="1"/>
    <xf numFmtId="0" fontId="25" fillId="40" borderId="19" xfId="0" applyFont="1" applyFill="1" applyBorder="1" applyAlignment="1">
      <alignment horizontal="left"/>
    </xf>
    <xf numFmtId="3" fontId="25" fillId="40" borderId="19" xfId="0" applyNumberFormat="1" applyFont="1" applyFill="1" applyBorder="1" applyAlignment="1">
      <alignment horizontal="center"/>
    </xf>
    <xf numFmtId="171" fontId="25" fillId="59" borderId="19" xfId="0" applyNumberFormat="1" applyFont="1" applyFill="1" applyBorder="1" applyAlignment="1">
      <alignment horizontal="center"/>
    </xf>
    <xf numFmtId="10" fontId="25" fillId="40" borderId="19" xfId="0" applyNumberFormat="1" applyFont="1" applyFill="1" applyBorder="1"/>
    <xf numFmtId="171" fontId="25" fillId="40" borderId="19" xfId="0" applyNumberFormat="1" applyFont="1" applyFill="1" applyBorder="1" applyAlignment="1">
      <alignment horizontal="center"/>
    </xf>
    <xf numFmtId="0" fontId="28" fillId="68" borderId="19" xfId="0" applyFont="1" applyFill="1" applyBorder="1"/>
    <xf numFmtId="171" fontId="25" fillId="40" borderId="19" xfId="0" applyNumberFormat="1" applyFont="1" applyFill="1" applyBorder="1"/>
    <xf numFmtId="3" fontId="25" fillId="59" borderId="19" xfId="0" applyNumberFormat="1" applyFont="1" applyFill="1" applyBorder="1"/>
    <xf numFmtId="3" fontId="25" fillId="40" borderId="19" xfId="0" applyNumberFormat="1" applyFont="1" applyFill="1" applyBorder="1"/>
    <xf numFmtId="0" fontId="71" fillId="0" borderId="0" xfId="0" applyFont="1"/>
    <xf numFmtId="0" fontId="72" fillId="10" borderId="0" xfId="0" applyFont="1" applyFill="1"/>
    <xf numFmtId="0" fontId="31" fillId="0" borderId="0" xfId="0" applyFont="1" applyAlignment="1">
      <alignment horizontal="left"/>
    </xf>
    <xf numFmtId="0" fontId="38" fillId="0" borderId="2" xfId="0" applyFont="1" applyBorder="1" applyAlignment="1">
      <alignment horizontal="center"/>
    </xf>
    <xf numFmtId="0" fontId="40" fillId="0" borderId="17" xfId="0" applyFont="1" applyBorder="1" applyAlignment="1">
      <alignment horizontal="center"/>
    </xf>
    <xf numFmtId="0" fontId="25" fillId="59" borderId="19" xfId="0" applyFont="1" applyFill="1" applyBorder="1" applyAlignment="1">
      <alignment vertical="center" wrapText="1"/>
    </xf>
    <xf numFmtId="0" fontId="25" fillId="59" borderId="19" xfId="0" applyFont="1" applyFill="1" applyBorder="1" applyAlignment="1">
      <alignment horizontal="left" vertical="center" wrapText="1"/>
    </xf>
    <xf numFmtId="0" fontId="56" fillId="61" borderId="12" xfId="0" applyFont="1" applyFill="1" applyBorder="1" applyAlignment="1">
      <alignment horizontal="center" vertical="top" wrapText="1"/>
    </xf>
    <xf numFmtId="0" fontId="54" fillId="61" borderId="12" xfId="0" applyFont="1" applyFill="1" applyBorder="1" applyAlignment="1">
      <alignment horizontal="center" vertical="top"/>
    </xf>
    <xf numFmtId="0" fontId="57" fillId="61" borderId="14" xfId="0" applyFont="1" applyFill="1" applyBorder="1" applyAlignment="1">
      <alignment horizontal="right"/>
    </xf>
    <xf numFmtId="0" fontId="61" fillId="0" borderId="0" xfId="0" applyFont="1" applyAlignment="1">
      <alignment horizontal="left"/>
    </xf>
    <xf numFmtId="0" fontId="55" fillId="61" borderId="14" xfId="0" applyFont="1" applyFill="1" applyBorder="1" applyAlignment="1">
      <alignment horizontal="right" wrapText="1"/>
    </xf>
    <xf numFmtId="0" fontId="55" fillId="61" borderId="14" xfId="0" applyFont="1" applyFill="1" applyBorder="1" applyAlignment="1">
      <alignment horizontal="right"/>
    </xf>
    <xf numFmtId="0" fontId="25" fillId="69" borderId="19" xfId="0" applyFont="1" applyFill="1" applyBorder="1" applyAlignment="1">
      <alignment horizontal="center" vertical="center" textRotation="90"/>
    </xf>
    <xf numFmtId="0" fontId="28" fillId="66" borderId="19" xfId="0" applyFont="1" applyFill="1" applyBorder="1" applyAlignment="1">
      <alignment horizontal="center" vertical="center" wrapText="1"/>
    </xf>
    <xf numFmtId="0" fontId="25" fillId="67" borderId="19" xfId="0" applyFont="1" applyFill="1" applyBorder="1" applyAlignment="1">
      <alignment horizontal="center" vertical="center" textRotation="90"/>
    </xf>
    <xf numFmtId="0" fontId="28" fillId="68" borderId="19" xfId="0" applyFont="1" applyFill="1" applyBorder="1" applyAlignment="1">
      <alignment horizontal="left"/>
    </xf>
    <xf numFmtId="0" fontId="25" fillId="40" borderId="19" xfId="0" applyFont="1" applyFill="1" applyBorder="1" applyAlignment="1">
      <alignment horizontal="left"/>
    </xf>
    <xf numFmtId="0" fontId="1" fillId="27" borderId="0" xfId="0" applyFont="1" applyFill="1" applyAlignment="1"/>
    <xf numFmtId="0" fontId="0" fillId="0" borderId="0" xfId="0" applyAlignment="1"/>
    <xf numFmtId="0" fontId="31" fillId="0" borderId="0" xfId="0" applyFont="1" applyAlignment="1"/>
    <xf numFmtId="0" fontId="39" fillId="0" borderId="3" xfId="0" applyFont="1" applyBorder="1" applyAlignment="1"/>
    <xf numFmtId="0" fontId="39" fillId="0" borderId="8" xfId="0" applyFont="1" applyBorder="1" applyAlignment="1"/>
    <xf numFmtId="0" fontId="39" fillId="0" borderId="9" xfId="0" applyFont="1" applyBorder="1" applyAlignment="1"/>
    <xf numFmtId="0" fontId="39" fillId="0" borderId="10" xfId="0" applyFont="1" applyBorder="1" applyAlignment="1"/>
    <xf numFmtId="0" fontId="39" fillId="0" borderId="12" xfId="0" applyFont="1" applyBorder="1" applyAlignment="1"/>
    <xf numFmtId="0" fontId="39" fillId="0" borderId="13" xfId="0" applyFont="1" applyBorder="1" applyAlignment="1"/>
    <xf numFmtId="0" fontId="39" fillId="0" borderId="19" xfId="0" applyFont="1" applyBorder="1" applyAlignment="1"/>
  </cellXfs>
  <cellStyles count="1">
    <cellStyle name="Normal" xfId="0" builtinId="0"/>
  </cellStyles>
  <dxfs count="24">
    <dxf>
      <fill>
        <patternFill patternType="solid">
          <fgColor rgb="FFD99594"/>
          <bgColor rgb="FFD99594"/>
        </patternFill>
      </fill>
    </dxf>
    <dxf>
      <fill>
        <patternFill patternType="solid">
          <fgColor rgb="FF95B3D7"/>
          <bgColor rgb="FF95B3D7"/>
        </patternFill>
      </fill>
    </dxf>
    <dxf>
      <fill>
        <patternFill patternType="solid">
          <fgColor rgb="FFD99594"/>
          <bgColor rgb="FFD99594"/>
        </patternFill>
      </fill>
    </dxf>
    <dxf>
      <fill>
        <patternFill patternType="solid">
          <fgColor rgb="FF95B3D7"/>
          <bgColor rgb="FF95B3D7"/>
        </patternFill>
      </fill>
    </dxf>
    <dxf>
      <fill>
        <patternFill patternType="solid">
          <fgColor rgb="FFCCCCCC"/>
          <bgColor rgb="FFCCCCCC"/>
        </patternFill>
      </fill>
    </dxf>
    <dxf>
      <fill>
        <patternFill patternType="solid">
          <fgColor rgb="FFCCCCCC"/>
          <bgColor rgb="FFCCCCCC"/>
        </patternFill>
      </fill>
    </dxf>
    <dxf>
      <fill>
        <patternFill patternType="solid">
          <fgColor rgb="FFCCCCCC"/>
          <bgColor rgb="FFCCCCCC"/>
        </patternFill>
      </fill>
    </dxf>
    <dxf>
      <fill>
        <patternFill patternType="solid">
          <fgColor rgb="FFCCCCCC"/>
          <bgColor rgb="FFCCCCCC"/>
        </patternFill>
      </fill>
    </dxf>
    <dxf>
      <fill>
        <patternFill patternType="solid">
          <fgColor rgb="FFCCCCCC"/>
          <bgColor rgb="FFCCCCCC"/>
        </patternFill>
      </fill>
    </dxf>
    <dxf>
      <fill>
        <patternFill patternType="solid">
          <fgColor rgb="FFD9D9D9"/>
          <bgColor rgb="FFD9D9D9"/>
        </patternFill>
      </fill>
    </dxf>
    <dxf>
      <fill>
        <patternFill patternType="solid">
          <fgColor rgb="FFCCCCCC"/>
          <bgColor rgb="FFCCCCCC"/>
        </patternFill>
      </fill>
    </dxf>
    <dxf>
      <fill>
        <patternFill patternType="solid">
          <fgColor rgb="FFCCCCCC"/>
          <bgColor rgb="FFCCCCCC"/>
        </patternFill>
      </fill>
    </dxf>
    <dxf>
      <fill>
        <patternFill patternType="solid">
          <fgColor rgb="FFD9D9D9"/>
          <bgColor rgb="FFD9D9D9"/>
        </patternFill>
      </fill>
    </dxf>
    <dxf>
      <fill>
        <patternFill patternType="solid">
          <fgColor rgb="FFCCCCCC"/>
          <bgColor rgb="FFCCCCCC"/>
        </patternFill>
      </fill>
    </dxf>
    <dxf>
      <fill>
        <patternFill patternType="solid">
          <fgColor rgb="FFCFE2F3"/>
          <bgColor rgb="FFCFE2F3"/>
        </patternFill>
      </fill>
    </dxf>
    <dxf>
      <fill>
        <patternFill patternType="solid">
          <fgColor rgb="FFA4C2F4"/>
          <bgColor rgb="FFA4C2F4"/>
        </patternFill>
      </fill>
    </dxf>
    <dxf>
      <fill>
        <patternFill patternType="solid">
          <fgColor rgb="FFFCE5CD"/>
          <bgColor rgb="FFFCE5CD"/>
        </patternFill>
      </fill>
    </dxf>
    <dxf>
      <fill>
        <patternFill patternType="solid">
          <fgColor rgb="FFD9D2E9"/>
          <bgColor rgb="FFD9D2E9"/>
        </patternFill>
      </fill>
    </dxf>
    <dxf>
      <fill>
        <patternFill patternType="solid">
          <fgColor rgb="FFEAD1DC"/>
          <bgColor rgb="FFEAD1DC"/>
        </patternFill>
      </fill>
    </dxf>
    <dxf>
      <fill>
        <patternFill patternType="solid">
          <fgColor rgb="FFCFE2F3"/>
          <bgColor rgb="FFCFE2F3"/>
        </patternFill>
      </fill>
    </dxf>
    <dxf>
      <fill>
        <patternFill patternType="solid">
          <fgColor rgb="FFA4C2F4"/>
          <bgColor rgb="FFA4C2F4"/>
        </patternFill>
      </fill>
    </dxf>
    <dxf>
      <fill>
        <patternFill patternType="solid">
          <fgColor rgb="FFA4C2F4"/>
          <bgColor rgb="FFA4C2F4"/>
        </patternFill>
      </fill>
    </dxf>
    <dxf>
      <fill>
        <patternFill patternType="solid">
          <fgColor rgb="FFD9D2E9"/>
          <bgColor rgb="FFD9D2E9"/>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b="0">
                <a:solidFill>
                  <a:srgbClr val="757575"/>
                </a:solidFill>
                <a:latin typeface="+mn-lt"/>
              </a:rPr>
              <a:t>Small car, Medium car and Large car</a:t>
            </a:r>
          </a:p>
        </c:rich>
      </c:tx>
      <c:overlay val="0"/>
    </c:title>
    <c:autoTitleDeleted val="0"/>
    <c:plotArea>
      <c:layout/>
      <c:barChart>
        <c:barDir val="bar"/>
        <c:grouping val="stacked"/>
        <c:varyColors val="1"/>
        <c:dLbls>
          <c:showLegendKey val="0"/>
          <c:showVal val="0"/>
          <c:showCatName val="0"/>
          <c:showSerName val="0"/>
          <c:showPercent val="0"/>
          <c:showBubbleSize val="0"/>
        </c:dLbls>
        <c:gapWidth val="150"/>
        <c:overlap val="100"/>
        <c:axId val="120665970"/>
        <c:axId val="2078820927"/>
      </c:barChart>
      <c:catAx>
        <c:axId val="120665970"/>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1000" b="0">
                <a:solidFill>
                  <a:srgbClr val="000000"/>
                </a:solidFill>
                <a:latin typeface="+mn-lt"/>
              </a:defRPr>
            </a:pPr>
            <a:endParaRPr lang="en-US"/>
          </a:p>
        </c:txPr>
        <c:crossAx val="2078820927"/>
        <c:crosses val="autoZero"/>
        <c:auto val="1"/>
        <c:lblAlgn val="ctr"/>
        <c:lblOffset val="100"/>
        <c:noMultiLvlLbl val="1"/>
      </c:catAx>
      <c:valAx>
        <c:axId val="2078820927"/>
        <c:scaling>
          <c:orientation val="minMax"/>
        </c:scaling>
        <c:delete val="0"/>
        <c:axPos val="b"/>
        <c:majorTickMark val="cross"/>
        <c:minorTickMark val="cross"/>
        <c:tickLblPos val="nextTo"/>
        <c:spPr>
          <a:ln>
            <a:noFill/>
          </a:ln>
        </c:spPr>
        <c:crossAx val="120665970"/>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800" b="1">
                <a:solidFill>
                  <a:srgbClr val="000000"/>
                </a:solidFill>
                <a:latin typeface="+mn-lt"/>
              </a:defRPr>
            </a:pPr>
            <a:r>
              <a:rPr sz="1800" b="1">
                <a:solidFill>
                  <a:srgbClr val="000000"/>
                </a:solidFill>
                <a:latin typeface="+mn-lt"/>
              </a:rPr>
              <a:t>Energy Use per 100km in popular cars.</a:t>
            </a:r>
          </a:p>
        </c:rich>
      </c:tx>
      <c:overlay val="0"/>
    </c:title>
    <c:autoTitleDeleted val="0"/>
    <c:plotArea>
      <c:layout>
        <c:manualLayout>
          <c:xMode val="edge"/>
          <c:yMode val="edge"/>
          <c:x val="0.26416666666666666"/>
          <c:y val="0.11120401337792642"/>
          <c:w val="0.70491666666666652"/>
          <c:h val="0.79027846640644017"/>
        </c:manualLayout>
      </c:layout>
      <c:barChart>
        <c:barDir val="bar"/>
        <c:grouping val="stacked"/>
        <c:varyColors val="1"/>
        <c:ser>
          <c:idx val="0"/>
          <c:order val="0"/>
          <c:tx>
            <c:strRef>
              <c:f>'Product prices'!$F$374</c:f>
              <c:strCache>
                <c:ptCount val="1"/>
                <c:pt idx="0">
                  <c:v>Label</c:v>
                </c:pt>
              </c:strCache>
            </c:strRef>
          </c:tx>
          <c:spPr>
            <a:solidFill>
              <a:srgbClr val="741B47"/>
            </a:solidFill>
            <a:ln cmpd="sng">
              <a:solidFill>
                <a:srgbClr val="000000"/>
              </a:solidFill>
            </a:ln>
          </c:spPr>
          <c:invertIfNegative val="1"/>
          <c:dPt>
            <c:idx val="0"/>
            <c:invertIfNegative val="1"/>
            <c:bubble3D val="0"/>
            <c:extLst>
              <c:ext xmlns:c16="http://schemas.microsoft.com/office/drawing/2014/chart" uri="{C3380CC4-5D6E-409C-BE32-E72D297353CC}">
                <c16:uniqueId val="{00000000-B872-4792-A913-E8C6120F62EB}"/>
              </c:ext>
            </c:extLst>
          </c:dPt>
          <c:cat>
            <c:strRef>
              <c:f>'Product prices'!$B$375:$B$392</c:f>
              <c:strCache>
                <c:ptCount val="18"/>
                <c:pt idx="0">
                  <c:v>Ford F150 AWD</c:v>
                </c:pt>
                <c:pt idx="1">
                  <c:v>Ford Ranger AWD</c:v>
                </c:pt>
                <c:pt idx="2">
                  <c:v>Toyota Highlander Limited</c:v>
                </c:pt>
                <c:pt idx="3">
                  <c:v>Mitsubishi Outlander AWD</c:v>
                </c:pt>
                <c:pt idx="4">
                  <c:v>VW Golf</c:v>
                </c:pt>
                <c:pt idx="5">
                  <c:v>Mitsubishi Eclipse Cross</c:v>
                </c:pt>
                <c:pt idx="6">
                  <c:v>Kia Sportage 2WD</c:v>
                </c:pt>
                <c:pt idx="7">
                  <c:v>Mazda 3</c:v>
                </c:pt>
                <c:pt idx="8">
                  <c:v>Toyota RAV 4 GXL AWD</c:v>
                </c:pt>
                <c:pt idx="9">
                  <c:v>Kia Rio</c:v>
                </c:pt>
                <c:pt idx="10">
                  <c:v>Ford F150 Lightning AWD</c:v>
                </c:pt>
                <c:pt idx="11">
                  <c:v>Rivian R1T</c:v>
                </c:pt>
                <c:pt idx="12">
                  <c:v>NIssan Leaf</c:v>
                </c:pt>
                <c:pt idx="13">
                  <c:v>KIA EV6 AWD</c:v>
                </c:pt>
                <c:pt idx="14">
                  <c:v>BYD Atto 3</c:v>
                </c:pt>
                <c:pt idx="15">
                  <c:v>BYD Dolphin</c:v>
                </c:pt>
                <c:pt idx="16">
                  <c:v>Tesla Model Y RWD</c:v>
                </c:pt>
                <c:pt idx="17">
                  <c:v>Tesla Model 3 RWD</c:v>
                </c:pt>
              </c:strCache>
            </c:strRef>
          </c:cat>
          <c:val>
            <c:numRef>
              <c:f>'Product prices'!$F$375:$F$392</c:f>
              <c:numCache>
                <c:formatCode>General</c:formatCode>
                <c:ptCount val="18"/>
                <c:pt idx="0">
                  <c:v>0</c:v>
                </c:pt>
                <c:pt idx="1">
                  <c:v>0</c:v>
                </c:pt>
                <c:pt idx="2">
                  <c:v>0</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B872-4792-A913-E8C6120F62EB}"/>
            </c:ext>
          </c:extLst>
        </c:ser>
        <c:ser>
          <c:idx val="1"/>
          <c:order val="1"/>
          <c:tx>
            <c:strRef>
              <c:f>'Product prices'!$C$374</c:f>
              <c:strCache>
                <c:ptCount val="1"/>
                <c:pt idx="0">
                  <c:v>Petrol Vehicle</c:v>
                </c:pt>
              </c:strCache>
            </c:strRef>
          </c:tx>
          <c:spPr>
            <a:solidFill>
              <a:srgbClr val="52ADFF"/>
            </a:solidFill>
            <a:ln cmpd="sng">
              <a:solidFill>
                <a:srgbClr val="000000"/>
              </a:solidFill>
            </a:ln>
          </c:spPr>
          <c:invertIfNegative val="1"/>
          <c:cat>
            <c:strRef>
              <c:f>'Product prices'!$B$375:$B$392</c:f>
              <c:strCache>
                <c:ptCount val="18"/>
                <c:pt idx="0">
                  <c:v>Ford F150 AWD</c:v>
                </c:pt>
                <c:pt idx="1">
                  <c:v>Ford Ranger AWD</c:v>
                </c:pt>
                <c:pt idx="2">
                  <c:v>Toyota Highlander Limited</c:v>
                </c:pt>
                <c:pt idx="3">
                  <c:v>Mitsubishi Outlander AWD</c:v>
                </c:pt>
                <c:pt idx="4">
                  <c:v>VW Golf</c:v>
                </c:pt>
                <c:pt idx="5">
                  <c:v>Mitsubishi Eclipse Cross</c:v>
                </c:pt>
                <c:pt idx="6">
                  <c:v>Kia Sportage 2WD</c:v>
                </c:pt>
                <c:pt idx="7">
                  <c:v>Mazda 3</c:v>
                </c:pt>
                <c:pt idx="8">
                  <c:v>Toyota RAV 4 GXL AWD</c:v>
                </c:pt>
                <c:pt idx="9">
                  <c:v>Kia Rio</c:v>
                </c:pt>
                <c:pt idx="10">
                  <c:v>Ford F150 Lightning AWD</c:v>
                </c:pt>
                <c:pt idx="11">
                  <c:v>Rivian R1T</c:v>
                </c:pt>
                <c:pt idx="12">
                  <c:v>NIssan Leaf</c:v>
                </c:pt>
                <c:pt idx="13">
                  <c:v>KIA EV6 AWD</c:v>
                </c:pt>
                <c:pt idx="14">
                  <c:v>BYD Atto 3</c:v>
                </c:pt>
                <c:pt idx="15">
                  <c:v>BYD Dolphin</c:v>
                </c:pt>
                <c:pt idx="16">
                  <c:v>Tesla Model Y RWD</c:v>
                </c:pt>
                <c:pt idx="17">
                  <c:v>Tesla Model 3 RWD</c:v>
                </c:pt>
              </c:strCache>
            </c:strRef>
          </c:cat>
          <c:val>
            <c:numRef>
              <c:f>'Product prices'!$C$375:$C$392</c:f>
              <c:numCache>
                <c:formatCode>0</c:formatCode>
                <c:ptCount val="18"/>
                <c:pt idx="0">
                  <c:v>104.70130612549244</c:v>
                </c:pt>
                <c:pt idx="1">
                  <c:v>95.183005568629511</c:v>
                </c:pt>
                <c:pt idx="2">
                  <c:v>91.044614022167337</c:v>
                </c:pt>
                <c:pt idx="3">
                  <c:v>80.539466250378823</c:v>
                </c:pt>
                <c:pt idx="4">
                  <c:v>80.539466250378823</c:v>
                </c:pt>
                <c:pt idx="5">
                  <c:v>80.539466250378823</c:v>
                </c:pt>
                <c:pt idx="6">
                  <c:v>74.786647232494602</c:v>
                </c:pt>
                <c:pt idx="7">
                  <c:v>72.207797327925832</c:v>
                </c:pt>
                <c:pt idx="8">
                  <c:v>69.800870750328301</c:v>
                </c:pt>
                <c:pt idx="9">
                  <c:v>58.16739229194026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B872-4792-A913-E8C6120F62EB}"/>
            </c:ext>
          </c:extLst>
        </c:ser>
        <c:ser>
          <c:idx val="2"/>
          <c:order val="2"/>
          <c:tx>
            <c:strRef>
              <c:f>'Product prices'!$F$374</c:f>
              <c:strCache>
                <c:ptCount val="1"/>
                <c:pt idx="0">
                  <c:v>Label</c:v>
                </c:pt>
              </c:strCache>
            </c:strRef>
          </c:tx>
          <c:invertIfNegative val="1"/>
          <c:cat>
            <c:strRef>
              <c:f>'Product prices'!$B$375:$B$392</c:f>
              <c:strCache>
                <c:ptCount val="18"/>
                <c:pt idx="0">
                  <c:v>Ford F150 AWD</c:v>
                </c:pt>
                <c:pt idx="1">
                  <c:v>Ford Ranger AWD</c:v>
                </c:pt>
                <c:pt idx="2">
                  <c:v>Toyota Highlander Limited</c:v>
                </c:pt>
                <c:pt idx="3">
                  <c:v>Mitsubishi Outlander AWD</c:v>
                </c:pt>
                <c:pt idx="4">
                  <c:v>VW Golf</c:v>
                </c:pt>
                <c:pt idx="5">
                  <c:v>Mitsubishi Eclipse Cross</c:v>
                </c:pt>
                <c:pt idx="6">
                  <c:v>Kia Sportage 2WD</c:v>
                </c:pt>
                <c:pt idx="7">
                  <c:v>Mazda 3</c:v>
                </c:pt>
                <c:pt idx="8">
                  <c:v>Toyota RAV 4 GXL AWD</c:v>
                </c:pt>
                <c:pt idx="9">
                  <c:v>Kia Rio</c:v>
                </c:pt>
                <c:pt idx="10">
                  <c:v>Ford F150 Lightning AWD</c:v>
                </c:pt>
                <c:pt idx="11">
                  <c:v>Rivian R1T</c:v>
                </c:pt>
                <c:pt idx="12">
                  <c:v>NIssan Leaf</c:v>
                </c:pt>
                <c:pt idx="13">
                  <c:v>KIA EV6 AWD</c:v>
                </c:pt>
                <c:pt idx="14">
                  <c:v>BYD Atto 3</c:v>
                </c:pt>
                <c:pt idx="15">
                  <c:v>BYD Dolphin</c:v>
                </c:pt>
                <c:pt idx="16">
                  <c:v>Tesla Model Y RWD</c:v>
                </c:pt>
                <c:pt idx="17">
                  <c:v>Tesla Model 3 RWD</c:v>
                </c:pt>
              </c:strCache>
            </c:strRef>
          </c:cat>
          <c:val>
            <c:numRef>
              <c:f>'Product prices'!$F$375:$F$392</c:f>
              <c:numCache>
                <c:formatCode>General</c:formatCode>
                <c:ptCount val="18"/>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872-4792-A913-E8C6120F62EB}"/>
            </c:ext>
          </c:extLst>
        </c:ser>
        <c:ser>
          <c:idx val="3"/>
          <c:order val="3"/>
          <c:tx>
            <c:strRef>
              <c:f>'Product prices'!$D$374</c:f>
              <c:strCache>
                <c:ptCount val="1"/>
                <c:pt idx="0">
                  <c:v>Electric Vehicle</c:v>
                </c:pt>
              </c:strCache>
            </c:strRef>
          </c:tx>
          <c:invertIfNegative val="1"/>
          <c:cat>
            <c:strRef>
              <c:f>'Product prices'!$B$375:$B$392</c:f>
              <c:strCache>
                <c:ptCount val="18"/>
                <c:pt idx="0">
                  <c:v>Ford F150 AWD</c:v>
                </c:pt>
                <c:pt idx="1">
                  <c:v>Ford Ranger AWD</c:v>
                </c:pt>
                <c:pt idx="2">
                  <c:v>Toyota Highlander Limited</c:v>
                </c:pt>
                <c:pt idx="3">
                  <c:v>Mitsubishi Outlander AWD</c:v>
                </c:pt>
                <c:pt idx="4">
                  <c:v>VW Golf</c:v>
                </c:pt>
                <c:pt idx="5">
                  <c:v>Mitsubishi Eclipse Cross</c:v>
                </c:pt>
                <c:pt idx="6">
                  <c:v>Kia Sportage 2WD</c:v>
                </c:pt>
                <c:pt idx="7">
                  <c:v>Mazda 3</c:v>
                </c:pt>
                <c:pt idx="8">
                  <c:v>Toyota RAV 4 GXL AWD</c:v>
                </c:pt>
                <c:pt idx="9">
                  <c:v>Kia Rio</c:v>
                </c:pt>
                <c:pt idx="10">
                  <c:v>Ford F150 Lightning AWD</c:v>
                </c:pt>
                <c:pt idx="11">
                  <c:v>Rivian R1T</c:v>
                </c:pt>
                <c:pt idx="12">
                  <c:v>NIssan Leaf</c:v>
                </c:pt>
                <c:pt idx="13">
                  <c:v>KIA EV6 AWD</c:v>
                </c:pt>
                <c:pt idx="14">
                  <c:v>BYD Atto 3</c:v>
                </c:pt>
                <c:pt idx="15">
                  <c:v>BYD Dolphin</c:v>
                </c:pt>
                <c:pt idx="16">
                  <c:v>Tesla Model Y RWD</c:v>
                </c:pt>
                <c:pt idx="17">
                  <c:v>Tesla Model 3 RWD</c:v>
                </c:pt>
              </c:strCache>
            </c:strRef>
          </c:cat>
          <c:val>
            <c:numRef>
              <c:f>'Product prices'!$D$375:$D$392</c:f>
              <c:numCache>
                <c:formatCode>0</c:formatCode>
                <c:ptCount val="18"/>
                <c:pt idx="10">
                  <c:v>29.914658892997842</c:v>
                </c:pt>
                <c:pt idx="11">
                  <c:v>26.846488750126269</c:v>
                </c:pt>
                <c:pt idx="12">
                  <c:v>18.865100202791432</c:v>
                </c:pt>
                <c:pt idx="13">
                  <c:v>19.211248830365587</c:v>
                </c:pt>
                <c:pt idx="14">
                  <c:v>18.3</c:v>
                </c:pt>
                <c:pt idx="15">
                  <c:v>17.599999999999998</c:v>
                </c:pt>
                <c:pt idx="16">
                  <c:v>17.164148545162693</c:v>
                </c:pt>
                <c:pt idx="17">
                  <c:v>15.863834261438251</c:v>
                </c:pt>
              </c:numCache>
            </c:numRef>
          </c:val>
          <c:extLst>
            <c:ext xmlns:c16="http://schemas.microsoft.com/office/drawing/2014/chart" uri="{C3380CC4-5D6E-409C-BE32-E72D297353CC}">
              <c16:uniqueId val="{00000004-B872-4792-A913-E8C6120F62EB}"/>
            </c:ext>
          </c:extLst>
        </c:ser>
        <c:ser>
          <c:idx val="4"/>
          <c:order val="4"/>
          <c:tx>
            <c:strRef>
              <c:f>'Product prices'!$G$374</c:f>
              <c:strCache>
                <c:ptCount val="1"/>
              </c:strCache>
            </c:strRef>
          </c:tx>
          <c:invertIfNegative val="1"/>
          <c:cat>
            <c:strRef>
              <c:f>'Product prices'!$B$375:$B$392</c:f>
              <c:strCache>
                <c:ptCount val="18"/>
                <c:pt idx="0">
                  <c:v>Ford F150 AWD</c:v>
                </c:pt>
                <c:pt idx="1">
                  <c:v>Ford Ranger AWD</c:v>
                </c:pt>
                <c:pt idx="2">
                  <c:v>Toyota Highlander Limited</c:v>
                </c:pt>
                <c:pt idx="3">
                  <c:v>Mitsubishi Outlander AWD</c:v>
                </c:pt>
                <c:pt idx="4">
                  <c:v>VW Golf</c:v>
                </c:pt>
                <c:pt idx="5">
                  <c:v>Mitsubishi Eclipse Cross</c:v>
                </c:pt>
                <c:pt idx="6">
                  <c:v>Kia Sportage 2WD</c:v>
                </c:pt>
                <c:pt idx="7">
                  <c:v>Mazda 3</c:v>
                </c:pt>
                <c:pt idx="8">
                  <c:v>Toyota RAV 4 GXL AWD</c:v>
                </c:pt>
                <c:pt idx="9">
                  <c:v>Kia Rio</c:v>
                </c:pt>
                <c:pt idx="10">
                  <c:v>Ford F150 Lightning AWD</c:v>
                </c:pt>
                <c:pt idx="11">
                  <c:v>Rivian R1T</c:v>
                </c:pt>
                <c:pt idx="12">
                  <c:v>NIssan Leaf</c:v>
                </c:pt>
                <c:pt idx="13">
                  <c:v>KIA EV6 AWD</c:v>
                </c:pt>
                <c:pt idx="14">
                  <c:v>BYD Atto 3</c:v>
                </c:pt>
                <c:pt idx="15">
                  <c:v>BYD Dolphin</c:v>
                </c:pt>
                <c:pt idx="16">
                  <c:v>Tesla Model Y RWD</c:v>
                </c:pt>
                <c:pt idx="17">
                  <c:v>Tesla Model 3 RWD</c:v>
                </c:pt>
              </c:strCache>
            </c:strRef>
          </c:cat>
          <c:val>
            <c:numRef>
              <c:f>'Product prices'!$G$375:$G$392</c:f>
              <c:numCache>
                <c:formatCode>General</c:formatCode>
                <c:ptCount val="18"/>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5-B872-4792-A913-E8C6120F62EB}"/>
            </c:ext>
          </c:extLst>
        </c:ser>
        <c:dLbls>
          <c:showLegendKey val="0"/>
          <c:showVal val="0"/>
          <c:showCatName val="0"/>
          <c:showSerName val="0"/>
          <c:showPercent val="0"/>
          <c:showBubbleSize val="0"/>
        </c:dLbls>
        <c:gapWidth val="150"/>
        <c:overlap val="100"/>
        <c:axId val="800857852"/>
        <c:axId val="131044233"/>
      </c:barChart>
      <c:catAx>
        <c:axId val="800857852"/>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31044233"/>
        <c:crosses val="autoZero"/>
        <c:auto val="1"/>
        <c:lblAlgn val="ctr"/>
        <c:lblOffset val="100"/>
        <c:noMultiLvlLbl val="1"/>
      </c:catAx>
      <c:valAx>
        <c:axId val="131044233"/>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a:p>
            </c:rich>
          </c:tx>
          <c:overlay val="0"/>
        </c:title>
        <c:numFmt formatCode="0\ &quot;kWh&quot;" sourceLinked="0"/>
        <c:majorTickMark val="cross"/>
        <c:minorTickMark val="none"/>
        <c:tickLblPos val="nextTo"/>
        <c:spPr>
          <a:ln/>
        </c:spPr>
        <c:txPr>
          <a:bodyPr/>
          <a:lstStyle/>
          <a:p>
            <a:pPr lvl="0">
              <a:defRPr b="0">
                <a:solidFill>
                  <a:srgbClr val="000000"/>
                </a:solidFill>
                <a:latin typeface="+mn-lt"/>
              </a:defRPr>
            </a:pPr>
            <a:endParaRPr lang="en-US"/>
          </a:p>
        </c:txPr>
        <c:crossAx val="800857852"/>
        <c:crosses val="max"/>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800" b="1">
                <a:solidFill>
                  <a:srgbClr val="000000"/>
                </a:solidFill>
                <a:latin typeface="+mn-lt"/>
              </a:defRPr>
            </a:pPr>
            <a:r>
              <a:rPr sz="1800" b="1">
                <a:solidFill>
                  <a:srgbClr val="000000"/>
                </a:solidFill>
                <a:latin typeface="+mn-lt"/>
              </a:rPr>
              <a:t>New car price comparison across selection of electric and petrol vehicles</a:t>
            </a:r>
          </a:p>
        </c:rich>
      </c:tx>
      <c:overlay val="0"/>
    </c:title>
    <c:autoTitleDeleted val="0"/>
    <c:plotArea>
      <c:layout>
        <c:manualLayout>
          <c:xMode val="edge"/>
          <c:yMode val="edge"/>
          <c:x val="0.26416666666666666"/>
          <c:y val="0.11120401337792642"/>
          <c:w val="0.70491666666666652"/>
          <c:h val="0.79027846640644017"/>
        </c:manualLayout>
      </c:layout>
      <c:barChart>
        <c:barDir val="bar"/>
        <c:grouping val="stacked"/>
        <c:varyColors val="1"/>
        <c:ser>
          <c:idx val="0"/>
          <c:order val="0"/>
          <c:tx>
            <c:strRef>
              <c:f>'Product prices'!$C$395</c:f>
              <c:strCache>
                <c:ptCount val="1"/>
                <c:pt idx="0">
                  <c:v>Petrol</c:v>
                </c:pt>
              </c:strCache>
            </c:strRef>
          </c:tx>
          <c:spPr>
            <a:solidFill>
              <a:srgbClr val="741B47"/>
            </a:solidFill>
            <a:ln cmpd="sng">
              <a:solidFill>
                <a:srgbClr val="000000"/>
              </a:solidFill>
            </a:ln>
          </c:spPr>
          <c:invertIfNegative val="1"/>
          <c:dPt>
            <c:idx val="0"/>
            <c:invertIfNegative val="1"/>
            <c:bubble3D val="0"/>
            <c:extLst>
              <c:ext xmlns:c16="http://schemas.microsoft.com/office/drawing/2014/chart" uri="{C3380CC4-5D6E-409C-BE32-E72D297353CC}">
                <c16:uniqueId val="{00000000-3561-4FA9-8EF2-F0F376D52E4B}"/>
              </c:ext>
            </c:extLst>
          </c:dPt>
          <c:cat>
            <c:strRef>
              <c:f>'Product prices'!$B$396:$B$421</c:f>
              <c:strCache>
                <c:ptCount val="26"/>
                <c:pt idx="0">
                  <c:v>Kia EV 9 4WD</c:v>
                </c:pt>
                <c:pt idx="1">
                  <c:v>Ford Everest 4WD</c:v>
                </c:pt>
                <c:pt idx="2">
                  <c:v>Tesla Model Y AWD</c:v>
                </c:pt>
                <c:pt idx="3">
                  <c:v>Tesla Model Y RWD</c:v>
                </c:pt>
                <c:pt idx="4">
                  <c:v>LDV Ute 2WD</c:v>
                </c:pt>
                <c:pt idx="5">
                  <c:v>Ford Ranger 4WD</c:v>
                </c:pt>
                <c:pt idx="6">
                  <c:v>BYD Atto 3</c:v>
                </c:pt>
                <c:pt idx="7">
                  <c:v>Nissan X-Trail 4WD</c:v>
                </c:pt>
                <c:pt idx="8">
                  <c:v>MG ZS EV</c:v>
                </c:pt>
                <c:pt idx="9">
                  <c:v>Hyundai Tucsan 2WD</c:v>
                </c:pt>
                <c:pt idx="10">
                  <c:v>BYD Dolphin</c:v>
                </c:pt>
                <c:pt idx="11">
                  <c:v>Mitsubishi Outlander 4WD</c:v>
                </c:pt>
                <c:pt idx="12">
                  <c:v>Nissan Leaf</c:v>
                </c:pt>
                <c:pt idx="13">
                  <c:v>Mitsubishi Outlander 2WD</c:v>
                </c:pt>
                <c:pt idx="14">
                  <c:v>Toyota Hilux 4WD</c:v>
                </c:pt>
                <c:pt idx="15">
                  <c:v>MG 4</c:v>
                </c:pt>
                <c:pt idx="16">
                  <c:v>Toyota RAV4 4WD</c:v>
                </c:pt>
                <c:pt idx="17">
                  <c:v>Hyundai Kona Petrol</c:v>
                </c:pt>
                <c:pt idx="18">
                  <c:v>Kia Sportage 2WD</c:v>
                </c:pt>
                <c:pt idx="19">
                  <c:v>Toyota RAV4 2WD</c:v>
                </c:pt>
                <c:pt idx="20">
                  <c:v>Mitsubishi Eclipse Cross</c:v>
                </c:pt>
                <c:pt idx="21">
                  <c:v>HAVEL H6</c:v>
                </c:pt>
                <c:pt idx="22">
                  <c:v>Suzuki Jimny</c:v>
                </c:pt>
                <c:pt idx="23">
                  <c:v>Kia Seltos</c:v>
                </c:pt>
                <c:pt idx="24">
                  <c:v>Honda Jazz</c:v>
                </c:pt>
                <c:pt idx="25">
                  <c:v>Kia Stonic</c:v>
                </c:pt>
              </c:strCache>
            </c:strRef>
          </c:cat>
          <c:val>
            <c:numRef>
              <c:f>'Product prices'!$C$396:$C$421</c:f>
              <c:numCache>
                <c:formatCode>"$"#,##0</c:formatCode>
                <c:ptCount val="26"/>
                <c:pt idx="1">
                  <c:v>79990</c:v>
                </c:pt>
                <c:pt idx="5">
                  <c:v>57490</c:v>
                </c:pt>
                <c:pt idx="7">
                  <c:v>53990</c:v>
                </c:pt>
                <c:pt idx="9">
                  <c:v>50990</c:v>
                </c:pt>
                <c:pt idx="11">
                  <c:v>49990</c:v>
                </c:pt>
                <c:pt idx="13">
                  <c:v>46990</c:v>
                </c:pt>
                <c:pt idx="14">
                  <c:v>46990</c:v>
                </c:pt>
                <c:pt idx="16">
                  <c:v>46290</c:v>
                </c:pt>
                <c:pt idx="17">
                  <c:v>42990</c:v>
                </c:pt>
                <c:pt idx="18">
                  <c:v>42290</c:v>
                </c:pt>
                <c:pt idx="19">
                  <c:v>39290</c:v>
                </c:pt>
                <c:pt idx="20">
                  <c:v>36990</c:v>
                </c:pt>
                <c:pt idx="21">
                  <c:v>36990</c:v>
                </c:pt>
                <c:pt idx="22">
                  <c:v>35990</c:v>
                </c:pt>
                <c:pt idx="23">
                  <c:v>35990</c:v>
                </c:pt>
                <c:pt idx="24">
                  <c:v>31500</c:v>
                </c:pt>
                <c:pt idx="25">
                  <c:v>28990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3561-4FA9-8EF2-F0F376D52E4B}"/>
            </c:ext>
          </c:extLst>
        </c:ser>
        <c:ser>
          <c:idx val="1"/>
          <c:order val="1"/>
          <c:tx>
            <c:strRef>
              <c:f>'Product prices'!$E$395</c:f>
              <c:strCache>
                <c:ptCount val="1"/>
                <c:pt idx="0">
                  <c:v>Label</c:v>
                </c:pt>
              </c:strCache>
            </c:strRef>
          </c:tx>
          <c:spPr>
            <a:solidFill>
              <a:srgbClr val="52ADFF"/>
            </a:solidFill>
            <a:ln cmpd="sng">
              <a:solidFill>
                <a:srgbClr val="000000"/>
              </a:solidFill>
            </a:ln>
          </c:spPr>
          <c:invertIfNegative val="1"/>
          <c:cat>
            <c:strRef>
              <c:f>'Product prices'!$B$396:$B$421</c:f>
              <c:strCache>
                <c:ptCount val="26"/>
                <c:pt idx="0">
                  <c:v>Kia EV 9 4WD</c:v>
                </c:pt>
                <c:pt idx="1">
                  <c:v>Ford Everest 4WD</c:v>
                </c:pt>
                <c:pt idx="2">
                  <c:v>Tesla Model Y AWD</c:v>
                </c:pt>
                <c:pt idx="3">
                  <c:v>Tesla Model Y RWD</c:v>
                </c:pt>
                <c:pt idx="4">
                  <c:v>LDV Ute 2WD</c:v>
                </c:pt>
                <c:pt idx="5">
                  <c:v>Ford Ranger 4WD</c:v>
                </c:pt>
                <c:pt idx="6">
                  <c:v>BYD Atto 3</c:v>
                </c:pt>
                <c:pt idx="7">
                  <c:v>Nissan X-Trail 4WD</c:v>
                </c:pt>
                <c:pt idx="8">
                  <c:v>MG ZS EV</c:v>
                </c:pt>
                <c:pt idx="9">
                  <c:v>Hyundai Tucsan 2WD</c:v>
                </c:pt>
                <c:pt idx="10">
                  <c:v>BYD Dolphin</c:v>
                </c:pt>
                <c:pt idx="11">
                  <c:v>Mitsubishi Outlander 4WD</c:v>
                </c:pt>
                <c:pt idx="12">
                  <c:v>Nissan Leaf</c:v>
                </c:pt>
                <c:pt idx="13">
                  <c:v>Mitsubishi Outlander 2WD</c:v>
                </c:pt>
                <c:pt idx="14">
                  <c:v>Toyota Hilux 4WD</c:v>
                </c:pt>
                <c:pt idx="15">
                  <c:v>MG 4</c:v>
                </c:pt>
                <c:pt idx="16">
                  <c:v>Toyota RAV4 4WD</c:v>
                </c:pt>
                <c:pt idx="17">
                  <c:v>Hyundai Kona Petrol</c:v>
                </c:pt>
                <c:pt idx="18">
                  <c:v>Kia Sportage 2WD</c:v>
                </c:pt>
                <c:pt idx="19">
                  <c:v>Toyota RAV4 2WD</c:v>
                </c:pt>
                <c:pt idx="20">
                  <c:v>Mitsubishi Eclipse Cross</c:v>
                </c:pt>
                <c:pt idx="21">
                  <c:v>HAVEL H6</c:v>
                </c:pt>
                <c:pt idx="22">
                  <c:v>Suzuki Jimny</c:v>
                </c:pt>
                <c:pt idx="23">
                  <c:v>Kia Seltos</c:v>
                </c:pt>
                <c:pt idx="24">
                  <c:v>Honda Jazz</c:v>
                </c:pt>
                <c:pt idx="25">
                  <c:v>Kia Stonic</c:v>
                </c:pt>
              </c:strCache>
            </c:strRef>
          </c:cat>
          <c:val>
            <c:numRef>
              <c:f>'Product prices'!$E$396:$E$421</c:f>
              <c:numCache>
                <c:formatCode>General</c:formatCode>
                <c:ptCount val="26"/>
                <c:pt idx="1">
                  <c:v>0</c:v>
                </c:pt>
                <c:pt idx="5">
                  <c:v>0</c:v>
                </c:pt>
                <c:pt idx="7">
                  <c:v>0</c:v>
                </c:pt>
                <c:pt idx="9">
                  <c:v>0</c:v>
                </c:pt>
                <c:pt idx="11">
                  <c:v>0</c:v>
                </c:pt>
                <c:pt idx="13">
                  <c:v>0</c:v>
                </c:pt>
                <c:pt idx="14">
                  <c:v>0</c:v>
                </c:pt>
                <c:pt idx="16">
                  <c:v>0</c:v>
                </c:pt>
                <c:pt idx="17">
                  <c:v>0</c:v>
                </c:pt>
                <c:pt idx="18">
                  <c:v>0</c:v>
                </c:pt>
                <c:pt idx="19">
                  <c:v>0</c:v>
                </c:pt>
                <c:pt idx="20">
                  <c:v>0</c:v>
                </c:pt>
                <c:pt idx="21">
                  <c:v>0</c:v>
                </c:pt>
                <c:pt idx="22">
                  <c:v>0</c:v>
                </c:pt>
                <c:pt idx="23">
                  <c:v>0</c:v>
                </c:pt>
                <c:pt idx="24">
                  <c:v>0</c:v>
                </c:pt>
                <c:pt idx="25">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3561-4FA9-8EF2-F0F376D52E4B}"/>
            </c:ext>
          </c:extLst>
        </c:ser>
        <c:ser>
          <c:idx val="2"/>
          <c:order val="2"/>
          <c:tx>
            <c:strRef>
              <c:f>'Product prices'!$D$395</c:f>
              <c:strCache>
                <c:ptCount val="1"/>
                <c:pt idx="0">
                  <c:v>Electric</c:v>
                </c:pt>
              </c:strCache>
            </c:strRef>
          </c:tx>
          <c:invertIfNegative val="1"/>
          <c:cat>
            <c:strRef>
              <c:f>'Product prices'!$B$396:$B$421</c:f>
              <c:strCache>
                <c:ptCount val="26"/>
                <c:pt idx="0">
                  <c:v>Kia EV 9 4WD</c:v>
                </c:pt>
                <c:pt idx="1">
                  <c:v>Ford Everest 4WD</c:v>
                </c:pt>
                <c:pt idx="2">
                  <c:v>Tesla Model Y AWD</c:v>
                </c:pt>
                <c:pt idx="3">
                  <c:v>Tesla Model Y RWD</c:v>
                </c:pt>
                <c:pt idx="4">
                  <c:v>LDV Ute 2WD</c:v>
                </c:pt>
                <c:pt idx="5">
                  <c:v>Ford Ranger 4WD</c:v>
                </c:pt>
                <c:pt idx="6">
                  <c:v>BYD Atto 3</c:v>
                </c:pt>
                <c:pt idx="7">
                  <c:v>Nissan X-Trail 4WD</c:v>
                </c:pt>
                <c:pt idx="8">
                  <c:v>MG ZS EV</c:v>
                </c:pt>
                <c:pt idx="9">
                  <c:v>Hyundai Tucsan 2WD</c:v>
                </c:pt>
                <c:pt idx="10">
                  <c:v>BYD Dolphin</c:v>
                </c:pt>
                <c:pt idx="11">
                  <c:v>Mitsubishi Outlander 4WD</c:v>
                </c:pt>
                <c:pt idx="12">
                  <c:v>Nissan Leaf</c:v>
                </c:pt>
                <c:pt idx="13">
                  <c:v>Mitsubishi Outlander 2WD</c:v>
                </c:pt>
                <c:pt idx="14">
                  <c:v>Toyota Hilux 4WD</c:v>
                </c:pt>
                <c:pt idx="15">
                  <c:v>MG 4</c:v>
                </c:pt>
                <c:pt idx="16">
                  <c:v>Toyota RAV4 4WD</c:v>
                </c:pt>
                <c:pt idx="17">
                  <c:v>Hyundai Kona Petrol</c:v>
                </c:pt>
                <c:pt idx="18">
                  <c:v>Kia Sportage 2WD</c:v>
                </c:pt>
                <c:pt idx="19">
                  <c:v>Toyota RAV4 2WD</c:v>
                </c:pt>
                <c:pt idx="20">
                  <c:v>Mitsubishi Eclipse Cross</c:v>
                </c:pt>
                <c:pt idx="21">
                  <c:v>HAVEL H6</c:v>
                </c:pt>
                <c:pt idx="22">
                  <c:v>Suzuki Jimny</c:v>
                </c:pt>
                <c:pt idx="23">
                  <c:v>Kia Seltos</c:v>
                </c:pt>
                <c:pt idx="24">
                  <c:v>Honda Jazz</c:v>
                </c:pt>
                <c:pt idx="25">
                  <c:v>Kia Stonic</c:v>
                </c:pt>
              </c:strCache>
            </c:strRef>
          </c:cat>
          <c:val>
            <c:numRef>
              <c:f>'Product prices'!$D$396:$D$421</c:f>
              <c:numCache>
                <c:formatCode>"$"#,##0</c:formatCode>
                <c:ptCount val="26"/>
                <c:pt idx="0" formatCode="#,##0">
                  <c:v>115990</c:v>
                </c:pt>
                <c:pt idx="2">
                  <c:v>77900</c:v>
                </c:pt>
                <c:pt idx="3">
                  <c:v>67900</c:v>
                </c:pt>
                <c:pt idx="4">
                  <c:v>59990</c:v>
                </c:pt>
                <c:pt idx="6">
                  <c:v>54990</c:v>
                </c:pt>
                <c:pt idx="8">
                  <c:v>50990</c:v>
                </c:pt>
                <c:pt idx="10">
                  <c:v>49990</c:v>
                </c:pt>
                <c:pt idx="12">
                  <c:v>47990</c:v>
                </c:pt>
                <c:pt idx="15">
                  <c:v>46990</c:v>
                </c:pt>
              </c:numCache>
            </c:numRef>
          </c:val>
          <c:extLst>
            <c:ext xmlns:c16="http://schemas.microsoft.com/office/drawing/2014/chart" uri="{C3380CC4-5D6E-409C-BE32-E72D297353CC}">
              <c16:uniqueId val="{00000003-3561-4FA9-8EF2-F0F376D52E4B}"/>
            </c:ext>
          </c:extLst>
        </c:ser>
        <c:ser>
          <c:idx val="3"/>
          <c:order val="3"/>
          <c:tx>
            <c:strRef>
              <c:f>'Product prices'!$F$395</c:f>
              <c:strCache>
                <c:ptCount val="1"/>
                <c:pt idx="0">
                  <c:v>Label</c:v>
                </c:pt>
              </c:strCache>
            </c:strRef>
          </c:tx>
          <c:invertIfNegative val="1"/>
          <c:cat>
            <c:strRef>
              <c:f>'Product prices'!$B$396:$B$421</c:f>
              <c:strCache>
                <c:ptCount val="26"/>
                <c:pt idx="0">
                  <c:v>Kia EV 9 4WD</c:v>
                </c:pt>
                <c:pt idx="1">
                  <c:v>Ford Everest 4WD</c:v>
                </c:pt>
                <c:pt idx="2">
                  <c:v>Tesla Model Y AWD</c:v>
                </c:pt>
                <c:pt idx="3">
                  <c:v>Tesla Model Y RWD</c:v>
                </c:pt>
                <c:pt idx="4">
                  <c:v>LDV Ute 2WD</c:v>
                </c:pt>
                <c:pt idx="5">
                  <c:v>Ford Ranger 4WD</c:v>
                </c:pt>
                <c:pt idx="6">
                  <c:v>BYD Atto 3</c:v>
                </c:pt>
                <c:pt idx="7">
                  <c:v>Nissan X-Trail 4WD</c:v>
                </c:pt>
                <c:pt idx="8">
                  <c:v>MG ZS EV</c:v>
                </c:pt>
                <c:pt idx="9">
                  <c:v>Hyundai Tucsan 2WD</c:v>
                </c:pt>
                <c:pt idx="10">
                  <c:v>BYD Dolphin</c:v>
                </c:pt>
                <c:pt idx="11">
                  <c:v>Mitsubishi Outlander 4WD</c:v>
                </c:pt>
                <c:pt idx="12">
                  <c:v>Nissan Leaf</c:v>
                </c:pt>
                <c:pt idx="13">
                  <c:v>Mitsubishi Outlander 2WD</c:v>
                </c:pt>
                <c:pt idx="14">
                  <c:v>Toyota Hilux 4WD</c:v>
                </c:pt>
                <c:pt idx="15">
                  <c:v>MG 4</c:v>
                </c:pt>
                <c:pt idx="16">
                  <c:v>Toyota RAV4 4WD</c:v>
                </c:pt>
                <c:pt idx="17">
                  <c:v>Hyundai Kona Petrol</c:v>
                </c:pt>
                <c:pt idx="18">
                  <c:v>Kia Sportage 2WD</c:v>
                </c:pt>
                <c:pt idx="19">
                  <c:v>Toyota RAV4 2WD</c:v>
                </c:pt>
                <c:pt idx="20">
                  <c:v>Mitsubishi Eclipse Cross</c:v>
                </c:pt>
                <c:pt idx="21">
                  <c:v>HAVEL H6</c:v>
                </c:pt>
                <c:pt idx="22">
                  <c:v>Suzuki Jimny</c:v>
                </c:pt>
                <c:pt idx="23">
                  <c:v>Kia Seltos</c:v>
                </c:pt>
                <c:pt idx="24">
                  <c:v>Honda Jazz</c:v>
                </c:pt>
                <c:pt idx="25">
                  <c:v>Kia Stonic</c:v>
                </c:pt>
              </c:strCache>
            </c:strRef>
          </c:cat>
          <c:val>
            <c:numRef>
              <c:f>'Product prices'!$F$396:$F$421</c:f>
              <c:numCache>
                <c:formatCode>General</c:formatCode>
                <c:ptCount val="26"/>
                <c:pt idx="0">
                  <c:v>0</c:v>
                </c:pt>
                <c:pt idx="2">
                  <c:v>0</c:v>
                </c:pt>
                <c:pt idx="3">
                  <c:v>0</c:v>
                </c:pt>
                <c:pt idx="4">
                  <c:v>0</c:v>
                </c:pt>
                <c:pt idx="6">
                  <c:v>0</c:v>
                </c:pt>
                <c:pt idx="8">
                  <c:v>0</c:v>
                </c:pt>
                <c:pt idx="10">
                  <c:v>0</c:v>
                </c:pt>
                <c:pt idx="12">
                  <c:v>0</c:v>
                </c:pt>
                <c:pt idx="15">
                  <c:v>0</c:v>
                </c:pt>
              </c:numCache>
            </c:numRef>
          </c:val>
          <c:extLst>
            <c:ext xmlns:c16="http://schemas.microsoft.com/office/drawing/2014/chart" uri="{C3380CC4-5D6E-409C-BE32-E72D297353CC}">
              <c16:uniqueId val="{00000004-3561-4FA9-8EF2-F0F376D52E4B}"/>
            </c:ext>
          </c:extLst>
        </c:ser>
        <c:dLbls>
          <c:showLegendKey val="0"/>
          <c:showVal val="0"/>
          <c:showCatName val="0"/>
          <c:showSerName val="0"/>
          <c:showPercent val="0"/>
          <c:showBubbleSize val="0"/>
        </c:dLbls>
        <c:gapWidth val="150"/>
        <c:overlap val="100"/>
        <c:axId val="1075807874"/>
        <c:axId val="1483247858"/>
      </c:barChart>
      <c:catAx>
        <c:axId val="1075807874"/>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483247858"/>
        <c:crosses val="autoZero"/>
        <c:auto val="1"/>
        <c:lblAlgn val="ctr"/>
        <c:lblOffset val="100"/>
        <c:noMultiLvlLbl val="1"/>
      </c:catAx>
      <c:valAx>
        <c:axId val="1483247858"/>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a:p>
            </c:rich>
          </c:tx>
          <c:overlay val="0"/>
        </c:title>
        <c:numFmt formatCode="&quot;$&quot;#,##0" sourceLinked="0"/>
        <c:majorTickMark val="cross"/>
        <c:minorTickMark val="none"/>
        <c:tickLblPos val="nextTo"/>
        <c:spPr>
          <a:ln/>
        </c:spPr>
        <c:txPr>
          <a:bodyPr/>
          <a:lstStyle/>
          <a:p>
            <a:pPr lvl="0">
              <a:defRPr b="0">
                <a:solidFill>
                  <a:srgbClr val="000000"/>
                </a:solidFill>
                <a:latin typeface="+mn-lt"/>
              </a:defRPr>
            </a:pPr>
            <a:endParaRPr lang="en-US"/>
          </a:p>
        </c:txPr>
        <c:crossAx val="1075807874"/>
        <c:crosses val="max"/>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1.png"/><Relationship Id="rId7" Type="http://schemas.openxmlformats.org/officeDocument/2006/relationships/image" Target="../media/image55.png"/><Relationship Id="rId2" Type="http://schemas.openxmlformats.org/officeDocument/2006/relationships/image" Target="../media/image50.png"/><Relationship Id="rId1" Type="http://schemas.openxmlformats.org/officeDocument/2006/relationships/image" Target="../media/image49.png"/><Relationship Id="rId6" Type="http://schemas.openxmlformats.org/officeDocument/2006/relationships/image" Target="../media/image54.png"/><Relationship Id="rId5" Type="http://schemas.openxmlformats.org/officeDocument/2006/relationships/image" Target="../media/image53.png"/><Relationship Id="rId4" Type="http://schemas.openxmlformats.org/officeDocument/2006/relationships/image" Target="../media/image5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image" Target="../media/image57.png"/><Relationship Id="rId1" Type="http://schemas.openxmlformats.org/officeDocument/2006/relationships/image" Target="../media/image56.png"/><Relationship Id="rId4" Type="http://schemas.openxmlformats.org/officeDocument/2006/relationships/image" Target="../media/image5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1.png"/></Relationships>
</file>

<file path=xl/drawings/_rels/drawing2.xml.rels><?xml version="1.0" encoding="UTF-8" standalone="yes"?>
<Relationships xmlns="http://schemas.openxmlformats.org/package/2006/relationships"><Relationship Id="rId8" Type="http://schemas.openxmlformats.org/officeDocument/2006/relationships/image" Target="../media/image34.png"/><Relationship Id="rId3" Type="http://schemas.openxmlformats.org/officeDocument/2006/relationships/image" Target="../media/image29.png"/><Relationship Id="rId7" Type="http://schemas.openxmlformats.org/officeDocument/2006/relationships/image" Target="../media/image33.png"/><Relationship Id="rId2" Type="http://schemas.openxmlformats.org/officeDocument/2006/relationships/image" Target="../media/image28.png"/><Relationship Id="rId1" Type="http://schemas.openxmlformats.org/officeDocument/2006/relationships/image" Target="../media/image27.png"/><Relationship Id="rId6" Type="http://schemas.openxmlformats.org/officeDocument/2006/relationships/image" Target="../media/image32.png"/><Relationship Id="rId5" Type="http://schemas.openxmlformats.org/officeDocument/2006/relationships/image" Target="../media/image31.png"/><Relationship Id="rId4" Type="http://schemas.openxmlformats.org/officeDocument/2006/relationships/image" Target="../media/image30.png"/><Relationship Id="rId9" Type="http://schemas.openxmlformats.org/officeDocument/2006/relationships/image" Target="../media/image35.png"/></Relationships>
</file>

<file path=xl/drawings/_rels/drawing3.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4.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5.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s>
</file>

<file path=xl/drawings/_rels/drawing6.xml.rels><?xml version="1.0" encoding="UTF-8" standalone="yes"?>
<Relationships xmlns="http://schemas.openxmlformats.org/package/2006/relationships"><Relationship Id="rId1" Type="http://schemas.openxmlformats.org/officeDocument/2006/relationships/image" Target="../media/image43.png"/></Relationships>
</file>

<file path=xl/drawings/_rels/drawing7.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44.png"/><Relationship Id="rId4" Type="http://schemas.openxmlformats.org/officeDocument/2006/relationships/image" Target="../media/image47.png"/></Relationships>
</file>

<file path=xl/drawings/_rels/drawing8.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image" Target="../media/image48.png"/></Relationships>
</file>

<file path=xl/drawings/drawing1.xml><?xml version="1.0" encoding="utf-8"?>
<xdr:wsDr xmlns:xdr="http://schemas.openxmlformats.org/drawingml/2006/spreadsheetDrawing" xmlns:a="http://schemas.openxmlformats.org/drawingml/2006/main">
  <xdr:twoCellAnchor editAs="oneCell">
    <xdr:from>
      <xdr:col>12</xdr:col>
      <xdr:colOff>562768</xdr:colOff>
      <xdr:row>1</xdr:row>
      <xdr:rowOff>145652</xdr:rowOff>
    </xdr:from>
    <xdr:to>
      <xdr:col>15</xdr:col>
      <xdr:colOff>847526</xdr:colOff>
      <xdr:row>19</xdr:row>
      <xdr:rowOff>89264</xdr:rowOff>
    </xdr:to>
    <xdr:pic>
      <xdr:nvPicPr>
        <xdr:cNvPr id="55" name="Picture 54">
          <a:extLst>
            <a:ext uri="{FF2B5EF4-FFF2-40B4-BE49-F238E27FC236}">
              <a16:creationId xmlns:a16="http://schemas.microsoft.com/office/drawing/2014/main" id="{463763FC-C5B8-4425-A296-03602C277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7651" y="339129"/>
          <a:ext cx="4812308" cy="3980029"/>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339924</xdr:colOff>
      <xdr:row>1</xdr:row>
      <xdr:rowOff>0</xdr:rowOff>
    </xdr:from>
    <xdr:to>
      <xdr:col>23</xdr:col>
      <xdr:colOff>197247</xdr:colOff>
      <xdr:row>19</xdr:row>
      <xdr:rowOff>53770</xdr:rowOff>
    </xdr:to>
    <xdr:pic>
      <xdr:nvPicPr>
        <xdr:cNvPr id="56" name="Picture 55">
          <a:extLst>
            <a:ext uri="{FF2B5EF4-FFF2-40B4-BE49-F238E27FC236}">
              <a16:creationId xmlns:a16="http://schemas.microsoft.com/office/drawing/2014/main" id="{92DC0CAB-FD94-4655-B1A5-68D997C0D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9299" y="193477"/>
          <a:ext cx="6703417" cy="4087012"/>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2041724</xdr:colOff>
      <xdr:row>25</xdr:row>
      <xdr:rowOff>131167</xdr:rowOff>
    </xdr:from>
    <xdr:to>
      <xdr:col>23</xdr:col>
      <xdr:colOff>108091</xdr:colOff>
      <xdr:row>36</xdr:row>
      <xdr:rowOff>80963</xdr:rowOff>
    </xdr:to>
    <xdr:pic>
      <xdr:nvPicPr>
        <xdr:cNvPr id="57" name="Picture 56">
          <a:extLst>
            <a:ext uri="{FF2B5EF4-FFF2-40B4-BE49-F238E27FC236}">
              <a16:creationId xmlns:a16="http://schemas.microsoft.com/office/drawing/2014/main" id="{B83F48B7-9316-418C-8359-18D2B01FA5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483755" y="5518745"/>
          <a:ext cx="10326630" cy="2078038"/>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2077840</xdr:colOff>
      <xdr:row>37</xdr:row>
      <xdr:rowOff>39687</xdr:rowOff>
    </xdr:from>
    <xdr:to>
      <xdr:col>23</xdr:col>
      <xdr:colOff>274836</xdr:colOff>
      <xdr:row>48</xdr:row>
      <xdr:rowOff>25023</xdr:rowOff>
    </xdr:to>
    <xdr:pic>
      <xdr:nvPicPr>
        <xdr:cNvPr id="58" name="Picture 57">
          <a:extLst>
            <a:ext uri="{FF2B5EF4-FFF2-40B4-BE49-F238E27FC236}">
              <a16:creationId xmlns:a16="http://schemas.microsoft.com/office/drawing/2014/main" id="{C5C50012-E7A7-4859-9F6D-76375551545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19871" y="7748984"/>
          <a:ext cx="10460434" cy="2113578"/>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280392</xdr:colOff>
      <xdr:row>52</xdr:row>
      <xdr:rowOff>33535</xdr:rowOff>
    </xdr:from>
    <xdr:to>
      <xdr:col>17</xdr:col>
      <xdr:colOff>1320694</xdr:colOff>
      <xdr:row>68</xdr:row>
      <xdr:rowOff>89695</xdr:rowOff>
    </xdr:to>
    <xdr:pic>
      <xdr:nvPicPr>
        <xdr:cNvPr id="59" name="Picture 58">
          <a:extLst>
            <a:ext uri="{FF2B5EF4-FFF2-40B4-BE49-F238E27FC236}">
              <a16:creationId xmlns:a16="http://schemas.microsoft.com/office/drawing/2014/main" id="{C8163FA3-2BE1-4CDC-B2EA-2D63C5EF935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22423" y="10644980"/>
          <a:ext cx="6460821" cy="3646093"/>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1814513</xdr:colOff>
      <xdr:row>51</xdr:row>
      <xdr:rowOff>166488</xdr:rowOff>
    </xdr:from>
    <xdr:to>
      <xdr:col>24</xdr:col>
      <xdr:colOff>324048</xdr:colOff>
      <xdr:row>68</xdr:row>
      <xdr:rowOff>119421</xdr:rowOff>
    </xdr:to>
    <xdr:pic>
      <xdr:nvPicPr>
        <xdr:cNvPr id="60" name="Picture 59">
          <a:extLst>
            <a:ext uri="{FF2B5EF4-FFF2-40B4-BE49-F238E27FC236}">
              <a16:creationId xmlns:a16="http://schemas.microsoft.com/office/drawing/2014/main" id="{4B1C95B5-03E6-447E-9944-29B2D3521A3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673888" y="10584457"/>
          <a:ext cx="6230540" cy="3736342"/>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376833</xdr:colOff>
      <xdr:row>51</xdr:row>
      <xdr:rowOff>119658</xdr:rowOff>
    </xdr:from>
    <xdr:to>
      <xdr:col>33</xdr:col>
      <xdr:colOff>152798</xdr:colOff>
      <xdr:row>68</xdr:row>
      <xdr:rowOff>107836</xdr:rowOff>
    </xdr:to>
    <xdr:pic>
      <xdr:nvPicPr>
        <xdr:cNvPr id="61" name="Picture 60">
          <a:extLst>
            <a:ext uri="{FF2B5EF4-FFF2-40B4-BE49-F238E27FC236}">
              <a16:creationId xmlns:a16="http://schemas.microsoft.com/office/drawing/2014/main" id="{A8DB834F-D247-44BB-84B4-8D081519F10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838474" y="10537627"/>
          <a:ext cx="6803827" cy="3765237"/>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588962</xdr:colOff>
      <xdr:row>50</xdr:row>
      <xdr:rowOff>160935</xdr:rowOff>
    </xdr:from>
    <xdr:to>
      <xdr:col>41</xdr:col>
      <xdr:colOff>186727</xdr:colOff>
      <xdr:row>68</xdr:row>
      <xdr:rowOff>151135</xdr:rowOff>
    </xdr:to>
    <xdr:pic>
      <xdr:nvPicPr>
        <xdr:cNvPr id="62" name="Picture 61">
          <a:extLst>
            <a:ext uri="{FF2B5EF4-FFF2-40B4-BE49-F238E27FC236}">
              <a16:creationId xmlns:a16="http://schemas.microsoft.com/office/drawing/2014/main" id="{3A3BD3CA-1F93-44C6-A150-9FD979A9C2F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4075290" y="10385427"/>
          <a:ext cx="6622453" cy="3960736"/>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371476</xdr:colOff>
      <xdr:row>70</xdr:row>
      <xdr:rowOff>117276</xdr:rowOff>
    </xdr:from>
    <xdr:to>
      <xdr:col>37</xdr:col>
      <xdr:colOff>435174</xdr:colOff>
      <xdr:row>99</xdr:row>
      <xdr:rowOff>81568</xdr:rowOff>
    </xdr:to>
    <xdr:pic>
      <xdr:nvPicPr>
        <xdr:cNvPr id="63" name="Picture 62">
          <a:extLst>
            <a:ext uri="{FF2B5EF4-FFF2-40B4-BE49-F238E27FC236}">
              <a16:creationId xmlns:a16="http://schemas.microsoft.com/office/drawing/2014/main" id="{C37E8BD9-71EF-40B4-AEBF-EF42763FDB4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9467374" y="14642901"/>
          <a:ext cx="7969647" cy="4711909"/>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596107</xdr:colOff>
      <xdr:row>110</xdr:row>
      <xdr:rowOff>98425</xdr:rowOff>
    </xdr:from>
    <xdr:to>
      <xdr:col>17</xdr:col>
      <xdr:colOff>1627386</xdr:colOff>
      <xdr:row>132</xdr:row>
      <xdr:rowOff>151281</xdr:rowOff>
    </xdr:to>
    <xdr:pic>
      <xdr:nvPicPr>
        <xdr:cNvPr id="64" name="Picture 63">
          <a:extLst>
            <a:ext uri="{FF2B5EF4-FFF2-40B4-BE49-F238E27FC236}">
              <a16:creationId xmlns:a16="http://schemas.microsoft.com/office/drawing/2014/main" id="{0E7A1186-9B39-4FC3-893E-182371672533}"/>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038138" y="21529675"/>
          <a:ext cx="6445448" cy="3904329"/>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1996281</xdr:colOff>
      <xdr:row>110</xdr:row>
      <xdr:rowOff>110133</xdr:rowOff>
    </xdr:from>
    <xdr:to>
      <xdr:col>25</xdr:col>
      <xdr:colOff>185233</xdr:colOff>
      <xdr:row>131</xdr:row>
      <xdr:rowOff>148034</xdr:rowOff>
    </xdr:to>
    <xdr:pic>
      <xdr:nvPicPr>
        <xdr:cNvPr id="65" name="Picture 64">
          <a:extLst>
            <a:ext uri="{FF2B5EF4-FFF2-40B4-BE49-F238E27FC236}">
              <a16:creationId xmlns:a16="http://schemas.microsoft.com/office/drawing/2014/main" id="{8B0F4DFC-F91E-4799-A7A3-5886F0B8906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855656" y="21541383"/>
          <a:ext cx="6794393" cy="3732014"/>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522486</xdr:colOff>
      <xdr:row>110</xdr:row>
      <xdr:rowOff>50602</xdr:rowOff>
    </xdr:from>
    <xdr:to>
      <xdr:col>33</xdr:col>
      <xdr:colOff>343798</xdr:colOff>
      <xdr:row>131</xdr:row>
      <xdr:rowOff>139501</xdr:rowOff>
    </xdr:to>
    <xdr:pic>
      <xdr:nvPicPr>
        <xdr:cNvPr id="66" name="Picture 65">
          <a:extLst>
            <a:ext uri="{FF2B5EF4-FFF2-40B4-BE49-F238E27FC236}">
              <a16:creationId xmlns:a16="http://schemas.microsoft.com/office/drawing/2014/main" id="{763C1CDD-CA1B-4D38-BD37-A642AB943604}"/>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984127" y="21481852"/>
          <a:ext cx="6842824" cy="3783012"/>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385763</xdr:colOff>
      <xdr:row>135</xdr:row>
      <xdr:rowOff>10121</xdr:rowOff>
    </xdr:from>
    <xdr:to>
      <xdr:col>29</xdr:col>
      <xdr:colOff>704</xdr:colOff>
      <xdr:row>161</xdr:row>
      <xdr:rowOff>99417</xdr:rowOff>
    </xdr:to>
    <xdr:pic>
      <xdr:nvPicPr>
        <xdr:cNvPr id="67" name="Picture 66">
          <a:extLst>
            <a:ext uri="{FF2B5EF4-FFF2-40B4-BE49-F238E27FC236}">
              <a16:creationId xmlns:a16="http://schemas.microsoft.com/office/drawing/2014/main" id="{9FB17B4E-A64D-4873-B1D8-38358DE10CAD}"/>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2456974" y="25787152"/>
          <a:ext cx="7493703" cy="4646612"/>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369689</xdr:colOff>
      <xdr:row>135</xdr:row>
      <xdr:rowOff>10121</xdr:rowOff>
    </xdr:from>
    <xdr:to>
      <xdr:col>37</xdr:col>
      <xdr:colOff>729005</xdr:colOff>
      <xdr:row>161</xdr:row>
      <xdr:rowOff>25003</xdr:rowOff>
    </xdr:to>
    <xdr:pic>
      <xdr:nvPicPr>
        <xdr:cNvPr id="68" name="Picture 67">
          <a:extLst>
            <a:ext uri="{FF2B5EF4-FFF2-40B4-BE49-F238E27FC236}">
              <a16:creationId xmlns:a16="http://schemas.microsoft.com/office/drawing/2014/main" id="{BA7379C8-35C2-48B7-A10E-FECC3E245266}"/>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0343673" y="25787152"/>
          <a:ext cx="7380829" cy="4572198"/>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20242</xdr:colOff>
      <xdr:row>109</xdr:row>
      <xdr:rowOff>126801</xdr:rowOff>
    </xdr:from>
    <xdr:to>
      <xdr:col>41</xdr:col>
      <xdr:colOff>584546</xdr:colOff>
      <xdr:row>132</xdr:row>
      <xdr:rowOff>86717</xdr:rowOff>
    </xdr:to>
    <xdr:pic>
      <xdr:nvPicPr>
        <xdr:cNvPr id="69" name="Picture 68">
          <a:extLst>
            <a:ext uri="{FF2B5EF4-FFF2-40B4-BE49-F238E27FC236}">
              <a16:creationId xmlns:a16="http://schemas.microsoft.com/office/drawing/2014/main" id="{F26879DF-B3C8-48C3-AE36-0FD70DD7D406}"/>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4384656" y="21394340"/>
          <a:ext cx="6710906" cy="398145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898922</xdr:colOff>
      <xdr:row>188</xdr:row>
      <xdr:rowOff>108546</xdr:rowOff>
    </xdr:from>
    <xdr:to>
      <xdr:col>21</xdr:col>
      <xdr:colOff>37081</xdr:colOff>
      <xdr:row>212</xdr:row>
      <xdr:rowOff>145057</xdr:rowOff>
    </xdr:to>
    <xdr:pic>
      <xdr:nvPicPr>
        <xdr:cNvPr id="70" name="Picture 69">
          <a:extLst>
            <a:ext uri="{FF2B5EF4-FFF2-40B4-BE49-F238E27FC236}">
              <a16:creationId xmlns:a16="http://schemas.microsoft.com/office/drawing/2014/main" id="{2D75DDC5-301A-4DE0-8908-2FCA4B832E9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5811500" y="35187335"/>
          <a:ext cx="7171703" cy="4266405"/>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470098</xdr:colOff>
      <xdr:row>188</xdr:row>
      <xdr:rowOff>126603</xdr:rowOff>
    </xdr:from>
    <xdr:to>
      <xdr:col>29</xdr:col>
      <xdr:colOff>234705</xdr:colOff>
      <xdr:row>212</xdr:row>
      <xdr:rowOff>127000</xdr:rowOff>
    </xdr:to>
    <xdr:pic>
      <xdr:nvPicPr>
        <xdr:cNvPr id="71" name="Picture 70">
          <a:extLst>
            <a:ext uri="{FF2B5EF4-FFF2-40B4-BE49-F238E27FC236}">
              <a16:creationId xmlns:a16="http://schemas.microsoft.com/office/drawing/2014/main" id="{01E72248-514B-462C-9378-E68752D74D45}"/>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3419395" y="35205392"/>
          <a:ext cx="6792469" cy="4230291"/>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834231</xdr:colOff>
      <xdr:row>188</xdr:row>
      <xdr:rowOff>100012</xdr:rowOff>
    </xdr:from>
    <xdr:to>
      <xdr:col>38</xdr:col>
      <xdr:colOff>681464</xdr:colOff>
      <xdr:row>212</xdr:row>
      <xdr:rowOff>151407</xdr:rowOff>
    </xdr:to>
    <xdr:pic>
      <xdr:nvPicPr>
        <xdr:cNvPr id="72" name="Picture 71">
          <a:extLst>
            <a:ext uri="{FF2B5EF4-FFF2-40B4-BE49-F238E27FC236}">
              <a16:creationId xmlns:a16="http://schemas.microsoft.com/office/drawing/2014/main" id="{5475AD25-C834-4AE4-ACC9-CC0F979FE195}"/>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0808215" y="35178801"/>
          <a:ext cx="7753182" cy="4274939"/>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1263848</xdr:colOff>
      <xdr:row>215</xdr:row>
      <xdr:rowOff>68460</xdr:rowOff>
    </xdr:from>
    <xdr:to>
      <xdr:col>24</xdr:col>
      <xdr:colOff>371753</xdr:colOff>
      <xdr:row>238</xdr:row>
      <xdr:rowOff>210343</xdr:rowOff>
    </xdr:to>
    <xdr:pic>
      <xdr:nvPicPr>
        <xdr:cNvPr id="73" name="Picture 72">
          <a:extLst>
            <a:ext uri="{FF2B5EF4-FFF2-40B4-BE49-F238E27FC236}">
              <a16:creationId xmlns:a16="http://schemas.microsoft.com/office/drawing/2014/main" id="{368D207C-149B-457B-9912-4E922B5CF348}"/>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123223" y="39865101"/>
          <a:ext cx="6828910" cy="4193183"/>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330794</xdr:colOff>
      <xdr:row>215</xdr:row>
      <xdr:rowOff>40480</xdr:rowOff>
    </xdr:from>
    <xdr:to>
      <xdr:col>33</xdr:col>
      <xdr:colOff>431159</xdr:colOff>
      <xdr:row>238</xdr:row>
      <xdr:rowOff>219868</xdr:rowOff>
    </xdr:to>
    <xdr:pic>
      <xdr:nvPicPr>
        <xdr:cNvPr id="74" name="Picture 73">
          <a:extLst>
            <a:ext uri="{FF2B5EF4-FFF2-40B4-BE49-F238E27FC236}">
              <a16:creationId xmlns:a16="http://schemas.microsoft.com/office/drawing/2014/main" id="{E503948E-8986-49FA-BFFC-449E4813B5CA}"/>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6792435" y="39837121"/>
          <a:ext cx="7121877" cy="4227513"/>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230</xdr:row>
      <xdr:rowOff>146645</xdr:rowOff>
    </xdr:from>
    <xdr:to>
      <xdr:col>17</xdr:col>
      <xdr:colOff>765375</xdr:colOff>
      <xdr:row>241</xdr:row>
      <xdr:rowOff>47625</xdr:rowOff>
    </xdr:to>
    <xdr:pic>
      <xdr:nvPicPr>
        <xdr:cNvPr id="75" name="Picture 74">
          <a:extLst>
            <a:ext uri="{FF2B5EF4-FFF2-40B4-BE49-F238E27FC236}">
              <a16:creationId xmlns:a16="http://schemas.microsoft.com/office/drawing/2014/main" id="{13D24509-D759-4FD6-B3F8-9A6ACB5D9212}"/>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0581680" y="42458481"/>
          <a:ext cx="8043070" cy="2091928"/>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300633</xdr:colOff>
      <xdr:row>244</xdr:row>
      <xdr:rowOff>58935</xdr:rowOff>
    </xdr:from>
    <xdr:to>
      <xdr:col>23</xdr:col>
      <xdr:colOff>569105</xdr:colOff>
      <xdr:row>271</xdr:row>
      <xdr:rowOff>4563</xdr:rowOff>
    </xdr:to>
    <xdr:pic>
      <xdr:nvPicPr>
        <xdr:cNvPr id="76" name="Picture 75">
          <a:extLst>
            <a:ext uri="{FF2B5EF4-FFF2-40B4-BE49-F238E27FC236}">
              <a16:creationId xmlns:a16="http://schemas.microsoft.com/office/drawing/2014/main" id="{F4412B14-B3A7-443C-A42B-7B12AFD26548}"/>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7237274" y="45049677"/>
          <a:ext cx="8040475" cy="4871839"/>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464740</xdr:colOff>
      <xdr:row>243</xdr:row>
      <xdr:rowOff>88701</xdr:rowOff>
    </xdr:from>
    <xdr:to>
      <xdr:col>34</xdr:col>
      <xdr:colOff>599523</xdr:colOff>
      <xdr:row>271</xdr:row>
      <xdr:rowOff>117276</xdr:rowOff>
    </xdr:to>
    <xdr:pic>
      <xdr:nvPicPr>
        <xdr:cNvPr id="77" name="Picture 76">
          <a:extLst>
            <a:ext uri="{FF2B5EF4-FFF2-40B4-BE49-F238E27FC236}">
              <a16:creationId xmlns:a16="http://schemas.microsoft.com/office/drawing/2014/main" id="{5A6B3A89-DE78-4F26-B5C5-79A3EF96869D}"/>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6048295" y="44915732"/>
          <a:ext cx="8912467" cy="5121672"/>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378619</xdr:colOff>
      <xdr:row>273</xdr:row>
      <xdr:rowOff>136326</xdr:rowOff>
    </xdr:from>
    <xdr:to>
      <xdr:col>34</xdr:col>
      <xdr:colOff>494705</xdr:colOff>
      <xdr:row>300</xdr:row>
      <xdr:rowOff>78955</xdr:rowOff>
    </xdr:to>
    <xdr:pic>
      <xdr:nvPicPr>
        <xdr:cNvPr id="78" name="Picture 77">
          <a:extLst>
            <a:ext uri="{FF2B5EF4-FFF2-40B4-BE49-F238E27FC236}">
              <a16:creationId xmlns:a16="http://schemas.microsoft.com/office/drawing/2014/main" id="{4E9E2EE2-F066-49EA-83CB-9F9837256E8D}"/>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25962174" y="50380701"/>
          <a:ext cx="8896945" cy="4883723"/>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226815</xdr:colOff>
      <xdr:row>243</xdr:row>
      <xdr:rowOff>103585</xdr:rowOff>
    </xdr:from>
    <xdr:to>
      <xdr:col>45</xdr:col>
      <xdr:colOff>179540</xdr:colOff>
      <xdr:row>271</xdr:row>
      <xdr:rowOff>126802</xdr:rowOff>
    </xdr:to>
    <xdr:pic>
      <xdr:nvPicPr>
        <xdr:cNvPr id="79" name="Picture 78">
          <a:extLst>
            <a:ext uri="{FF2B5EF4-FFF2-40B4-BE49-F238E27FC236}">
              <a16:creationId xmlns:a16="http://schemas.microsoft.com/office/drawing/2014/main" id="{4CFAC075-3765-4573-BE30-C5C673A740B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5469315" y="44930616"/>
          <a:ext cx="8733584" cy="5109964"/>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300632</xdr:colOff>
      <xdr:row>273</xdr:row>
      <xdr:rowOff>136326</xdr:rowOff>
    </xdr:from>
    <xdr:to>
      <xdr:col>23</xdr:col>
      <xdr:colOff>522865</xdr:colOff>
      <xdr:row>299</xdr:row>
      <xdr:rowOff>113903</xdr:rowOff>
    </xdr:to>
    <xdr:pic>
      <xdr:nvPicPr>
        <xdr:cNvPr id="80" name="Picture 79">
          <a:extLst>
            <a:ext uri="{FF2B5EF4-FFF2-40B4-BE49-F238E27FC236}">
              <a16:creationId xmlns:a16="http://schemas.microsoft.com/office/drawing/2014/main" id="{F35D3919-F51B-47FE-BE47-437B9155E774}"/>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7237273" y="50380701"/>
          <a:ext cx="7994236" cy="4725194"/>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31</xdr:col>
      <xdr:colOff>730249</xdr:colOff>
      <xdr:row>0</xdr:row>
      <xdr:rowOff>0</xdr:rowOff>
    </xdr:from>
    <xdr:to>
      <xdr:col>40</xdr:col>
      <xdr:colOff>494549</xdr:colOff>
      <xdr:row>16</xdr:row>
      <xdr:rowOff>190499</xdr:rowOff>
    </xdr:to>
    <xdr:pic>
      <xdr:nvPicPr>
        <xdr:cNvPr id="2" name="Picture 1">
          <a:extLst>
            <a:ext uri="{FF2B5EF4-FFF2-40B4-BE49-F238E27FC236}">
              <a16:creationId xmlns:a16="http://schemas.microsoft.com/office/drawing/2014/main" id="{1C178CEA-A520-88D1-CE9E-30471E78C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79874" y="0"/>
          <a:ext cx="7622425" cy="3349624"/>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857250</xdr:colOff>
      <xdr:row>19</xdr:row>
      <xdr:rowOff>44450</xdr:rowOff>
    </xdr:from>
    <xdr:to>
      <xdr:col>40</xdr:col>
      <xdr:colOff>635000</xdr:colOff>
      <xdr:row>35</xdr:row>
      <xdr:rowOff>142337</xdr:rowOff>
    </xdr:to>
    <xdr:pic>
      <xdr:nvPicPr>
        <xdr:cNvPr id="3" name="Picture 2">
          <a:extLst>
            <a:ext uri="{FF2B5EF4-FFF2-40B4-BE49-F238E27FC236}">
              <a16:creationId xmlns:a16="http://schemas.microsoft.com/office/drawing/2014/main" id="{AF5913B6-4AEC-A76B-3926-59772FCE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606875" y="3775075"/>
          <a:ext cx="7635875" cy="3304637"/>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37</xdr:row>
      <xdr:rowOff>0</xdr:rowOff>
    </xdr:from>
    <xdr:to>
      <xdr:col>41</xdr:col>
      <xdr:colOff>46981</xdr:colOff>
      <xdr:row>57</xdr:row>
      <xdr:rowOff>111125</xdr:rowOff>
    </xdr:to>
    <xdr:pic>
      <xdr:nvPicPr>
        <xdr:cNvPr id="4" name="Picture 3">
          <a:extLst>
            <a:ext uri="{FF2B5EF4-FFF2-40B4-BE49-F238E27FC236}">
              <a16:creationId xmlns:a16="http://schemas.microsoft.com/office/drawing/2014/main" id="{1C149CB3-4248-1098-F836-4E56FB1281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622750" y="7302500"/>
          <a:ext cx="7905106" cy="3381375"/>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841375</xdr:colOff>
      <xdr:row>59</xdr:row>
      <xdr:rowOff>31750</xdr:rowOff>
    </xdr:from>
    <xdr:to>
      <xdr:col>40</xdr:col>
      <xdr:colOff>753248</xdr:colOff>
      <xdr:row>78</xdr:row>
      <xdr:rowOff>142875</xdr:rowOff>
    </xdr:to>
    <xdr:pic>
      <xdr:nvPicPr>
        <xdr:cNvPr id="5" name="Picture 4">
          <a:extLst>
            <a:ext uri="{FF2B5EF4-FFF2-40B4-BE49-F238E27FC236}">
              <a16:creationId xmlns:a16="http://schemas.microsoft.com/office/drawing/2014/main" id="{1C970FF3-AE93-FD5A-3616-896CDF65F1D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591000" y="10969625"/>
          <a:ext cx="7763648" cy="3317875"/>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80</xdr:row>
      <xdr:rowOff>0</xdr:rowOff>
    </xdr:from>
    <xdr:to>
      <xdr:col>41</xdr:col>
      <xdr:colOff>85725</xdr:colOff>
      <xdr:row>100</xdr:row>
      <xdr:rowOff>28260</xdr:rowOff>
    </xdr:to>
    <xdr:pic>
      <xdr:nvPicPr>
        <xdr:cNvPr id="6" name="Picture 5">
          <a:extLst>
            <a:ext uri="{FF2B5EF4-FFF2-40B4-BE49-F238E27FC236}">
              <a16:creationId xmlns:a16="http://schemas.microsoft.com/office/drawing/2014/main" id="{10796062-CBE1-2DA6-ED8A-975812E7803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9622750" y="14509750"/>
          <a:ext cx="7937500" cy="340011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828674</xdr:colOff>
      <xdr:row>102</xdr:row>
      <xdr:rowOff>25399</xdr:rowOff>
    </xdr:from>
    <xdr:to>
      <xdr:col>41</xdr:col>
      <xdr:colOff>151681</xdr:colOff>
      <xdr:row>123</xdr:row>
      <xdr:rowOff>9524</xdr:rowOff>
    </xdr:to>
    <xdr:pic>
      <xdr:nvPicPr>
        <xdr:cNvPr id="7" name="Picture 6">
          <a:extLst>
            <a:ext uri="{FF2B5EF4-FFF2-40B4-BE49-F238E27FC236}">
              <a16:creationId xmlns:a16="http://schemas.microsoft.com/office/drawing/2014/main" id="{8415A61D-F93C-AADD-8026-589D2C8D724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578299" y="18218149"/>
          <a:ext cx="8054257" cy="3514725"/>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125</xdr:row>
      <xdr:rowOff>1</xdr:rowOff>
    </xdr:from>
    <xdr:to>
      <xdr:col>18</xdr:col>
      <xdr:colOff>193646</xdr:colOff>
      <xdr:row>145</xdr:row>
      <xdr:rowOff>63501</xdr:rowOff>
    </xdr:to>
    <xdr:pic>
      <xdr:nvPicPr>
        <xdr:cNvPr id="8" name="Picture 7">
          <a:extLst>
            <a:ext uri="{FF2B5EF4-FFF2-40B4-BE49-F238E27FC236}">
              <a16:creationId xmlns:a16="http://schemas.microsoft.com/office/drawing/2014/main" id="{19DD4BDC-5389-F2E2-9CFB-486D782D2DB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17000" y="22129751"/>
          <a:ext cx="8051771" cy="419100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70926</xdr:colOff>
      <xdr:row>45</xdr:row>
      <xdr:rowOff>116183</xdr:rowOff>
    </xdr:from>
    <xdr:to>
      <xdr:col>10</xdr:col>
      <xdr:colOff>607028</xdr:colOff>
      <xdr:row>70</xdr:row>
      <xdr:rowOff>64576</xdr:rowOff>
    </xdr:to>
    <xdr:pic>
      <xdr:nvPicPr>
        <xdr:cNvPr id="2" name="Picture 1">
          <a:extLst>
            <a:ext uri="{FF2B5EF4-FFF2-40B4-BE49-F238E27FC236}">
              <a16:creationId xmlns:a16="http://schemas.microsoft.com/office/drawing/2014/main" id="{26C2CCD3-11F3-A1D9-1DD5-7554B2B8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26" y="8155929"/>
          <a:ext cx="9253899" cy="4791613"/>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xdr:colOff>
      <xdr:row>46</xdr:row>
      <xdr:rowOff>2</xdr:rowOff>
    </xdr:from>
    <xdr:to>
      <xdr:col>21</xdr:col>
      <xdr:colOff>250523</xdr:colOff>
      <xdr:row>70</xdr:row>
      <xdr:rowOff>1</xdr:rowOff>
    </xdr:to>
    <xdr:pic>
      <xdr:nvPicPr>
        <xdr:cNvPr id="3" name="Picture 2">
          <a:extLst>
            <a:ext uri="{FF2B5EF4-FFF2-40B4-BE49-F238E27FC236}">
              <a16:creationId xmlns:a16="http://schemas.microsoft.com/office/drawing/2014/main" id="{3A74CD86-80A2-57B9-FAB3-20DFA3422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89578" y="8233477"/>
          <a:ext cx="8968318" cy="464949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452035</xdr:colOff>
      <xdr:row>70</xdr:row>
      <xdr:rowOff>145297</xdr:rowOff>
    </xdr:from>
    <xdr:to>
      <xdr:col>11</xdr:col>
      <xdr:colOff>390634</xdr:colOff>
      <xdr:row>96</xdr:row>
      <xdr:rowOff>40217</xdr:rowOff>
    </xdr:to>
    <xdr:pic>
      <xdr:nvPicPr>
        <xdr:cNvPr id="4" name="Picture 3">
          <a:extLst>
            <a:ext uri="{FF2B5EF4-FFF2-40B4-BE49-F238E27FC236}">
              <a16:creationId xmlns:a16="http://schemas.microsoft.com/office/drawing/2014/main" id="{2F8C5132-B2AC-030D-C9B0-3DB710087D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2035" y="13028263"/>
          <a:ext cx="9528175" cy="4931869"/>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xdr:colOff>
      <xdr:row>71</xdr:row>
      <xdr:rowOff>0</xdr:rowOff>
    </xdr:from>
    <xdr:to>
      <xdr:col>22</xdr:col>
      <xdr:colOff>205228</xdr:colOff>
      <xdr:row>94</xdr:row>
      <xdr:rowOff>161440</xdr:rowOff>
    </xdr:to>
    <xdr:pic>
      <xdr:nvPicPr>
        <xdr:cNvPr id="5" name="Picture 4">
          <a:extLst>
            <a:ext uri="{FF2B5EF4-FFF2-40B4-BE49-F238E27FC236}">
              <a16:creationId xmlns:a16="http://schemas.microsoft.com/office/drawing/2014/main" id="{D28D16D9-C301-20C3-0CA6-FC8079434D5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461357" y="13076695"/>
          <a:ext cx="8923024" cy="4617203"/>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0</xdr:rowOff>
    </xdr:from>
    <xdr:ext cx="3067050" cy="857250"/>
    <xdr:pic>
      <xdr:nvPicPr>
        <xdr:cNvPr id="2" name="image7.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xdr:row>
      <xdr:rowOff>0</xdr:rowOff>
    </xdr:from>
    <xdr:ext cx="3009900" cy="857250"/>
    <xdr:pic>
      <xdr:nvPicPr>
        <xdr:cNvPr id="2" name="image8.png">
          <a:extLst>
            <a:ext uri="{FF2B5EF4-FFF2-40B4-BE49-F238E27FC236}">
              <a16:creationId xmlns:a16="http://schemas.microsoft.com/office/drawing/2014/main" id="{00000000-0008-0000-1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171450</xdr:rowOff>
    </xdr:from>
    <xdr:ext cx="2857500" cy="857250"/>
    <xdr:pic>
      <xdr:nvPicPr>
        <xdr:cNvPr id="2" name="image8.png">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171450</xdr:rowOff>
    </xdr:from>
    <xdr:ext cx="2857500" cy="857250"/>
    <xdr:pic>
      <xdr:nvPicPr>
        <xdr:cNvPr id="2" name="image8.png">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1</xdr:row>
      <xdr:rowOff>0</xdr:rowOff>
    </xdr:from>
    <xdr:ext cx="2876550" cy="866775"/>
    <xdr:pic>
      <xdr:nvPicPr>
        <xdr:cNvPr id="2" name="image8.png">
          <a:extLst>
            <a:ext uri="{FF2B5EF4-FFF2-40B4-BE49-F238E27FC236}">
              <a16:creationId xmlns:a16="http://schemas.microsoft.com/office/drawing/2014/main" id="{00000000-0008-0000-1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twoCellAnchor editAs="oneCell">
    <xdr:from>
      <xdr:col>4</xdr:col>
      <xdr:colOff>215900</xdr:colOff>
      <xdr:row>23</xdr:row>
      <xdr:rowOff>101600</xdr:rowOff>
    </xdr:from>
    <xdr:to>
      <xdr:col>12</xdr:col>
      <xdr:colOff>600075</xdr:colOff>
      <xdr:row>48</xdr:row>
      <xdr:rowOff>54672</xdr:rowOff>
    </xdr:to>
    <xdr:pic>
      <xdr:nvPicPr>
        <xdr:cNvPr id="2" name="Picture 1">
          <a:extLst>
            <a:ext uri="{FF2B5EF4-FFF2-40B4-BE49-F238E27FC236}">
              <a16:creationId xmlns:a16="http://schemas.microsoft.com/office/drawing/2014/main" id="{B85A33A2-FA1D-F885-C7F1-5B5F86EE9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2950" y="5902325"/>
          <a:ext cx="7394575" cy="4648897"/>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12187</xdr:colOff>
      <xdr:row>2</xdr:row>
      <xdr:rowOff>49266</xdr:rowOff>
    </xdr:from>
    <xdr:to>
      <xdr:col>13</xdr:col>
      <xdr:colOff>467317</xdr:colOff>
      <xdr:row>33</xdr:row>
      <xdr:rowOff>178005</xdr:rowOff>
    </xdr:to>
    <xdr:pic>
      <xdr:nvPicPr>
        <xdr:cNvPr id="3" name="Picture 2">
          <a:extLst>
            <a:ext uri="{FF2B5EF4-FFF2-40B4-BE49-F238E27FC236}">
              <a16:creationId xmlns:a16="http://schemas.microsoft.com/office/drawing/2014/main" id="{7D87F50F-F68A-187C-FB5C-A7335ACBB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0332" y="448701"/>
          <a:ext cx="7552791" cy="548138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829935</xdr:colOff>
      <xdr:row>2</xdr:row>
      <xdr:rowOff>30726</xdr:rowOff>
    </xdr:from>
    <xdr:to>
      <xdr:col>23</xdr:col>
      <xdr:colOff>463713</xdr:colOff>
      <xdr:row>33</xdr:row>
      <xdr:rowOff>153628</xdr:rowOff>
    </xdr:to>
    <xdr:pic>
      <xdr:nvPicPr>
        <xdr:cNvPr id="4" name="Picture 3">
          <a:extLst>
            <a:ext uri="{FF2B5EF4-FFF2-40B4-BE49-F238E27FC236}">
              <a16:creationId xmlns:a16="http://schemas.microsoft.com/office/drawing/2014/main" id="{6C6AFA43-338C-4549-507B-2698A3D58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15741" y="430161"/>
          <a:ext cx="7960472" cy="5469193"/>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863498</xdr:colOff>
      <xdr:row>2</xdr:row>
      <xdr:rowOff>90852</xdr:rowOff>
    </xdr:from>
    <xdr:to>
      <xdr:col>36</xdr:col>
      <xdr:colOff>107129</xdr:colOff>
      <xdr:row>33</xdr:row>
      <xdr:rowOff>149307</xdr:rowOff>
    </xdr:to>
    <xdr:pic>
      <xdr:nvPicPr>
        <xdr:cNvPr id="5" name="Picture 4">
          <a:extLst>
            <a:ext uri="{FF2B5EF4-FFF2-40B4-BE49-F238E27FC236}">
              <a16:creationId xmlns:a16="http://schemas.microsoft.com/office/drawing/2014/main" id="{F857FAD0-08C0-032A-EA49-7FA6ED3928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675998" y="490287"/>
          <a:ext cx="11773410" cy="5404746"/>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xdr:colOff>
      <xdr:row>2</xdr:row>
      <xdr:rowOff>1</xdr:rowOff>
    </xdr:from>
    <xdr:to>
      <xdr:col>46</xdr:col>
      <xdr:colOff>3073</xdr:colOff>
      <xdr:row>33</xdr:row>
      <xdr:rowOff>164275</xdr:rowOff>
    </xdr:to>
    <xdr:pic>
      <xdr:nvPicPr>
        <xdr:cNvPr id="6" name="Picture 5">
          <a:extLst>
            <a:ext uri="{FF2B5EF4-FFF2-40B4-BE49-F238E27FC236}">
              <a16:creationId xmlns:a16="http://schemas.microsoft.com/office/drawing/2014/main" id="{64B0D196-8276-E1B3-870C-6BCCD1B767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224316" y="399436"/>
          <a:ext cx="7865805" cy="5510565"/>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47</xdr:col>
      <xdr:colOff>0</xdr:colOff>
      <xdr:row>2</xdr:row>
      <xdr:rowOff>0</xdr:rowOff>
    </xdr:from>
    <xdr:to>
      <xdr:col>60</xdr:col>
      <xdr:colOff>401026</xdr:colOff>
      <xdr:row>33</xdr:row>
      <xdr:rowOff>153629</xdr:rowOff>
    </xdr:to>
    <xdr:pic>
      <xdr:nvPicPr>
        <xdr:cNvPr id="7" name="Picture 6">
          <a:extLst>
            <a:ext uri="{FF2B5EF4-FFF2-40B4-BE49-F238E27FC236}">
              <a16:creationId xmlns:a16="http://schemas.microsoft.com/office/drawing/2014/main" id="{7C4F1184-12BD-EE25-191E-818ED8D0D89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5981169" y="399435"/>
          <a:ext cx="11784938" cy="549992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47</xdr:col>
      <xdr:colOff>2</xdr:colOff>
      <xdr:row>35</xdr:row>
      <xdr:rowOff>0</xdr:rowOff>
    </xdr:from>
    <xdr:to>
      <xdr:col>60</xdr:col>
      <xdr:colOff>467237</xdr:colOff>
      <xdr:row>64</xdr:row>
      <xdr:rowOff>267405</xdr:rowOff>
    </xdr:to>
    <xdr:pic>
      <xdr:nvPicPr>
        <xdr:cNvPr id="8" name="Picture 7">
          <a:extLst>
            <a:ext uri="{FF2B5EF4-FFF2-40B4-BE49-F238E27FC236}">
              <a16:creationId xmlns:a16="http://schemas.microsoft.com/office/drawing/2014/main" id="{233E75C5-2AAF-27C4-168C-9C15B1E0CD1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5981171" y="6145161"/>
          <a:ext cx="11844797" cy="5536881"/>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27549</xdr:colOff>
      <xdr:row>35</xdr:row>
      <xdr:rowOff>144617</xdr:rowOff>
    </xdr:from>
    <xdr:to>
      <xdr:col>45</xdr:col>
      <xdr:colOff>829597</xdr:colOff>
      <xdr:row>69</xdr:row>
      <xdr:rowOff>130815</xdr:rowOff>
    </xdr:to>
    <xdr:pic>
      <xdr:nvPicPr>
        <xdr:cNvPr id="9" name="Picture 8">
          <a:extLst>
            <a:ext uri="{FF2B5EF4-FFF2-40B4-BE49-F238E27FC236}">
              <a16:creationId xmlns:a16="http://schemas.microsoft.com/office/drawing/2014/main" id="{C886F058-D25E-64A5-0056-B8F0ADF3D27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500493" y="6289778"/>
          <a:ext cx="9558902" cy="6515432"/>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61</xdr:col>
      <xdr:colOff>1</xdr:colOff>
      <xdr:row>2</xdr:row>
      <xdr:rowOff>0</xdr:rowOff>
    </xdr:from>
    <xdr:to>
      <xdr:col>67</xdr:col>
      <xdr:colOff>568428</xdr:colOff>
      <xdr:row>33</xdr:row>
      <xdr:rowOff>27324</xdr:rowOff>
    </xdr:to>
    <xdr:pic>
      <xdr:nvPicPr>
        <xdr:cNvPr id="10" name="Picture 9">
          <a:extLst>
            <a:ext uri="{FF2B5EF4-FFF2-40B4-BE49-F238E27FC236}">
              <a16:creationId xmlns:a16="http://schemas.microsoft.com/office/drawing/2014/main" id="{1682C65D-F1BD-F87F-391F-80F56B4344C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240767" y="399435"/>
          <a:ext cx="5822540" cy="5379965"/>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61</xdr:col>
      <xdr:colOff>0</xdr:colOff>
      <xdr:row>36</xdr:row>
      <xdr:rowOff>1</xdr:rowOff>
    </xdr:from>
    <xdr:to>
      <xdr:col>67</xdr:col>
      <xdr:colOff>787748</xdr:colOff>
      <xdr:row>64</xdr:row>
      <xdr:rowOff>506977</xdr:rowOff>
    </xdr:to>
    <xdr:pic>
      <xdr:nvPicPr>
        <xdr:cNvPr id="11" name="Picture 10">
          <a:extLst>
            <a:ext uri="{FF2B5EF4-FFF2-40B4-BE49-F238E27FC236}">
              <a16:creationId xmlns:a16="http://schemas.microsoft.com/office/drawing/2014/main" id="{126A6D48-3946-E51B-5725-463B2D0EC69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8240766" y="6344880"/>
          <a:ext cx="6041861" cy="5576734"/>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95250</xdr:colOff>
      <xdr:row>21</xdr:row>
      <xdr:rowOff>76200</xdr:rowOff>
    </xdr:from>
    <xdr:to>
      <xdr:col>25</xdr:col>
      <xdr:colOff>666750</xdr:colOff>
      <xdr:row>42</xdr:row>
      <xdr:rowOff>58502</xdr:rowOff>
    </xdr:to>
    <xdr:pic>
      <xdr:nvPicPr>
        <xdr:cNvPr id="2" name="Picture 1">
          <a:extLst>
            <a:ext uri="{FF2B5EF4-FFF2-40B4-BE49-F238E27FC236}">
              <a16:creationId xmlns:a16="http://schemas.microsoft.com/office/drawing/2014/main" id="{55FEC5F9-890B-EE01-1D07-FF2AF029B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0" y="4476750"/>
          <a:ext cx="8458200" cy="4382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1</xdr:rowOff>
    </xdr:from>
    <xdr:to>
      <xdr:col>15</xdr:col>
      <xdr:colOff>234588</xdr:colOff>
      <xdr:row>42</xdr:row>
      <xdr:rowOff>19051</xdr:rowOff>
    </xdr:to>
    <xdr:pic>
      <xdr:nvPicPr>
        <xdr:cNvPr id="3" name="Picture 2">
          <a:extLst>
            <a:ext uri="{FF2B5EF4-FFF2-40B4-BE49-F238E27FC236}">
              <a16:creationId xmlns:a16="http://schemas.microsoft.com/office/drawing/2014/main" id="{988EC7A0-6C6E-A1E6-8AFC-D091BC412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67350" y="4610101"/>
          <a:ext cx="8121288" cy="421005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1238250</xdr:colOff>
      <xdr:row>29</xdr:row>
      <xdr:rowOff>180975</xdr:rowOff>
    </xdr:from>
    <xdr:ext cx="2095500" cy="2095500"/>
    <xdr:pic>
      <xdr:nvPicPr>
        <xdr:cNvPr id="2" name="image1.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19</xdr:col>
      <xdr:colOff>606136</xdr:colOff>
      <xdr:row>4</xdr:row>
      <xdr:rowOff>121228</xdr:rowOff>
    </xdr:from>
    <xdr:to>
      <xdr:col>28</xdr:col>
      <xdr:colOff>558710</xdr:colOff>
      <xdr:row>37</xdr:row>
      <xdr:rowOff>138546</xdr:rowOff>
    </xdr:to>
    <xdr:pic>
      <xdr:nvPicPr>
        <xdr:cNvPr id="4" name="Picture 3">
          <a:extLst>
            <a:ext uri="{FF2B5EF4-FFF2-40B4-BE49-F238E27FC236}">
              <a16:creationId xmlns:a16="http://schemas.microsoft.com/office/drawing/2014/main" id="{36BC4C5E-DF09-EA6A-F3E5-0A390BD0D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08591" y="796637"/>
          <a:ext cx="7901619" cy="552450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24</xdr:col>
      <xdr:colOff>436027</xdr:colOff>
      <xdr:row>8</xdr:row>
      <xdr:rowOff>136071</xdr:rowOff>
    </xdr:from>
    <xdr:to>
      <xdr:col>31</xdr:col>
      <xdr:colOff>667656</xdr:colOff>
      <xdr:row>31</xdr:row>
      <xdr:rowOff>120650</xdr:rowOff>
    </xdr:to>
    <xdr:pic>
      <xdr:nvPicPr>
        <xdr:cNvPr id="2" name="Picture 1">
          <a:extLst>
            <a:ext uri="{FF2B5EF4-FFF2-40B4-BE49-F238E27FC236}">
              <a16:creationId xmlns:a16="http://schemas.microsoft.com/office/drawing/2014/main" id="{E9F57FB5-1C21-09CB-F3CD-FAA0CE98D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8627" y="1793421"/>
          <a:ext cx="6365729" cy="4547054"/>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409575</xdr:colOff>
      <xdr:row>34</xdr:row>
      <xdr:rowOff>908</xdr:rowOff>
    </xdr:from>
    <xdr:to>
      <xdr:col>31</xdr:col>
      <xdr:colOff>600981</xdr:colOff>
      <xdr:row>58</xdr:row>
      <xdr:rowOff>98</xdr:rowOff>
    </xdr:to>
    <xdr:pic>
      <xdr:nvPicPr>
        <xdr:cNvPr id="3" name="Picture 2">
          <a:extLst>
            <a:ext uri="{FF2B5EF4-FFF2-40B4-BE49-F238E27FC236}">
              <a16:creationId xmlns:a16="http://schemas.microsoft.com/office/drawing/2014/main" id="{984C0322-04CC-20F4-ADA4-37E3AE3DF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72175" y="6820808"/>
          <a:ext cx="6325506" cy="4113990"/>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64</xdr:col>
      <xdr:colOff>695325</xdr:colOff>
      <xdr:row>60</xdr:row>
      <xdr:rowOff>76200</xdr:rowOff>
    </xdr:from>
    <xdr:to>
      <xdr:col>70</xdr:col>
      <xdr:colOff>541930</xdr:colOff>
      <xdr:row>79</xdr:row>
      <xdr:rowOff>63500</xdr:rowOff>
    </xdr:to>
    <xdr:pic>
      <xdr:nvPicPr>
        <xdr:cNvPr id="4" name="Picture 3">
          <a:extLst>
            <a:ext uri="{FF2B5EF4-FFF2-40B4-BE49-F238E27FC236}">
              <a16:creationId xmlns:a16="http://schemas.microsoft.com/office/drawing/2014/main" id="{E10DFD20-05D1-FC68-A470-58E6809100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309925" y="11334750"/>
          <a:ext cx="5104405" cy="3140075"/>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91</xdr:row>
      <xdr:rowOff>9525</xdr:rowOff>
    </xdr:from>
    <xdr:ext cx="4410075" cy="3648075"/>
    <xdr:pic>
      <xdr:nvPicPr>
        <xdr:cNvPr id="2" name="image2.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447675</xdr:colOff>
      <xdr:row>97</xdr:row>
      <xdr:rowOff>76200</xdr:rowOff>
    </xdr:from>
    <xdr:ext cx="5400675" cy="4505325"/>
    <xdr:pic>
      <xdr:nvPicPr>
        <xdr:cNvPr id="2" name="image4.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a:ln>
          <a:solidFill>
            <a:schemeClr val="bg1">
              <a:lumMod val="65000"/>
            </a:schemeClr>
          </a:solidFill>
        </a:ln>
      </xdr:spPr>
    </xdr:pic>
    <xdr:clientData fLocksWithSheet="0"/>
  </xdr:oneCellAnchor>
  <xdr:oneCellAnchor>
    <xdr:from>
      <xdr:col>1</xdr:col>
      <xdr:colOff>38100</xdr:colOff>
      <xdr:row>60</xdr:row>
      <xdr:rowOff>38100</xdr:rowOff>
    </xdr:from>
    <xdr:ext cx="5505450" cy="4505325"/>
    <xdr:pic>
      <xdr:nvPicPr>
        <xdr:cNvPr id="3" name="image3.png" title="Image">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a:ln>
          <a:solidFill>
            <a:schemeClr val="bg1">
              <a:lumMod val="65000"/>
            </a:schemeClr>
          </a:solidFill>
        </a:ln>
      </xdr:spPr>
    </xdr:pic>
    <xdr:clientData fLocksWithSheet="0"/>
  </xdr:oneCellAnchor>
  <xdr:oneCellAnchor>
    <xdr:from>
      <xdr:col>1</xdr:col>
      <xdr:colOff>123825</xdr:colOff>
      <xdr:row>97</xdr:row>
      <xdr:rowOff>152400</xdr:rowOff>
    </xdr:from>
    <xdr:ext cx="5172075" cy="3905250"/>
    <xdr:pic>
      <xdr:nvPicPr>
        <xdr:cNvPr id="4" name="image5.png" title="Image">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a:ln>
          <a:solidFill>
            <a:schemeClr val="bg1">
              <a:lumMod val="65000"/>
            </a:schemeClr>
          </a:solidFill>
        </a:ln>
      </xdr:spPr>
    </xdr:pic>
    <xdr:clientData fLocksWithSheet="0"/>
  </xdr:oneCellAnchor>
  <xdr:twoCellAnchor editAs="oneCell">
    <xdr:from>
      <xdr:col>8</xdr:col>
      <xdr:colOff>504825</xdr:colOff>
      <xdr:row>3</xdr:row>
      <xdr:rowOff>123826</xdr:rowOff>
    </xdr:from>
    <xdr:to>
      <xdr:col>15</xdr:col>
      <xdr:colOff>305669</xdr:colOff>
      <xdr:row>21</xdr:row>
      <xdr:rowOff>76200</xdr:rowOff>
    </xdr:to>
    <xdr:pic>
      <xdr:nvPicPr>
        <xdr:cNvPr id="5" name="Picture 4">
          <a:extLst>
            <a:ext uri="{FF2B5EF4-FFF2-40B4-BE49-F238E27FC236}">
              <a16:creationId xmlns:a16="http://schemas.microsoft.com/office/drawing/2014/main" id="{33409755-033E-E672-DFF7-237EAA9BF14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15350" y="685801"/>
          <a:ext cx="5934944" cy="3476624"/>
        </a:xfrm>
        <a:prstGeom prst="rect">
          <a:avLst/>
        </a:prstGeom>
        <a:noFill/>
        <a:ln>
          <a:solidFill>
            <a:schemeClr val="bg1">
              <a:lumMod val="6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14</xdr:col>
      <xdr:colOff>895350</xdr:colOff>
      <xdr:row>423</xdr:row>
      <xdr:rowOff>66675</xdr:rowOff>
    </xdr:from>
    <xdr:ext cx="8667750" cy="6353175"/>
    <xdr:graphicFrame macro="">
      <xdr:nvGraphicFramePr>
        <xdr:cNvPr id="51" name="Chart 51" title="Chart">
          <a:extLst>
            <a:ext uri="{FF2B5EF4-FFF2-40B4-BE49-F238E27FC236}">
              <a16:creationId xmlns:a16="http://schemas.microsoft.com/office/drawing/2014/main" id="{00000000-0008-0000-09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571500</xdr:colOff>
      <xdr:row>361</xdr:row>
      <xdr:rowOff>180975</xdr:rowOff>
    </xdr:from>
    <xdr:ext cx="6905625" cy="5695950"/>
    <xdr:graphicFrame macro="">
      <xdr:nvGraphicFramePr>
        <xdr:cNvPr id="52" name="Chart 52" title="Chart">
          <a:extLst>
            <a:ext uri="{FF2B5EF4-FFF2-40B4-BE49-F238E27FC236}">
              <a16:creationId xmlns:a16="http://schemas.microsoft.com/office/drawing/2014/main" id="{00000000-0008-0000-09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6</xdr:col>
      <xdr:colOff>342900</xdr:colOff>
      <xdr:row>380</xdr:row>
      <xdr:rowOff>133350</xdr:rowOff>
    </xdr:from>
    <xdr:ext cx="6905625" cy="5695950"/>
    <xdr:graphicFrame macro="">
      <xdr:nvGraphicFramePr>
        <xdr:cNvPr id="53" name="Chart 53" title="Chart">
          <a:extLst>
            <a:ext uri="{FF2B5EF4-FFF2-40B4-BE49-F238E27FC236}">
              <a16:creationId xmlns:a16="http://schemas.microsoft.com/office/drawing/2014/main" id="{00000000-0008-0000-0900-00003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115</xdr:row>
      <xdr:rowOff>142875</xdr:rowOff>
    </xdr:from>
    <xdr:ext cx="4762500" cy="5257800"/>
    <xdr:pic>
      <xdr:nvPicPr>
        <xdr:cNvPr id="2" name="image6.png" title="Image">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sumer.org.nz/articles/home-heating-costs"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https://aucklandplumbersgroup.co.nz/shop/gas-hob-install/" TargetMode="External"/><Relationship Id="rId21" Type="http://schemas.openxmlformats.org/officeDocument/2006/relationships/hyperlink" Target="https://www.placemakers.co.nz/online/p/7738581" TargetMode="External"/><Relationship Id="rId42" Type="http://schemas.openxmlformats.org/officeDocument/2006/relationships/hyperlink" Target="https://www.mitre10.co.nz/shop/woodsman-log-burner-flare-wood-box/p/192756" TargetMode="External"/><Relationship Id="rId63" Type="http://schemas.openxmlformats.org/officeDocument/2006/relationships/hyperlink" Target="https://hotwatershop.co.nz/product/dux-proflow-250l-outdoor-mains-pressure-cylinder-620-x-1445/" TargetMode="External"/><Relationship Id="rId84" Type="http://schemas.openxmlformats.org/officeDocument/2006/relationships/hyperlink" Target="https://hotwatersolutions.nz/product/rinnai-infinity-gas-16/" TargetMode="External"/><Relationship Id="rId138" Type="http://schemas.openxmlformats.org/officeDocument/2006/relationships/hyperlink" Target="https://www.bunnings.co.nz/bellini-60cm-ceramic-hob_p5104068" TargetMode="External"/><Relationship Id="rId107" Type="http://schemas.openxmlformats.org/officeDocument/2006/relationships/hyperlink" Target="https://hotwatersolutions.nz/product/thermann-gas-32r/" TargetMode="External"/><Relationship Id="rId11" Type="http://schemas.openxmlformats.org/officeDocument/2006/relationships/hyperlink" Target="https://www.placemakers.co.nz/online/p/7729292" TargetMode="External"/><Relationship Id="rId32" Type="http://schemas.openxmlformats.org/officeDocument/2006/relationships/hyperlink" Target="https://www.placemakers.co.nz/online/p/3800355" TargetMode="External"/><Relationship Id="rId53" Type="http://schemas.openxmlformats.org/officeDocument/2006/relationships/hyperlink" Target="https://aucklandplumbersgroup.co.nz/shop/rheem-mains%e2%80%91pressure-upgrade/" TargetMode="External"/><Relationship Id="rId74" Type="http://schemas.openxmlformats.org/officeDocument/2006/relationships/hyperlink" Target="https://hotwatersolutions.nz/product/ecospring-heat-pump-hot-water-300l/" TargetMode="External"/><Relationship Id="rId128" Type="http://schemas.openxmlformats.org/officeDocument/2006/relationships/hyperlink" Target="https://www.jvsgasfitting.co.nz/gas-cooking" TargetMode="External"/><Relationship Id="rId149" Type="http://schemas.openxmlformats.org/officeDocument/2006/relationships/vmlDrawing" Target="../drawings/vmlDrawing1.vml"/><Relationship Id="rId5" Type="http://schemas.openxmlformats.org/officeDocument/2006/relationships/hyperlink" Target="https://www.bunnings.co.nz/mitsubishi-avanti-3-5kw-reverse-cycle-split-system-heat-pump_p4442100" TargetMode="External"/><Relationship Id="rId95" Type="http://schemas.openxmlformats.org/officeDocument/2006/relationships/hyperlink" Target="https://hotwatershop.co.nz/product/rinnai-gas-hot-water-system/" TargetMode="External"/><Relationship Id="rId22" Type="http://schemas.openxmlformats.org/officeDocument/2006/relationships/hyperlink" Target="https://www.placemakers.co.nz/online/p/7772043" TargetMode="External"/><Relationship Id="rId27" Type="http://schemas.openxmlformats.org/officeDocument/2006/relationships/hyperlink" Target="https://www.plumbingplus.co.nz/products/rinnai-energysaver-561ft-gas-heater/" TargetMode="External"/><Relationship Id="rId43" Type="http://schemas.openxmlformats.org/officeDocument/2006/relationships/hyperlink" Target="https://metrofires.co.nz/products/fires/indoor-fires/freestanding-fires/ambie-one-ht/" TargetMode="External"/><Relationship Id="rId48" Type="http://schemas.openxmlformats.org/officeDocument/2006/relationships/hyperlink" Target="https://metrofires.co.nz/products/accessories/flue-systems/eco-flue-kit-stainless-liner/" TargetMode="External"/><Relationship Id="rId64" Type="http://schemas.openxmlformats.org/officeDocument/2006/relationships/hyperlink" Target="https://hotwatershop.co.nz/product/rheem-300l-mains-pressure-hot-water-cylinder-580x1815mm/" TargetMode="External"/><Relationship Id="rId69" Type="http://schemas.openxmlformats.org/officeDocument/2006/relationships/hyperlink" Target="https://hotwatersolutions.nz/product/enviroheat-heat-pump-hot-water-250l/" TargetMode="External"/><Relationship Id="rId113" Type="http://schemas.openxmlformats.org/officeDocument/2006/relationships/hyperlink" Target="https://www.plumbingplus.co.nz/products/rinnai-infinity-a20-20l-external-continuous-flow-gas-water-heater/" TargetMode="External"/><Relationship Id="rId118" Type="http://schemas.openxmlformats.org/officeDocument/2006/relationships/hyperlink" Target="https://www.harveynorman.co.nz/whiteware/kitchen/cooktops/whirlpool-60cm-4-burner-gas-cooktop-stainless-steel-gmwl628ixlaus.html" TargetMode="External"/><Relationship Id="rId134" Type="http://schemas.openxmlformats.org/officeDocument/2006/relationships/hyperlink" Target="https://www.harveynorman.co.nz/whiteware/kitchen/cooktops/panasonic-60cm-ceramic-cooktop.html" TargetMode="External"/><Relationship Id="rId139" Type="http://schemas.openxmlformats.org/officeDocument/2006/relationships/hyperlink" Target="https://www.harveynorman.co.nz/whiteware/kitchen/cooktops/haier-60cm-4-zoneinduction-cooktop-grey-glass-hci604tg3.html" TargetMode="External"/><Relationship Id="rId80" Type="http://schemas.openxmlformats.org/officeDocument/2006/relationships/hyperlink" Target="https://www.placemakers.co.nz/online/electrical-heatingcooling/heating-ventilation-cooling/heat-pumps/special-order-heat-pumps/hydraheat-hot-water-heat-pump/p/7819866" TargetMode="External"/><Relationship Id="rId85" Type="http://schemas.openxmlformats.org/officeDocument/2006/relationships/hyperlink" Target="https://hotwatersolutions.nz/product/rinnai-infinity-gas-26/" TargetMode="External"/><Relationship Id="rId150" Type="http://schemas.openxmlformats.org/officeDocument/2006/relationships/comments" Target="../comments1.xml"/><Relationship Id="rId12" Type="http://schemas.openxmlformats.org/officeDocument/2006/relationships/hyperlink" Target="https://delivery.bunningscontenthub.bunnings.com.au/api/public/content/7445039fd92e45388af7ad7f8d673b3a?v=05b7bd4e" TargetMode="External"/><Relationship Id="rId17" Type="http://schemas.openxmlformats.org/officeDocument/2006/relationships/hyperlink" Target="https://www.mitre10.co.nz/shop/premium-high-efficiency-heat-pump-air-conditioner/p/326286" TargetMode="External"/><Relationship Id="rId33" Type="http://schemas.openxmlformats.org/officeDocument/2006/relationships/hyperlink" Target="https://www.plumbingplus.co.nz/products/rinnai-energysaver-561ft-gas-heater/" TargetMode="External"/><Relationship Id="rId38" Type="http://schemas.openxmlformats.org/officeDocument/2006/relationships/hyperlink" Target="https://www.mitre10.co.nz/shop/metrofires-wee-rad-woody-wood-fire/p/290929" TargetMode="External"/><Relationship Id="rId59" Type="http://schemas.openxmlformats.org/officeDocument/2006/relationships/hyperlink" Target="https://www.plumbingplus.co.nz/products/rheem-180l-optima-mains-pressure-electric-water-heater/" TargetMode="External"/><Relationship Id="rId103" Type="http://schemas.openxmlformats.org/officeDocument/2006/relationships/hyperlink" Target="https://hotwatersolutions.nz/product/rinnai-infinity-gas-16/" TargetMode="External"/><Relationship Id="rId108" Type="http://schemas.openxmlformats.org/officeDocument/2006/relationships/hyperlink" Target="https://aucklandplumbersgroup.co.nz/shop/rinnai-infinity/" TargetMode="External"/><Relationship Id="rId124" Type="http://schemas.openxmlformats.org/officeDocument/2006/relationships/hyperlink" Target="https://www.harveynorman.co.nz/whiteware/kitchen/cooktops/bosch-60cm-gas-cooktop-en.html" TargetMode="External"/><Relationship Id="rId129" Type="http://schemas.openxmlformats.org/officeDocument/2006/relationships/hyperlink" Target="https://www.auckland.plumbing/gasfitting/residential-gasfitting/gas-hob-gas-cook-top-installation-re-location-natural-gas-and-lpg/" TargetMode="External"/><Relationship Id="rId54" Type="http://schemas.openxmlformats.org/officeDocument/2006/relationships/hyperlink" Target="https://www.bunnings.co.nz/rheem-electric-water-heater-180l-488-x-1720mm-galvanised-steel_p0984922" TargetMode="External"/><Relationship Id="rId70" Type="http://schemas.openxmlformats.org/officeDocument/2006/relationships/hyperlink" Target="https://hotwatersolutions.nz/product/rheem-ambiheat-heat-pump-270l/" TargetMode="External"/><Relationship Id="rId75" Type="http://schemas.openxmlformats.org/officeDocument/2006/relationships/hyperlink" Target="https://hotwatershop.co.nz/product/hp300-heat-pump-hot-water-cylinder-300l/" TargetMode="External"/><Relationship Id="rId91" Type="http://schemas.openxmlformats.org/officeDocument/2006/relationships/hyperlink" Target="https://www.bunnings.co.nz/rheem-26l-natural-gas-continuous-flow-water-heater-external_p0119137" TargetMode="External"/><Relationship Id="rId96" Type="http://schemas.openxmlformats.org/officeDocument/2006/relationships/hyperlink" Target="https://www.plumbingplus.co.nz/products/rinnai-infinity-a20-20l-external-continuous-flow-gas-water-heater/" TargetMode="External"/><Relationship Id="rId140" Type="http://schemas.openxmlformats.org/officeDocument/2006/relationships/hyperlink" Target="https://www.harveynorman.co.nz/whiteware/kitchen/cooktops/bosch-series-6-60cm-induction-cooktop.html" TargetMode="External"/><Relationship Id="rId145" Type="http://schemas.openxmlformats.org/officeDocument/2006/relationships/hyperlink" Target="https://www.bunnings.co.nz/everdure-600mm-black-induction-cooktop_p0276155" TargetMode="External"/><Relationship Id="rId1" Type="http://schemas.openxmlformats.org/officeDocument/2006/relationships/hyperlink" Target="https://delivery.bunningscontenthub.bunnings.com.au/api/public/content/7445039fd92e45388af7ad7f8d673b3a?v=05b7bd4e" TargetMode="External"/><Relationship Id="rId6" Type="http://schemas.openxmlformats.org/officeDocument/2006/relationships/hyperlink" Target="https://www.mitre10.co.nz/shop/hitachi-heat-pump-air-conditioner-3-5kw/4kw-reverse/p/326277" TargetMode="External"/><Relationship Id="rId23" Type="http://schemas.openxmlformats.org/officeDocument/2006/relationships/hyperlink" Target="https://www.placemakers.co.nz/online/p/7738580" TargetMode="External"/><Relationship Id="rId28" Type="http://schemas.openxmlformats.org/officeDocument/2006/relationships/hyperlink" Target="https://www.plumbingplus.co.nz/products/rinnai-energysaver-1005ft-gas-heater/" TargetMode="External"/><Relationship Id="rId49" Type="http://schemas.openxmlformats.org/officeDocument/2006/relationships/hyperlink" Target="https://hotwatersolutions.nz/product/rheem-cylinder-180l-ve/" TargetMode="External"/><Relationship Id="rId114" Type="http://schemas.openxmlformats.org/officeDocument/2006/relationships/hyperlink" Target="https://www.plumbingplus.co.nz/products/rheem-20l-gas-continuous-flow-external-water-heater/" TargetMode="External"/><Relationship Id="rId119" Type="http://schemas.openxmlformats.org/officeDocument/2006/relationships/hyperlink" Target="https://www.harveynorman.co.nz/whiteware/kitchen/cooktops/aeg-60cm-4-burner-gas-on-steel-cooktop-stainless-steel-hg60fxa.html" TargetMode="External"/><Relationship Id="rId44" Type="http://schemas.openxmlformats.org/officeDocument/2006/relationships/hyperlink" Target="https://metrofires.co.nz/products/fires/indoor-fires/freestanding-fires/ltd-wee-rad-base/" TargetMode="External"/><Relationship Id="rId60" Type="http://schemas.openxmlformats.org/officeDocument/2006/relationships/hyperlink" Target="https://www.plumbingplus.co.nz/products/dux-water-heaters-dux-hot-water-cylinder-125l/" TargetMode="External"/><Relationship Id="rId65" Type="http://schemas.openxmlformats.org/officeDocument/2006/relationships/hyperlink" Target="https://www.plumbingplus.co.nz/products/rheem-300l-mains-pressure-vitreous-enamel-electric-water-heater/" TargetMode="External"/><Relationship Id="rId81" Type="http://schemas.openxmlformats.org/officeDocument/2006/relationships/hyperlink" Target="https://hotwatersolutions.nz/product/rheem-gas-16/" TargetMode="External"/><Relationship Id="rId86" Type="http://schemas.openxmlformats.org/officeDocument/2006/relationships/hyperlink" Target="https://hotwatersolutions.nz/product/thermann-gas-17r/" TargetMode="External"/><Relationship Id="rId130" Type="http://schemas.openxmlformats.org/officeDocument/2006/relationships/hyperlink" Target="https://www.harveynorman.co.nz/whiteware/kitchen/cooktops/haier-60cm-ceramic-cooktop-black-glass.html" TargetMode="External"/><Relationship Id="rId135" Type="http://schemas.openxmlformats.org/officeDocument/2006/relationships/hyperlink" Target="https://www.harveynorman.co.nz/whiteware/kitchen/cooktops/bosch-60cm-series-2-electric-cooktop-black.html" TargetMode="External"/><Relationship Id="rId13" Type="http://schemas.openxmlformats.org/officeDocument/2006/relationships/hyperlink" Target="https://delivery.bunningscontenthub.bunnings.com.au/api/public/content/7445039fd92e45388af7ad7f8d673b3a?v=05b7bd4e" TargetMode="External"/><Relationship Id="rId18" Type="http://schemas.openxmlformats.org/officeDocument/2006/relationships/hyperlink" Target="https://www.consumer.org.nz/articles/heat-pump-installation-and-costs" TargetMode="External"/><Relationship Id="rId39" Type="http://schemas.openxmlformats.org/officeDocument/2006/relationships/hyperlink" Target="https://kent.co.nz/product/aspiring-wood-fire/" TargetMode="External"/><Relationship Id="rId109" Type="http://schemas.openxmlformats.org/officeDocument/2006/relationships/hyperlink" Target="https://aucklandplumbersgroup.co.nz/shop/thermann-26/" TargetMode="External"/><Relationship Id="rId34" Type="http://schemas.openxmlformats.org/officeDocument/2006/relationships/hyperlink" Target="https://www.plumbingplus.co.nz/products/rinnai-energysaver-1005ft-gas-heater/" TargetMode="External"/><Relationship Id="rId50" Type="http://schemas.openxmlformats.org/officeDocument/2006/relationships/hyperlink" Target="https://hotwatersolutions.nz/product/thermann-cylinder-180l/" TargetMode="External"/><Relationship Id="rId55" Type="http://schemas.openxmlformats.org/officeDocument/2006/relationships/hyperlink" Target="https://www.mitre10.co.nz/shop/enamel-mains-pressure-indoor/outdoor-hot-water-cylinder/p/319972" TargetMode="External"/><Relationship Id="rId76" Type="http://schemas.openxmlformats.org/officeDocument/2006/relationships/hyperlink" Target="https://hotwatershop.co.nz/product/es190-heat-pump-hot-water-cylinder/" TargetMode="External"/><Relationship Id="rId97" Type="http://schemas.openxmlformats.org/officeDocument/2006/relationships/hyperlink" Target="https://www.plumbingplus.co.nz/products/rheem-20l-gas-continuous-flow-external-water-heater/" TargetMode="External"/><Relationship Id="rId104" Type="http://schemas.openxmlformats.org/officeDocument/2006/relationships/hyperlink" Target="https://hotwatersolutions.nz/product/rinnai-infinity-gas-26/" TargetMode="External"/><Relationship Id="rId120" Type="http://schemas.openxmlformats.org/officeDocument/2006/relationships/hyperlink" Target="https://www.harveynorman.co.nz/whiteware/kitchen/cooktops/fisher-and-paykel-60cm-4-burner-lpg-gas-cooktop-stainless-steel-series-5-cg604clpx2.html" TargetMode="External"/><Relationship Id="rId125" Type="http://schemas.openxmlformats.org/officeDocument/2006/relationships/hyperlink" Target="https://www.bunnings.co.nz/everdure-600mm-stainless-steel-gas-cooktop_p0276157" TargetMode="External"/><Relationship Id="rId141" Type="http://schemas.openxmlformats.org/officeDocument/2006/relationships/hyperlink" Target="https://www.harveynorman.co.nz/whiteware/kitchen/cooktops/whirlpool-65cm-4-zone-built-in-induction-cooktop-black-wss8865nep.html" TargetMode="External"/><Relationship Id="rId146" Type="http://schemas.openxmlformats.org/officeDocument/2006/relationships/hyperlink" Target="https://www.bunnings.co.nz/parmco-600mm-induction-hob_p0092935" TargetMode="External"/><Relationship Id="rId7" Type="http://schemas.openxmlformats.org/officeDocument/2006/relationships/hyperlink" Target="https://www.consumer.org.nz/articles/heat-pump-installation-and-costs" TargetMode="External"/><Relationship Id="rId71" Type="http://schemas.openxmlformats.org/officeDocument/2006/relationships/hyperlink" Target="https://hotwatersolutions.nz/product/stiebel-eltron-heat-pump-hot-water-220l/" TargetMode="External"/><Relationship Id="rId92" Type="http://schemas.openxmlformats.org/officeDocument/2006/relationships/hyperlink" Target="https://www.bunnings.co.nz/rheem-27l-natural-gas-continuous-flow-external-water-heater_p0289093" TargetMode="External"/><Relationship Id="rId2" Type="http://schemas.openxmlformats.org/officeDocument/2006/relationships/hyperlink" Target="https://delivery.bunningscontenthub.bunnings.com.au/api/public/content/7445039fd92e45388af7ad7f8d673b3a?v=05b7bd4e" TargetMode="External"/><Relationship Id="rId29" Type="http://schemas.openxmlformats.org/officeDocument/2006/relationships/hyperlink" Target="https://www.mitre10.co.nz/shop/flued-gas-heater-ng/p/166380" TargetMode="External"/><Relationship Id="rId24" Type="http://schemas.openxmlformats.org/officeDocument/2006/relationships/hyperlink" Target="https://www.placemakers.co.nz/online/p/7729292" TargetMode="External"/><Relationship Id="rId40" Type="http://schemas.openxmlformats.org/officeDocument/2006/relationships/hyperlink" Target="https://www.mitre10.co.nz/shop/metrofires-xtreme-rad-wood-fire/p/280158" TargetMode="External"/><Relationship Id="rId45" Type="http://schemas.openxmlformats.org/officeDocument/2006/relationships/hyperlink" Target="https://www.mitre10.co.nz/shop/masport-flue-kit-for-wood-fires/p/269962" TargetMode="External"/><Relationship Id="rId66" Type="http://schemas.openxmlformats.org/officeDocument/2006/relationships/hyperlink" Target="https://www.plumbingplus.co.nz/products/rheem-300l-optima-mains-pressure-electric-water-heater/" TargetMode="External"/><Relationship Id="rId87" Type="http://schemas.openxmlformats.org/officeDocument/2006/relationships/hyperlink" Target="https://hotwatersolutions.nz/product/thermann-gas-26r/" TargetMode="External"/><Relationship Id="rId110" Type="http://schemas.openxmlformats.org/officeDocument/2006/relationships/hyperlink" Target="https://www.bunnings.co.nz/rheem-lpg-gas-continuous-flow-water-heater-external-20l_p0580419" TargetMode="External"/><Relationship Id="rId115" Type="http://schemas.openxmlformats.org/officeDocument/2006/relationships/hyperlink" Target="https://www.plumbingplus.co.nz/products/rheem-27l-gas-continuous-flow-external-water-heater/" TargetMode="External"/><Relationship Id="rId131" Type="http://schemas.openxmlformats.org/officeDocument/2006/relationships/hyperlink" Target="https://www.harveynorman.co.nz/whiteware/kitchen/cooktops/aeg-60cm-ceramic-cooktop.html" TargetMode="External"/><Relationship Id="rId136" Type="http://schemas.openxmlformats.org/officeDocument/2006/relationships/hyperlink" Target="https://www.bunnings.co.nz/everdure-600mm-black-ceramic-cooktop_p0229901" TargetMode="External"/><Relationship Id="rId61" Type="http://schemas.openxmlformats.org/officeDocument/2006/relationships/hyperlink" Target="https://hotwatersolutions.nz/product/rheem-cylinder-250l-ve/" TargetMode="External"/><Relationship Id="rId82" Type="http://schemas.openxmlformats.org/officeDocument/2006/relationships/hyperlink" Target="https://hotwatersolutions.nz/product/rheem-gas-20/" TargetMode="External"/><Relationship Id="rId19" Type="http://schemas.openxmlformats.org/officeDocument/2006/relationships/hyperlink" Target="https://www.kiwiheatpump.co.nz/product/daikin-cora-ftxm60uvmz-7-3kw-heat-pumpair-conditioner/" TargetMode="External"/><Relationship Id="rId14" Type="http://schemas.openxmlformats.org/officeDocument/2006/relationships/hyperlink" Target="https://delivery.bunningscontenthub.bunnings.com.au/api/public/content/7445039fd92e45388af7ad7f8d673b3a?v=05b7bd4e" TargetMode="External"/><Relationship Id="rId30" Type="http://schemas.openxmlformats.org/officeDocument/2006/relationships/hyperlink" Target="https://www.consumer.org.nz/articles/flued-gas-heaters" TargetMode="External"/><Relationship Id="rId35" Type="http://schemas.openxmlformats.org/officeDocument/2006/relationships/hyperlink" Target="https://www.consumer.org.nz/articles/flued-gas-heaters" TargetMode="External"/><Relationship Id="rId56" Type="http://schemas.openxmlformats.org/officeDocument/2006/relationships/hyperlink" Target="https://hotwatershop.co.nz/product/dux-proflow-180l-outdoor-mains-pressure-cylinder-1697-x-492/" TargetMode="External"/><Relationship Id="rId77" Type="http://schemas.openxmlformats.org/officeDocument/2006/relationships/hyperlink" Target="https://hotwatershop.co.nz/product/econergy-hp4000lt-heat-pump-water-heater/" TargetMode="External"/><Relationship Id="rId100" Type="http://schemas.openxmlformats.org/officeDocument/2006/relationships/hyperlink" Target="https://hotwatersolutions.nz/product/rheem-gas-16/" TargetMode="External"/><Relationship Id="rId105" Type="http://schemas.openxmlformats.org/officeDocument/2006/relationships/hyperlink" Target="https://hotwatersolutions.nz/product/thermann-gas-17r/" TargetMode="External"/><Relationship Id="rId126" Type="http://schemas.openxmlformats.org/officeDocument/2006/relationships/hyperlink" Target="https://www.bunnings.co.nz/parmco-600mm-stainless-steel-gas-hob_p0224738" TargetMode="External"/><Relationship Id="rId147" Type="http://schemas.openxmlformats.org/officeDocument/2006/relationships/hyperlink" Target="https://www.bunnings.co.nz/bellini-60cm-induction-cooktop_p0376105" TargetMode="External"/><Relationship Id="rId8" Type="http://schemas.openxmlformats.org/officeDocument/2006/relationships/hyperlink" Target="https://www.kiwiheatpump.co.nz/product/daikin-cora-ftxm35uvmz-2-8kw-heat-pumpair-conditioner/" TargetMode="External"/><Relationship Id="rId51" Type="http://schemas.openxmlformats.org/officeDocument/2006/relationships/hyperlink" Target="https://hotwatersolutions.nz/product/protank-plus-cylinder-185l/" TargetMode="External"/><Relationship Id="rId72" Type="http://schemas.openxmlformats.org/officeDocument/2006/relationships/hyperlink" Target="https://hotwatersolutions.nz/product/stiebel-eltron-heat-pump-hot-water-302l/" TargetMode="External"/><Relationship Id="rId93" Type="http://schemas.openxmlformats.org/officeDocument/2006/relationships/hyperlink" Target="https://www.mitre10.co.nz/shop/continuous-flow-gas-water-heater/p/347524" TargetMode="External"/><Relationship Id="rId98" Type="http://schemas.openxmlformats.org/officeDocument/2006/relationships/hyperlink" Target="https://www.plumbingplus.co.nz/products/rheem-27l-gas-continuous-flow-external-water-heater/" TargetMode="External"/><Relationship Id="rId121" Type="http://schemas.openxmlformats.org/officeDocument/2006/relationships/hyperlink" Target="https://www.harveynorman.co.nz/whiteware/kitchen/cooktops/haier-gas-cooktop.html" TargetMode="External"/><Relationship Id="rId142" Type="http://schemas.openxmlformats.org/officeDocument/2006/relationships/hyperlink" Target="https://www.harveynorman.co.nz/whiteware/kitchen/cooktops/whirlpool-65cm-3-zone-electric-induction-cooktop-black-smc653fbtixl.html" TargetMode="External"/><Relationship Id="rId3" Type="http://schemas.openxmlformats.org/officeDocument/2006/relationships/hyperlink" Target="https://delivery.bunningscontenthub.bunnings.com.au/api/public/content/7445039fd92e45388af7ad7f8d673b3a?v=05b7bd4e" TargetMode="External"/><Relationship Id="rId25" Type="http://schemas.openxmlformats.org/officeDocument/2006/relationships/hyperlink" Target="https://www.placemakers.co.nz/online/p/7758936" TargetMode="External"/><Relationship Id="rId46" Type="http://schemas.openxmlformats.org/officeDocument/2006/relationships/hyperlink" Target="https://www.mitre10.co.nz/shop/woodsman-heatsaver-flue-kit-w/1200-heat-shield/p/232676" TargetMode="External"/><Relationship Id="rId67" Type="http://schemas.openxmlformats.org/officeDocument/2006/relationships/hyperlink" Target="https://www.plumbingplus.co.nz/products/dux-water-heaters-dux-hot-water-cylinder-250l/" TargetMode="External"/><Relationship Id="rId116" Type="http://schemas.openxmlformats.org/officeDocument/2006/relationships/hyperlink" Target="https://www.plumbingplus.co.nz/products/dux-water-heaters-dux-non-condensing-flow-unit-21l/" TargetMode="External"/><Relationship Id="rId137" Type="http://schemas.openxmlformats.org/officeDocument/2006/relationships/hyperlink" Target="https://www.bunnings.co.nz/parmco-600mm-cooktop_p0074068" TargetMode="External"/><Relationship Id="rId20" Type="http://schemas.openxmlformats.org/officeDocument/2006/relationships/hyperlink" Target="https://www.placemakers.co.nz/online/p/7765327" TargetMode="External"/><Relationship Id="rId41" Type="http://schemas.openxmlformats.org/officeDocument/2006/relationships/hyperlink" Target="https://metrofires.co.nz/products/fires/indoor-fires/freestanding-fires/rad-plus/" TargetMode="External"/><Relationship Id="rId62" Type="http://schemas.openxmlformats.org/officeDocument/2006/relationships/hyperlink" Target="https://hotwatersolutions.nz/product/rheem-cylinder-300l-ss/" TargetMode="External"/><Relationship Id="rId83" Type="http://schemas.openxmlformats.org/officeDocument/2006/relationships/hyperlink" Target="https://hotwatersolutions.nz/product/rheem-gas-26/" TargetMode="External"/><Relationship Id="rId88" Type="http://schemas.openxmlformats.org/officeDocument/2006/relationships/hyperlink" Target="https://hotwatersolutions.nz/product/thermann-gas-32r/" TargetMode="External"/><Relationship Id="rId111" Type="http://schemas.openxmlformats.org/officeDocument/2006/relationships/hyperlink" Target="https://www.bunnings.co.nz/rheem-27l-lpg-gas-continuous-flow-external-water-heater_p0269920" TargetMode="External"/><Relationship Id="rId132" Type="http://schemas.openxmlformats.org/officeDocument/2006/relationships/hyperlink" Target="https://www.harveynorman.co.nz/whiteware/kitchen/cooktops/whirlpool-60cm-ceramic-cooktop-en.html" TargetMode="External"/><Relationship Id="rId15" Type="http://schemas.openxmlformats.org/officeDocument/2006/relationships/hyperlink" Target="https://delivery.bunningscontenthub.bunnings.com.au/api/public/content/7445039fd92e45388af7ad7f8d673b3a?v=05b7bd4e" TargetMode="External"/><Relationship Id="rId36" Type="http://schemas.openxmlformats.org/officeDocument/2006/relationships/hyperlink" Target="https://www.placemakers.co.nz/online/p/3801681" TargetMode="External"/><Relationship Id="rId57" Type="http://schemas.openxmlformats.org/officeDocument/2006/relationships/hyperlink" Target="https://hotwatershop.co.nz/product/rheem180l-hot-water-system-installation-all-inclusive/" TargetMode="External"/><Relationship Id="rId106" Type="http://schemas.openxmlformats.org/officeDocument/2006/relationships/hyperlink" Target="https://hotwatersolutions.nz/product/thermann-gas-26r/" TargetMode="External"/><Relationship Id="rId127" Type="http://schemas.openxmlformats.org/officeDocument/2006/relationships/hyperlink" Target="https://www.jvsgasfitting.co.nz/gas-cooking" TargetMode="External"/><Relationship Id="rId10" Type="http://schemas.openxmlformats.org/officeDocument/2006/relationships/hyperlink" Target="https://www.placemakers.co.nz/online/p/7729378" TargetMode="External"/><Relationship Id="rId31" Type="http://schemas.openxmlformats.org/officeDocument/2006/relationships/hyperlink" Target="https://www.placemakers.co.nz/online/p/3801266" TargetMode="External"/><Relationship Id="rId52" Type="http://schemas.openxmlformats.org/officeDocument/2006/relationships/hyperlink" Target="https://aucklandplumbersgroup.co.nz/shop/thermann-180l-hwc-upgrade/" TargetMode="External"/><Relationship Id="rId73" Type="http://schemas.openxmlformats.org/officeDocument/2006/relationships/hyperlink" Target="https://hotwatersolutions.nz/product/ecospring-heat-pump-hot-water-190l/" TargetMode="External"/><Relationship Id="rId78" Type="http://schemas.openxmlformats.org/officeDocument/2006/relationships/hyperlink" Target="https://hotwatershop.co.nz/product/stiebel-eltron-220l-hot-water-heat-pump-690-1553mm/" TargetMode="External"/><Relationship Id="rId94" Type="http://schemas.openxmlformats.org/officeDocument/2006/relationships/hyperlink" Target="https://hotwatershop.co.nz/product/rinnai-hot-water-unit-a16l/" TargetMode="External"/><Relationship Id="rId99" Type="http://schemas.openxmlformats.org/officeDocument/2006/relationships/hyperlink" Target="https://www.plumbingplus.co.nz/products/dux-water-heaters-dux-non-condensing-flow-unit-21l/" TargetMode="External"/><Relationship Id="rId101" Type="http://schemas.openxmlformats.org/officeDocument/2006/relationships/hyperlink" Target="https://hotwatersolutions.nz/product/rheem-gas-20/" TargetMode="External"/><Relationship Id="rId122" Type="http://schemas.openxmlformats.org/officeDocument/2006/relationships/hyperlink" Target="https://www.harveynorman.co.nz/whiteware/kitchen/cooktops/miele-60cm-gas-cooktop.html" TargetMode="External"/><Relationship Id="rId143" Type="http://schemas.openxmlformats.org/officeDocument/2006/relationships/hyperlink" Target="https://www.harveynorman.co.nz/whiteware/kitchen/cooktops/aeg-60cm-4-zone-induction-cooktop-black-ipe64551fb.html" TargetMode="External"/><Relationship Id="rId148" Type="http://schemas.openxmlformats.org/officeDocument/2006/relationships/drawing" Target="../drawings/drawing8.xml"/><Relationship Id="rId4" Type="http://schemas.openxmlformats.org/officeDocument/2006/relationships/hyperlink" Target="https://delivery.bunningscontenthub.bunnings.com.au/api/public/content/7445039fd92e45388af7ad7f8d673b3a?v=05b7bd4e" TargetMode="External"/><Relationship Id="rId9" Type="http://schemas.openxmlformats.org/officeDocument/2006/relationships/hyperlink" Target="https://www.placemakers.co.nz/online/p/7729288" TargetMode="External"/><Relationship Id="rId26" Type="http://schemas.openxmlformats.org/officeDocument/2006/relationships/hyperlink" Target="https://www.kiwiheatpump.co.nz/product/fujitsu-astg18kmcb-6-0kw-wifi-heat-pump-air-conditioner/" TargetMode="External"/><Relationship Id="rId47" Type="http://schemas.openxmlformats.org/officeDocument/2006/relationships/hyperlink" Target="https://www.mitre10.co.nz/shop/metrofires-eco-flue-kit---galvanised-liner/p/319881" TargetMode="External"/><Relationship Id="rId68" Type="http://schemas.openxmlformats.org/officeDocument/2006/relationships/hyperlink" Target="https://hotwatersolutions.nz/product/enviroheat-heat-pump-hot-water-200l/" TargetMode="External"/><Relationship Id="rId89" Type="http://schemas.openxmlformats.org/officeDocument/2006/relationships/hyperlink" Target="https://aucklandplumbersgroup.co.nz/shop/rinnai-infinity/" TargetMode="External"/><Relationship Id="rId112" Type="http://schemas.openxmlformats.org/officeDocument/2006/relationships/hyperlink" Target="https://www.mitre10.co.nz/shop/lpg-continuous-flow-external-gas-hot-water-heater/p/327929" TargetMode="External"/><Relationship Id="rId133" Type="http://schemas.openxmlformats.org/officeDocument/2006/relationships/hyperlink" Target="https://www.harveynorman.co.nz/whiteware/kitchen/cooktops/fisher-and-paykel-60cm-4-zoneceramic-cooktop-black-series-5-ce604dtb1.html" TargetMode="External"/><Relationship Id="rId16" Type="http://schemas.openxmlformats.org/officeDocument/2006/relationships/hyperlink" Target="https://delivery.bunningscontenthub.bunnings.com.au/api/public/content/7445039fd92e45388af7ad7f8d673b3a?v=05b7bd4e" TargetMode="External"/><Relationship Id="rId37" Type="http://schemas.openxmlformats.org/officeDocument/2006/relationships/hyperlink" Target="https://www.placemakers.co.nz/online/p/3800354" TargetMode="External"/><Relationship Id="rId58" Type="http://schemas.openxmlformats.org/officeDocument/2006/relationships/hyperlink" Target="https://www.plumbingplus.co.nz/products/rheem-180l-mains-pressure-vitreous-enamel-electric-water-heater/" TargetMode="External"/><Relationship Id="rId79" Type="http://schemas.openxmlformats.org/officeDocument/2006/relationships/hyperlink" Target="https://www.plumbingplus.co.nz/products/parex-ecospring-190-litre-hot-water-heat-pump/" TargetMode="External"/><Relationship Id="rId102" Type="http://schemas.openxmlformats.org/officeDocument/2006/relationships/hyperlink" Target="https://hotwatersolutions.nz/product/rheem-gas-26/" TargetMode="External"/><Relationship Id="rId123" Type="http://schemas.openxmlformats.org/officeDocument/2006/relationships/hyperlink" Target="https://www.harveynorman.co.nz/whiteware/kitchen/cooktops/westinghouse-60cm-stainless-steel-gas-cooktop-en.html" TargetMode="External"/><Relationship Id="rId144" Type="http://schemas.openxmlformats.org/officeDocument/2006/relationships/hyperlink" Target="https://www.harveynorman.co.nz/whiteware/kitchen/cooktops/haier-60cm-induction-cooktop.html" TargetMode="External"/><Relationship Id="rId90" Type="http://schemas.openxmlformats.org/officeDocument/2006/relationships/hyperlink" Target="https://aucklandplumbersgroup.co.nz/shop/thermann-26/"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opendata-nzta.opendata.arcgis.com/documents/open-data-catalogue/about" TargetMode="External"/><Relationship Id="rId2" Type="http://schemas.openxmlformats.org/officeDocument/2006/relationships/hyperlink" Target="https://www.nzta.govt.nz/resources/new-zealand-motor-vehicle-register-statistics/national-vehicle-fleet-status/" TargetMode="External"/><Relationship Id="rId1" Type="http://schemas.openxmlformats.org/officeDocument/2006/relationships/hyperlink" Target="https://www.eeca.govt.nz/insights/data-tools/energy-end-use-database/" TargetMode="External"/><Relationship Id="rId6" Type="http://schemas.openxmlformats.org/officeDocument/2006/relationships/drawing" Target="../drawings/drawing9.xml"/><Relationship Id="rId5" Type="http://schemas.openxmlformats.org/officeDocument/2006/relationships/hyperlink" Target="https://publications.anl.gov/anlpubs/2021/05/167399.pdf" TargetMode="External"/><Relationship Id="rId4" Type="http://schemas.openxmlformats.org/officeDocument/2006/relationships/hyperlink" Target="https://www.mia.org.nz/Sales-Data/Vehicle-Sales"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hyperlink" Target="https://docs.google.com/spreadsheets/d/114kQR3TnN270c-BAyV-WoKSx4zAJe8gqX-oDuYpe_VQ/edit"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rbnz.govt.nz/statistics/series/exchange-and-interest-rates/new-residential-mortgage-standard-interest-rates"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hyperlink" Target="https://infoshare.stats.govt.nz/ViewTable.aspx?pxID=69b8d25e-e21f-4b14-b89a-10c79ac1ffb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https://nzdotstat.stats.govt.nz/OECDStat_Metadata/ShowMetadata.ashx?Dataset=TABLECODE7480&amp;Coords=%5bMEASURE%5d.%5bAV_INC_ALL_SOUR%5d&amp;ShowOnWeb=true&amp;Lang=en" TargetMode="External"/><Relationship Id="rId13" Type="http://schemas.openxmlformats.org/officeDocument/2006/relationships/hyperlink" Target="https://nzdotstat.stats.govt.nz/OECDStat_Metadata/ShowMetadata.ashx?Dataset=TABLECODE7480&amp;Coords=%5bMEASURE%5d.%5bMED_INC_ALL_SOUR%5d&amp;ShowOnWeb=true&amp;Lang=en" TargetMode="External"/><Relationship Id="rId18" Type="http://schemas.openxmlformats.org/officeDocument/2006/relationships/hyperlink" Target="https://nzdotstat.stats.govt.nz/OECDStat_Metadata/ShowMetadata.ashx?Dataset=TABLECODE8430&amp;Coords=%5bTENHOUSE%5d&amp;ShowOnWeb=true&amp;Lang=en" TargetMode="External"/><Relationship Id="rId3" Type="http://schemas.openxmlformats.org/officeDocument/2006/relationships/hyperlink" Target="https://nzdotstat.stats.govt.nz/OECDStat_Metadata/ShowMetadata.ashx?Dataset=TABLECODE8375&amp;Coords=%5bNUMBERUSUALRES%5d&amp;ShowOnWeb=true&amp;Lang=en" TargetMode="External"/><Relationship Id="rId7" Type="http://schemas.openxmlformats.org/officeDocument/2006/relationships/hyperlink" Target="https://nzdotstat.stats.govt.nz/OECDStat_Metadata/ShowMetadata.ashx?Dataset=TABLECODE7480&amp;Coords=%5bMEASURE%5d.%5bMED_INC_ALL_SOUR%5d&amp;ShowOnWeb=true&amp;Lang=en" TargetMode="External"/><Relationship Id="rId12" Type="http://schemas.openxmlformats.org/officeDocument/2006/relationships/hyperlink" Target="https://nzdotstat.stats.govt.nz/OECDStat_Metadata/ShowMetadata.ashx?Dataset=TABLECODE7480&amp;Coords=%5bMEASURE%5d.%5bAV_INC_ALL_SOUR%5d&amp;ShowOnWeb=true&amp;Lang=en" TargetMode="External"/><Relationship Id="rId17" Type="http://schemas.openxmlformats.org/officeDocument/2006/relationships/hyperlink" Target="https://nzdotstat.stats.govt.nz/OECDStat_Metadata/ShowMetadata.ashx?Dataset=TABLECODE8430&amp;Coords=%5bNUMBERVEHICLES%5d&amp;ShowOnWeb=true&amp;Lang=en" TargetMode="External"/><Relationship Id="rId2" Type="http://schemas.openxmlformats.org/officeDocument/2006/relationships/hyperlink" Target="https://nzdotstat.stats.govt.nz/OECDStat_Metadata/ShowMetadata.ashx?Dataset=TABLECODE8375&amp;ShowOnWeb=true&amp;Lang=en" TargetMode="External"/><Relationship Id="rId16" Type="http://schemas.openxmlformats.org/officeDocument/2006/relationships/hyperlink" Target="https://nzdotstat.stats.govt.nz/wbos" TargetMode="External"/><Relationship Id="rId20" Type="http://schemas.openxmlformats.org/officeDocument/2006/relationships/hyperlink" Target="https://nzdotstat.stats.govt.nz/OECDStat_Metadata/ShowMetadata.ashx?Dataset=TABLECODE8430&amp;Coords=%5bAREA%5d.%5b18%5d&amp;ShowOnWeb=true&amp;Lang=en" TargetMode="External"/><Relationship Id="rId1" Type="http://schemas.openxmlformats.org/officeDocument/2006/relationships/hyperlink" Target="https://nzdotstat.stats.govt.nz/OECDStat_Metadata/ShowMetadata.ashx?Dataset=TABLECODE8375&amp;ShowOnWeb=true&amp;Lang=en" TargetMode="External"/><Relationship Id="rId6" Type="http://schemas.openxmlformats.org/officeDocument/2006/relationships/hyperlink" Target="https://nzdotstat.stats.govt.nz/OECDStat_Metadata/ShowMetadata.ashx?Dataset=TABLECODE7480&amp;Coords=%5bMEASURE%5d.%5bAV_INC_ALL_SOUR%5d&amp;ShowOnWeb=true&amp;Lang=en" TargetMode="External"/><Relationship Id="rId11" Type="http://schemas.openxmlformats.org/officeDocument/2006/relationships/hyperlink" Target="https://nzdotstat.stats.govt.nz/OECDStat_Metadata/ShowMetadata.ashx?Dataset=TABLECODE7480&amp;Coords=%5bMEASURE%5d.%5bMED_INC_ALL_SOUR%5d&amp;ShowOnWeb=true&amp;Lang=en" TargetMode="External"/><Relationship Id="rId5" Type="http://schemas.openxmlformats.org/officeDocument/2006/relationships/hyperlink" Target="https://nzdotstat.stats.govt.nz/OECDStat_Metadata/ShowMetadata.ashx?Dataset=TABLECODE7480&amp;Coords=%5bMEASURE%5d.%5bMED_INC_ALL_SOUR%5d&amp;ShowOnWeb=true&amp;Lang=en" TargetMode="External"/><Relationship Id="rId15" Type="http://schemas.openxmlformats.org/officeDocument/2006/relationships/hyperlink" Target="https://nzdotstat.stats.govt.nz/OECDStat_Metadata/ShowMetadata.ashx?Dataset=TABLECODE8375&amp;Coords=%5bAREA%5d.%5b18%5d&amp;ShowOnWeb=true&amp;Lang=en" TargetMode="External"/><Relationship Id="rId10" Type="http://schemas.openxmlformats.org/officeDocument/2006/relationships/hyperlink" Target="https://nzdotstat.stats.govt.nz/OECDStat_Metadata/ShowMetadata.ashx?Dataset=TABLECODE7480&amp;Coords=%5bMEASURE%5d.%5bAV_INC_ALL_SOUR%5d&amp;ShowOnWeb=true&amp;Lang=en" TargetMode="External"/><Relationship Id="rId19" Type="http://schemas.openxmlformats.org/officeDocument/2006/relationships/hyperlink" Target="https://nzdotstat.stats.govt.nz/OECDStat_Metadata/ShowMetadata.ashx?Dataset=TABLECODE8430&amp;Coords=%5bAREA%5d&amp;ShowOnWeb=true&amp;Lang=en" TargetMode="External"/><Relationship Id="rId4" Type="http://schemas.openxmlformats.org/officeDocument/2006/relationships/hyperlink" Target="https://nzdotstat.stats.govt.nz/OECDStat_Metadata/ShowMetadata.ashx?Dataset=TABLECODE7480&amp;Coords=%5bMEASURE%5d.%5bAV_INC_ALL_SOUR%5d&amp;ShowOnWeb=true&amp;Lang=en" TargetMode="External"/><Relationship Id="rId9" Type="http://schemas.openxmlformats.org/officeDocument/2006/relationships/hyperlink" Target="https://nzdotstat.stats.govt.nz/OECDStat_Metadata/ShowMetadata.ashx?Dataset=TABLECODE7480&amp;Coords=%5bMEASURE%5d.%5bMED_INC_ALL_SOUR%5d&amp;ShowOnWeb=true&amp;Lang=en" TargetMode="External"/><Relationship Id="rId14" Type="http://schemas.openxmlformats.org/officeDocument/2006/relationships/hyperlink" Target="https://nzdotstat.stats.govt.nz/OECDStat_Metadata/ShowMetadata.ashx?Dataset=TABLECODE7480&amp;Coords=%5bMEASURE%5d.%5bAV_INC_ALL_SOUR%5d&amp;ShowOnWeb=true&amp;Lang=en"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nzdotstat.stats.govt.nz/OECDStat_Metadata/ShowMetadata.ashx?Dataset=TABLECODE7553&amp;Coords=%5bDECILE%5d.%5b5%5d&amp;ShowOnWeb=true&amp;Lang=en" TargetMode="External"/><Relationship Id="rId13" Type="http://schemas.openxmlformats.org/officeDocument/2006/relationships/hyperlink" Target="https://nzdotstat.stats.govt.nz/OECDStat_Metadata/ShowMetadata.ashx?Dataset=TABLECODE7553&amp;Coords=%5bDECILE%5d.%5b10%5d&amp;ShowOnWeb=true&amp;Lang=en" TargetMode="External"/><Relationship Id="rId3" Type="http://schemas.openxmlformats.org/officeDocument/2006/relationships/hyperlink" Target="https://nzdotstat.stats.govt.nz/OECDStat_Metadata/ShowMetadata.ashx?Dataset=TABLECODE7553&amp;Coords=%5bDECILE%5d&amp;ShowOnWeb=true&amp;Lang=en" TargetMode="External"/><Relationship Id="rId7" Type="http://schemas.openxmlformats.org/officeDocument/2006/relationships/hyperlink" Target="https://nzdotstat.stats.govt.nz/OECDStat_Metadata/ShowMetadata.ashx?Dataset=TABLECODE7553&amp;Coords=%5bDECILE%5d.%5b4%5d&amp;ShowOnWeb=true&amp;Lang=en" TargetMode="External"/><Relationship Id="rId12" Type="http://schemas.openxmlformats.org/officeDocument/2006/relationships/hyperlink" Target="https://nzdotstat.stats.govt.nz/OECDStat_Metadata/ShowMetadata.ashx?Dataset=TABLECODE7553&amp;Coords=%5bDECILE%5d.%5b9%5d&amp;ShowOnWeb=true&amp;Lang=en" TargetMode="External"/><Relationship Id="rId2" Type="http://schemas.openxmlformats.org/officeDocument/2006/relationships/hyperlink" Target="https://nzdotstat.stats.govt.nz/OECDStat_Metadata/ShowMetadata.ashx?Dataset=TABLECODE7553&amp;Coords=%5bNZHEC_LEV%5d.%5b98%5d&amp;ShowOnWeb=true&amp;Lang=en" TargetMode="External"/><Relationship Id="rId1" Type="http://schemas.openxmlformats.org/officeDocument/2006/relationships/hyperlink" Target="https://nzdotstat.stats.govt.nz/OECDStat_Metadata/ShowMetadata.ashx?Dataset=TABLECODE7553&amp;Coords=%5bNZHEC_LEV%5d&amp;ShowOnWeb=true&amp;Lang=en" TargetMode="External"/><Relationship Id="rId6" Type="http://schemas.openxmlformats.org/officeDocument/2006/relationships/hyperlink" Target="https://nzdotstat.stats.govt.nz/OECDStat_Metadata/ShowMetadata.ashx?Dataset=TABLECODE7553&amp;Coords=%5bDECILE%5d.%5b3%5d&amp;ShowOnWeb=true&amp;Lang=en" TargetMode="External"/><Relationship Id="rId11" Type="http://schemas.openxmlformats.org/officeDocument/2006/relationships/hyperlink" Target="https://nzdotstat.stats.govt.nz/OECDStat_Metadata/ShowMetadata.ashx?Dataset=TABLECODE7553&amp;Coords=%5bDECILE%5d.%5b8%5d&amp;ShowOnWeb=true&amp;Lang=en" TargetMode="External"/><Relationship Id="rId5" Type="http://schemas.openxmlformats.org/officeDocument/2006/relationships/hyperlink" Target="https://nzdotstat.stats.govt.nz/OECDStat_Metadata/ShowMetadata.ashx?Dataset=TABLECODE7553&amp;Coords=%5bDECILE%5d.%5b2%5d&amp;ShowOnWeb=true&amp;Lang=en" TargetMode="External"/><Relationship Id="rId10" Type="http://schemas.openxmlformats.org/officeDocument/2006/relationships/hyperlink" Target="https://nzdotstat.stats.govt.nz/OECDStat_Metadata/ShowMetadata.ashx?Dataset=TABLECODE7553&amp;Coords=%5bDECILE%5d.%5b7%5d&amp;ShowOnWeb=true&amp;Lang=en" TargetMode="External"/><Relationship Id="rId4" Type="http://schemas.openxmlformats.org/officeDocument/2006/relationships/hyperlink" Target="https://nzdotstat.stats.govt.nz/OECDStat_Metadata/ShowMetadata.ashx?Dataset=TABLECODE7553&amp;Coords=%5bDECILE%5d.%5b1%5d&amp;ShowOnWeb=true&amp;Lang=en" TargetMode="External"/><Relationship Id="rId9" Type="http://schemas.openxmlformats.org/officeDocument/2006/relationships/hyperlink" Target="https://nzdotstat.stats.govt.nz/OECDStat_Metadata/ShowMetadata.ashx?Dataset=TABLECODE7553&amp;Coords=%5bDECILE%5d.%5b6%5d&amp;ShowOnWeb=true&amp;Lang=en"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7.xml.rels><?xml version="1.0" encoding="UTF-8" standalone="yes"?>
<Relationships xmlns="http://schemas.openxmlformats.org/package/2006/relationships"><Relationship Id="rId8" Type="http://schemas.openxmlformats.org/officeDocument/2006/relationships/hyperlink" Target="https://www.sciencedirect.com/science/article/pii/S0378778817323101" TargetMode="External"/><Relationship Id="rId3" Type="http://schemas.openxmlformats.org/officeDocument/2006/relationships/hyperlink" Target="https://www.transportenvironment.org/discover/how-clean-are-electric-cars/" TargetMode="External"/><Relationship Id="rId7" Type="http://schemas.openxmlformats.org/officeDocument/2006/relationships/hyperlink" Target="https://sustain.ubc.ca/sites/default/files/2020-26_Assessing_Embodied_Emissions_of_buildings_Tolia.pdf" TargetMode="External"/><Relationship Id="rId12" Type="http://schemas.openxmlformats.org/officeDocument/2006/relationships/drawing" Target="../drawings/drawing17.xml"/><Relationship Id="rId2" Type="http://schemas.openxmlformats.org/officeDocument/2006/relationships/hyperlink" Target="https://theicct.org/publication/effects-of-battery-manufacturing-on-electric-vehicle-life-cycle-greenhouse-gas-emissions/" TargetMode="External"/><Relationship Id="rId1" Type="http://schemas.openxmlformats.org/officeDocument/2006/relationships/hyperlink" Target="https://agrilink.co.nz/casestudy/life-cycle-assessment-nz-fuel-and-electricity/" TargetMode="External"/><Relationship Id="rId6" Type="http://schemas.openxmlformats.org/officeDocument/2006/relationships/hyperlink" Target="https://www.willmottdixon.co.uk/asset/17094" TargetMode="External"/><Relationship Id="rId11" Type="http://schemas.openxmlformats.org/officeDocument/2006/relationships/hyperlink" Target="https://environment.govt.nz/assets/publications/Measuring-Emissions-Guidance_DetailedGuide_2023_ME1764.pdf" TargetMode="External"/><Relationship Id="rId5" Type="http://schemas.openxmlformats.org/officeDocument/2006/relationships/hyperlink" Target="https://circularecology.com/solar-pv-embodied-carbon.html" TargetMode="External"/><Relationship Id="rId10" Type="http://schemas.openxmlformats.org/officeDocument/2006/relationships/hyperlink" Target="https://www.ncbi.nlm.nih.gov/pmc/articles/PMC10550614/" TargetMode="External"/><Relationship Id="rId4" Type="http://schemas.openxmlformats.org/officeDocument/2006/relationships/hyperlink" Target="https://www.tesla.com/ns_videos/2022-tesla-impact-report.pdf" TargetMode="External"/><Relationship Id="rId9" Type="http://schemas.openxmlformats.org/officeDocument/2006/relationships/hyperlink" Target="https://library.mitsubishielectric.co.uk/pdf/download_full/4851"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gasindustry.co.nz/data/gas-pricing/" TargetMode="External"/><Relationship Id="rId13" Type="http://schemas.openxmlformats.org/officeDocument/2006/relationships/hyperlink" Target="https://www.mbie.govt.nz/building-and-energy/energy-and-natural-resources/energy-statistics-and-modelling/energy-statistics/energy-prices/" TargetMode="External"/><Relationship Id="rId18" Type="http://schemas.openxmlformats.org/officeDocument/2006/relationships/hyperlink" Target="https://www.nrel.gov/state-local-tribal/blog/posts/stat-faqs-part2-lifetime-of-pv-panels.html" TargetMode="External"/><Relationship Id="rId3" Type="http://schemas.openxmlformats.org/officeDocument/2006/relationships/hyperlink" Target="https://www.ea.govt.nz/documents/3353/Gazette_Notice__Invoiced_levy_rates_2023-24.pdf" TargetMode="External"/><Relationship Id="rId7" Type="http://schemas.openxmlformats.org/officeDocument/2006/relationships/hyperlink" Target="https://www.mbie.govt.nz/building-and-energy/energy-and-natural-resources/energy-statistics-and-modelling/energy-statistics/energy-prices/" TargetMode="External"/><Relationship Id="rId12" Type="http://schemas.openxmlformats.org/officeDocument/2006/relationships/hyperlink" Target="https://www.cs.mcgill.ca/~rwest/wikispeedia/wpcd/wp/w/Wood_fuel.htm" TargetMode="External"/><Relationship Id="rId17" Type="http://schemas.openxmlformats.org/officeDocument/2006/relationships/hyperlink" Target="https://cdn.auckland.ac.nz/assets/business/about/our-research/research-institutes-and-centres/energy-centre/Working%20papers/Solar%20PV%20in%20a%20hydro%20based%20grid%20-A%20New%20Zealand%20case%20study.pdf" TargetMode="External"/><Relationship Id="rId2" Type="http://schemas.openxmlformats.org/officeDocument/2006/relationships/hyperlink" Target="https://www.ea.govt.nz/documents/3353/Gazette_Notice__Invoiced_levy_rates_2023-24.pdf" TargetMode="External"/><Relationship Id="rId16" Type="http://schemas.openxmlformats.org/officeDocument/2006/relationships/hyperlink" Target="https://www.eeca.govt.nz/assets/EECA-Resources/Research-papers-guides/Commercial-scale-solar-in-New-Zealand.pdf" TargetMode="External"/><Relationship Id="rId1" Type="http://schemas.openxmlformats.org/officeDocument/2006/relationships/hyperlink" Target="https://www.mbie.govt.nz/building-and-energy/energy-and-natural-resources/energy-statistics-and-modelling/energy-statistics/energy-prices/electricity-cost-and-price-monitoring/" TargetMode="External"/><Relationship Id="rId6" Type="http://schemas.openxmlformats.org/officeDocument/2006/relationships/hyperlink" Target="https://www.ea.govt.nz/your-power/bill/" TargetMode="External"/><Relationship Id="rId11" Type="http://schemas.openxmlformats.org/officeDocument/2006/relationships/hyperlink" Target="https://www.consumer.org.nz/articles/firewood" TargetMode="External"/><Relationship Id="rId5" Type="http://schemas.openxmlformats.org/officeDocument/2006/relationships/hyperlink" Target="https://www.mbie.govt.nz/assets/Uploads/Quarterly-Survey-of-Domestic-Electricity-Prices-QSDEP-15-November-2022.pdf" TargetMode="External"/><Relationship Id="rId15" Type="http://schemas.openxmlformats.org/officeDocument/2006/relationships/hyperlink" Target="https://www.mylpg.eu/stations/new-zealand/prices/" TargetMode="External"/><Relationship Id="rId10" Type="http://schemas.openxmlformats.org/officeDocument/2006/relationships/hyperlink" Target="https://www.genesisenergy.co.nz/for-home/products/explore-pricing/bottled-gas" TargetMode="External"/><Relationship Id="rId19" Type="http://schemas.openxmlformats.org/officeDocument/2006/relationships/drawing" Target="../drawings/drawing4.xml"/><Relationship Id="rId4" Type="http://schemas.openxmlformats.org/officeDocument/2006/relationships/hyperlink" Target="https://www.mbie.govt.nz/building-and-energy/energy-and-natural-resources/energy-statistics-and-modelling/energy-statistics/energy-prices/" TargetMode="External"/><Relationship Id="rId9" Type="http://schemas.openxmlformats.org/officeDocument/2006/relationships/hyperlink" Target="https://www.elgas.co.nz/resources/elgas-blog/148-how-long-do-45kg-gas-bottles-last-nz/" TargetMode="External"/><Relationship Id="rId14" Type="http://schemas.openxmlformats.org/officeDocument/2006/relationships/hyperlink" Target="https://www.mbie.govt.nz/building-and-energy/energy-and-natural-resources/energy-statistics-and-modelling/energy-statistics/energy-price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ourworldindata.org/grapher/solar-pv-prices" TargetMode="External"/><Relationship Id="rId1" Type="http://schemas.openxmlformats.org/officeDocument/2006/relationships/hyperlink" Target="https://ourworldindata.org/grapher/solar-pv-pric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environment.govt.nz/assets/Publications/Files/warm-homes-heating-options-phase1.pdf" TargetMode="External"/><Relationship Id="rId13" Type="http://schemas.openxmlformats.org/officeDocument/2006/relationships/hyperlink" Target="https://environment.govt.nz/assets/Publications/Files/warm-homes-heating-options-phase1.pdf" TargetMode="External"/><Relationship Id="rId18" Type="http://schemas.openxmlformats.org/officeDocument/2006/relationships/hyperlink" Target="https://www.energystar.gov/products/water_heaters/residential_water_heaters_key_product_criteria" TargetMode="External"/><Relationship Id="rId26" Type="http://schemas.openxmlformats.org/officeDocument/2006/relationships/hyperlink" Target="https://figure.nz/chart/vdTbdOaKUE9zTKo3" TargetMode="External"/><Relationship Id="rId3" Type="http://schemas.openxmlformats.org/officeDocument/2006/relationships/hyperlink" Target="https://environment.govt.nz/assets/Publications/Files/warm-homes-heating-options-phase1.pdf" TargetMode="External"/><Relationship Id="rId21" Type="http://schemas.openxmlformats.org/officeDocument/2006/relationships/hyperlink" Target="https://www.fueleconomy.gov/feg/atv-hev.shtml" TargetMode="External"/><Relationship Id="rId7" Type="http://schemas.openxmlformats.org/officeDocument/2006/relationships/hyperlink" Target="https://environment.govt.nz/assets/Publications/Files/warm-homes-heating-options-phase1.pdf" TargetMode="External"/><Relationship Id="rId12" Type="http://schemas.openxmlformats.org/officeDocument/2006/relationships/hyperlink" Target="https://environment.govt.nz/assets/Publications/Files/warm-homes-heating-options-phase1.pdf" TargetMode="External"/><Relationship Id="rId17" Type="http://schemas.openxmlformats.org/officeDocument/2006/relationships/hyperlink" Target="https://www.energystar.gov/products/water_heaters/residential_water_heaters_key_product_criteria" TargetMode="External"/><Relationship Id="rId25" Type="http://schemas.openxmlformats.org/officeDocument/2006/relationships/hyperlink" Target="https://d39d3mj7qio96p.cloudfront.net/media/documents/SR221_Energy_use_in_New_Zealand_Households_-_final_HEEP_report.pdf" TargetMode="External"/><Relationship Id="rId2" Type="http://schemas.openxmlformats.org/officeDocument/2006/relationships/hyperlink" Target="https://d39d3mj7qio96p.cloudfront.net/media/documents/SR329_Heat_pumps_in_New_Zealand.pdf" TargetMode="External"/><Relationship Id="rId16" Type="http://schemas.openxmlformats.org/officeDocument/2006/relationships/hyperlink" Target="https://www.energystar.gov/products/water_heaters/residential_water_heaters_key_product_criteria" TargetMode="External"/><Relationship Id="rId20" Type="http://schemas.openxmlformats.org/officeDocument/2006/relationships/hyperlink" Target="https://www.fueleconomy.gov/feg/atv.shtml" TargetMode="External"/><Relationship Id="rId1" Type="http://schemas.openxmlformats.org/officeDocument/2006/relationships/hyperlink" Target="https://infoshare.stats.govt.nz/ViewTable.aspx?pxID=11accfbe-f9f0-47da-88bd-6ff3925cdf91" TargetMode="External"/><Relationship Id="rId6" Type="http://schemas.openxmlformats.org/officeDocument/2006/relationships/hyperlink" Target="https://environment.govt.nz/assets/Publications/Files/warm-homes-heating-options-phase1.pdf" TargetMode="External"/><Relationship Id="rId11" Type="http://schemas.openxmlformats.org/officeDocument/2006/relationships/hyperlink" Target="https://environment.govt.nz/assets/Publications/Files/warm-homes-heating-options-phase1.pdf" TargetMode="External"/><Relationship Id="rId24" Type="http://schemas.openxmlformats.org/officeDocument/2006/relationships/hyperlink" Target="https://morningconsult.com/2022/02/14/gas-electric-stoves-consumers-poll/" TargetMode="External"/><Relationship Id="rId5" Type="http://schemas.openxmlformats.org/officeDocument/2006/relationships/hyperlink" Target="https://environment.govt.nz/assets/Publications/Files/warm-homes-heating-options-phase1.pdf" TargetMode="External"/><Relationship Id="rId15" Type="http://schemas.openxmlformats.org/officeDocument/2006/relationships/hyperlink" Target="https://www.energystar.gov/products/water_heaters/residential_water_heaters_key_product_criteria" TargetMode="External"/><Relationship Id="rId23" Type="http://schemas.openxmlformats.org/officeDocument/2006/relationships/hyperlink" Target="https://www.researchgate.net/publication/312303758_Opportunities_for_Waste_Heat_Recovery_at_Contingency_Bases" TargetMode="External"/><Relationship Id="rId28" Type="http://schemas.openxmlformats.org/officeDocument/2006/relationships/drawing" Target="../drawings/drawing6.xml"/><Relationship Id="rId10" Type="http://schemas.openxmlformats.org/officeDocument/2006/relationships/hyperlink" Target="https://environment.govt.nz/assets/Publications/Files/warm-homes-heating-options-phase1.pdf" TargetMode="External"/><Relationship Id="rId19" Type="http://schemas.openxmlformats.org/officeDocument/2006/relationships/hyperlink" Target="https://cao-94612.s3.amazonaws.com/documents/Induction-Range-Final-Report-July-2019.pdf" TargetMode="External"/><Relationship Id="rId4" Type="http://schemas.openxmlformats.org/officeDocument/2006/relationships/hyperlink" Target="https://environment.govt.nz/assets/Publications/Files/warm-homes-heating-options-phase1.pdf" TargetMode="External"/><Relationship Id="rId9" Type="http://schemas.openxmlformats.org/officeDocument/2006/relationships/hyperlink" Target="https://environment.govt.nz/assets/Publications/Files/warm-homes-heating-options-phase1.pdf" TargetMode="External"/><Relationship Id="rId14" Type="http://schemas.openxmlformats.org/officeDocument/2006/relationships/hyperlink" Target="https://www.energystar.gov/products/water_heaters/residential_water_heaters_key_product_criteria" TargetMode="External"/><Relationship Id="rId22" Type="http://schemas.openxmlformats.org/officeDocument/2006/relationships/hyperlink" Target="https://www.fueleconomy.gov/feg/atv-ev.shtml" TargetMode="External"/><Relationship Id="rId27" Type="http://schemas.openxmlformats.org/officeDocument/2006/relationships/hyperlink" Target="https://infoshare.stats.govt.nz/ViewTable.aspx?pxID=11accfbe-f9f0-47da-88bd-6ff3925cdf9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iea.org/data-and-statistics/charts/cumulative-capacity-and-capital-cost-learning-curve-for-vapour-compression-applications-in-the-sustainable-development-scenario-2019-2070" TargetMode="External"/><Relationship Id="rId7" Type="http://schemas.openxmlformats.org/officeDocument/2006/relationships/drawing" Target="../drawings/drawing7.xml"/><Relationship Id="rId2" Type="http://schemas.openxmlformats.org/officeDocument/2006/relationships/hyperlink" Target="https://www.transportenvironment.org/sites/te/files/publications/2021_05_05_Electric_vehicle_price_parity_and_adoption_in_Europe_Final.pdf" TargetMode="External"/><Relationship Id="rId1" Type="http://schemas.openxmlformats.org/officeDocument/2006/relationships/hyperlink" Target="https://atb.nrel.gov/electricity/2023/residential_pv" TargetMode="External"/><Relationship Id="rId6" Type="http://schemas.openxmlformats.org/officeDocument/2006/relationships/hyperlink" Target="https://ourworldindata.org/grapher/solar-pv-prices" TargetMode="External"/><Relationship Id="rId5" Type="http://schemas.openxmlformats.org/officeDocument/2006/relationships/hyperlink" Target="https://atb.nrel.gov/electricity/2023/residential_pv" TargetMode="External"/><Relationship Id="rId4" Type="http://schemas.openxmlformats.org/officeDocument/2006/relationships/hyperlink" Target="https://atb.nrel.gov/electricity/2023/residential_battery_stor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00"/>
    <outlinePr summaryBelow="0" summaryRight="0"/>
  </sheetPr>
  <dimension ref="B3:AB293"/>
  <sheetViews>
    <sheetView tabSelected="1" zoomScaleNormal="100" workbookViewId="0">
      <pane xSplit="2" topLeftCell="C1" activePane="topRight" state="frozen"/>
      <selection pane="topRight" activeCell="K5" sqref="K5"/>
    </sheetView>
  </sheetViews>
  <sheetFormatPr defaultColWidth="12.5703125" defaultRowHeight="15.75" customHeight="1"/>
  <cols>
    <col min="1" max="1" width="5.85546875" customWidth="1"/>
    <col min="2" max="2" width="33.28515625" customWidth="1"/>
    <col min="3" max="10" width="12.42578125" customWidth="1"/>
    <col min="11" max="11" width="13.42578125" customWidth="1"/>
    <col min="12" max="12" width="12.42578125" customWidth="1"/>
    <col min="13" max="13" width="14.140625" customWidth="1"/>
    <col min="14" max="14" width="35.28515625" customWidth="1"/>
    <col min="15" max="15" width="15.140625" customWidth="1"/>
    <col min="16" max="16" width="13.85546875" customWidth="1"/>
    <col min="17" max="17" width="13.140625" customWidth="1"/>
    <col min="18" max="18" width="35.140625" customWidth="1"/>
  </cols>
  <sheetData>
    <row r="3" spans="2:10" ht="31.5" customHeight="1">
      <c r="B3" s="2" t="s">
        <v>0</v>
      </c>
      <c r="C3" s="3" t="s">
        <v>1</v>
      </c>
      <c r="D3" s="4" t="s">
        <v>2</v>
      </c>
      <c r="E3" s="5" t="s">
        <v>3</v>
      </c>
      <c r="F3" s="6" t="s">
        <v>4</v>
      </c>
      <c r="G3" s="7" t="s">
        <v>5</v>
      </c>
      <c r="H3" s="8" t="s">
        <v>6</v>
      </c>
      <c r="I3" s="9" t="s">
        <v>7</v>
      </c>
      <c r="J3" s="10"/>
    </row>
    <row r="4" spans="2:10" ht="15.75" customHeight="1">
      <c r="B4" s="9" t="s">
        <v>8</v>
      </c>
      <c r="C4" s="11">
        <f>SUM(F64,E108,F130,F186,C222:C223,C244)</f>
        <v>16.826017461650146</v>
      </c>
      <c r="D4" s="11">
        <f>SUM(G64,G130,G186,)</f>
        <v>2.708174847443686</v>
      </c>
      <c r="E4" s="11">
        <f>SUM(H64,H130,H186)</f>
        <v>0.77045305945082676</v>
      </c>
      <c r="F4" s="11">
        <f>SUM(I64,I130)</f>
        <v>2.5793644455563567</v>
      </c>
      <c r="G4" s="12">
        <f t="shared" ref="G4:H4" ca="1" si="0">SUM(G250)</f>
        <v>39.156019184851964</v>
      </c>
      <c r="H4" s="12">
        <f t="shared" ca="1" si="0"/>
        <v>16.348660700941704</v>
      </c>
      <c r="I4" s="13"/>
    </row>
    <row r="5" spans="2:10" ht="15.75" customHeight="1">
      <c r="B5" s="9" t="s">
        <v>9</v>
      </c>
      <c r="C5" s="14">
        <f>SUM(E108,C224,C244)</f>
        <v>7.879829822718758</v>
      </c>
      <c r="D5" s="13"/>
      <c r="E5" s="15">
        <f>SUM(E71,E137,E192)</f>
        <v>20.603637126617475</v>
      </c>
      <c r="F5" s="13"/>
      <c r="G5" s="12">
        <f ca="1">SUM(D255)</f>
        <v>57.643128002552231</v>
      </c>
      <c r="H5" s="13"/>
      <c r="I5" s="13"/>
    </row>
    <row r="6" spans="2:10" ht="15.75" customHeight="1">
      <c r="B6" s="9" t="s">
        <v>10</v>
      </c>
      <c r="C6" s="14">
        <f>SUM(E108,C224,C244)</f>
        <v>7.879829822718758</v>
      </c>
      <c r="D6" s="16">
        <f>SUM(D71,D137,D192)</f>
        <v>20.603637126617475</v>
      </c>
      <c r="E6" s="13"/>
      <c r="F6" s="13"/>
      <c r="G6" s="12">
        <f ca="1">SUM(D255)</f>
        <v>57.643128002552231</v>
      </c>
      <c r="H6" s="13"/>
      <c r="I6" s="14">
        <f ca="1">SUM(C6:H6)</f>
        <v>86.126594951888464</v>
      </c>
    </row>
    <row r="7" spans="2:10" ht="15.75" customHeight="1">
      <c r="B7" s="9" t="s">
        <v>11</v>
      </c>
      <c r="C7" s="14">
        <f ca="1">SUM(E108,I71,I137,F192,C224,C244,F255)</f>
        <v>27.953373767787504</v>
      </c>
      <c r="D7" s="13"/>
      <c r="E7" s="17"/>
      <c r="F7" s="13"/>
      <c r="G7" s="13"/>
      <c r="H7" s="13"/>
      <c r="I7" s="13"/>
    </row>
    <row r="8" spans="2:10" ht="15.75" customHeight="1">
      <c r="B8" s="9" t="s">
        <v>12</v>
      </c>
      <c r="C8" s="14">
        <f ca="1">SUM(E108,I71,I137,F192,C224,C244,F255)</f>
        <v>27.953373767787504</v>
      </c>
      <c r="D8" s="13"/>
      <c r="E8" s="17"/>
      <c r="F8" s="13"/>
      <c r="G8" s="13"/>
      <c r="H8" s="13"/>
      <c r="I8" s="13"/>
    </row>
    <row r="9" spans="2:10" ht="15.75" customHeight="1">
      <c r="E9" s="1"/>
    </row>
    <row r="10" spans="2:10" ht="42.75" customHeight="1">
      <c r="B10" s="18" t="s">
        <v>13</v>
      </c>
      <c r="C10" s="19" t="s">
        <v>1</v>
      </c>
      <c r="D10" s="20" t="s">
        <v>2</v>
      </c>
      <c r="E10" s="21" t="s">
        <v>3</v>
      </c>
      <c r="F10" s="22" t="s">
        <v>4</v>
      </c>
      <c r="G10" s="23" t="s">
        <v>5</v>
      </c>
      <c r="H10" s="24" t="s">
        <v>6</v>
      </c>
      <c r="I10" s="25" t="s">
        <v>14</v>
      </c>
      <c r="J10" s="26" t="s">
        <v>15</v>
      </c>
    </row>
    <row r="11" spans="2:10" ht="15.75" customHeight="1">
      <c r="B11" s="29" t="s">
        <v>16</v>
      </c>
      <c r="C11" s="16">
        <f>SUM(I71,D113,C224,C244)</f>
        <v>10.541330716804225</v>
      </c>
      <c r="D11" s="16">
        <f>SUM(D137,D192)</f>
        <v>8.9595707149935553</v>
      </c>
      <c r="E11" s="30"/>
      <c r="F11" s="30"/>
      <c r="G11" s="12">
        <f ca="1">SUM(D255)</f>
        <v>57.643128002552231</v>
      </c>
      <c r="H11" s="30"/>
      <c r="I11" s="31">
        <f t="shared" ref="I11:I20" ca="1" si="1">SUM(C11:H11)</f>
        <v>77.144029434350017</v>
      </c>
      <c r="J11" s="32">
        <f ca="1">((C11*Misc!$B$143)+(D11*Misc!$C$143)+(E11*Misc!$D$143)+(F11*Misc!$E$143)+(G11*Misc!$F$143)+(H11*Misc!$G$143))*365.25</f>
        <v>6182.5554232445947</v>
      </c>
    </row>
    <row r="12" spans="2:10" ht="15.75" customHeight="1">
      <c r="B12" s="29" t="s">
        <v>17</v>
      </c>
      <c r="C12" s="11">
        <f>SUM(D113,C224,C244)</f>
        <v>7.879829822718758</v>
      </c>
      <c r="D12" s="16">
        <f>SUM(D71,D137,D192)</f>
        <v>20.603637126617475</v>
      </c>
      <c r="E12" s="30"/>
      <c r="F12" s="30"/>
      <c r="G12" s="12">
        <f ca="1">SUM(D255)</f>
        <v>57.643128002552231</v>
      </c>
      <c r="H12" s="30"/>
      <c r="I12" s="31">
        <f t="shared" ca="1" si="1"/>
        <v>86.126594951888464</v>
      </c>
      <c r="J12" s="32">
        <f ca="1">((C12*Misc!$B$143)+(D12*Misc!$C$143)+(E12*Misc!$D$143)+(F12*Misc!$E$143)+(G12*Misc!$F$143)+(H12*Misc!$G$143))*365.25</f>
        <v>7010.1883002267559</v>
      </c>
    </row>
    <row r="13" spans="2:10" ht="15.75" customHeight="1">
      <c r="B13" s="5" t="s">
        <v>18</v>
      </c>
      <c r="C13" s="11">
        <f>SUM(D113,I71,C224,C244)</f>
        <v>10.541330716804225</v>
      </c>
      <c r="D13" s="30"/>
      <c r="E13" s="16">
        <f>SUM(E137,E192)</f>
        <v>8.9595707149935553</v>
      </c>
      <c r="F13" s="30"/>
      <c r="G13" s="12">
        <f ca="1">SUM(D255)</f>
        <v>57.643128002552231</v>
      </c>
      <c r="H13" s="30"/>
      <c r="I13" s="31">
        <f t="shared" ca="1" si="1"/>
        <v>77.144029434350017</v>
      </c>
      <c r="J13" s="32">
        <f ca="1">((C13*Misc!$B$143)+(D13*Misc!$C$143)+(E13*Misc!$D$143)+(F13*Misc!$E$143)+(G13*Misc!$F$143)+(H13*Misc!$G$143))*365.25</f>
        <v>6185.8279064482458</v>
      </c>
    </row>
    <row r="14" spans="2:10" ht="15.75" customHeight="1">
      <c r="B14" s="5" t="s">
        <v>19</v>
      </c>
      <c r="C14" s="11">
        <f>SUM(D113,C224,C244)</f>
        <v>7.879829822718758</v>
      </c>
      <c r="D14" s="30"/>
      <c r="E14" s="16">
        <f>SUM(E71,E137,E192)</f>
        <v>20.603637126617475</v>
      </c>
      <c r="F14" s="30"/>
      <c r="G14" s="12">
        <f ca="1">SUM(D255)</f>
        <v>57.643128002552231</v>
      </c>
      <c r="H14" s="30"/>
      <c r="I14" s="31">
        <f t="shared" ca="1" si="1"/>
        <v>86.126594951888464</v>
      </c>
      <c r="J14" s="32">
        <f ca="1">((C14*Misc!$B$143)+(D14*Misc!$C$143)+(E14*Misc!$D$143)+(F14*Misc!$E$143)+(G14*Misc!$F$143)+(H14*Misc!$G$143))*365.25</f>
        <v>7017.7137786872518</v>
      </c>
    </row>
    <row r="15" spans="2:10" ht="15.75" customHeight="1">
      <c r="B15" s="6" t="s">
        <v>20</v>
      </c>
      <c r="C15" s="11">
        <f>SUM(D113,C224,C244)</f>
        <v>7.879829822718758</v>
      </c>
      <c r="D15" s="33">
        <f>SUM(D137,D192)</f>
        <v>8.9595707149935553</v>
      </c>
      <c r="E15" s="34"/>
      <c r="F15" s="35">
        <f>F71</f>
        <v>14.331158660460204</v>
      </c>
      <c r="G15" s="35">
        <f ca="1">SUM(D255)</f>
        <v>57.643128002552231</v>
      </c>
      <c r="H15" s="30"/>
      <c r="I15" s="31">
        <f t="shared" ca="1" si="1"/>
        <v>88.813687200724758</v>
      </c>
      <c r="J15" s="32">
        <f ca="1">((C15*Misc!$B$143)+(D15*Misc!$C$143)+(E15*Misc!$D$143)+(F15*Misc!$E$143)+(G15*Misc!$F$143)+(H15*Misc!$G$143))*365.25</f>
        <v>6218.1497220095798</v>
      </c>
    </row>
    <row r="16" spans="2:10" ht="15.75" customHeight="1">
      <c r="B16" s="36" t="s">
        <v>21</v>
      </c>
      <c r="C16" s="11">
        <f>SUM(D113,H71,G137,F192,C224,C244)</f>
        <v>25.345155047389461</v>
      </c>
      <c r="D16" s="30"/>
      <c r="E16" s="30"/>
      <c r="F16" s="30"/>
      <c r="G16" s="12">
        <f ca="1">SUM(D255)</f>
        <v>57.643128002552231</v>
      </c>
      <c r="H16" s="30"/>
      <c r="I16" s="31">
        <f t="shared" ca="1" si="1"/>
        <v>82.988283049941685</v>
      </c>
      <c r="J16" s="32">
        <f ca="1">((C16*Misc!$B$143)+(D16*Misc!$C$143)+(E16*Misc!$D$143)+(F16*Misc!$E$143)+(G16*Misc!$F$143)+(H16*Misc!$G$143))*365.25</f>
        <v>6002.3220580533753</v>
      </c>
    </row>
    <row r="17" spans="2:17" ht="15.75" customHeight="1">
      <c r="B17" s="36" t="s">
        <v>22</v>
      </c>
      <c r="C17" s="11">
        <f>SUM(D113,I71,G137,F192,C224,C244)</f>
        <v>18.691402812175795</v>
      </c>
      <c r="D17" s="30"/>
      <c r="E17" s="30"/>
      <c r="F17" s="30"/>
      <c r="G17" s="12">
        <f ca="1">SUM(D255)</f>
        <v>57.643128002552231</v>
      </c>
      <c r="H17" s="30"/>
      <c r="I17" s="31">
        <f t="shared" ca="1" si="1"/>
        <v>76.334530814728026</v>
      </c>
      <c r="J17" s="32">
        <f ca="1">((C17*Misc!$B$143)+(D17*Misc!$C$143)+(E17*Misc!$D$143)+(F17*Misc!$E$143)+(G17*Misc!$F$143)+(H17*Misc!$G$143))*365.25</f>
        <v>5764.1543236700199</v>
      </c>
      <c r="K17" s="27"/>
      <c r="L17" s="27"/>
      <c r="O17" s="27"/>
    </row>
    <row r="18" spans="2:17" ht="15.75" customHeight="1">
      <c r="B18" s="3" t="s">
        <v>23</v>
      </c>
      <c r="C18" s="16">
        <f ca="1">SUM(I71,I137,F192,C224,C244,F255,D113)</f>
        <v>27.953373767787504</v>
      </c>
      <c r="D18" s="30"/>
      <c r="E18" s="30"/>
      <c r="F18" s="30"/>
      <c r="G18" s="30"/>
      <c r="H18" s="30"/>
      <c r="I18" s="31">
        <f t="shared" ca="1" si="1"/>
        <v>27.953373767787504</v>
      </c>
      <c r="J18" s="32">
        <f ca="1">((C18*Misc!$B$143)+(D18*Misc!$C$143)+(E18*Misc!$D$143)+(F18*Misc!$E$143)+(G18*Misc!$F$143)+(H18*Misc!$G$143))*365.25</f>
        <v>1000.5770373310698</v>
      </c>
      <c r="K18" s="27"/>
      <c r="L18" s="27"/>
      <c r="O18" s="27"/>
    </row>
    <row r="19" spans="2:17" ht="15.75" customHeight="1">
      <c r="B19" s="37" t="s">
        <v>24</v>
      </c>
      <c r="C19" s="16">
        <f ca="1">SUM(I71,I137,F192,C224,C244,F255,D113)</f>
        <v>27.953373767787504</v>
      </c>
      <c r="D19" s="30"/>
      <c r="E19" s="30"/>
      <c r="F19" s="30"/>
      <c r="G19" s="30"/>
      <c r="H19" s="30"/>
      <c r="I19" s="31">
        <f t="shared" ca="1" si="1"/>
        <v>27.953373767787504</v>
      </c>
      <c r="J19" s="38"/>
      <c r="K19" s="27"/>
      <c r="L19" s="27"/>
      <c r="O19" s="27"/>
    </row>
    <row r="20" spans="2:17" ht="15.75" customHeight="1">
      <c r="B20" s="39" t="s">
        <v>25</v>
      </c>
      <c r="C20" s="16">
        <f ca="1">SUM(I71,I137,F192,C224,C244,F255,D113)</f>
        <v>27.953373767787504</v>
      </c>
      <c r="D20" s="30"/>
      <c r="E20" s="30"/>
      <c r="F20" s="30"/>
      <c r="G20" s="30"/>
      <c r="H20" s="30"/>
      <c r="I20" s="31">
        <f t="shared" ca="1" si="1"/>
        <v>27.953373767787504</v>
      </c>
      <c r="J20" s="38"/>
      <c r="K20" s="27"/>
      <c r="L20" s="27"/>
      <c r="O20" s="27"/>
    </row>
    <row r="21" spans="2:17" ht="15.75" customHeight="1">
      <c r="E21" s="1"/>
    </row>
    <row r="22" spans="2:17" ht="15.75" customHeight="1">
      <c r="E22" s="1"/>
    </row>
    <row r="23" spans="2:17" ht="15.75" customHeight="1">
      <c r="B23" s="40" t="s">
        <v>26</v>
      </c>
      <c r="C23" s="40" t="s">
        <v>27</v>
      </c>
      <c r="D23" s="40" t="s">
        <v>28</v>
      </c>
      <c r="E23" s="40" t="s">
        <v>2</v>
      </c>
      <c r="F23" s="40" t="s">
        <v>3</v>
      </c>
      <c r="G23" s="40" t="s">
        <v>4</v>
      </c>
      <c r="H23" s="40" t="s">
        <v>5</v>
      </c>
      <c r="I23" s="40" t="s">
        <v>6</v>
      </c>
      <c r="J23" s="40" t="s">
        <v>14</v>
      </c>
      <c r="K23" s="40" t="s">
        <v>29</v>
      </c>
      <c r="L23" s="40" t="s">
        <v>30</v>
      </c>
      <c r="M23" s="40" t="s">
        <v>31</v>
      </c>
      <c r="N23" s="40" t="s">
        <v>32</v>
      </c>
      <c r="O23" s="40" t="s">
        <v>33</v>
      </c>
      <c r="P23" s="40" t="s">
        <v>34</v>
      </c>
      <c r="Q23" s="40" t="s">
        <v>35</v>
      </c>
    </row>
    <row r="24" spans="2:17" ht="15.75" customHeight="1">
      <c r="B24" s="13" t="s">
        <v>8</v>
      </c>
      <c r="C24" s="11">
        <f>C4</f>
        <v>16.826017461650146</v>
      </c>
      <c r="D24" s="13"/>
      <c r="E24" s="11">
        <f t="shared" ref="E24:H24" si="2">D4</f>
        <v>2.708174847443686</v>
      </c>
      <c r="F24" s="11">
        <f t="shared" si="2"/>
        <v>0.77045305945082676</v>
      </c>
      <c r="G24" s="11">
        <f t="shared" si="2"/>
        <v>2.5793644455563567</v>
      </c>
      <c r="H24" s="12">
        <f t="shared" ca="1" si="2"/>
        <v>39.156019184851964</v>
      </c>
      <c r="I24" s="12">
        <f ca="1">H4</f>
        <v>16.348660700941704</v>
      </c>
      <c r="J24" s="12"/>
      <c r="K24" s="13" t="s">
        <v>36</v>
      </c>
      <c r="L24" s="13"/>
      <c r="M24" s="13" t="s">
        <v>37</v>
      </c>
      <c r="N24" s="13" t="s">
        <v>38</v>
      </c>
      <c r="O24" s="13" t="s">
        <v>39</v>
      </c>
      <c r="P24" s="13" t="s">
        <v>40</v>
      </c>
      <c r="Q24" s="13" t="s">
        <v>41</v>
      </c>
    </row>
    <row r="25" spans="2:17" ht="15.75" customHeight="1">
      <c r="B25" s="13" t="s">
        <v>42</v>
      </c>
      <c r="C25" s="14">
        <f>C6</f>
        <v>7.879829822718758</v>
      </c>
      <c r="D25" s="13"/>
      <c r="E25" s="16">
        <f>D6</f>
        <v>20.603637126617475</v>
      </c>
      <c r="F25" s="13"/>
      <c r="G25" s="13"/>
      <c r="H25" s="12">
        <f ca="1">G6</f>
        <v>57.643128002552231</v>
      </c>
      <c r="I25" s="13"/>
      <c r="J25" s="48">
        <f ca="1">SUM(C25:I25)</f>
        <v>86.126594951888464</v>
      </c>
      <c r="K25" s="13" t="s">
        <v>36</v>
      </c>
      <c r="L25" s="13"/>
      <c r="M25" s="13" t="s">
        <v>43</v>
      </c>
      <c r="N25" s="13"/>
      <c r="O25" s="13"/>
      <c r="P25" s="13" t="s">
        <v>40</v>
      </c>
      <c r="Q25" s="13"/>
    </row>
    <row r="26" spans="2:17" ht="15.75" customHeight="1">
      <c r="B26" s="13" t="s">
        <v>44</v>
      </c>
      <c r="C26" s="16">
        <f>SUM(I71,D113,I137,F192,C224,C244)</f>
        <v>13.505668664166429</v>
      </c>
      <c r="D26" s="12">
        <f ca="1">SUM(F255)</f>
        <v>14.447705103621075</v>
      </c>
      <c r="E26" s="13"/>
      <c r="F26" s="13"/>
      <c r="G26" s="13"/>
      <c r="H26" s="13"/>
      <c r="I26" s="13"/>
      <c r="J26" s="48">
        <f ca="1">SUM(C26:I26)</f>
        <v>27.953373767787504</v>
      </c>
      <c r="K26" s="13" t="s">
        <v>45</v>
      </c>
      <c r="L26" s="13" t="s">
        <v>46</v>
      </c>
      <c r="M26" s="13"/>
      <c r="N26" s="13"/>
      <c r="O26" s="13"/>
      <c r="P26" s="13"/>
      <c r="Q26" s="13"/>
    </row>
    <row r="27" spans="2:17" ht="15.75" customHeight="1">
      <c r="B27" s="13" t="s">
        <v>47</v>
      </c>
      <c r="C27" s="13" t="s">
        <v>36</v>
      </c>
      <c r="D27" s="13"/>
      <c r="E27" s="13" t="s">
        <v>37</v>
      </c>
      <c r="F27" s="13" t="s">
        <v>38</v>
      </c>
      <c r="G27" s="13" t="s">
        <v>39</v>
      </c>
      <c r="H27" s="13" t="s">
        <v>40</v>
      </c>
      <c r="I27" s="13" t="s">
        <v>41</v>
      </c>
      <c r="J27" s="13" t="s">
        <v>48</v>
      </c>
      <c r="K27" s="13"/>
      <c r="L27" s="13"/>
      <c r="M27" s="13"/>
      <c r="N27" s="13"/>
      <c r="O27" s="13"/>
      <c r="P27" s="13"/>
      <c r="Q27" s="13"/>
    </row>
    <row r="28" spans="2:17" ht="15.75" customHeight="1">
      <c r="B28" s="13"/>
      <c r="C28" s="48"/>
      <c r="D28" s="74"/>
      <c r="E28" s="13"/>
      <c r="F28" s="13"/>
      <c r="G28" s="13"/>
      <c r="H28" s="13"/>
      <c r="I28" s="13"/>
      <c r="J28" s="13" t="s">
        <v>49</v>
      </c>
      <c r="K28" s="13"/>
      <c r="L28" s="13"/>
      <c r="M28" s="13"/>
      <c r="N28" s="13"/>
      <c r="O28" s="13"/>
      <c r="P28" s="13"/>
      <c r="Q28" s="13"/>
    </row>
    <row r="29" spans="2:17" ht="15.75" customHeight="1">
      <c r="B29" s="13" t="s">
        <v>50</v>
      </c>
      <c r="C29" s="13" t="s">
        <v>51</v>
      </c>
      <c r="D29" s="13"/>
      <c r="E29" s="13" t="s">
        <v>52</v>
      </c>
      <c r="F29" s="13" t="s">
        <v>47</v>
      </c>
      <c r="G29" s="13" t="s">
        <v>53</v>
      </c>
      <c r="H29" s="13"/>
      <c r="I29" s="13" t="s">
        <v>54</v>
      </c>
      <c r="J29" s="13"/>
      <c r="K29" s="13" t="s">
        <v>55</v>
      </c>
      <c r="L29" s="13"/>
      <c r="M29" s="13"/>
      <c r="N29" s="13"/>
      <c r="O29" s="13"/>
      <c r="P29" s="13"/>
      <c r="Q29" s="13"/>
    </row>
    <row r="30" spans="2:17" ht="15.75" customHeight="1">
      <c r="B30" s="13" t="s">
        <v>56</v>
      </c>
      <c r="C30" s="15">
        <f>SUM(J64)</f>
        <v>7.0018533157875416</v>
      </c>
      <c r="D30" s="13"/>
      <c r="E30" s="15">
        <f>SUM(I71)</f>
        <v>2.6615008940854668</v>
      </c>
      <c r="F30" s="13" t="str">
        <f>B30</f>
        <v>Space heating</v>
      </c>
      <c r="G30" s="15">
        <f>D71</f>
        <v>11.644066411623918</v>
      </c>
      <c r="H30" s="13"/>
      <c r="I30" s="13" t="s">
        <v>56</v>
      </c>
      <c r="J30" s="13"/>
      <c r="K30" s="15">
        <f>C30</f>
        <v>7.0018533157875416</v>
      </c>
      <c r="L30" s="13"/>
      <c r="M30" s="13"/>
      <c r="N30" s="13"/>
      <c r="O30" s="13"/>
      <c r="P30" s="13"/>
      <c r="Q30" s="13"/>
    </row>
    <row r="31" spans="2:17" ht="15.75" customHeight="1">
      <c r="B31" s="13" t="s">
        <v>57</v>
      </c>
      <c r="C31" s="15">
        <f>E108</f>
        <v>0.339244047685196</v>
      </c>
      <c r="D31" s="13"/>
      <c r="E31" s="15"/>
      <c r="F31" s="13"/>
      <c r="G31" s="15"/>
      <c r="H31" s="13"/>
      <c r="I31" s="13" t="s">
        <v>57</v>
      </c>
      <c r="J31" s="13"/>
      <c r="K31" s="15">
        <f>E108</f>
        <v>0.339244047685196</v>
      </c>
      <c r="L31" s="13"/>
      <c r="M31" s="13"/>
      <c r="N31" s="13"/>
      <c r="O31" s="13"/>
      <c r="P31" s="13"/>
      <c r="Q31" s="13"/>
    </row>
    <row r="32" spans="2:17" ht="15.75" customHeight="1">
      <c r="B32" s="13" t="s">
        <v>58</v>
      </c>
      <c r="C32" s="15">
        <f>J130</f>
        <v>7.0658555083765719</v>
      </c>
      <c r="D32" s="13"/>
      <c r="E32" s="15">
        <f>SUM(I137)</f>
        <v>2.0742936592037466</v>
      </c>
      <c r="F32" s="13"/>
      <c r="G32" s="15">
        <f>D137</f>
        <v>6.8779210805176865</v>
      </c>
      <c r="H32" s="13"/>
      <c r="I32" s="13" t="s">
        <v>58</v>
      </c>
      <c r="J32" s="13"/>
      <c r="K32" s="15">
        <f>C32</f>
        <v>7.0658555083765719</v>
      </c>
      <c r="L32" s="13"/>
      <c r="M32" s="13"/>
      <c r="N32" s="13"/>
      <c r="O32" s="13"/>
      <c r="P32" s="13"/>
      <c r="Q32" s="13"/>
    </row>
    <row r="33" spans="2:17" ht="15.75" customHeight="1">
      <c r="B33" s="13" t="s">
        <v>59</v>
      </c>
      <c r="C33" s="15">
        <f>SUM(F175:H178)</f>
        <v>0.65500237744720169</v>
      </c>
      <c r="D33" s="13"/>
      <c r="E33" s="15">
        <f>SUM(F192,C224)</f>
        <v>3.9534994439914888</v>
      </c>
      <c r="F33" s="13"/>
      <c r="G33" s="15">
        <f>SUM(D192,C224)</f>
        <v>5.1451047903088991</v>
      </c>
      <c r="H33" s="13"/>
      <c r="I33" s="13" t="s">
        <v>59</v>
      </c>
      <c r="J33" s="13"/>
      <c r="K33" s="15">
        <f>C33</f>
        <v>0.65500237744720169</v>
      </c>
      <c r="L33" s="13"/>
      <c r="M33" s="13"/>
      <c r="N33" s="13"/>
      <c r="O33" s="13"/>
      <c r="P33" s="13"/>
      <c r="Q33" s="13"/>
    </row>
    <row r="34" spans="2:17" ht="15.75" customHeight="1">
      <c r="B34" s="13" t="s">
        <v>60</v>
      </c>
      <c r="C34" s="15">
        <f>C222</f>
        <v>2.0648834966430689</v>
      </c>
      <c r="D34" s="13"/>
      <c r="E34" s="15"/>
      <c r="F34" s="13"/>
      <c r="G34" s="15"/>
      <c r="H34" s="13"/>
      <c r="I34" s="13" t="s">
        <v>60</v>
      </c>
      <c r="J34" s="13"/>
      <c r="K34" s="15">
        <f>C222</f>
        <v>2.0648834966430689</v>
      </c>
      <c r="L34" s="13"/>
      <c r="M34" s="13"/>
      <c r="N34" s="13"/>
      <c r="O34" s="13"/>
      <c r="P34" s="13"/>
      <c r="Q34" s="13"/>
    </row>
    <row r="35" spans="2:17" ht="15.75" customHeight="1">
      <c r="B35" s="13" t="s">
        <v>61</v>
      </c>
      <c r="C35" s="15">
        <f>SUM(C240)</f>
        <v>0.84912266835445693</v>
      </c>
      <c r="D35" s="13"/>
      <c r="E35" s="15">
        <f>SUM(C240)</f>
        <v>0.84912266835445693</v>
      </c>
      <c r="F35" s="13"/>
      <c r="G35" s="15">
        <f>SUM(C240)</f>
        <v>0.84912266835445693</v>
      </c>
      <c r="H35" s="13"/>
      <c r="I35" s="13" t="s">
        <v>61</v>
      </c>
      <c r="J35" s="13"/>
      <c r="K35" s="15">
        <f>C35</f>
        <v>0.84912266835445693</v>
      </c>
      <c r="L35" s="13"/>
      <c r="M35" s="13"/>
      <c r="N35" s="13"/>
      <c r="O35" s="13"/>
      <c r="P35" s="13"/>
      <c r="Q35" s="13"/>
    </row>
    <row r="36" spans="2:17" ht="15.75" customHeight="1">
      <c r="B36" s="13" t="s">
        <v>62</v>
      </c>
      <c r="C36" s="15">
        <f>SUM(C241:C242)</f>
        <v>0.37652598298883938</v>
      </c>
      <c r="D36" s="13"/>
      <c r="E36" s="15">
        <f>SUM(C241:C242)</f>
        <v>0.37652598298883938</v>
      </c>
      <c r="F36" s="13"/>
      <c r="G36" s="15">
        <f>SUM(C241:C242)</f>
        <v>0.37652598298883938</v>
      </c>
      <c r="H36" s="13"/>
      <c r="I36" s="13" t="s">
        <v>62</v>
      </c>
      <c r="J36" s="13"/>
      <c r="K36" s="15">
        <f>C36</f>
        <v>0.37652598298883938</v>
      </c>
      <c r="L36" s="13"/>
      <c r="M36" s="13"/>
      <c r="N36" s="13"/>
      <c r="O36" s="13"/>
      <c r="P36" s="13"/>
      <c r="Q36" s="13"/>
    </row>
    <row r="37" spans="2:17" ht="15.75" customHeight="1">
      <c r="B37" s="13" t="s">
        <v>63</v>
      </c>
      <c r="C37" s="15">
        <f>SUM(C243,C223,C220,C221)</f>
        <v>4.2500536270471958</v>
      </c>
      <c r="D37" s="13"/>
      <c r="E37" s="15">
        <f>SUM(C243)</f>
        <v>3.2514819678572349</v>
      </c>
      <c r="F37" s="13"/>
      <c r="G37" s="15">
        <f>SUM(C243)</f>
        <v>3.2514819678572349</v>
      </c>
      <c r="H37" s="13"/>
      <c r="I37" s="13" t="s">
        <v>63</v>
      </c>
      <c r="J37" s="13"/>
      <c r="K37" s="15">
        <f>SUM(C243,C223,C220,C221)</f>
        <v>4.2500536270471958</v>
      </c>
      <c r="L37" s="13"/>
      <c r="M37" s="13"/>
      <c r="N37" s="13"/>
      <c r="O37" s="13"/>
      <c r="P37" s="13"/>
      <c r="Q37" s="13"/>
    </row>
    <row r="38" spans="2:17" ht="15.75" customHeight="1">
      <c r="B38" s="13" t="s">
        <v>64</v>
      </c>
      <c r="C38" s="15">
        <f ca="1">SUM(J250)</f>
        <v>55.549755660560514</v>
      </c>
      <c r="D38" s="15">
        <f ca="1">SUM(J250)</f>
        <v>55.549755660560514</v>
      </c>
      <c r="E38" s="15">
        <f ca="1">SUM(F255)</f>
        <v>14.447705103621075</v>
      </c>
      <c r="F38" s="13"/>
      <c r="G38" s="15">
        <f ca="1">SUM(D255)</f>
        <v>57.643128002552231</v>
      </c>
      <c r="H38" s="13"/>
      <c r="I38" s="13" t="s">
        <v>65</v>
      </c>
      <c r="J38" s="13"/>
      <c r="K38" s="15">
        <f ca="1">C38</f>
        <v>55.549755660560514</v>
      </c>
      <c r="L38" s="13"/>
      <c r="M38" s="13"/>
      <c r="N38" s="13"/>
      <c r="O38" s="13"/>
      <c r="P38" s="13"/>
      <c r="Q38" s="13"/>
    </row>
    <row r="39" spans="2:17" ht="15.75" customHeight="1">
      <c r="B39" s="13"/>
      <c r="C39" s="13"/>
      <c r="D39" s="13"/>
      <c r="E39" s="13"/>
      <c r="F39" s="13"/>
      <c r="G39" s="13"/>
      <c r="H39" s="13"/>
      <c r="I39" s="13"/>
      <c r="J39" s="13"/>
      <c r="K39" s="13"/>
      <c r="L39" s="13"/>
      <c r="M39" s="13"/>
      <c r="N39" s="13"/>
      <c r="O39" s="13"/>
      <c r="P39" s="13"/>
      <c r="Q39" s="13"/>
    </row>
    <row r="40" spans="2:17" ht="15.75" customHeight="1">
      <c r="B40" s="13" t="s">
        <v>66</v>
      </c>
      <c r="C40" s="13" t="s">
        <v>56</v>
      </c>
      <c r="D40" s="13" t="s">
        <v>56</v>
      </c>
      <c r="E40" s="13" t="s">
        <v>56</v>
      </c>
      <c r="F40" s="13"/>
      <c r="G40" s="13"/>
      <c r="H40" s="13"/>
      <c r="I40" s="13"/>
      <c r="J40" s="13"/>
      <c r="K40" s="13"/>
      <c r="L40" s="13"/>
      <c r="M40" s="13"/>
      <c r="N40" s="13"/>
      <c r="O40" s="13"/>
      <c r="P40" s="13"/>
      <c r="Q40" s="13"/>
    </row>
    <row r="41" spans="2:17" ht="15.75" customHeight="1">
      <c r="B41" s="13" t="s">
        <v>67</v>
      </c>
      <c r="C41" s="13" t="s">
        <v>57</v>
      </c>
      <c r="D41" s="13" t="s">
        <v>57</v>
      </c>
      <c r="E41" s="13" t="s">
        <v>57</v>
      </c>
      <c r="F41" s="13"/>
      <c r="G41" s="13"/>
      <c r="H41" s="13"/>
      <c r="I41" s="13"/>
      <c r="J41" s="13"/>
      <c r="K41" s="13"/>
      <c r="L41" s="13"/>
      <c r="M41" s="13"/>
      <c r="N41" s="13"/>
      <c r="O41" s="13"/>
      <c r="P41" s="13"/>
      <c r="Q41" s="13"/>
    </row>
    <row r="42" spans="2:17" ht="15.75" customHeight="1">
      <c r="B42" s="13" t="s">
        <v>68</v>
      </c>
      <c r="C42" s="13" t="s">
        <v>58</v>
      </c>
      <c r="D42" s="13" t="s">
        <v>58</v>
      </c>
      <c r="E42" s="13" t="s">
        <v>58</v>
      </c>
      <c r="F42" s="13"/>
      <c r="G42" s="13"/>
      <c r="H42" s="13"/>
      <c r="I42" s="13"/>
      <c r="J42" s="13"/>
      <c r="K42" s="13"/>
      <c r="L42" s="13"/>
      <c r="M42" s="13"/>
      <c r="N42" s="13"/>
      <c r="O42" s="13"/>
      <c r="P42" s="13"/>
      <c r="Q42" s="13"/>
    </row>
    <row r="43" spans="2:17" ht="15.75" customHeight="1">
      <c r="B43" s="13" t="s">
        <v>69</v>
      </c>
      <c r="C43" s="13" t="s">
        <v>59</v>
      </c>
      <c r="D43" s="13" t="s">
        <v>59</v>
      </c>
      <c r="E43" s="13" t="s">
        <v>59</v>
      </c>
      <c r="F43" s="13"/>
      <c r="G43" s="13"/>
      <c r="H43" s="13"/>
      <c r="I43" s="13"/>
      <c r="J43" s="13"/>
      <c r="K43" s="13"/>
      <c r="L43" s="13"/>
      <c r="M43" s="13"/>
      <c r="N43" s="13"/>
      <c r="O43" s="13"/>
      <c r="P43" s="13"/>
      <c r="Q43" s="13"/>
    </row>
    <row r="44" spans="2:17" ht="15.75" customHeight="1">
      <c r="B44" s="13" t="s">
        <v>60</v>
      </c>
      <c r="C44" s="13" t="s">
        <v>60</v>
      </c>
      <c r="D44" s="13" t="s">
        <v>60</v>
      </c>
      <c r="E44" s="13" t="s">
        <v>60</v>
      </c>
      <c r="F44" s="13"/>
      <c r="G44" s="13"/>
      <c r="H44" s="13"/>
      <c r="I44" s="13"/>
      <c r="J44" s="13"/>
      <c r="K44" s="13"/>
      <c r="L44" s="13"/>
      <c r="M44" s="13"/>
      <c r="N44" s="13"/>
      <c r="O44" s="13"/>
      <c r="P44" s="13"/>
      <c r="Q44" s="13"/>
    </row>
    <row r="45" spans="2:17" ht="15.75" customHeight="1">
      <c r="B45" s="13" t="s">
        <v>70</v>
      </c>
      <c r="C45" s="13" t="s">
        <v>61</v>
      </c>
      <c r="D45" s="13" t="s">
        <v>61</v>
      </c>
      <c r="E45" s="13" t="s">
        <v>61</v>
      </c>
      <c r="F45" s="13"/>
      <c r="G45" s="13"/>
      <c r="H45" s="13"/>
      <c r="I45" s="13"/>
      <c r="J45" s="13"/>
      <c r="K45" s="13"/>
      <c r="L45" s="13"/>
      <c r="M45" s="13"/>
      <c r="N45" s="13"/>
      <c r="O45" s="13"/>
      <c r="P45" s="13"/>
      <c r="Q45" s="13"/>
    </row>
    <row r="46" spans="2:17" ht="15.75" customHeight="1">
      <c r="B46" s="13" t="s">
        <v>71</v>
      </c>
      <c r="C46" s="13" t="s">
        <v>62</v>
      </c>
      <c r="D46" s="13" t="s">
        <v>62</v>
      </c>
      <c r="E46" s="13" t="s">
        <v>62</v>
      </c>
      <c r="F46" s="13"/>
      <c r="G46" s="13"/>
      <c r="H46" s="13"/>
      <c r="I46" s="13"/>
      <c r="J46" s="13"/>
      <c r="K46" s="13"/>
      <c r="L46" s="13"/>
      <c r="M46" s="13"/>
      <c r="N46" s="13"/>
      <c r="O46" s="13"/>
      <c r="P46" s="13"/>
      <c r="Q46" s="13"/>
    </row>
    <row r="47" spans="2:17" ht="15.75" customHeight="1">
      <c r="B47" s="13" t="s">
        <v>72</v>
      </c>
      <c r="C47" s="13" t="s">
        <v>63</v>
      </c>
      <c r="D47" s="13" t="s">
        <v>63</v>
      </c>
      <c r="E47" s="13" t="s">
        <v>63</v>
      </c>
      <c r="F47" s="13"/>
      <c r="G47" s="13"/>
      <c r="H47" s="13"/>
      <c r="I47" s="13"/>
      <c r="J47" s="13"/>
      <c r="K47" s="13"/>
      <c r="L47" s="13"/>
      <c r="M47" s="13"/>
      <c r="N47" s="13"/>
      <c r="O47" s="13"/>
      <c r="P47" s="13"/>
      <c r="Q47" s="13"/>
    </row>
    <row r="48" spans="2:17" ht="15.75" customHeight="1">
      <c r="B48" s="13" t="s">
        <v>73</v>
      </c>
      <c r="C48" s="13" t="s">
        <v>65</v>
      </c>
      <c r="D48" s="13" t="s">
        <v>64</v>
      </c>
      <c r="E48" s="13" t="s">
        <v>64</v>
      </c>
      <c r="F48" s="13"/>
      <c r="G48" s="13"/>
      <c r="H48" s="13"/>
      <c r="I48" s="13"/>
      <c r="J48" s="13"/>
      <c r="K48" s="13"/>
      <c r="L48" s="13"/>
      <c r="M48" s="13"/>
      <c r="N48" s="13"/>
      <c r="O48" s="13"/>
      <c r="P48" s="13"/>
      <c r="Q48" s="13"/>
    </row>
    <row r="49" spans="2:17" ht="15.75" customHeight="1">
      <c r="B49" s="13" t="s">
        <v>74</v>
      </c>
      <c r="C49" s="13" t="s">
        <v>75</v>
      </c>
      <c r="D49" s="13" t="s">
        <v>75</v>
      </c>
      <c r="E49" s="13" t="s">
        <v>75</v>
      </c>
      <c r="F49" s="13"/>
      <c r="G49" s="13"/>
      <c r="H49" s="13"/>
      <c r="I49" s="13"/>
      <c r="J49" s="13"/>
      <c r="K49" s="13"/>
      <c r="L49" s="13"/>
      <c r="M49" s="13"/>
      <c r="N49" s="13"/>
      <c r="O49" s="13"/>
      <c r="P49" s="13"/>
      <c r="Q49" s="13"/>
    </row>
    <row r="50" spans="2:17" ht="15.75" customHeight="1">
      <c r="B50" s="10"/>
    </row>
    <row r="51" spans="2:17" ht="15.75" customHeight="1">
      <c r="B51" s="10"/>
    </row>
    <row r="52" spans="2:17" ht="15.75" customHeight="1">
      <c r="B52" s="10"/>
    </row>
    <row r="53" spans="2:17" ht="53.25" customHeight="1">
      <c r="E53" s="1"/>
    </row>
    <row r="54" spans="2:17" ht="33.75" customHeight="1">
      <c r="B54" s="41" t="s">
        <v>56</v>
      </c>
      <c r="C54" s="42"/>
      <c r="D54" s="43"/>
      <c r="E54" s="42"/>
      <c r="F54" s="42"/>
      <c r="G54" s="42"/>
      <c r="H54" s="42"/>
      <c r="I54" s="42"/>
      <c r="J54" s="42"/>
      <c r="K54" s="42"/>
    </row>
    <row r="55" spans="2:17" ht="26.1">
      <c r="B55" s="44" t="s">
        <v>76</v>
      </c>
      <c r="C55" s="44" t="s">
        <v>77</v>
      </c>
      <c r="D55" s="44" t="s">
        <v>78</v>
      </c>
      <c r="E55" s="45" t="s">
        <v>79</v>
      </c>
      <c r="F55" s="44" t="s">
        <v>36</v>
      </c>
      <c r="G55" s="44" t="s">
        <v>37</v>
      </c>
      <c r="H55" s="44" t="s">
        <v>38</v>
      </c>
      <c r="I55" s="44" t="s">
        <v>39</v>
      </c>
      <c r="J55" s="44" t="s">
        <v>14</v>
      </c>
      <c r="K55" s="46" t="s">
        <v>80</v>
      </c>
    </row>
    <row r="56" spans="2:17" ht="12.6">
      <c r="B56" s="47"/>
      <c r="C56" s="47" t="s">
        <v>81</v>
      </c>
      <c r="D56" s="47" t="s">
        <v>82</v>
      </c>
      <c r="E56" s="47" t="s">
        <v>83</v>
      </c>
      <c r="F56" s="47" t="s">
        <v>84</v>
      </c>
      <c r="G56" s="47" t="s">
        <v>84</v>
      </c>
      <c r="H56" s="47" t="s">
        <v>84</v>
      </c>
      <c r="I56" s="47" t="s">
        <v>84</v>
      </c>
      <c r="J56" s="47"/>
      <c r="K56" s="8" t="s">
        <v>84</v>
      </c>
    </row>
    <row r="57" spans="2:17" ht="12.6">
      <c r="B57" s="13" t="str">
        <f>'RBS summary'!A138</f>
        <v>AC ducted</v>
      </c>
      <c r="C57" s="48">
        <f>'RBS summary'!B138</f>
        <v>74160</v>
      </c>
      <c r="D57" s="11">
        <f>C57/Misc!$B$2</f>
        <v>3.8618965786595842E-2</v>
      </c>
      <c r="E57" s="17">
        <f>Misc!B9</f>
        <v>3.5</v>
      </c>
      <c r="F57" s="11">
        <f>((('RBS summary'!B9)*Misc!$B$65)/365.25/Misc!$B$2)*(1-B110)</f>
        <v>0.20594532594813608</v>
      </c>
      <c r="G57" s="11"/>
      <c r="H57" s="11"/>
      <c r="I57" s="11"/>
      <c r="J57" s="11"/>
      <c r="K57" s="49">
        <f t="shared" ref="K57:K58" si="3">F57*(E57/1)</f>
        <v>0.72080864081847629</v>
      </c>
    </row>
    <row r="58" spans="2:17" ht="12.6">
      <c r="B58" s="13" t="str">
        <f>'RBS summary'!A139</f>
        <v>AC non-ducted (split and WW)</v>
      </c>
      <c r="C58" s="48">
        <f>'RBS summary'!B139</f>
        <v>1141859</v>
      </c>
      <c r="D58" s="11">
        <f>C58/Misc!$B$2</f>
        <v>0.59462531896057913</v>
      </c>
      <c r="E58" s="17">
        <f>Misc!B9</f>
        <v>3.5</v>
      </c>
      <c r="F58" s="11">
        <f>((('RBS summary'!B10)*Misc!$B$65)/365.25/Misc!$B$2)*(1-B110)</f>
        <v>1.1422267520597207</v>
      </c>
      <c r="G58" s="11"/>
      <c r="H58" s="11"/>
      <c r="I58" s="11"/>
      <c r="J58" s="11"/>
      <c r="K58" s="49">
        <f t="shared" si="3"/>
        <v>3.9977936322090226</v>
      </c>
    </row>
    <row r="59" spans="2:17" ht="12.6">
      <c r="B59" s="13" t="str">
        <f>'RBS summary'!A142</f>
        <v>Electric resistive</v>
      </c>
      <c r="C59" s="48">
        <f>'RBS summary'!B142</f>
        <v>2202766.102</v>
      </c>
      <c r="D59" s="11">
        <f>C59/Misc!$B$2</f>
        <v>1.1470947778992866</v>
      </c>
      <c r="E59" s="17">
        <f>Misc!B8</f>
        <v>1</v>
      </c>
      <c r="F59" s="11">
        <f>('RBS summary'!B11*Misc!$B$65)/365.25/Misc!$B$2</f>
        <v>1.8896519177947531</v>
      </c>
      <c r="G59" s="11"/>
      <c r="H59" s="11"/>
      <c r="I59" s="11"/>
      <c r="J59" s="11"/>
      <c r="K59" s="49">
        <f>F59*($E59/1)</f>
        <v>1.8896519177947531</v>
      </c>
    </row>
    <row r="60" spans="2:17" ht="12.6">
      <c r="B60" s="13" t="str">
        <f>'RBS summary'!A143</f>
        <v>LPG gas non-ducted</v>
      </c>
      <c r="C60" s="48">
        <f>'RBS summary'!B143</f>
        <v>228541</v>
      </c>
      <c r="D60" s="11">
        <f>C60/Misc!$B$2</f>
        <v>0.11901317502473571</v>
      </c>
      <c r="E60" s="17">
        <f>Misc!B16</f>
        <v>0.8</v>
      </c>
      <c r="F60" s="11"/>
      <c r="G60" s="11"/>
      <c r="H60" s="11">
        <f>('RBS summary'!D14*Misc!$B$65)/365.25/Misc!$B$2</f>
        <v>0.23328078434679647</v>
      </c>
      <c r="I60" s="11">
        <f>'RBS summary'!E14</f>
        <v>0</v>
      </c>
      <c r="J60" s="11"/>
      <c r="K60" s="49">
        <f>H60*($E60/1)</f>
        <v>0.18662462747743719</v>
      </c>
    </row>
    <row r="61" spans="2:17" ht="12.6">
      <c r="B61" s="13" t="str">
        <f>'RBS summary'!A144</f>
        <v>Mains gas ducted</v>
      </c>
      <c r="C61" s="48">
        <f>'RBS summary'!B144</f>
        <v>21316</v>
      </c>
      <c r="D61" s="11">
        <f>C61/Misc!$B$2</f>
        <v>1.1100348903817113E-2</v>
      </c>
      <c r="E61" s="17">
        <f>Misc!B11</f>
        <v>0.8</v>
      </c>
      <c r="F61" s="11"/>
      <c r="G61" s="11">
        <f>('RBS summary'!C15*Misc!$B$65)/365.25/Misc!$B$2</f>
        <v>0.3885577508101199</v>
      </c>
      <c r="H61" s="11"/>
      <c r="I61" s="11">
        <f>'RBS summary'!E15</f>
        <v>0</v>
      </c>
      <c r="J61" s="11"/>
      <c r="K61" s="49">
        <f t="shared" ref="K61:K62" si="4">G61*($E61/1)</f>
        <v>0.31084620064809593</v>
      </c>
    </row>
    <row r="62" spans="2:17" ht="12.6">
      <c r="B62" s="13" t="str">
        <f>'RBS summary'!A145</f>
        <v>Mains gas non-ducted</v>
      </c>
      <c r="C62" s="48">
        <f>'RBS summary'!B145</f>
        <v>200765</v>
      </c>
      <c r="D62" s="11">
        <f>C62/Misc!$B$2</f>
        <v>0.1045487684216008</v>
      </c>
      <c r="E62" s="17">
        <f>Misc!B11</f>
        <v>0.8</v>
      </c>
      <c r="F62" s="11"/>
      <c r="G62" s="11">
        <f>('RBS summary'!C16*Misc!$B$65)/365.25/Misc!$B$2</f>
        <v>1.1140273347542478</v>
      </c>
      <c r="H62" s="11"/>
      <c r="I62" s="11">
        <f>'RBS summary'!E16</f>
        <v>0</v>
      </c>
      <c r="J62" s="11"/>
      <c r="K62" s="49">
        <f t="shared" si="4"/>
        <v>0.89122186780339829</v>
      </c>
    </row>
    <row r="63" spans="2:17" ht="12.6">
      <c r="B63" s="13" t="str">
        <f>'RBS summary'!A146</f>
        <v>Wood Heaters</v>
      </c>
      <c r="C63" s="48">
        <f>'RBS summary'!B146</f>
        <v>494410</v>
      </c>
      <c r="D63" s="11">
        <f>C63/Misc!$B$2</f>
        <v>0.25746497943029734</v>
      </c>
      <c r="E63" s="17">
        <f>Misc!B17</f>
        <v>0.65</v>
      </c>
      <c r="F63" s="11"/>
      <c r="G63" s="11"/>
      <c r="H63" s="11"/>
      <c r="I63" s="11">
        <f>('RBS summary'!E17*Misc!$B$65)/365.25/Misc!$B$2</f>
        <v>2.0281634500737677</v>
      </c>
      <c r="J63" s="11"/>
      <c r="K63" s="49">
        <f>I63*($E63/1)</f>
        <v>1.318306242547949</v>
      </c>
    </row>
    <row r="64" spans="2:17" ht="12.6">
      <c r="B64" s="51" t="s">
        <v>85</v>
      </c>
      <c r="C64" s="52"/>
      <c r="D64" s="52"/>
      <c r="E64" s="53"/>
      <c r="F64" s="52">
        <f t="shared" ref="F64:I64" si="5">SUM(F57:F63)</f>
        <v>3.2378239958026098</v>
      </c>
      <c r="G64" s="52">
        <f t="shared" si="5"/>
        <v>1.5025850855643677</v>
      </c>
      <c r="H64" s="52">
        <f t="shared" si="5"/>
        <v>0.23328078434679647</v>
      </c>
      <c r="I64" s="52">
        <f t="shared" si="5"/>
        <v>2.0281634500737677</v>
      </c>
      <c r="J64" s="52">
        <f>SUM(F64:I64)</f>
        <v>7.0018533157875416</v>
      </c>
      <c r="K64" s="49">
        <f>SUM(K57:K63)</f>
        <v>9.3152531292991334</v>
      </c>
    </row>
    <row r="66" spans="2:28" ht="12.95">
      <c r="B66" s="54" t="s">
        <v>86</v>
      </c>
      <c r="C66" s="54"/>
      <c r="D66" s="54" t="s">
        <v>87</v>
      </c>
      <c r="E66" s="54" t="s">
        <v>88</v>
      </c>
      <c r="F66" s="54" t="s">
        <v>89</v>
      </c>
    </row>
    <row r="67" spans="2:28" ht="12.6">
      <c r="B67" s="9" t="s">
        <v>90</v>
      </c>
      <c r="C67" s="9"/>
      <c r="D67" s="55">
        <f>AVERAGE('Load Profiles'!AG1097:AG1461)</f>
        <v>0.4039845595600553</v>
      </c>
      <c r="E67" s="55">
        <f>AVERAGE('Load Profiles'!AF1097:AF1461)</f>
        <v>0.19569063717720275</v>
      </c>
      <c r="F67" s="9"/>
    </row>
    <row r="68" spans="2:28" ht="12.6">
      <c r="B68" s="9" t="s">
        <v>91</v>
      </c>
      <c r="C68" s="56"/>
      <c r="D68" s="56">
        <v>0.7</v>
      </c>
      <c r="E68" s="56">
        <v>0.3</v>
      </c>
      <c r="F68" s="56">
        <f>SUM(C68:E68)</f>
        <v>1</v>
      </c>
    </row>
    <row r="69" spans="2:28" ht="12.6">
      <c r="E69" s="1"/>
    </row>
    <row r="70" spans="2:28" ht="12.95">
      <c r="B70" s="44" t="s">
        <v>92</v>
      </c>
      <c r="C70" s="57" t="s">
        <v>93</v>
      </c>
      <c r="D70" s="58" t="s">
        <v>94</v>
      </c>
      <c r="E70" s="59" t="s">
        <v>95</v>
      </c>
      <c r="F70" s="60" t="s">
        <v>96</v>
      </c>
      <c r="G70" s="61" t="s">
        <v>97</v>
      </c>
      <c r="H70" s="62" t="s">
        <v>98</v>
      </c>
      <c r="I70" s="63" t="s">
        <v>99</v>
      </c>
      <c r="J70" s="64" t="s">
        <v>100</v>
      </c>
      <c r="L70" s="13" t="s">
        <v>101</v>
      </c>
      <c r="M70" s="13" t="s">
        <v>102</v>
      </c>
      <c r="N70" s="13" t="s">
        <v>103</v>
      </c>
      <c r="O70" s="13" t="s">
        <v>104</v>
      </c>
      <c r="P70" s="13" t="s">
        <v>105</v>
      </c>
      <c r="Q70" s="13" t="s">
        <v>106</v>
      </c>
      <c r="R70" s="13" t="s">
        <v>107</v>
      </c>
      <c r="S70" s="13"/>
      <c r="T70" s="13"/>
      <c r="U70" s="13" t="str">
        <f t="shared" ref="U70:Z70" si="6">L141</f>
        <v>Chart costs</v>
      </c>
      <c r="V70" s="13" t="str">
        <f t="shared" si="6"/>
        <v>LPG</v>
      </c>
      <c r="W70" s="13" t="str">
        <f t="shared" si="6"/>
        <v>Gas</v>
      </c>
      <c r="X70" s="13" t="str">
        <f t="shared" si="6"/>
        <v>Resistive on grid + ripple control</v>
      </c>
      <c r="Y70" s="13" t="str">
        <f t="shared" si="6"/>
        <v>Resistive with solar + grid</v>
      </c>
      <c r="Z70" s="13" t="str">
        <f t="shared" si="6"/>
        <v>Heat pump on grid</v>
      </c>
    </row>
    <row r="71" spans="2:28" ht="12.95">
      <c r="B71" s="65" t="s">
        <v>84</v>
      </c>
      <c r="C71" s="12">
        <f>SUM(J64)</f>
        <v>7.0018533157875416</v>
      </c>
      <c r="D71" s="66">
        <f>K64*(1/E60)</f>
        <v>11.644066411623918</v>
      </c>
      <c r="E71" s="67">
        <f>K64*(1/E60)</f>
        <v>11.644066411623918</v>
      </c>
      <c r="F71" s="68">
        <f>K64*(1/E63)</f>
        <v>14.331158660460204</v>
      </c>
      <c r="G71" s="69">
        <f>K64*(1/Misc!B19)</f>
        <v>12.84862500592984</v>
      </c>
      <c r="H71" s="70">
        <f>K64*(1/E59)</f>
        <v>9.3152531292991334</v>
      </c>
      <c r="I71" s="71">
        <f>K64*(1/E58)</f>
        <v>2.6615008940854668</v>
      </c>
      <c r="J71" s="72">
        <f>K64*(1/E58)</f>
        <v>2.6615008940854668</v>
      </c>
      <c r="L71" s="13" t="str">
        <f>B73</f>
        <v>Running cost per year</v>
      </c>
      <c r="M71" s="73">
        <f>E73</f>
        <v>1038.253814962316</v>
      </c>
      <c r="N71" s="73">
        <f>D73</f>
        <v>467.82947825301994</v>
      </c>
      <c r="O71" s="73">
        <f>F73</f>
        <v>588.87626633247248</v>
      </c>
      <c r="P71" s="73">
        <f t="shared" ref="P71:R71" si="7">H73</f>
        <v>823.09422087987605</v>
      </c>
      <c r="Q71" s="73">
        <f t="shared" si="7"/>
        <v>235.16977739425033</v>
      </c>
      <c r="R71" s="73">
        <f t="shared" si="7"/>
        <v>182.72346744163914</v>
      </c>
      <c r="S71" s="13"/>
      <c r="T71" s="13"/>
      <c r="U71" s="13" t="str">
        <f t="shared" ref="U71:Z71" si="8">L142</f>
        <v>Energy costs (15yr)</v>
      </c>
      <c r="V71" s="73">
        <f t="shared" si="8"/>
        <v>10581.829591245367</v>
      </c>
      <c r="W71" s="73">
        <f t="shared" si="8"/>
        <v>4768.0940298922642</v>
      </c>
      <c r="X71" s="73">
        <f t="shared" si="8"/>
        <v>7159.6579227783932</v>
      </c>
      <c r="Y71" s="73">
        <f t="shared" si="8"/>
        <v>4719.7215265327068</v>
      </c>
      <c r="Z71" s="73">
        <f t="shared" si="8"/>
        <v>3277.4377222883136</v>
      </c>
      <c r="AB71" s="596"/>
    </row>
    <row r="72" spans="2:28" ht="12.95">
      <c r="B72" s="65" t="s">
        <v>108</v>
      </c>
      <c r="C72" s="74">
        <f t="shared" ref="C72:J72" si="9">C71*365.25</f>
        <v>2557.4269235913994</v>
      </c>
      <c r="D72" s="75">
        <f t="shared" si="9"/>
        <v>4252.9952568456356</v>
      </c>
      <c r="E72" s="76">
        <f t="shared" si="9"/>
        <v>4252.9952568456356</v>
      </c>
      <c r="F72" s="77">
        <f t="shared" si="9"/>
        <v>5234.4557007330895</v>
      </c>
      <c r="G72" s="78">
        <f t="shared" si="9"/>
        <v>4692.9602834158741</v>
      </c>
      <c r="H72" s="79">
        <f t="shared" si="9"/>
        <v>3402.3962054765084</v>
      </c>
      <c r="I72" s="80">
        <f t="shared" si="9"/>
        <v>972.11320156471675</v>
      </c>
      <c r="J72" s="81">
        <f t="shared" si="9"/>
        <v>972.11320156471675</v>
      </c>
      <c r="L72" s="13" t="s">
        <v>109</v>
      </c>
      <c r="M72" s="16">
        <f>E71</f>
        <v>11.644066411623918</v>
      </c>
      <c r="N72" s="16">
        <f>D71</f>
        <v>11.644066411623918</v>
      </c>
      <c r="O72" s="12">
        <f>F71</f>
        <v>14.331158660460204</v>
      </c>
      <c r="P72" s="12">
        <f>H71</f>
        <v>9.3152531292991334</v>
      </c>
      <c r="Q72" s="16">
        <f>I71</f>
        <v>2.6615008940854668</v>
      </c>
      <c r="R72" s="12">
        <f>J71</f>
        <v>2.6615008940854668</v>
      </c>
      <c r="S72" s="13"/>
      <c r="T72" s="13"/>
      <c r="U72" s="13" t="str">
        <f t="shared" ref="U72:Z72" si="10">L143</f>
        <v>Upfront costs</v>
      </c>
      <c r="V72" s="73">
        <f t="shared" si="10"/>
        <v>3580</v>
      </c>
      <c r="W72" s="73">
        <f t="shared" si="10"/>
        <v>3580</v>
      </c>
      <c r="X72" s="73">
        <f t="shared" si="10"/>
        <v>4000</v>
      </c>
      <c r="Y72" s="73">
        <f t="shared" si="10"/>
        <v>4000</v>
      </c>
      <c r="Z72" s="73">
        <f t="shared" si="10"/>
        <v>7020</v>
      </c>
    </row>
    <row r="73" spans="2:28" ht="12.95">
      <c r="B73" s="65" t="s">
        <v>110</v>
      </c>
      <c r="C73" s="73">
        <f>((F64*365.25)*'Energy prices'!$C$3)+((G64*365.25)*'Energy prices'!$C$45)+((H64*365.25)*'Energy prices'!$C$51)+((I64*365.25)*'Energy prices'!$C$54)</f>
        <v>450.60290124549778</v>
      </c>
      <c r="D73" s="83">
        <f>(D71*365.25)*'Energy prices'!$C$45</f>
        <v>467.82947825301994</v>
      </c>
      <c r="E73" s="84">
        <f>(E71*365.25)*'Energy prices'!$C$51</f>
        <v>1038.253814962316</v>
      </c>
      <c r="F73" s="85">
        <f>(F71*365.25)*'Energy prices'!$C$54</f>
        <v>588.87626633247248</v>
      </c>
      <c r="G73" s="86">
        <f>(G71*365.25)*'Energy prices'!$C$58</f>
        <v>968.59782367011314</v>
      </c>
      <c r="H73" s="87">
        <f>(H71*365.25)*'Energy prices'!$C$3</f>
        <v>823.09422087987605</v>
      </c>
      <c r="I73" s="88">
        <f>(I71*365.25)*'Energy prices'!$C$3</f>
        <v>235.16977739425033</v>
      </c>
      <c r="J73" s="89">
        <f>((J71*SUM(C68:D68)*365.25)*'Energy prices'!$C$3)+((J71*E68*365.25)*'Energy prices'!C62)</f>
        <v>182.72346744163914</v>
      </c>
      <c r="L73" s="74" t="s">
        <v>111</v>
      </c>
      <c r="M73" s="17">
        <f>E60</f>
        <v>0.8</v>
      </c>
      <c r="N73" s="17">
        <f>E61</f>
        <v>0.8</v>
      </c>
      <c r="O73" s="17">
        <f>E63</f>
        <v>0.65</v>
      </c>
      <c r="P73" s="17">
        <f>E59</f>
        <v>1</v>
      </c>
      <c r="Q73" s="17">
        <f>E57</f>
        <v>3.5</v>
      </c>
      <c r="R73" s="17">
        <f>E57</f>
        <v>3.5</v>
      </c>
      <c r="S73" s="13"/>
      <c r="T73" s="13"/>
      <c r="U73" s="13" t="s">
        <v>112</v>
      </c>
      <c r="V73" s="13"/>
      <c r="W73" s="13"/>
      <c r="X73" s="13"/>
      <c r="Y73" s="13"/>
      <c r="Z73" s="13"/>
    </row>
    <row r="74" spans="2:28" ht="12.95">
      <c r="B74" s="90" t="s">
        <v>113</v>
      </c>
      <c r="C74" s="74">
        <v>15</v>
      </c>
      <c r="D74" s="75">
        <v>15</v>
      </c>
      <c r="E74" s="76">
        <v>15</v>
      </c>
      <c r="F74" s="77">
        <v>15</v>
      </c>
      <c r="G74" s="78">
        <v>15</v>
      </c>
      <c r="H74" s="79">
        <v>15</v>
      </c>
      <c r="I74" s="80">
        <v>15</v>
      </c>
      <c r="J74" s="81">
        <v>15</v>
      </c>
      <c r="K74" s="91"/>
      <c r="L74" s="13" t="s">
        <v>114</v>
      </c>
      <c r="M74" s="74">
        <f>E81</f>
        <v>7850</v>
      </c>
      <c r="N74" s="74">
        <f>D81</f>
        <v>7650</v>
      </c>
      <c r="O74" s="73">
        <f>F79</f>
        <v>4900</v>
      </c>
      <c r="P74" s="73">
        <f>H81</f>
        <v>600</v>
      </c>
      <c r="Q74" s="74">
        <f>I81</f>
        <v>7600</v>
      </c>
      <c r="R74" s="74">
        <f>I81</f>
        <v>7600</v>
      </c>
      <c r="S74" s="17"/>
      <c r="T74" s="74"/>
      <c r="U74" s="74"/>
      <c r="V74" s="74"/>
      <c r="W74" s="74"/>
      <c r="X74" s="74"/>
      <c r="Y74" s="74"/>
      <c r="Z74" s="74"/>
    </row>
    <row r="75" spans="2:28" ht="12.95">
      <c r="B75" s="40" t="s">
        <v>115</v>
      </c>
      <c r="C75" s="73">
        <f>C73*C74</f>
        <v>6759.043518682467</v>
      </c>
      <c r="D75" s="83">
        <f>((D71*365.25)*'Energy prices'!F45)*D74</f>
        <v>8072.2071234865289</v>
      </c>
      <c r="E75" s="84">
        <f>((E71*365.25)*'Energy prices'!H51)*E74</f>
        <v>17914.646747833001</v>
      </c>
      <c r="F75" s="85">
        <f>((F71*365.25)*'Energy prices'!J54)*F74</f>
        <v>8947.9438743292267</v>
      </c>
      <c r="G75" s="86">
        <f>((G71*365.25)*'Energy prices'!G58)*G74</f>
        <v>14888.548739559967</v>
      </c>
      <c r="H75" s="87">
        <f>((H71*365.25)*'Energy prices'!H3)*H74</f>
        <v>14718.341283629417</v>
      </c>
      <c r="I75" s="88">
        <f>((I71*365.25)*'Energy prices'!H3)*I74</f>
        <v>4205.2403667512617</v>
      </c>
      <c r="J75" s="89">
        <f>(((J71*SUM(C68:D68)*365.25)*'Energy prices'!H3)+((J71*E68*365.25)*'Energy prices'!C62))*J74</f>
        <v>3215.2376057108427</v>
      </c>
      <c r="L75" s="13" t="s">
        <v>116</v>
      </c>
      <c r="M75" s="73">
        <f>E75</f>
        <v>17914.646747833001</v>
      </c>
      <c r="N75" s="73">
        <f>D75</f>
        <v>8072.2071234865289</v>
      </c>
      <c r="O75" s="73">
        <f>F75</f>
        <v>8947.9438743292267</v>
      </c>
      <c r="P75" s="73">
        <f>H75</f>
        <v>14718.341283629417</v>
      </c>
      <c r="Q75" s="73">
        <f>I75</f>
        <v>4205.2403667512617</v>
      </c>
      <c r="R75" s="73">
        <f>J75</f>
        <v>3215.2376057108427</v>
      </c>
      <c r="S75" s="13"/>
      <c r="T75" s="13"/>
      <c r="U75" s="13" t="s">
        <v>117</v>
      </c>
      <c r="V75" s="13" t="s">
        <v>43</v>
      </c>
      <c r="W75" s="13" t="s">
        <v>104</v>
      </c>
      <c r="X75" s="13" t="s">
        <v>105</v>
      </c>
      <c r="Y75" s="13" t="s">
        <v>106</v>
      </c>
      <c r="Z75" s="13"/>
    </row>
    <row r="76" spans="2:28" ht="12.95">
      <c r="B76" s="40" t="s">
        <v>118</v>
      </c>
      <c r="C76" s="13"/>
      <c r="D76" s="83">
        <f>$D$292*$F$292*D74</f>
        <v>4885.3055742994711</v>
      </c>
      <c r="E76" s="92">
        <f>$D$293*$F$293*E74</f>
        <v>631.3044375601105</v>
      </c>
      <c r="F76" s="93"/>
      <c r="G76" s="94"/>
      <c r="H76" s="95"/>
      <c r="I76" s="96"/>
      <c r="J76" s="37"/>
      <c r="L76" s="13" t="s">
        <v>119</v>
      </c>
      <c r="M76" s="97">
        <f>E76</f>
        <v>631.3044375601105</v>
      </c>
      <c r="N76" s="73">
        <f>D76</f>
        <v>4885.3055742994711</v>
      </c>
      <c r="O76" s="13"/>
      <c r="P76" s="13"/>
      <c r="Q76" s="13"/>
      <c r="R76" s="13"/>
      <c r="S76" s="13"/>
      <c r="T76" s="13"/>
      <c r="U76" s="13" t="s">
        <v>43</v>
      </c>
      <c r="V76" s="12">
        <f>D71</f>
        <v>11.644066411623918</v>
      </c>
      <c r="W76" s="13"/>
      <c r="X76" s="13"/>
      <c r="Y76" s="13"/>
      <c r="Z76" s="13"/>
    </row>
    <row r="77" spans="2:28" ht="12.95">
      <c r="B77" s="40" t="s">
        <v>120</v>
      </c>
      <c r="C77" s="13"/>
      <c r="D77" s="83">
        <f t="shared" ref="D77:J77" si="11">SUM(D75:D76)</f>
        <v>12957.512697786</v>
      </c>
      <c r="E77" s="84">
        <f t="shared" si="11"/>
        <v>18545.951185393111</v>
      </c>
      <c r="F77" s="85">
        <f t="shared" si="11"/>
        <v>8947.9438743292267</v>
      </c>
      <c r="G77" s="86">
        <f t="shared" si="11"/>
        <v>14888.548739559967</v>
      </c>
      <c r="H77" s="87">
        <f t="shared" si="11"/>
        <v>14718.341283629417</v>
      </c>
      <c r="I77" s="88">
        <f t="shared" si="11"/>
        <v>4205.2403667512617</v>
      </c>
      <c r="J77" s="89">
        <f t="shared" si="11"/>
        <v>3215.2376057108427</v>
      </c>
      <c r="L77" s="13" t="s">
        <v>14</v>
      </c>
      <c r="M77" s="73">
        <f t="shared" ref="M77:R77" si="12">SUM(M74:M76)</f>
        <v>26395.951185393111</v>
      </c>
      <c r="N77" s="73">
        <f t="shared" si="12"/>
        <v>20607.512697785998</v>
      </c>
      <c r="O77" s="73">
        <f t="shared" si="12"/>
        <v>13847.943874329227</v>
      </c>
      <c r="P77" s="73">
        <f t="shared" si="12"/>
        <v>15318.341283629417</v>
      </c>
      <c r="Q77" s="73">
        <f t="shared" si="12"/>
        <v>11805.240366751263</v>
      </c>
      <c r="R77" s="73">
        <f t="shared" si="12"/>
        <v>10815.237605710843</v>
      </c>
      <c r="S77" s="13"/>
      <c r="T77" s="13"/>
      <c r="U77" s="13" t="s">
        <v>39</v>
      </c>
      <c r="V77" s="13"/>
      <c r="W77" s="12">
        <f>F71</f>
        <v>14.331158660460204</v>
      </c>
      <c r="X77" s="13"/>
      <c r="Y77" s="13"/>
      <c r="Z77" s="13"/>
    </row>
    <row r="78" spans="2:28" ht="12.95">
      <c r="B78" s="40"/>
      <c r="C78" s="13"/>
      <c r="D78" s="98"/>
      <c r="E78" s="84"/>
      <c r="F78" s="93"/>
      <c r="G78" s="94"/>
      <c r="H78" s="95"/>
      <c r="I78" s="96"/>
      <c r="J78" s="37"/>
      <c r="L78" s="13"/>
      <c r="M78" s="13"/>
      <c r="N78" s="13"/>
      <c r="O78" s="13"/>
      <c r="P78" s="13"/>
      <c r="Q78" s="13"/>
      <c r="R78" s="13"/>
      <c r="S78" s="13"/>
      <c r="T78" s="13"/>
      <c r="U78" s="13" t="s">
        <v>36</v>
      </c>
      <c r="V78" s="13"/>
      <c r="W78" s="13"/>
      <c r="X78" s="12">
        <f t="shared" ref="X78:Y78" si="13">H71</f>
        <v>9.3152531292991334</v>
      </c>
      <c r="Y78" s="12">
        <f t="shared" si="13"/>
        <v>2.6615008940854668</v>
      </c>
      <c r="Z78" s="13"/>
    </row>
    <row r="79" spans="2:28" ht="12.6">
      <c r="B79" s="13" t="s">
        <v>121</v>
      </c>
      <c r="C79" s="13"/>
      <c r="D79" s="75">
        <f>ROUND('Product prices'!C10,-2)*2</f>
        <v>6400</v>
      </c>
      <c r="E79" s="76">
        <f>ROUND('Product prices'!C11,-2)*2</f>
        <v>6600</v>
      </c>
      <c r="F79" s="77">
        <f>ROUND('Product prices'!E12,-2)</f>
        <v>4900</v>
      </c>
      <c r="G79" s="78"/>
      <c r="H79" s="79">
        <f>'Product prices'!C13*2</f>
        <v>600</v>
      </c>
      <c r="I79" s="80"/>
      <c r="J79" s="81"/>
      <c r="L79" s="13" t="s">
        <v>122</v>
      </c>
      <c r="M79" s="82">
        <f>E96</f>
        <v>13907.294489885227</v>
      </c>
      <c r="N79" s="82">
        <f>D96</f>
        <v>13843.499561032544</v>
      </c>
      <c r="O79" s="82">
        <f>F96</f>
        <v>1962.9208877749088</v>
      </c>
      <c r="P79" s="82">
        <f>H96</f>
        <v>5001.5224220504679</v>
      </c>
      <c r="Q79" s="82">
        <f>I96</f>
        <v>1429.0064063001337</v>
      </c>
      <c r="R79" s="82">
        <f>J96</f>
        <v>1000.3044844100934</v>
      </c>
      <c r="S79" s="13"/>
      <c r="T79" s="13"/>
      <c r="U79" s="13"/>
      <c r="V79" s="13"/>
      <c r="W79" s="13"/>
      <c r="X79" s="13"/>
      <c r="Y79" s="13"/>
      <c r="Z79" s="13"/>
    </row>
    <row r="80" spans="2:28" ht="12.6">
      <c r="B80" s="13" t="s">
        <v>123</v>
      </c>
      <c r="C80" s="13"/>
      <c r="D80" s="75">
        <f>'Product prices'!D10</f>
        <v>1250</v>
      </c>
      <c r="E80" s="76">
        <f>'Product prices'!D11</f>
        <v>1250</v>
      </c>
      <c r="F80" s="77">
        <f>'Product prices'!D12</f>
        <v>1000</v>
      </c>
      <c r="G80" s="78"/>
      <c r="H80" s="79">
        <v>0</v>
      </c>
      <c r="I80" s="80">
        <f>'Product prices'!D8</f>
        <v>1050</v>
      </c>
      <c r="J80" s="81">
        <f>'Product prices'!D8</f>
        <v>1050</v>
      </c>
      <c r="S80" s="13"/>
      <c r="T80" s="13"/>
      <c r="U80" s="13"/>
      <c r="V80" s="13"/>
      <c r="W80" s="13"/>
      <c r="X80" s="13"/>
      <c r="Y80" s="13"/>
      <c r="Z80" s="13"/>
    </row>
    <row r="81" spans="2:26" ht="12.6">
      <c r="B81" s="13" t="s">
        <v>124</v>
      </c>
      <c r="C81" s="13"/>
      <c r="D81" s="75">
        <f t="shared" ref="D81:E81" si="14">SUM(D79:D80)</f>
        <v>7650</v>
      </c>
      <c r="E81" s="76">
        <f t="shared" si="14"/>
        <v>7850</v>
      </c>
      <c r="F81" s="77">
        <f>ROUND('Product prices'!E12,-2)</f>
        <v>4900</v>
      </c>
      <c r="G81" s="78"/>
      <c r="H81" s="79">
        <f>SUM(H79:H80)</f>
        <v>600</v>
      </c>
      <c r="I81" s="80">
        <f>ROUND('Product prices'!E8,-2)*2</f>
        <v>7600</v>
      </c>
      <c r="J81" s="81">
        <f>ROUND('Product prices'!E8,-2)*2</f>
        <v>7600</v>
      </c>
      <c r="K81" s="10">
        <v>3</v>
      </c>
      <c r="L81" s="13" t="s">
        <v>125</v>
      </c>
      <c r="M81" s="13" t="s">
        <v>126</v>
      </c>
      <c r="N81" s="13" t="s">
        <v>127</v>
      </c>
      <c r="O81" s="13" t="s">
        <v>105</v>
      </c>
      <c r="P81" s="13" t="s">
        <v>106</v>
      </c>
      <c r="Q81" s="13"/>
      <c r="R81" s="13"/>
      <c r="S81" s="13"/>
      <c r="T81" s="13"/>
      <c r="U81" s="13"/>
      <c r="V81" s="13"/>
      <c r="W81" s="13"/>
      <c r="X81" s="13"/>
      <c r="Y81" s="13"/>
      <c r="Z81" s="13"/>
    </row>
    <row r="82" spans="2:26" ht="12.6">
      <c r="B82" s="13"/>
      <c r="C82" s="13"/>
      <c r="D82" s="98"/>
      <c r="E82" s="99"/>
      <c r="F82" s="93"/>
      <c r="G82" s="94"/>
      <c r="H82" s="95"/>
      <c r="I82" s="96"/>
      <c r="J82" s="37"/>
      <c r="L82" s="13" t="s">
        <v>109</v>
      </c>
      <c r="M82" s="12">
        <f>F71</f>
        <v>14.331158660460204</v>
      </c>
      <c r="N82" s="16">
        <f>D71</f>
        <v>11.644066411623918</v>
      </c>
      <c r="O82" s="12">
        <f t="shared" ref="O82:P82" si="15">H71</f>
        <v>9.3152531292991334</v>
      </c>
      <c r="P82" s="16">
        <f t="shared" si="15"/>
        <v>2.6615008940854668</v>
      </c>
      <c r="Q82" s="13"/>
      <c r="R82" s="13"/>
      <c r="S82" s="13"/>
      <c r="T82" s="13"/>
      <c r="U82" s="13"/>
      <c r="V82" s="13"/>
      <c r="W82" s="13"/>
      <c r="X82" s="13"/>
      <c r="Y82" s="13"/>
      <c r="Z82" s="13"/>
    </row>
    <row r="83" spans="2:26" ht="12.95">
      <c r="B83" s="40"/>
      <c r="C83" s="13"/>
      <c r="D83" s="98"/>
      <c r="E83" s="99"/>
      <c r="F83" s="93"/>
      <c r="G83" s="94"/>
      <c r="H83" s="95"/>
      <c r="I83" s="96"/>
      <c r="J83" s="37"/>
      <c r="L83" s="13"/>
      <c r="M83" s="13"/>
      <c r="N83" s="13"/>
      <c r="O83" s="13"/>
      <c r="P83" s="13"/>
      <c r="Q83" s="13"/>
      <c r="R83" s="13"/>
      <c r="S83" s="13"/>
      <c r="T83" s="13"/>
      <c r="U83" s="13"/>
      <c r="V83" s="13"/>
      <c r="W83" s="13"/>
      <c r="X83" s="13"/>
      <c r="Y83" s="13"/>
      <c r="Z83" s="13"/>
    </row>
    <row r="84" spans="2:26" ht="12.95">
      <c r="B84" s="40"/>
      <c r="C84" s="13"/>
      <c r="D84" s="98"/>
      <c r="E84" s="99"/>
      <c r="F84" s="93"/>
      <c r="G84" s="94"/>
      <c r="H84" s="95"/>
      <c r="I84" s="96"/>
      <c r="J84" s="37"/>
      <c r="L84" s="13"/>
      <c r="M84" s="13"/>
      <c r="N84" s="13"/>
      <c r="O84" s="13"/>
      <c r="P84" s="13"/>
      <c r="Q84" s="13"/>
      <c r="R84" s="13"/>
      <c r="S84" s="13"/>
      <c r="T84" s="13"/>
      <c r="U84" s="13"/>
      <c r="V84" s="13"/>
      <c r="W84" s="13"/>
      <c r="X84" s="13"/>
      <c r="Y84" s="13"/>
      <c r="Z84" s="13"/>
    </row>
    <row r="85" spans="2:26" ht="12.95">
      <c r="B85" s="40"/>
      <c r="C85" s="13"/>
      <c r="D85" s="98"/>
      <c r="E85" s="99"/>
      <c r="F85" s="93"/>
      <c r="G85" s="94"/>
      <c r="H85" s="95"/>
      <c r="I85" s="96"/>
      <c r="J85" s="37"/>
      <c r="L85" s="13" t="s">
        <v>128</v>
      </c>
      <c r="M85" s="13" t="s">
        <v>102</v>
      </c>
      <c r="N85" s="13" t="s">
        <v>103</v>
      </c>
      <c r="O85" s="13" t="s">
        <v>104</v>
      </c>
      <c r="P85" s="13" t="s">
        <v>106</v>
      </c>
      <c r="Q85" s="13" t="s">
        <v>129</v>
      </c>
      <c r="R85" s="13"/>
      <c r="S85" s="13"/>
      <c r="T85" s="13"/>
      <c r="U85" s="13"/>
      <c r="V85" s="13"/>
      <c r="W85" s="13"/>
      <c r="X85" s="13"/>
      <c r="Y85" s="13"/>
      <c r="Z85" s="13"/>
    </row>
    <row r="86" spans="2:26" ht="12.95">
      <c r="B86" s="40"/>
      <c r="C86" s="13"/>
      <c r="D86" s="98"/>
      <c r="E86" s="99"/>
      <c r="F86" s="93"/>
      <c r="G86" s="94"/>
      <c r="H86" s="95"/>
      <c r="I86" s="96"/>
      <c r="J86" s="37"/>
      <c r="L86" s="13" t="s">
        <v>37</v>
      </c>
      <c r="M86" s="73"/>
      <c r="N86" s="73">
        <f>N71</f>
        <v>467.82947825301994</v>
      </c>
      <c r="O86" s="73"/>
      <c r="P86" s="73"/>
      <c r="Q86" s="73"/>
      <c r="R86" s="13"/>
      <c r="S86" s="13"/>
      <c r="T86" s="13"/>
      <c r="U86" s="13"/>
      <c r="V86" s="13"/>
      <c r="W86" s="13"/>
      <c r="X86" s="13"/>
      <c r="Y86" s="13"/>
      <c r="Z86" s="13"/>
    </row>
    <row r="87" spans="2:26" ht="12.6">
      <c r="B87" s="100"/>
      <c r="C87" s="13"/>
      <c r="D87" s="98"/>
      <c r="E87" s="99"/>
      <c r="F87" s="93"/>
      <c r="G87" s="94"/>
      <c r="H87" s="95"/>
      <c r="I87" s="96"/>
      <c r="J87" s="37"/>
      <c r="L87" s="13" t="s">
        <v>38</v>
      </c>
      <c r="M87" s="73">
        <f>M71</f>
        <v>1038.253814962316</v>
      </c>
      <c r="N87" s="73"/>
      <c r="O87" s="73"/>
      <c r="P87" s="73"/>
      <c r="Q87" s="73"/>
      <c r="R87" s="13"/>
      <c r="S87" s="13"/>
      <c r="T87" s="13"/>
      <c r="U87" s="13"/>
      <c r="V87" s="13"/>
      <c r="W87" s="13"/>
      <c r="X87" s="13"/>
      <c r="Y87" s="13"/>
      <c r="Z87" s="13"/>
    </row>
    <row r="88" spans="2:26" ht="12.6">
      <c r="B88" s="100"/>
      <c r="C88" s="13"/>
      <c r="D88" s="98"/>
      <c r="E88" s="99"/>
      <c r="F88" s="93"/>
      <c r="G88" s="94"/>
      <c r="H88" s="95"/>
      <c r="I88" s="96"/>
      <c r="J88" s="37"/>
      <c r="L88" s="13" t="s">
        <v>39</v>
      </c>
      <c r="M88" s="73"/>
      <c r="N88" s="73"/>
      <c r="O88" s="73">
        <f>O71</f>
        <v>588.87626633247248</v>
      </c>
      <c r="P88" s="73"/>
      <c r="Q88" s="73"/>
      <c r="R88" s="13"/>
      <c r="S88" s="13"/>
      <c r="T88" s="13"/>
      <c r="U88" s="13"/>
      <c r="V88" s="13"/>
      <c r="W88" s="13"/>
      <c r="X88" s="13"/>
      <c r="Y88" s="13"/>
      <c r="Z88" s="13"/>
    </row>
    <row r="89" spans="2:26" ht="12.6">
      <c r="B89" s="100"/>
      <c r="C89" s="13"/>
      <c r="D89" s="98"/>
      <c r="E89" s="99"/>
      <c r="F89" s="93"/>
      <c r="G89" s="94"/>
      <c r="H89" s="95"/>
      <c r="I89" s="96"/>
      <c r="J89" s="37"/>
      <c r="L89" s="13" t="s">
        <v>130</v>
      </c>
      <c r="M89" s="73"/>
      <c r="N89" s="73"/>
      <c r="O89" s="73"/>
      <c r="P89" s="73">
        <f>Q71</f>
        <v>235.16977739425033</v>
      </c>
      <c r="Q89" s="73">
        <f>((J71*SUM(C68:D68)*365.25)*'Energy prices'!$C$3)</f>
        <v>164.6188441759752</v>
      </c>
      <c r="R89" s="13"/>
      <c r="S89" s="13"/>
      <c r="T89" s="13"/>
      <c r="U89" s="13"/>
      <c r="V89" s="13"/>
      <c r="W89" s="13"/>
      <c r="X89" s="13"/>
      <c r="Y89" s="13"/>
      <c r="Z89" s="13"/>
    </row>
    <row r="90" spans="2:26" ht="12.6">
      <c r="B90" s="100"/>
      <c r="C90" s="13"/>
      <c r="D90" s="98"/>
      <c r="E90" s="99"/>
      <c r="F90" s="93"/>
      <c r="G90" s="94"/>
      <c r="H90" s="95"/>
      <c r="I90" s="96"/>
      <c r="J90" s="37"/>
      <c r="L90" s="13" t="s">
        <v>131</v>
      </c>
      <c r="M90" s="73"/>
      <c r="N90" s="73"/>
      <c r="O90" s="73"/>
      <c r="P90" s="73"/>
      <c r="Q90" s="73">
        <f>((J71*E68*365.25)*'Energy prices'!C62)</f>
        <v>18.104623265663939</v>
      </c>
      <c r="R90" s="13"/>
      <c r="S90" s="13"/>
      <c r="T90" s="13"/>
      <c r="U90" s="13"/>
      <c r="V90" s="13"/>
      <c r="W90" s="13"/>
      <c r="X90" s="13"/>
      <c r="Y90" s="13"/>
      <c r="Z90" s="13"/>
    </row>
    <row r="91" spans="2:26" ht="12.6">
      <c r="B91" s="100"/>
      <c r="C91" s="13"/>
      <c r="D91" s="98"/>
      <c r="E91" s="99"/>
      <c r="F91" s="93"/>
      <c r="G91" s="94"/>
      <c r="H91" s="95"/>
      <c r="I91" s="96"/>
      <c r="J91" s="37"/>
      <c r="L91" s="13" t="s">
        <v>132</v>
      </c>
      <c r="M91" s="97">
        <f>E76/E74</f>
        <v>42.086962504007367</v>
      </c>
      <c r="N91" s="73">
        <f>D76/D74</f>
        <v>325.68703828663143</v>
      </c>
      <c r="O91" s="13"/>
      <c r="P91" s="13"/>
      <c r="Q91" s="13"/>
      <c r="R91" s="13"/>
      <c r="S91" s="13"/>
      <c r="T91" s="13"/>
      <c r="U91" s="13"/>
      <c r="V91" s="13"/>
      <c r="W91" s="13"/>
      <c r="X91" s="13"/>
      <c r="Y91" s="13"/>
      <c r="Z91" s="13"/>
    </row>
    <row r="92" spans="2:26" ht="12.6">
      <c r="B92" s="100"/>
      <c r="C92" s="13"/>
      <c r="D92" s="98"/>
      <c r="E92" s="99"/>
      <c r="F92" s="93"/>
      <c r="G92" s="94"/>
      <c r="H92" s="95"/>
      <c r="I92" s="96"/>
      <c r="J92" s="37"/>
      <c r="L92" s="13" t="s">
        <v>14</v>
      </c>
      <c r="M92" s="73">
        <f>SUM(M86:M91)</f>
        <v>1080.3407774663233</v>
      </c>
      <c r="N92" s="73">
        <f t="shared" ref="N92:Q92" si="16">SUM(N86:N91)</f>
        <v>793.51651653965132</v>
      </c>
      <c r="O92" s="73">
        <f t="shared" si="16"/>
        <v>588.87626633247248</v>
      </c>
      <c r="P92" s="73">
        <f t="shared" si="16"/>
        <v>235.16977739425033</v>
      </c>
      <c r="Q92" s="73">
        <f t="shared" si="16"/>
        <v>182.72346744163914</v>
      </c>
      <c r="R92" s="13"/>
      <c r="S92" s="13"/>
      <c r="T92" s="13"/>
      <c r="U92" s="13"/>
      <c r="V92" s="13"/>
      <c r="W92" s="13"/>
      <c r="X92" s="13"/>
      <c r="Y92" s="13"/>
      <c r="Z92" s="13"/>
    </row>
    <row r="93" spans="2:26" ht="12.95">
      <c r="B93" s="65"/>
      <c r="C93" s="13"/>
      <c r="D93" s="98"/>
      <c r="E93" s="99"/>
      <c r="F93" s="93"/>
      <c r="G93" s="94"/>
      <c r="H93" s="95"/>
      <c r="I93" s="96"/>
      <c r="J93" s="37"/>
      <c r="L93" s="13"/>
      <c r="M93" s="13"/>
      <c r="N93" s="13"/>
      <c r="O93" s="13"/>
      <c r="P93" s="13"/>
      <c r="Q93" s="13"/>
      <c r="R93" s="13"/>
      <c r="S93" s="13"/>
      <c r="T93" s="13"/>
      <c r="U93" s="13"/>
      <c r="V93" s="13"/>
      <c r="W93" s="13"/>
      <c r="X93" s="13"/>
      <c r="Y93" s="13"/>
      <c r="Z93" s="13"/>
    </row>
    <row r="94" spans="2:26" ht="12.95">
      <c r="B94" s="101" t="s">
        <v>15</v>
      </c>
      <c r="C94" s="102"/>
      <c r="D94" s="102"/>
      <c r="E94" s="103"/>
      <c r="F94" s="102"/>
      <c r="G94" s="102"/>
      <c r="H94" s="102"/>
      <c r="I94" s="102"/>
      <c r="J94" s="102"/>
      <c r="L94" s="13" t="s">
        <v>133</v>
      </c>
      <c r="M94" s="13"/>
      <c r="N94" s="13"/>
      <c r="O94" s="13"/>
      <c r="P94" s="13"/>
      <c r="Q94" s="13"/>
      <c r="R94" s="13"/>
      <c r="S94" s="13"/>
      <c r="T94" s="13"/>
      <c r="U94" s="13"/>
      <c r="V94" s="13"/>
      <c r="W94" s="13"/>
      <c r="X94" s="13"/>
      <c r="Y94" s="13"/>
      <c r="Z94" s="13"/>
    </row>
    <row r="95" spans="2:26" ht="12.6">
      <c r="B95" s="104" t="s">
        <v>134</v>
      </c>
      <c r="C95" s="102"/>
      <c r="D95" s="105">
        <f>D72*Misc!C143</f>
        <v>922.89997073550296</v>
      </c>
      <c r="E95" s="105">
        <f>E72*Misc!D143</f>
        <v>927.15296599234853</v>
      </c>
      <c r="F95" s="105">
        <f>F72*Misc!E143</f>
        <v>130.86139251832725</v>
      </c>
      <c r="G95" s="105">
        <f>G72*Misc!G143</f>
        <v>1187.3189517042163</v>
      </c>
      <c r="H95" s="105">
        <f>H72*Misc!B143</f>
        <v>333.43482813669783</v>
      </c>
      <c r="I95" s="105">
        <f>I72*Misc!B143</f>
        <v>95.267093753342252</v>
      </c>
      <c r="J95" s="102">
        <f>J72*SUM(C68:D68)*Misc!B143</f>
        <v>66.686965627339561</v>
      </c>
      <c r="L95" s="13" t="s">
        <v>135</v>
      </c>
      <c r="M95" s="13" t="s">
        <v>136</v>
      </c>
      <c r="N95" s="13" t="s">
        <v>136</v>
      </c>
      <c r="O95" s="13" t="s">
        <v>136</v>
      </c>
      <c r="P95" s="13" t="s">
        <v>136</v>
      </c>
      <c r="Q95" s="13" t="s">
        <v>136</v>
      </c>
      <c r="R95" s="13" t="s">
        <v>136</v>
      </c>
      <c r="S95" s="13"/>
      <c r="T95" s="13"/>
      <c r="U95" s="13"/>
      <c r="V95" s="13"/>
      <c r="W95" s="13"/>
      <c r="X95" s="13"/>
      <c r="Y95" s="13"/>
      <c r="Z95" s="13"/>
    </row>
    <row r="96" spans="2:26" ht="12.6">
      <c r="B96" s="104" t="s">
        <v>137</v>
      </c>
      <c r="C96" s="102"/>
      <c r="D96" s="105">
        <f t="shared" ref="D96:J96" si="17">D95*D74</f>
        <v>13843.499561032544</v>
      </c>
      <c r="E96" s="105">
        <f t="shared" si="17"/>
        <v>13907.294489885227</v>
      </c>
      <c r="F96" s="105">
        <f t="shared" si="17"/>
        <v>1962.9208877749088</v>
      </c>
      <c r="G96" s="105">
        <f t="shared" si="17"/>
        <v>17809.784275563245</v>
      </c>
      <c r="H96" s="105">
        <f t="shared" si="17"/>
        <v>5001.5224220504679</v>
      </c>
      <c r="I96" s="105">
        <f t="shared" si="17"/>
        <v>1429.0064063001337</v>
      </c>
      <c r="J96" s="105">
        <f t="shared" si="17"/>
        <v>1000.3044844100934</v>
      </c>
      <c r="L96" s="13" t="s">
        <v>138</v>
      </c>
      <c r="M96" s="13" t="s">
        <v>139</v>
      </c>
      <c r="N96" s="13" t="s">
        <v>139</v>
      </c>
      <c r="O96" s="13" t="s">
        <v>139</v>
      </c>
      <c r="P96" s="13" t="s">
        <v>139</v>
      </c>
      <c r="Q96" s="13" t="s">
        <v>139</v>
      </c>
      <c r="R96" s="13" t="s">
        <v>139</v>
      </c>
      <c r="S96" s="13"/>
      <c r="T96" s="13"/>
      <c r="U96" s="13"/>
      <c r="V96" s="13"/>
      <c r="W96" s="13"/>
      <c r="X96" s="13"/>
      <c r="Y96" s="13"/>
      <c r="Z96" s="13"/>
    </row>
    <row r="97" spans="2:26" ht="12.6">
      <c r="E97" s="1"/>
      <c r="L97" s="13" t="s">
        <v>140</v>
      </c>
      <c r="M97" s="13" t="s">
        <v>141</v>
      </c>
      <c r="N97" s="13" t="s">
        <v>141</v>
      </c>
      <c r="O97" s="13"/>
      <c r="P97" s="13"/>
      <c r="Q97" s="13"/>
      <c r="R97" s="13"/>
      <c r="S97" s="13"/>
      <c r="T97" s="13"/>
      <c r="U97" s="13"/>
      <c r="V97" s="13"/>
      <c r="W97" s="13"/>
      <c r="X97" s="13"/>
      <c r="Y97" s="13"/>
      <c r="Z97" s="13"/>
    </row>
    <row r="98" spans="2:26" ht="12.6">
      <c r="E98" s="1"/>
      <c r="L98" s="13" t="s">
        <v>142</v>
      </c>
      <c r="M98" s="13" t="s">
        <v>15</v>
      </c>
      <c r="N98" s="13" t="s">
        <v>15</v>
      </c>
      <c r="O98" s="13" t="s">
        <v>15</v>
      </c>
      <c r="P98" s="13" t="s">
        <v>15</v>
      </c>
      <c r="Q98" s="13" t="s">
        <v>15</v>
      </c>
      <c r="R98" s="13" t="s">
        <v>15</v>
      </c>
      <c r="S98" s="13"/>
      <c r="T98" s="13"/>
      <c r="U98" s="13"/>
      <c r="V98" s="13"/>
      <c r="W98" s="13"/>
      <c r="X98" s="13"/>
      <c r="Y98" s="13"/>
      <c r="Z98" s="13"/>
    </row>
    <row r="99" spans="2:26" ht="12.6">
      <c r="E99" s="1"/>
      <c r="L99" s="13"/>
      <c r="M99" s="13"/>
      <c r="N99" s="13"/>
      <c r="O99" s="13"/>
      <c r="P99" s="13"/>
      <c r="Q99" s="13"/>
      <c r="R99" s="13"/>
      <c r="S99" s="13"/>
      <c r="T99" s="13"/>
      <c r="U99" s="13"/>
      <c r="V99" s="13"/>
      <c r="W99" s="13"/>
      <c r="X99" s="13"/>
      <c r="Y99" s="13"/>
      <c r="Z99" s="13"/>
    </row>
    <row r="100" spans="2:26" ht="12.6">
      <c r="E100" s="1"/>
    </row>
    <row r="101" spans="2:26" ht="12.6">
      <c r="E101" s="1"/>
      <c r="L101" s="10"/>
    </row>
    <row r="102" spans="2:26" ht="27.95">
      <c r="B102" s="106" t="s">
        <v>57</v>
      </c>
      <c r="C102" s="107"/>
      <c r="D102" s="107"/>
      <c r="E102" s="108"/>
      <c r="F102" s="107"/>
      <c r="G102" s="107"/>
    </row>
    <row r="103" spans="2:26" ht="26.1">
      <c r="B103" s="47"/>
      <c r="C103" s="44" t="s">
        <v>77</v>
      </c>
      <c r="D103" s="44" t="s">
        <v>78</v>
      </c>
      <c r="E103" s="44" t="s">
        <v>36</v>
      </c>
      <c r="F103" s="44" t="s">
        <v>14</v>
      </c>
      <c r="G103" s="46" t="s">
        <v>80</v>
      </c>
    </row>
    <row r="104" spans="2:26" ht="12.95">
      <c r="B104" s="57" t="s">
        <v>57</v>
      </c>
      <c r="C104" s="47" t="s">
        <v>81</v>
      </c>
      <c r="D104" s="47" t="s">
        <v>82</v>
      </c>
      <c r="E104" s="47" t="s">
        <v>84</v>
      </c>
      <c r="F104" s="47"/>
      <c r="G104" s="8" t="s">
        <v>84</v>
      </c>
    </row>
    <row r="105" spans="2:26" ht="12.6">
      <c r="B105" s="13" t="s">
        <v>143</v>
      </c>
      <c r="C105" s="48">
        <f>'RBS summary'!B183</f>
        <v>0</v>
      </c>
      <c r="D105" s="11">
        <f>C105/Misc!$B$2</f>
        <v>0</v>
      </c>
      <c r="E105" s="14">
        <f>((('RBS summary'!B9)*Misc!$B$65)/365.25/Misc!$B$2)*B110</f>
        <v>5.1486331487034021E-2</v>
      </c>
      <c r="F105" s="13"/>
      <c r="G105" s="13"/>
    </row>
    <row r="106" spans="2:26" ht="12.6">
      <c r="B106" s="13" t="s">
        <v>144</v>
      </c>
      <c r="C106" s="48">
        <f>'RBS summary'!B184</f>
        <v>0</v>
      </c>
      <c r="D106" s="11">
        <f>C106/Misc!$B$2</f>
        <v>0</v>
      </c>
      <c r="E106" s="14">
        <f>((('RBS summary'!B10)*Misc!$B$65)/365.25/Misc!$B$2)*B110</f>
        <v>0.28555668801493017</v>
      </c>
      <c r="F106" s="13"/>
      <c r="G106" s="13"/>
    </row>
    <row r="107" spans="2:26" ht="12.6">
      <c r="B107" s="13" t="s">
        <v>145</v>
      </c>
      <c r="C107" s="48">
        <f>'RBS summary'!B187</f>
        <v>0</v>
      </c>
      <c r="D107" s="11">
        <f>C107/Misc!$B$2</f>
        <v>0</v>
      </c>
      <c r="E107" s="14">
        <f>(('RBS summary'!B13)*Misc!$B$65)/365.25/Misc!$B$2</f>
        <v>2.201028183231831E-3</v>
      </c>
      <c r="F107" s="13"/>
      <c r="G107" s="13"/>
    </row>
    <row r="108" spans="2:26" ht="12.6">
      <c r="B108" s="10" t="s">
        <v>14</v>
      </c>
      <c r="E108" s="109">
        <f>SUM(E105:E107)</f>
        <v>0.339244047685196</v>
      </c>
    </row>
    <row r="109" spans="2:26" ht="12.6">
      <c r="B109" s="9" t="s">
        <v>146</v>
      </c>
      <c r="C109" s="13" t="s">
        <v>147</v>
      </c>
      <c r="D109" s="13" t="s">
        <v>148</v>
      </c>
      <c r="E109" s="17"/>
      <c r="F109" s="13"/>
      <c r="G109" s="13"/>
    </row>
    <row r="110" spans="2:26" ht="12.6">
      <c r="B110" s="56">
        <v>0.2</v>
      </c>
      <c r="C110" s="13"/>
      <c r="D110" s="17">
        <v>0.7</v>
      </c>
      <c r="E110" s="17"/>
      <c r="F110" s="13"/>
      <c r="G110" s="13"/>
    </row>
    <row r="111" spans="2:26" ht="12.6">
      <c r="B111" s="1"/>
      <c r="E111" s="1"/>
    </row>
    <row r="112" spans="2:26" ht="12.95">
      <c r="B112" s="54" t="s">
        <v>149</v>
      </c>
      <c r="C112" s="57" t="s">
        <v>8</v>
      </c>
      <c r="D112" s="63" t="s">
        <v>99</v>
      </c>
      <c r="E112" s="64" t="s">
        <v>100</v>
      </c>
    </row>
    <row r="113" spans="2:11" ht="12.95">
      <c r="B113" s="65" t="s">
        <v>84</v>
      </c>
      <c r="C113" s="13"/>
      <c r="D113" s="110">
        <f>SUM(E105:E107)</f>
        <v>0.339244047685196</v>
      </c>
      <c r="E113" s="111">
        <f>SUM(E105:E107)</f>
        <v>0.339244047685196</v>
      </c>
    </row>
    <row r="114" spans="2:11" ht="12.95">
      <c r="B114" s="65" t="s">
        <v>108</v>
      </c>
      <c r="C114" s="13"/>
      <c r="D114" s="80">
        <f t="shared" ref="D114:E114" si="18">D113*365.25</f>
        <v>123.90888841701783</v>
      </c>
      <c r="E114" s="81">
        <f t="shared" si="18"/>
        <v>123.90888841701783</v>
      </c>
    </row>
    <row r="115" spans="2:11" ht="12.95">
      <c r="B115" s="65" t="s">
        <v>110</v>
      </c>
      <c r="C115" s="13"/>
      <c r="D115" s="88">
        <f>D114*'Energy prices'!C3</f>
        <v>29.975547764700494</v>
      </c>
      <c r="E115" s="89">
        <f>((E113*(1-D110)*365.25)*'Energy prices'!$C$3)+((E113*D110*365.25)*'Energy prices'!C62)</f>
        <v>14.377245117986712</v>
      </c>
    </row>
    <row r="116" spans="2:11" ht="12.6">
      <c r="E116" s="1"/>
    </row>
    <row r="117" spans="2:11" ht="33" customHeight="1">
      <c r="B117" s="112" t="s">
        <v>58</v>
      </c>
      <c r="C117" s="102"/>
      <c r="D117" s="102"/>
      <c r="E117" s="103"/>
      <c r="F117" s="102"/>
      <c r="G117" s="102"/>
      <c r="H117" s="102"/>
      <c r="I117" s="102"/>
      <c r="J117" s="102"/>
      <c r="K117" s="102"/>
    </row>
    <row r="118" spans="2:11" ht="12.6">
      <c r="B118" s="47"/>
      <c r="C118" s="47" t="s">
        <v>81</v>
      </c>
      <c r="D118" s="47" t="s">
        <v>82</v>
      </c>
      <c r="E118" s="47" t="s">
        <v>83</v>
      </c>
      <c r="F118" s="47" t="s">
        <v>84</v>
      </c>
      <c r="G118" s="47" t="s">
        <v>84</v>
      </c>
      <c r="H118" s="47" t="s">
        <v>84</v>
      </c>
      <c r="I118" s="47" t="s">
        <v>84</v>
      </c>
      <c r="J118" s="47"/>
      <c r="K118" s="47" t="s">
        <v>84</v>
      </c>
    </row>
    <row r="119" spans="2:11" ht="12.95">
      <c r="B119" s="57" t="s">
        <v>150</v>
      </c>
      <c r="C119" s="57" t="s">
        <v>77</v>
      </c>
      <c r="D119" s="57" t="s">
        <v>78</v>
      </c>
      <c r="E119" s="113" t="s">
        <v>79</v>
      </c>
      <c r="F119" s="57" t="s">
        <v>36</v>
      </c>
      <c r="G119" s="57" t="s">
        <v>37</v>
      </c>
      <c r="H119" s="57" t="s">
        <v>38</v>
      </c>
      <c r="I119" s="57" t="s">
        <v>39</v>
      </c>
      <c r="J119" s="57" t="s">
        <v>14</v>
      </c>
      <c r="K119" s="114" t="s">
        <v>80</v>
      </c>
    </row>
    <row r="120" spans="2:11" ht="12.6">
      <c r="B120" s="13" t="str">
        <f>'RBS summary'!A154</f>
        <v>Electric Water - Med/Large</v>
      </c>
      <c r="C120" s="48">
        <f>'RBS summary'!B154</f>
        <v>792093.89170000004</v>
      </c>
      <c r="D120" s="11">
        <f>C120/Misc!$B$2</f>
        <v>0.4124844512315784</v>
      </c>
      <c r="E120" s="17">
        <f>Misc!B23</f>
        <v>0.9</v>
      </c>
      <c r="F120" s="11">
        <f>('RBS summary'!B22*Misc!$B$65)/365.25/Misc!$B$2</f>
        <v>3.4869599940945699</v>
      </c>
      <c r="G120" s="11"/>
      <c r="H120" s="11"/>
      <c r="I120" s="11"/>
      <c r="J120" s="13"/>
      <c r="K120" s="116">
        <f t="shared" ref="K120:K121" si="19">F120*($E120/1)</f>
        <v>3.1382639946851132</v>
      </c>
    </row>
    <row r="121" spans="2:11" ht="12.6">
      <c r="B121" s="13" t="str">
        <f>'RBS summary'!A155</f>
        <v>Electric Water - Small</v>
      </c>
      <c r="C121" s="48">
        <f>'RBS summary'!B155</f>
        <v>458067.4143</v>
      </c>
      <c r="D121" s="11">
        <f>C121/Misc!$B$2</f>
        <v>0.23853950648336197</v>
      </c>
      <c r="E121" s="17">
        <f>Misc!B23</f>
        <v>0.9</v>
      </c>
      <c r="F121" s="11">
        <f>('RBS summary'!B23*Misc!$B$65)/365.25/Misc!$B$2</f>
        <v>1.255713475923844</v>
      </c>
      <c r="G121" s="11"/>
      <c r="H121" s="11"/>
      <c r="I121" s="11"/>
      <c r="J121" s="13"/>
      <c r="K121" s="116">
        <f t="shared" si="19"/>
        <v>1.1301421283314597</v>
      </c>
    </row>
    <row r="122" spans="2:11" ht="12.6">
      <c r="B122" s="13" t="str">
        <f>'RBS summary'!A156</f>
        <v>Gas instant (LPG)</v>
      </c>
      <c r="C122" s="48">
        <f>'RBS summary'!B156</f>
        <v>142039</v>
      </c>
      <c r="D122" s="11">
        <f>C122/Misc!$B$2</f>
        <v>7.3967088475759002E-2</v>
      </c>
      <c r="E122" s="17">
        <f>Misc!B26</f>
        <v>0.95</v>
      </c>
      <c r="F122" s="11"/>
      <c r="G122" s="11"/>
      <c r="H122" s="11">
        <f>('RBS summary'!D24*Misc!$B$65)/365.25/Misc!$B$2</f>
        <v>0.52322050329843683</v>
      </c>
      <c r="I122" s="11"/>
      <c r="J122" s="13"/>
      <c r="K122" s="116">
        <f>H122*($E122/1)</f>
        <v>0.49705947813351498</v>
      </c>
    </row>
    <row r="123" spans="2:11" ht="12.6">
      <c r="B123" s="13" t="str">
        <f>'RBS summary'!A157</f>
        <v>Gas instant (mains)</v>
      </c>
      <c r="C123" s="48">
        <f>'RBS summary'!B157</f>
        <v>299344</v>
      </c>
      <c r="D123" s="11">
        <f>C123/Misc!$B$2</f>
        <v>0.15588397646201113</v>
      </c>
      <c r="E123" s="17">
        <f>Misc!B25</f>
        <v>0.95</v>
      </c>
      <c r="F123" s="11"/>
      <c r="G123" s="11">
        <f>('RBS summary'!C25*Misc!$B$65)/365.25/Misc!$B$2</f>
        <v>1.0964506931559526</v>
      </c>
      <c r="H123" s="11"/>
      <c r="I123" s="11"/>
      <c r="J123" s="13"/>
      <c r="K123" s="116">
        <f>G123*($E123/1)</f>
        <v>1.0416281584981548</v>
      </c>
    </row>
    <row r="124" spans="2:11" ht="12.6">
      <c r="B124" s="13" t="str">
        <f>'RBS summary'!A158</f>
        <v>Gas storage (LPG)</v>
      </c>
      <c r="C124" s="48">
        <f>'RBS summary'!B158</f>
        <v>1439</v>
      </c>
      <c r="D124" s="11">
        <f>C124/Misc!$B$2</f>
        <v>7.493620788418476E-4</v>
      </c>
      <c r="E124" s="17">
        <f>Misc!B26</f>
        <v>0.95</v>
      </c>
      <c r="F124" s="11"/>
      <c r="G124" s="11"/>
      <c r="H124" s="11">
        <f>('RBS summary'!D26*Misc!$B$65)/365.25/Misc!$B$2</f>
        <v>6.0309874746379789E-3</v>
      </c>
      <c r="I124" s="11"/>
      <c r="J124" s="13"/>
      <c r="K124" s="116">
        <f>H124*($E124/1)</f>
        <v>5.7294381009060794E-3</v>
      </c>
    </row>
    <row r="125" spans="2:11" ht="12.6">
      <c r="B125" s="13" t="str">
        <f>'RBS summary'!A159</f>
        <v>Gas storage (mains)</v>
      </c>
      <c r="C125" s="48">
        <f>'RBS summary'!B159</f>
        <v>16355</v>
      </c>
      <c r="D125" s="11">
        <f>C125/Misc!$B$2</f>
        <v>8.5168984012914655E-3</v>
      </c>
      <c r="E125" s="17">
        <f>Misc!B25</f>
        <v>0.95</v>
      </c>
      <c r="F125" s="11"/>
      <c r="G125" s="11">
        <f>('RBS summary'!C27*Misc!$B$65)/365.25/Misc!$B$2</f>
        <v>6.9535147068588626E-2</v>
      </c>
      <c r="H125" s="11"/>
      <c r="I125" s="11"/>
      <c r="J125" s="13"/>
      <c r="K125" s="116">
        <f>G125*($E125/1)</f>
        <v>6.6058389715159191E-2</v>
      </c>
    </row>
    <row r="126" spans="2:11" ht="12.6">
      <c r="B126" s="13" t="str">
        <f>'RBS summary'!A160</f>
        <v>Heat pump</v>
      </c>
      <c r="C126" s="48">
        <f>'RBS summary'!B160</f>
        <v>10859</v>
      </c>
      <c r="D126" s="11">
        <f>C126/Misc!$B$2</f>
        <v>5.6548455970421288E-3</v>
      </c>
      <c r="E126" s="17">
        <f>Misc!B24</f>
        <v>3.15</v>
      </c>
      <c r="F126" s="11">
        <f>('RBS summary'!B28*Misc!$B$65)/365.25/Misc!$B$2</f>
        <v>1.275771026109131E-2</v>
      </c>
      <c r="G126" s="11"/>
      <c r="H126" s="11"/>
      <c r="I126" s="11"/>
      <c r="J126" s="13"/>
      <c r="K126" s="116">
        <f t="shared" ref="K126:K127" si="20">F126*($E126/1)</f>
        <v>4.0186787322437627E-2</v>
      </c>
    </row>
    <row r="127" spans="2:11" ht="12.6">
      <c r="B127" s="13" t="str">
        <f>'RBS summary'!A161</f>
        <v>Solar electric</v>
      </c>
      <c r="C127" s="48">
        <f>'RBS summary'!B161</f>
        <v>49990</v>
      </c>
      <c r="D127" s="11">
        <f>C127/Misc!$B$2</f>
        <v>2.6032390772275166E-2</v>
      </c>
      <c r="E127" s="17">
        <f>Misc!B24</f>
        <v>3.15</v>
      </c>
      <c r="F127" s="11">
        <f>('RBS summary'!B29*Misc!$B$65)/365.25/Misc!$B$2</f>
        <v>6.3986001616861604E-2</v>
      </c>
      <c r="G127" s="11"/>
      <c r="H127" s="11"/>
      <c r="I127" s="11"/>
      <c r="J127" s="13"/>
      <c r="K127" s="116">
        <f t="shared" si="20"/>
        <v>0.20155590509311405</v>
      </c>
    </row>
    <row r="128" spans="2:11" ht="12.6">
      <c r="B128" s="13" t="str">
        <f>'RBS summary'!A162</f>
        <v>Solar gas</v>
      </c>
      <c r="C128" s="48">
        <f>'RBS summary'!B162</f>
        <v>0</v>
      </c>
      <c r="D128" s="11">
        <f>C128/Misc!$B$2</f>
        <v>0</v>
      </c>
      <c r="E128" s="17" t="s">
        <v>151</v>
      </c>
      <c r="F128" s="11"/>
      <c r="G128" s="11"/>
      <c r="H128" s="11"/>
      <c r="I128" s="11"/>
      <c r="J128" s="13"/>
      <c r="K128" s="116"/>
    </row>
    <row r="129" spans="2:18" ht="12.6">
      <c r="B129" s="13" t="str">
        <f>'RBS summary'!A163</f>
        <v>Wood</v>
      </c>
      <c r="C129" s="48">
        <f>'RBS summary'!B163</f>
        <v>183082</v>
      </c>
      <c r="D129" s="11">
        <f>C129/Misc!$B$2</f>
        <v>9.5340311409675568E-2</v>
      </c>
      <c r="E129" s="17">
        <v>0.75</v>
      </c>
      <c r="F129" s="11"/>
      <c r="G129" s="11"/>
      <c r="H129" s="11"/>
      <c r="I129" s="11">
        <f>('RBS summary'!E31*Misc!$B$65)/365.25/Misc!$B$2</f>
        <v>0.55120099548258905</v>
      </c>
      <c r="J129" s="13"/>
      <c r="K129" s="116">
        <f>I129*($E129/1)</f>
        <v>0.41340074661194182</v>
      </c>
      <c r="M129" s="50"/>
      <c r="N129" s="50"/>
      <c r="O129" s="50"/>
      <c r="P129" s="50"/>
    </row>
    <row r="130" spans="2:18" ht="12.6">
      <c r="B130" s="51" t="s">
        <v>14</v>
      </c>
      <c r="C130" s="51"/>
      <c r="D130" s="51"/>
      <c r="E130" s="53"/>
      <c r="F130" s="117">
        <f t="shared" ref="F130:I130" si="21">SUM(F120:F129)</f>
        <v>4.819417181896366</v>
      </c>
      <c r="G130" s="117">
        <f t="shared" si="21"/>
        <v>1.1659858402245411</v>
      </c>
      <c r="H130" s="117">
        <f t="shared" si="21"/>
        <v>0.52925149077307476</v>
      </c>
      <c r="I130" s="117">
        <f t="shared" si="21"/>
        <v>0.55120099548258905</v>
      </c>
      <c r="J130" s="117">
        <f>SUM(F130:I130)</f>
        <v>7.0658555083765719</v>
      </c>
      <c r="K130" s="116">
        <f>SUM(K120:K129)</f>
        <v>6.5340250264918023</v>
      </c>
      <c r="M130" s="50"/>
      <c r="N130" s="50"/>
      <c r="O130" s="50"/>
      <c r="P130" s="50"/>
      <c r="Q130" s="50"/>
      <c r="R130" s="50"/>
    </row>
    <row r="131" spans="2:18" ht="12.6">
      <c r="E131" s="1"/>
    </row>
    <row r="132" spans="2:18" ht="12.6">
      <c r="B132" s="9"/>
      <c r="C132" s="9" t="s">
        <v>152</v>
      </c>
      <c r="D132" s="9" t="s">
        <v>153</v>
      </c>
      <c r="E132" s="9" t="s">
        <v>88</v>
      </c>
      <c r="G132" s="10" t="s">
        <v>154</v>
      </c>
      <c r="I132" s="10" t="s">
        <v>155</v>
      </c>
    </row>
    <row r="133" spans="2:18" ht="12.6">
      <c r="B133" s="9" t="s">
        <v>90</v>
      </c>
      <c r="C133" s="55">
        <f>1-D133</f>
        <v>0.57321893935266033</v>
      </c>
      <c r="D133" s="55">
        <f>AVERAGE('Load Profiles'!AG1462:AG1826)</f>
        <v>0.42678106064733967</v>
      </c>
      <c r="E133" s="55">
        <f>AVERAGE('Load Profiles'!AF1462:AF1826)</f>
        <v>0.28392977575153033</v>
      </c>
      <c r="G133" s="1">
        <v>0.85</v>
      </c>
      <c r="I133" s="1">
        <v>0.75</v>
      </c>
    </row>
    <row r="134" spans="2:18" ht="12.6">
      <c r="B134" s="9" t="s">
        <v>91</v>
      </c>
      <c r="C134" s="56">
        <v>0</v>
      </c>
      <c r="D134" s="56">
        <f>1-E134</f>
        <v>0.15000000000000002</v>
      </c>
      <c r="E134" s="56">
        <v>0.85</v>
      </c>
      <c r="F134" s="118"/>
      <c r="G134" s="1">
        <v>0.15</v>
      </c>
      <c r="H134" s="118"/>
      <c r="I134" s="1">
        <v>0.25</v>
      </c>
    </row>
    <row r="135" spans="2:18" ht="12.6">
      <c r="E135" s="1"/>
    </row>
    <row r="136" spans="2:18" ht="12.95">
      <c r="B136" s="44" t="s">
        <v>149</v>
      </c>
      <c r="C136" s="57" t="s">
        <v>93</v>
      </c>
      <c r="D136" s="58" t="s">
        <v>94</v>
      </c>
      <c r="E136" s="59" t="s">
        <v>95</v>
      </c>
      <c r="F136" s="61" t="s">
        <v>97</v>
      </c>
      <c r="G136" s="62" t="s">
        <v>156</v>
      </c>
      <c r="H136" s="119" t="s">
        <v>157</v>
      </c>
      <c r="I136" s="63" t="s">
        <v>99</v>
      </c>
      <c r="J136" s="64" t="s">
        <v>100</v>
      </c>
      <c r="L136" s="13" t="s">
        <v>101</v>
      </c>
      <c r="M136" s="13" t="s">
        <v>158</v>
      </c>
      <c r="N136" s="13" t="s">
        <v>159</v>
      </c>
      <c r="O136" s="13" t="s">
        <v>106</v>
      </c>
      <c r="P136" s="13"/>
      <c r="Q136" s="13"/>
      <c r="R136" s="13"/>
    </row>
    <row r="137" spans="2:18" ht="12.95">
      <c r="B137" s="65" t="s">
        <v>84</v>
      </c>
      <c r="C137" s="12">
        <f>SUM(J122)</f>
        <v>0</v>
      </c>
      <c r="D137" s="66">
        <f>K130*(1/E123)</f>
        <v>6.8779210805176865</v>
      </c>
      <c r="E137" s="67">
        <f>K130*(1/E122)</f>
        <v>6.8779210805176865</v>
      </c>
      <c r="F137" s="120">
        <f>K130*(1/Misc!B19)</f>
        <v>9.012448312402487</v>
      </c>
      <c r="G137" s="121">
        <f>K130*(1/E120)</f>
        <v>7.2600278072131141</v>
      </c>
      <c r="H137" s="122">
        <f>K130*(1/E120)</f>
        <v>7.2600278072131141</v>
      </c>
      <c r="I137" s="71">
        <f>K130*(1/E126)</f>
        <v>2.0742936592037466</v>
      </c>
      <c r="J137" s="111">
        <f>K130*(1/E126)</f>
        <v>2.0742936592037466</v>
      </c>
      <c r="L137" s="13" t="s">
        <v>43</v>
      </c>
      <c r="M137" s="16">
        <f>D137</f>
        <v>6.8779210805176865</v>
      </c>
      <c r="N137" s="13"/>
      <c r="O137" s="13"/>
      <c r="P137" s="13"/>
      <c r="Q137" s="13"/>
      <c r="R137" s="13"/>
    </row>
    <row r="138" spans="2:18" ht="12.95">
      <c r="B138" s="65" t="s">
        <v>108</v>
      </c>
      <c r="C138" s="74">
        <f t="shared" ref="C138:J138" si="22">C137*365.25</f>
        <v>0</v>
      </c>
      <c r="D138" s="75">
        <f t="shared" si="22"/>
        <v>2512.1606746590851</v>
      </c>
      <c r="E138" s="76">
        <f t="shared" si="22"/>
        <v>2512.1606746590851</v>
      </c>
      <c r="F138" s="78">
        <f t="shared" si="22"/>
        <v>3291.7967461050084</v>
      </c>
      <c r="G138" s="79">
        <f t="shared" si="22"/>
        <v>2651.72515658459</v>
      </c>
      <c r="H138" s="123">
        <f t="shared" si="22"/>
        <v>2651.72515658459</v>
      </c>
      <c r="I138" s="80">
        <f t="shared" si="22"/>
        <v>757.63575902416846</v>
      </c>
      <c r="J138" s="81">
        <f t="shared" si="22"/>
        <v>757.63575902416846</v>
      </c>
      <c r="L138" s="13" t="s">
        <v>36</v>
      </c>
      <c r="M138" s="13"/>
      <c r="N138" s="11">
        <f>G137</f>
        <v>7.2600278072131141</v>
      </c>
      <c r="O138" s="16">
        <f>I137</f>
        <v>2.0742936592037466</v>
      </c>
      <c r="P138" s="13"/>
      <c r="Q138" s="13"/>
      <c r="R138" s="13"/>
    </row>
    <row r="139" spans="2:18" ht="12.95">
      <c r="B139" s="65" t="s">
        <v>110</v>
      </c>
      <c r="C139" s="73">
        <f>((F122*365.25)*'Energy prices'!$C$3)+((G122*365.25)*'Energy prices'!$C$45)+((H122*365.25)*'Energy prices'!$C$51)+((I122*365.25)*'Energy prices'!$C$54)</f>
        <v>46.653433981947195</v>
      </c>
      <c r="D139" s="83">
        <f>(D137*365.25)*'Energy prices'!$C$45</f>
        <v>276.33767421249934</v>
      </c>
      <c r="E139" s="84">
        <f>(E137*365.25)*'Energy prices'!$C$51</f>
        <v>613.27611406686526</v>
      </c>
      <c r="F139" s="86">
        <f>(F137*365.25)*'Energy prices'!$C$58</f>
        <v>679.40638140685576</v>
      </c>
      <c r="G139" s="87">
        <f>(G137*365.25)*'Energy prices'!G3</f>
        <v>477.31052818522619</v>
      </c>
      <c r="H139" s="124">
        <f>((H137*I134*365.25)*'Energy prices'!$C$3)+((H137*I133*365.25)*'Energy prices'!C62)</f>
        <v>283.8379477433042</v>
      </c>
      <c r="I139" s="88">
        <f>(I137*365.25)*'Energy prices'!$C$3</f>
        <v>183.28424355193371</v>
      </c>
      <c r="J139" s="89">
        <f>((J137*G134*365.25)*'Energy prices'!$C$3)+((J137*G133*365.25)*'Energy prices'!C62)</f>
        <v>67.471531557573982</v>
      </c>
      <c r="L139" s="13"/>
      <c r="M139" s="13"/>
      <c r="N139" s="13"/>
      <c r="O139" s="13"/>
      <c r="P139" s="13"/>
      <c r="Q139" s="13"/>
      <c r="R139" s="13"/>
    </row>
    <row r="140" spans="2:18" ht="12.95">
      <c r="B140" s="90" t="s">
        <v>113</v>
      </c>
      <c r="C140" s="74">
        <v>15</v>
      </c>
      <c r="D140" s="75">
        <f t="shared" ref="D140:J140" si="23">$C$140</f>
        <v>15</v>
      </c>
      <c r="E140" s="76">
        <f t="shared" si="23"/>
        <v>15</v>
      </c>
      <c r="F140" s="78">
        <f t="shared" si="23"/>
        <v>15</v>
      </c>
      <c r="G140" s="79">
        <f t="shared" si="23"/>
        <v>15</v>
      </c>
      <c r="H140" s="123">
        <f t="shared" si="23"/>
        <v>15</v>
      </c>
      <c r="I140" s="80">
        <f t="shared" si="23"/>
        <v>15</v>
      </c>
      <c r="J140" s="81">
        <f t="shared" si="23"/>
        <v>15</v>
      </c>
      <c r="L140" s="13"/>
      <c r="M140" s="13"/>
      <c r="N140" s="13"/>
      <c r="O140" s="13"/>
      <c r="P140" s="13"/>
      <c r="Q140" s="13"/>
      <c r="R140" s="13"/>
    </row>
    <row r="141" spans="2:18" ht="12.95">
      <c r="B141" s="40" t="s">
        <v>115</v>
      </c>
      <c r="C141" s="73">
        <f>C139*C140</f>
        <v>699.80150972920796</v>
      </c>
      <c r="D141" s="83">
        <f>((D137*365.25)*'Energy prices'!F45)*D140</f>
        <v>4768.0940298922642</v>
      </c>
      <c r="E141" s="84">
        <f>((E137*365.25)*'Energy prices'!H51)*E140</f>
        <v>10581.829591245367</v>
      </c>
      <c r="F141" s="86">
        <f>((F137*365.25)*'Energy prices'!G58)*F140</f>
        <v>10443.317934801753</v>
      </c>
      <c r="G141" s="87">
        <f>((G137*365.25)*'Energy prices'!G3)*G140</f>
        <v>7159.6579227783932</v>
      </c>
      <c r="H141" s="124">
        <f>(((H137*I134*365.25)*'Energy prices'!H3)+((H137*I133*365.25)*'Energy prices'!C62))*H140</f>
        <v>4719.7215265327068</v>
      </c>
      <c r="I141" s="88">
        <f>((I137*365.25)*'Energy prices'!H3)*I140</f>
        <v>3277.4377222883136</v>
      </c>
      <c r="J141" s="89">
        <f>(((J137*G134*365.25)*'Energy prices'!H3)+((J137*G133*365.25)*'Energy prices'!C62))*J140</f>
        <v>1091.299083715006</v>
      </c>
      <c r="L141" s="13" t="s">
        <v>160</v>
      </c>
      <c r="M141" s="13" t="s">
        <v>38</v>
      </c>
      <c r="N141" s="13" t="s">
        <v>37</v>
      </c>
      <c r="O141" s="13" t="s">
        <v>161</v>
      </c>
      <c r="P141" s="13" t="s">
        <v>162</v>
      </c>
      <c r="Q141" s="13" t="s">
        <v>163</v>
      </c>
      <c r="R141" s="13" t="s">
        <v>164</v>
      </c>
    </row>
    <row r="142" spans="2:18" ht="12.95">
      <c r="B142" s="40" t="s">
        <v>165</v>
      </c>
      <c r="C142" s="13"/>
      <c r="D142" s="83">
        <f>$D$292*$G$292</f>
        <v>252.72876633421942</v>
      </c>
      <c r="E142" s="84">
        <f>$D$293*$G$293</f>
        <v>95.484022439854627</v>
      </c>
      <c r="F142" s="94"/>
      <c r="G142" s="95"/>
      <c r="H142" s="125"/>
      <c r="I142" s="96"/>
      <c r="J142" s="37"/>
      <c r="L142" s="13" t="s">
        <v>166</v>
      </c>
      <c r="M142" s="73">
        <f>E141</f>
        <v>10581.829591245367</v>
      </c>
      <c r="N142" s="73">
        <f>D141</f>
        <v>4768.0940298922642</v>
      </c>
      <c r="O142" s="73">
        <f t="shared" ref="O142:R142" si="24">G141</f>
        <v>7159.6579227783932</v>
      </c>
      <c r="P142" s="73">
        <f t="shared" si="24"/>
        <v>4719.7215265327068</v>
      </c>
      <c r="Q142" s="73">
        <f t="shared" si="24"/>
        <v>3277.4377222883136</v>
      </c>
      <c r="R142" s="73">
        <f t="shared" si="24"/>
        <v>1091.299083715006</v>
      </c>
    </row>
    <row r="143" spans="2:18" ht="12.95">
      <c r="B143" s="40"/>
      <c r="C143" s="13"/>
      <c r="D143" s="98"/>
      <c r="E143" s="99"/>
      <c r="F143" s="94"/>
      <c r="G143" s="95"/>
      <c r="H143" s="125"/>
      <c r="I143" s="96"/>
      <c r="J143" s="37"/>
      <c r="L143" s="13" t="s">
        <v>139</v>
      </c>
      <c r="M143" s="73">
        <f>E147</f>
        <v>3580</v>
      </c>
      <c r="N143" s="73">
        <f>D147</f>
        <v>3580</v>
      </c>
      <c r="O143" s="73">
        <f t="shared" ref="O143:R143" si="25">G147</f>
        <v>4000</v>
      </c>
      <c r="P143" s="73">
        <f t="shared" si="25"/>
        <v>4000</v>
      </c>
      <c r="Q143" s="73">
        <f t="shared" si="25"/>
        <v>7020</v>
      </c>
      <c r="R143" s="73">
        <f t="shared" si="25"/>
        <v>7020</v>
      </c>
    </row>
    <row r="144" spans="2:18" ht="12.95">
      <c r="B144" s="40" t="s">
        <v>167</v>
      </c>
      <c r="C144" s="13"/>
      <c r="D144" s="98"/>
      <c r="E144" s="99"/>
      <c r="F144" s="94"/>
      <c r="G144" s="95"/>
      <c r="H144" s="125"/>
      <c r="I144" s="96"/>
      <c r="J144" s="37"/>
      <c r="L144" s="13" t="s">
        <v>122</v>
      </c>
      <c r="M144" s="12">
        <f>E164</f>
        <v>8214.7654061352077</v>
      </c>
      <c r="N144" s="12">
        <f>D164</f>
        <v>8177.0829960153224</v>
      </c>
      <c r="O144" s="12">
        <f t="shared" ref="O144:R144" si="26">G164</f>
        <v>3898.035980179347</v>
      </c>
      <c r="P144" s="12">
        <f t="shared" si="26"/>
        <v>584.70539702690223</v>
      </c>
      <c r="Q144" s="12">
        <f t="shared" si="26"/>
        <v>1113.7245657655276</v>
      </c>
      <c r="R144" s="12">
        <f t="shared" si="26"/>
        <v>167.05868486482916</v>
      </c>
    </row>
    <row r="145" spans="2:18" ht="12.6">
      <c r="B145" s="13" t="s">
        <v>121</v>
      </c>
      <c r="C145" s="13"/>
      <c r="D145" s="83">
        <f>ROUND('Product prices'!C20,-2)</f>
        <v>1400</v>
      </c>
      <c r="E145" s="84">
        <f>ROUND('Product prices'!C21,-2)</f>
        <v>1400</v>
      </c>
      <c r="F145" s="94"/>
      <c r="G145" s="87">
        <f>ROUND('Product prices'!C18,-2)</f>
        <v>2000</v>
      </c>
      <c r="H145" s="124">
        <f>ROUND('Product prices'!C18,-2)</f>
        <v>2000</v>
      </c>
      <c r="I145" s="88">
        <f>ROUND('Product prices'!C17,-2)</f>
        <v>4700</v>
      </c>
      <c r="J145" s="89">
        <f>ROUND('Product prices'!C17,-2)</f>
        <v>4700</v>
      </c>
      <c r="L145" s="13" t="s">
        <v>168</v>
      </c>
      <c r="M145" s="73">
        <f>E142*E140</f>
        <v>1432.2603365978193</v>
      </c>
      <c r="N145" s="73">
        <f>D142*D140</f>
        <v>3790.9314950132912</v>
      </c>
      <c r="O145" s="13"/>
      <c r="P145" s="13"/>
      <c r="Q145" s="13"/>
      <c r="R145" s="13"/>
    </row>
    <row r="146" spans="2:18" ht="12.6">
      <c r="B146" s="13" t="s">
        <v>123</v>
      </c>
      <c r="C146" s="13"/>
      <c r="D146" s="83">
        <f>ROUND('Product prices'!D20,-1)</f>
        <v>2180</v>
      </c>
      <c r="E146" s="84">
        <f>ROUND('Product prices'!D21,-1)</f>
        <v>2180</v>
      </c>
      <c r="F146" s="94"/>
      <c r="G146" s="87">
        <f>ROUND('Product prices'!D18,-1)</f>
        <v>2000</v>
      </c>
      <c r="H146" s="124">
        <f>ROUND('Product prices'!D18,-1)</f>
        <v>2000</v>
      </c>
      <c r="I146" s="88">
        <f>ROUND('Product prices'!D17,-1)</f>
        <v>2320</v>
      </c>
      <c r="J146" s="89">
        <f>ROUND('Product prices'!D17,-1)</f>
        <v>2320</v>
      </c>
      <c r="L146" s="13" t="s">
        <v>169</v>
      </c>
      <c r="M146" s="73">
        <f t="shared" ref="M146:R146" si="27">SUM(M142:M143,M145)</f>
        <v>15594.089927843186</v>
      </c>
      <c r="N146" s="73">
        <f t="shared" si="27"/>
        <v>12139.025524905555</v>
      </c>
      <c r="O146" s="73">
        <f t="shared" si="27"/>
        <v>11159.657922778393</v>
      </c>
      <c r="P146" s="73">
        <f t="shared" si="27"/>
        <v>8719.7215265327068</v>
      </c>
      <c r="Q146" s="73">
        <f t="shared" si="27"/>
        <v>10297.437722288314</v>
      </c>
      <c r="R146" s="73">
        <f t="shared" si="27"/>
        <v>8111.2990837150064</v>
      </c>
    </row>
    <row r="147" spans="2:18" ht="12.6">
      <c r="B147" s="13" t="s">
        <v>124</v>
      </c>
      <c r="C147" s="13"/>
      <c r="D147" s="83">
        <f t="shared" ref="D147:F147" si="28">SUM(D145:D146)</f>
        <v>3580</v>
      </c>
      <c r="E147" s="84">
        <f t="shared" si="28"/>
        <v>3580</v>
      </c>
      <c r="F147" s="94">
        <f t="shared" si="28"/>
        <v>0</v>
      </c>
      <c r="G147" s="87">
        <f>SUM(G145:G146)</f>
        <v>4000</v>
      </c>
      <c r="H147" s="124">
        <f t="shared" ref="H147:J147" si="29">SUM(H145:H146)</f>
        <v>4000</v>
      </c>
      <c r="I147" s="88">
        <f t="shared" si="29"/>
        <v>7020</v>
      </c>
      <c r="J147" s="89">
        <f t="shared" si="29"/>
        <v>7020</v>
      </c>
      <c r="L147" s="13"/>
      <c r="M147" s="13"/>
      <c r="N147" s="13"/>
      <c r="O147" s="13"/>
      <c r="P147" s="13"/>
      <c r="Q147" s="13"/>
      <c r="R147" s="13"/>
    </row>
    <row r="148" spans="2:18" ht="12.6">
      <c r="B148" s="13" t="s">
        <v>170</v>
      </c>
      <c r="C148" s="13"/>
      <c r="D148" s="98"/>
      <c r="E148" s="99"/>
      <c r="F148" s="94"/>
      <c r="G148" s="95"/>
      <c r="H148" s="125"/>
      <c r="I148" s="96"/>
      <c r="J148" s="37"/>
      <c r="L148" s="13"/>
      <c r="M148" s="13"/>
      <c r="N148" s="13"/>
      <c r="O148" s="13"/>
      <c r="P148" s="13"/>
      <c r="Q148" s="13"/>
      <c r="R148" s="13"/>
    </row>
    <row r="149" spans="2:18" ht="12.6">
      <c r="B149" s="13" t="s">
        <v>171</v>
      </c>
      <c r="C149" s="13"/>
      <c r="D149" s="98"/>
      <c r="E149" s="99"/>
      <c r="F149" s="94"/>
      <c r="G149" s="95"/>
      <c r="H149" s="125"/>
      <c r="I149" s="96"/>
      <c r="J149" s="37"/>
      <c r="L149" s="13" t="s">
        <v>172</v>
      </c>
      <c r="M149" s="13" t="s">
        <v>38</v>
      </c>
      <c r="N149" s="13" t="s">
        <v>37</v>
      </c>
      <c r="O149" s="13" t="s">
        <v>173</v>
      </c>
      <c r="P149" s="13" t="s">
        <v>174</v>
      </c>
      <c r="Q149" s="13" t="s">
        <v>175</v>
      </c>
      <c r="R149" s="13" t="s">
        <v>176</v>
      </c>
    </row>
    <row r="150" spans="2:18" ht="12.6">
      <c r="B150" s="13" t="s">
        <v>177</v>
      </c>
      <c r="C150" s="13"/>
      <c r="D150" s="98"/>
      <c r="E150" s="99"/>
      <c r="F150" s="94"/>
      <c r="G150" s="95"/>
      <c r="H150" s="125"/>
      <c r="I150" s="96"/>
      <c r="J150" s="37"/>
      <c r="L150" s="13" t="s">
        <v>37</v>
      </c>
      <c r="M150" s="73"/>
      <c r="N150" s="73">
        <f>D139</f>
        <v>276.33767421249934</v>
      </c>
      <c r="O150" s="73"/>
      <c r="P150" s="73"/>
      <c r="Q150" s="73"/>
      <c r="R150" s="73"/>
    </row>
    <row r="151" spans="2:18" ht="12.95">
      <c r="B151" s="40"/>
      <c r="C151" s="13"/>
      <c r="D151" s="98"/>
      <c r="E151" s="99"/>
      <c r="F151" s="94"/>
      <c r="G151" s="95"/>
      <c r="H151" s="125"/>
      <c r="I151" s="96"/>
      <c r="J151" s="37"/>
      <c r="L151" s="13" t="s">
        <v>38</v>
      </c>
      <c r="M151" s="73">
        <f>E139</f>
        <v>613.27611406686526</v>
      </c>
      <c r="N151" s="73"/>
      <c r="O151" s="73"/>
      <c r="P151" s="73"/>
      <c r="Q151" s="73"/>
      <c r="R151" s="73"/>
    </row>
    <row r="152" spans="2:18" ht="12.95">
      <c r="B152" s="40" t="s">
        <v>178</v>
      </c>
      <c r="C152" s="13"/>
      <c r="D152" s="83">
        <f t="shared" ref="D152:E152" si="30">D147+D141</f>
        <v>8348.0940298922651</v>
      </c>
      <c r="E152" s="84">
        <f t="shared" si="30"/>
        <v>14161.829591245367</v>
      </c>
      <c r="F152" s="94"/>
      <c r="G152" s="87">
        <f t="shared" ref="G152:J152" si="31">G147+G141</f>
        <v>11159.657922778393</v>
      </c>
      <c r="H152" s="124">
        <f t="shared" si="31"/>
        <v>8719.7215265327068</v>
      </c>
      <c r="I152" s="88">
        <f t="shared" si="31"/>
        <v>10297.437722288314</v>
      </c>
      <c r="J152" s="89">
        <f t="shared" si="31"/>
        <v>8111.2990837150064</v>
      </c>
      <c r="L152" s="13" t="s">
        <v>130</v>
      </c>
      <c r="M152" s="73"/>
      <c r="N152" s="73"/>
      <c r="O152" s="73">
        <f>G139</f>
        <v>477.31052818522619</v>
      </c>
      <c r="P152" s="73">
        <f>((H137*SUM(C134:D134)*365.25)*'Energy prices'!$C$3)</f>
        <v>96.22422786476524</v>
      </c>
      <c r="Q152" s="73">
        <f>I139</f>
        <v>183.28424355193371</v>
      </c>
      <c r="R152" s="73">
        <f>((J137*SUM(C134:D134)*365.25)*'Energy prices'!$C$3)</f>
        <v>27.492636532790062</v>
      </c>
    </row>
    <row r="153" spans="2:18" ht="12.95">
      <c r="B153" s="40"/>
      <c r="C153" s="13"/>
      <c r="D153" s="98"/>
      <c r="E153" s="99"/>
      <c r="F153" s="94"/>
      <c r="G153" s="95"/>
      <c r="H153" s="125"/>
      <c r="I153" s="96"/>
      <c r="J153" s="37"/>
      <c r="L153" s="13" t="s">
        <v>131</v>
      </c>
      <c r="M153" s="73"/>
      <c r="N153" s="73"/>
      <c r="O153" s="73"/>
      <c r="P153" s="73">
        <f>((H137*E134*365.25)*'Energy prices'!C62)</f>
        <v>139.92613258674376</v>
      </c>
      <c r="Q153" s="73"/>
      <c r="R153" s="73">
        <f>((J137*E134*365.25)*'Energy prices'!C62)</f>
        <v>39.978895024783931</v>
      </c>
    </row>
    <row r="154" spans="2:18" ht="12.95">
      <c r="B154" s="40" t="s">
        <v>179</v>
      </c>
      <c r="C154" s="13"/>
      <c r="D154" s="98"/>
      <c r="E154" s="99"/>
      <c r="F154" s="94"/>
      <c r="G154" s="95"/>
      <c r="H154" s="125"/>
      <c r="I154" s="96"/>
      <c r="J154" s="37"/>
      <c r="L154" s="13" t="s">
        <v>141</v>
      </c>
      <c r="M154" s="73">
        <f>E142</f>
        <v>95.484022439854627</v>
      </c>
      <c r="N154" s="73">
        <f>D142</f>
        <v>252.72876633421942</v>
      </c>
      <c r="O154" s="13"/>
      <c r="P154" s="13"/>
      <c r="Q154" s="13"/>
      <c r="R154" s="13"/>
    </row>
    <row r="155" spans="2:18" ht="24.95">
      <c r="B155" s="100" t="s">
        <v>180</v>
      </c>
      <c r="C155" s="13"/>
      <c r="D155" s="98"/>
      <c r="E155" s="99"/>
      <c r="F155" s="94"/>
      <c r="G155" s="95"/>
      <c r="H155" s="125"/>
      <c r="I155" s="96"/>
      <c r="J155" s="37"/>
      <c r="L155" s="597" t="s">
        <v>14</v>
      </c>
      <c r="M155" s="73">
        <f>SUM(M150:M154)</f>
        <v>708.76013650671985</v>
      </c>
      <c r="N155" s="73">
        <f t="shared" ref="N155:R155" si="32">SUM(N150:N154)</f>
        <v>529.0664405467187</v>
      </c>
      <c r="O155" s="73">
        <f t="shared" si="32"/>
        <v>477.31052818522619</v>
      </c>
      <c r="P155" s="73">
        <f t="shared" si="32"/>
        <v>236.15036045150902</v>
      </c>
      <c r="Q155" s="73">
        <f t="shared" si="32"/>
        <v>183.28424355193371</v>
      </c>
      <c r="R155" s="73">
        <f t="shared" si="32"/>
        <v>67.471531557573996</v>
      </c>
    </row>
    <row r="156" spans="2:18" ht="12.6">
      <c r="B156" s="100" t="s">
        <v>181</v>
      </c>
      <c r="C156" s="13"/>
      <c r="D156" s="98"/>
      <c r="E156" s="99"/>
      <c r="F156" s="94"/>
      <c r="G156" s="95"/>
      <c r="H156" s="125"/>
      <c r="I156" s="96"/>
      <c r="J156" s="37"/>
      <c r="L156" s="13"/>
      <c r="M156" s="13"/>
      <c r="N156" s="13"/>
      <c r="O156" s="13"/>
      <c r="P156" s="13"/>
      <c r="Q156" s="13"/>
      <c r="R156" s="13"/>
    </row>
    <row r="157" spans="2:18" ht="24.95">
      <c r="B157" s="100" t="s">
        <v>182</v>
      </c>
      <c r="C157" s="13"/>
      <c r="D157" s="98"/>
      <c r="E157" s="99"/>
      <c r="F157" s="94"/>
      <c r="G157" s="95"/>
      <c r="H157" s="125"/>
      <c r="I157" s="96"/>
      <c r="J157" s="37"/>
      <c r="L157" s="13"/>
      <c r="M157" s="13"/>
      <c r="N157" s="13"/>
      <c r="O157" s="13"/>
      <c r="P157" s="13"/>
      <c r="Q157" s="13"/>
      <c r="R157" s="13"/>
    </row>
    <row r="158" spans="2:18" ht="12.6">
      <c r="B158" s="100" t="s">
        <v>183</v>
      </c>
      <c r="C158" s="13"/>
      <c r="D158" s="98"/>
      <c r="E158" s="99"/>
      <c r="F158" s="94"/>
      <c r="G158" s="95"/>
      <c r="H158" s="125"/>
      <c r="I158" s="96"/>
      <c r="J158" s="37"/>
      <c r="L158" s="13" t="s">
        <v>133</v>
      </c>
      <c r="M158" s="13"/>
      <c r="N158" s="13"/>
      <c r="O158" s="13"/>
      <c r="P158" s="13"/>
      <c r="Q158" s="13"/>
      <c r="R158" s="13"/>
    </row>
    <row r="159" spans="2:18" ht="12.6">
      <c r="B159" s="100" t="s">
        <v>184</v>
      </c>
      <c r="C159" s="13"/>
      <c r="D159" s="98"/>
      <c r="E159" s="99"/>
      <c r="F159" s="94"/>
      <c r="G159" s="95"/>
      <c r="H159" s="125"/>
      <c r="I159" s="96"/>
      <c r="J159" s="37"/>
      <c r="L159" s="13" t="s">
        <v>135</v>
      </c>
      <c r="M159" s="13" t="s">
        <v>136</v>
      </c>
      <c r="N159" s="13" t="s">
        <v>136</v>
      </c>
      <c r="O159" s="13" t="s">
        <v>136</v>
      </c>
      <c r="P159" s="13" t="s">
        <v>136</v>
      </c>
      <c r="Q159" s="13" t="s">
        <v>136</v>
      </c>
      <c r="R159" s="13" t="s">
        <v>136</v>
      </c>
    </row>
    <row r="160" spans="2:18" ht="12.6">
      <c r="B160" s="100" t="s">
        <v>185</v>
      </c>
      <c r="C160" s="13"/>
      <c r="D160" s="98"/>
      <c r="E160" s="99"/>
      <c r="F160" s="94"/>
      <c r="G160" s="95"/>
      <c r="H160" s="125"/>
      <c r="I160" s="96"/>
      <c r="J160" s="37"/>
      <c r="L160" s="13" t="s">
        <v>138</v>
      </c>
      <c r="M160" s="13" t="s">
        <v>139</v>
      </c>
      <c r="N160" s="13" t="s">
        <v>139</v>
      </c>
      <c r="O160" s="13" t="s">
        <v>139</v>
      </c>
      <c r="P160" s="13" t="s">
        <v>139</v>
      </c>
      <c r="Q160" s="13" t="s">
        <v>139</v>
      </c>
      <c r="R160" s="13" t="s">
        <v>139</v>
      </c>
    </row>
    <row r="161" spans="2:18" ht="12.95">
      <c r="B161" s="65"/>
      <c r="C161" s="13"/>
      <c r="D161" s="98"/>
      <c r="E161" s="99"/>
      <c r="F161" s="94"/>
      <c r="G161" s="95"/>
      <c r="H161" s="125"/>
      <c r="I161" s="96"/>
      <c r="J161" s="37"/>
      <c r="L161" s="13" t="s">
        <v>140</v>
      </c>
      <c r="M161" s="13" t="s">
        <v>141</v>
      </c>
      <c r="N161" s="13" t="s">
        <v>141</v>
      </c>
      <c r="O161" s="13"/>
      <c r="P161" s="13"/>
      <c r="Q161" s="13"/>
      <c r="R161" s="13"/>
    </row>
    <row r="162" spans="2:18" ht="12.95">
      <c r="B162" s="101" t="s">
        <v>15</v>
      </c>
      <c r="C162" s="102"/>
      <c r="D162" s="102"/>
      <c r="E162" s="103"/>
      <c r="F162" s="102"/>
      <c r="G162" s="102"/>
      <c r="H162" s="102"/>
      <c r="I162" s="102"/>
      <c r="J162" s="102"/>
      <c r="L162" s="13" t="s">
        <v>142</v>
      </c>
      <c r="M162" s="13" t="s">
        <v>15</v>
      </c>
      <c r="N162" s="13" t="s">
        <v>15</v>
      </c>
      <c r="O162" s="13" t="s">
        <v>15</v>
      </c>
      <c r="P162" s="13" t="s">
        <v>15</v>
      </c>
      <c r="Q162" s="13" t="s">
        <v>15</v>
      </c>
      <c r="R162" s="13" t="s">
        <v>15</v>
      </c>
    </row>
    <row r="163" spans="2:18" ht="12.6">
      <c r="B163" s="104" t="s">
        <v>134</v>
      </c>
      <c r="C163" s="102"/>
      <c r="D163" s="126">
        <f>D138*Misc!C143</f>
        <v>545.13886640102146</v>
      </c>
      <c r="E163" s="126">
        <f>E138*Misc!D143</f>
        <v>547.65102707568053</v>
      </c>
      <c r="F163" s="126">
        <f>F138*Misc!G143</f>
        <v>832.82457676456715</v>
      </c>
      <c r="G163" s="126">
        <f>G138*Misc!B143</f>
        <v>259.86906534528981</v>
      </c>
      <c r="H163" s="126">
        <f>((H137*SUM(C134:D134)*365.25))*Misc!B143</f>
        <v>38.980359801793483</v>
      </c>
      <c r="I163" s="126">
        <f>I138*Misc!B143</f>
        <v>74.24830438436851</v>
      </c>
      <c r="J163" s="126">
        <f>((J137*SUM(C134:D134)*365.25))*Misc!B143</f>
        <v>11.137245657655278</v>
      </c>
      <c r="L163" s="13"/>
      <c r="M163" s="13"/>
      <c r="N163" s="13"/>
      <c r="O163" s="13"/>
      <c r="P163" s="13"/>
      <c r="Q163" s="13"/>
      <c r="R163" s="13"/>
    </row>
    <row r="164" spans="2:18" ht="12.6">
      <c r="B164" s="104" t="s">
        <v>137</v>
      </c>
      <c r="C164" s="102"/>
      <c r="D164" s="126">
        <f t="shared" ref="D164:J164" si="33">D163*D140</f>
        <v>8177.0829960153224</v>
      </c>
      <c r="E164" s="126">
        <f t="shared" si="33"/>
        <v>8214.7654061352077</v>
      </c>
      <c r="F164" s="126">
        <f t="shared" si="33"/>
        <v>12492.368651468507</v>
      </c>
      <c r="G164" s="126">
        <f t="shared" si="33"/>
        <v>3898.035980179347</v>
      </c>
      <c r="H164" s="126">
        <f t="shared" si="33"/>
        <v>584.70539702690223</v>
      </c>
      <c r="I164" s="126">
        <f t="shared" si="33"/>
        <v>1113.7245657655276</v>
      </c>
      <c r="J164" s="126">
        <f t="shared" si="33"/>
        <v>167.05868486482916</v>
      </c>
      <c r="L164" s="13"/>
      <c r="M164" s="13"/>
      <c r="N164" s="13"/>
      <c r="O164" s="13"/>
      <c r="P164" s="13"/>
      <c r="Q164" s="13"/>
      <c r="R164" s="13"/>
    </row>
    <row r="165" spans="2:18" ht="12.6">
      <c r="E165" s="1"/>
    </row>
    <row r="166" spans="2:18" ht="12.6">
      <c r="E166" s="1"/>
    </row>
    <row r="167" spans="2:18" ht="12.6">
      <c r="E167" s="1"/>
    </row>
    <row r="168" spans="2:18" ht="39" customHeight="1">
      <c r="B168" s="127" t="s">
        <v>186</v>
      </c>
      <c r="C168" s="128"/>
      <c r="D168" s="129"/>
      <c r="E168" s="130"/>
      <c r="F168" s="129"/>
      <c r="G168" s="129"/>
      <c r="H168" s="129"/>
      <c r="I168" s="129"/>
      <c r="J168" s="129"/>
    </row>
    <row r="169" spans="2:18" ht="12.6">
      <c r="B169" s="47"/>
      <c r="C169" s="47" t="s">
        <v>81</v>
      </c>
      <c r="D169" s="47" t="s">
        <v>82</v>
      </c>
      <c r="E169" s="47" t="s">
        <v>83</v>
      </c>
      <c r="F169" s="47" t="s">
        <v>84</v>
      </c>
      <c r="G169" s="47" t="s">
        <v>84</v>
      </c>
      <c r="H169" s="47" t="s">
        <v>84</v>
      </c>
      <c r="I169" s="47" t="s">
        <v>84</v>
      </c>
      <c r="J169" s="47"/>
      <c r="K169" s="47"/>
      <c r="L169" s="47" t="s">
        <v>84</v>
      </c>
      <c r="M169" s="47" t="s">
        <v>84</v>
      </c>
      <c r="N169" s="47" t="s">
        <v>84</v>
      </c>
      <c r="O169" s="47" t="s">
        <v>84</v>
      </c>
      <c r="P169" s="47" t="s">
        <v>84</v>
      </c>
      <c r="Q169" s="47" t="s">
        <v>84</v>
      </c>
    </row>
    <row r="170" spans="2:18" ht="12.95">
      <c r="B170" s="57" t="s">
        <v>186</v>
      </c>
      <c r="C170" s="57" t="s">
        <v>77</v>
      </c>
      <c r="D170" s="57" t="s">
        <v>78</v>
      </c>
      <c r="E170" s="113" t="s">
        <v>79</v>
      </c>
      <c r="F170" s="57" t="s">
        <v>36</v>
      </c>
      <c r="G170" s="57" t="s">
        <v>37</v>
      </c>
      <c r="H170" s="57" t="s">
        <v>38</v>
      </c>
      <c r="I170" s="57" t="s">
        <v>187</v>
      </c>
      <c r="J170" s="57"/>
      <c r="K170" s="57"/>
      <c r="L170" s="57" t="s">
        <v>188</v>
      </c>
      <c r="M170" s="57" t="s">
        <v>189</v>
      </c>
      <c r="N170" s="57" t="s">
        <v>190</v>
      </c>
      <c r="O170" s="57" t="s">
        <v>191</v>
      </c>
      <c r="P170" s="57" t="s">
        <v>192</v>
      </c>
      <c r="Q170" s="57" t="s">
        <v>193</v>
      </c>
    </row>
    <row r="171" spans="2:18" ht="12.6">
      <c r="B171" s="38" t="s">
        <v>194</v>
      </c>
      <c r="C171" s="131">
        <f>'RBS summary'!B122</f>
        <v>1063892</v>
      </c>
      <c r="D171" s="132">
        <f>C171/Misc!$B$2</f>
        <v>0.55402385044003544</v>
      </c>
      <c r="E171" s="133"/>
      <c r="F171" s="134">
        <f>'RBS summary'!F36-SUM(G171:H171)</f>
        <v>1.5488246181928</v>
      </c>
      <c r="G171" s="38">
        <f>'RBS summary'!C40*0.8</f>
        <v>8.0000000000000016E-2</v>
      </c>
      <c r="H171" s="38">
        <f>'RBS summary'!D40</f>
        <v>0.02</v>
      </c>
      <c r="I171" s="132">
        <f t="shared" ref="I171:I185" si="34">SUM(F171:H171)</f>
        <v>1.6488246181928001</v>
      </c>
      <c r="J171" s="38"/>
      <c r="K171" s="38"/>
      <c r="L171" s="132"/>
      <c r="M171" s="132"/>
      <c r="N171" s="132"/>
      <c r="O171" s="132"/>
      <c r="P171" s="132"/>
      <c r="Q171" s="132"/>
    </row>
    <row r="172" spans="2:18" ht="12.6">
      <c r="B172" s="38" t="s">
        <v>195</v>
      </c>
      <c r="C172" s="131">
        <f>'RBS summary'!B123</f>
        <v>1838160</v>
      </c>
      <c r="D172" s="132">
        <f>C172/Misc!$B$2</f>
        <v>0.95722543352601153</v>
      </c>
      <c r="E172" s="133"/>
      <c r="F172" s="134">
        <f>'RBS summary'!B37</f>
        <v>0.6802814021400001</v>
      </c>
      <c r="G172" s="38"/>
      <c r="H172" s="38"/>
      <c r="I172" s="132">
        <f t="shared" si="34"/>
        <v>0.6802814021400001</v>
      </c>
      <c r="J172" s="38"/>
      <c r="K172" s="38"/>
      <c r="L172" s="132"/>
      <c r="M172" s="132"/>
      <c r="N172" s="132"/>
      <c r="O172" s="132"/>
      <c r="P172" s="132"/>
      <c r="Q172" s="132"/>
    </row>
    <row r="173" spans="2:18" ht="12.6">
      <c r="B173" s="38" t="s">
        <v>196</v>
      </c>
      <c r="C173" s="131">
        <f>'RBS summary'!B124</f>
        <v>1063892</v>
      </c>
      <c r="D173" s="132">
        <f>C173/Misc!$B$2</f>
        <v>0.55402385044003544</v>
      </c>
      <c r="E173" s="133"/>
      <c r="F173" s="132">
        <f>'RBS summary'!F38-G173</f>
        <v>0.82222253254679989</v>
      </c>
      <c r="G173" s="132">
        <f>'RBS summary'!C40-G171</f>
        <v>1.999999999999999E-2</v>
      </c>
      <c r="H173" s="38"/>
      <c r="I173" s="132">
        <f t="shared" si="34"/>
        <v>0.84222253254679991</v>
      </c>
      <c r="J173" s="38"/>
      <c r="K173" s="38"/>
      <c r="L173" s="132"/>
      <c r="M173" s="132"/>
      <c r="N173" s="132"/>
      <c r="O173" s="132"/>
      <c r="P173" s="132"/>
      <c r="Q173" s="132"/>
    </row>
    <row r="174" spans="2:18" ht="12.6">
      <c r="B174" s="38" t="s">
        <v>197</v>
      </c>
      <c r="C174" s="131">
        <f>'RBS summary'!B125</f>
        <v>870457</v>
      </c>
      <c r="D174" s="132">
        <f>C174/Misc!$B$2</f>
        <v>0.45329219392803211</v>
      </c>
      <c r="E174" s="133"/>
      <c r="F174" s="134">
        <f>'RBS summary'!F39</f>
        <v>1.0483563930958</v>
      </c>
      <c r="G174" s="38"/>
      <c r="H174" s="38"/>
      <c r="I174" s="132">
        <f t="shared" si="34"/>
        <v>1.0483563930958</v>
      </c>
      <c r="J174" s="38"/>
      <c r="K174" s="38"/>
      <c r="L174" s="132"/>
      <c r="M174" s="132"/>
      <c r="N174" s="132"/>
      <c r="O174" s="132"/>
      <c r="P174" s="132"/>
      <c r="Q174" s="132"/>
    </row>
    <row r="175" spans="2:18" ht="12.6">
      <c r="B175" s="13" t="s">
        <v>198</v>
      </c>
      <c r="C175" s="74">
        <f>(((F171*(1/Misc!B38))/((SUM(G171:H171)*(1/Misc!B36))+(F171*(1/Misc!B38))))*C171)-C176</f>
        <v>892398.26360947627</v>
      </c>
      <c r="D175" s="11">
        <f>C175/Misc!$B$2</f>
        <v>0.46471815008565132</v>
      </c>
      <c r="E175" s="17">
        <f>Misc!B38</f>
        <v>0.71099999999999997</v>
      </c>
      <c r="F175" s="11">
        <f>(((F171*((C175*(1/Misc!B38))/((C175*(1/Misc!B38)+(C176*(1/Misc!B39))))))/Misc!$B$2)*Misc!$B$65)/365.25</f>
        <v>0.59414863909984594</v>
      </c>
      <c r="G175" s="11"/>
      <c r="H175" s="11"/>
      <c r="I175" s="11">
        <f t="shared" si="34"/>
        <v>0.59414863909984594</v>
      </c>
      <c r="J175" s="13"/>
      <c r="K175" s="13"/>
      <c r="L175" s="11">
        <f t="shared" ref="L175:L180" si="35">I175*(E175/1)</f>
        <v>0.42243968239999047</v>
      </c>
      <c r="M175" s="11"/>
      <c r="N175" s="11">
        <f>SUM(L175:L178)*(1/E175)</f>
        <v>0.63454343275206293</v>
      </c>
      <c r="O175" s="11"/>
      <c r="P175" s="11"/>
      <c r="Q175" s="11"/>
    </row>
    <row r="176" spans="2:18" ht="12.6">
      <c r="B176" s="13" t="s">
        <v>199</v>
      </c>
      <c r="C176" s="74">
        <f>C171*Misc!B74</f>
        <v>31916.76</v>
      </c>
      <c r="D176" s="11">
        <f>C176/Misc!$B$2</f>
        <v>1.6620715513201063E-2</v>
      </c>
      <c r="E176" s="17">
        <f>Misc!B39</f>
        <v>0.78500000000000003</v>
      </c>
      <c r="F176" s="11">
        <f>(((F171*((C176*(1/Misc!B38))/((C175*(1/Misc!B38)+(C176*(1/Misc!B39))))))/Misc!$B$2)*Misc!$B$65)/365.25</f>
        <v>2.1249816692578138E-2</v>
      </c>
      <c r="G176" s="11"/>
      <c r="H176" s="11"/>
      <c r="I176" s="11">
        <f t="shared" si="34"/>
        <v>2.1249816692578138E-2</v>
      </c>
      <c r="J176" s="13"/>
      <c r="K176" s="13"/>
      <c r="L176" s="11">
        <f t="shared" si="35"/>
        <v>1.6681106103673838E-2</v>
      </c>
      <c r="M176" s="11">
        <f>SUM(L175:L178)*(1/E176)</f>
        <v>0.57472659960091299</v>
      </c>
      <c r="N176" s="11"/>
      <c r="O176" s="11"/>
      <c r="P176" s="11"/>
      <c r="Q176" s="11">
        <f>SUM(L175:L178)*(1/E176)</f>
        <v>0.57472659960091299</v>
      </c>
    </row>
    <row r="177" spans="2:17" ht="12.6">
      <c r="B177" s="13" t="s">
        <v>200</v>
      </c>
      <c r="C177" s="74">
        <f>((G171*(1/Misc!B36))/((SUM(G171:H171)*(1/Misc!B36))+(F171*(1/Misc!B38))))*C171</f>
        <v>111661.58111241907</v>
      </c>
      <c r="D177" s="11">
        <f>C177/Misc!$B$2</f>
        <v>5.8147987872946449E-2</v>
      </c>
      <c r="E177" s="17">
        <f>Misc!B36</f>
        <v>0.30399999999999999</v>
      </c>
      <c r="F177" s="11"/>
      <c r="G177" s="11">
        <f>((G171/Misc!$B$2)*Misc!$B$65)/365.25</f>
        <v>3.1683137323822025E-2</v>
      </c>
      <c r="H177" s="11"/>
      <c r="I177" s="11">
        <f t="shared" si="34"/>
        <v>3.1683137323822025E-2</v>
      </c>
      <c r="J177" s="13"/>
      <c r="K177" s="13"/>
      <c r="L177" s="11">
        <f t="shared" si="35"/>
        <v>9.6316737464418947E-3</v>
      </c>
      <c r="M177" s="11"/>
      <c r="N177" s="11"/>
      <c r="O177" s="11">
        <f>SUM(L175:L178)*(1/E177)</f>
        <v>1.4840801996273576</v>
      </c>
      <c r="P177" s="11"/>
      <c r="Q177" s="11"/>
    </row>
    <row r="178" spans="2:17" ht="12.6">
      <c r="B178" s="13" t="s">
        <v>201</v>
      </c>
      <c r="C178" s="74">
        <f>((H171*(1/Misc!B36))/((SUM(G171:H171)*(1/Misc!B36))+(F171*(1/Misc!B38))))*C171</f>
        <v>27915.395278104759</v>
      </c>
      <c r="D178" s="11">
        <f>C178/Misc!$B$2</f>
        <v>1.4536996968236609E-2</v>
      </c>
      <c r="E178" s="17">
        <f>Misc!B37</f>
        <v>0.30399999999999999</v>
      </c>
      <c r="F178" s="11"/>
      <c r="G178" s="11"/>
      <c r="H178" s="11">
        <f>((H171/Misc!$B$2)*Misc!$B$65)/365.25</f>
        <v>7.9207843309555045E-3</v>
      </c>
      <c r="I178" s="11">
        <f t="shared" si="34"/>
        <v>7.9207843309555045E-3</v>
      </c>
      <c r="J178" s="13"/>
      <c r="K178" s="13"/>
      <c r="L178" s="11">
        <f t="shared" si="35"/>
        <v>2.4079184366104732E-3</v>
      </c>
      <c r="M178" s="11"/>
      <c r="N178" s="11"/>
      <c r="O178" s="11"/>
      <c r="P178" s="11">
        <f>SUM(L175:L178)*(1/E178)</f>
        <v>1.4840801996273576</v>
      </c>
      <c r="Q178" s="11"/>
    </row>
    <row r="179" spans="2:17" ht="12.6">
      <c r="B179" s="13" t="s">
        <v>202</v>
      </c>
      <c r="C179" s="74">
        <f>((F173*(1/Misc!B33))/((F173*(1/Misc!B33))+(G173*(1/Misc!B34))))*C173</f>
        <v>1037259.6672440061</v>
      </c>
      <c r="D179" s="11">
        <f>C179/Misc!$B$2</f>
        <v>0.54015501080248196</v>
      </c>
      <c r="E179" s="17">
        <f>Misc!B33</f>
        <v>0.95</v>
      </c>
      <c r="F179" s="11">
        <f>((F173/Misc!$B$2)*Misc!$B$65)/365.25</f>
        <v>0.32563236761776226</v>
      </c>
      <c r="G179" s="11"/>
      <c r="H179" s="11"/>
      <c r="I179" s="11">
        <f t="shared" si="34"/>
        <v>0.32563236761776226</v>
      </c>
      <c r="J179" s="13"/>
      <c r="K179" s="13"/>
      <c r="L179" s="11">
        <f t="shared" si="35"/>
        <v>0.30935074923687411</v>
      </c>
      <c r="M179" s="11">
        <f>SUM(L179:L181)*(1/E179)</f>
        <v>0.33313626856287798</v>
      </c>
      <c r="N179" s="11">
        <f>SUM(L179:L181)*(1/E179)</f>
        <v>0.33313626856287798</v>
      </c>
      <c r="O179" s="11"/>
      <c r="P179" s="11"/>
      <c r="Q179" s="11">
        <f>SUM(L179:L181)*(1/E179)</f>
        <v>0.33313626856287798</v>
      </c>
    </row>
    <row r="180" spans="2:17" ht="12.6">
      <c r="B180" s="13" t="s">
        <v>203</v>
      </c>
      <c r="C180" s="74">
        <f>((G173*(1/Misc!B33))/((F173*(1/Misc!B33))+(G173*(1/Misc!B34))))*C173</f>
        <v>25230.631031994151</v>
      </c>
      <c r="D180" s="11">
        <f>C180/Misc!$B$2</f>
        <v>1.3138900709261131E-2</v>
      </c>
      <c r="E180" s="17">
        <f>Misc!B34</f>
        <v>0.9</v>
      </c>
      <c r="F180" s="11"/>
      <c r="G180" s="11">
        <f>((G173/Misc!$B$2)*Misc!$B$65)/365.25</f>
        <v>7.9207843309554993E-3</v>
      </c>
      <c r="H180" s="11"/>
      <c r="I180" s="11">
        <f t="shared" si="34"/>
        <v>7.9207843309554993E-3</v>
      </c>
      <c r="J180" s="13"/>
      <c r="K180" s="13"/>
      <c r="L180" s="11">
        <f t="shared" si="35"/>
        <v>7.1287058978599495E-3</v>
      </c>
      <c r="M180" s="11"/>
      <c r="N180" s="11"/>
      <c r="O180" s="11">
        <f>SUM(L179:L181)*(1/E180)</f>
        <v>0.35164383903859342</v>
      </c>
      <c r="P180" s="11"/>
      <c r="Q180" s="11"/>
    </row>
    <row r="181" spans="2:17" ht="12.6">
      <c r="B181" s="13" t="s">
        <v>204</v>
      </c>
      <c r="C181" s="13">
        <v>0</v>
      </c>
      <c r="D181" s="13">
        <v>0</v>
      </c>
      <c r="E181" s="17">
        <f>Misc!B35</f>
        <v>0.9</v>
      </c>
      <c r="F181" s="11"/>
      <c r="G181" s="11"/>
      <c r="H181" s="11"/>
      <c r="I181" s="11">
        <f t="shared" si="34"/>
        <v>0</v>
      </c>
      <c r="J181" s="13"/>
      <c r="K181" s="13"/>
      <c r="L181" s="11"/>
      <c r="M181" s="11"/>
      <c r="N181" s="11"/>
      <c r="O181" s="11"/>
      <c r="P181" s="11">
        <f>SUM(L179:L181)*(1/E181)</f>
        <v>0.35164383903859342</v>
      </c>
      <c r="Q181" s="11"/>
    </row>
    <row r="182" spans="2:17" ht="12.6">
      <c r="B182" s="13" t="s">
        <v>205</v>
      </c>
      <c r="C182" s="48">
        <f>C174</f>
        <v>870457</v>
      </c>
      <c r="D182" s="11">
        <f>C182/Misc!$B$2</f>
        <v>0.45329219392803211</v>
      </c>
      <c r="E182" s="17">
        <f>Misc!B40</f>
        <v>0.74446000000000001</v>
      </c>
      <c r="F182" s="11">
        <f>((F174/Misc!$B$2)*Misc!$B$65)/365.25</f>
        <v>0.41519024458451209</v>
      </c>
      <c r="G182" s="11"/>
      <c r="H182" s="11"/>
      <c r="I182" s="11">
        <f t="shared" si="34"/>
        <v>0.41519024458451209</v>
      </c>
      <c r="J182" s="13"/>
      <c r="K182" s="13"/>
      <c r="L182" s="11">
        <f>I182*(E182/1)</f>
        <v>0.30909252948338589</v>
      </c>
      <c r="M182" s="11">
        <f>SUM(L182:L184)*(1/E182)</f>
        <v>0.41519024458451209</v>
      </c>
      <c r="N182" s="11">
        <f>SUM(L182:L184)*(1/E182)</f>
        <v>0.41519024458451209</v>
      </c>
      <c r="O182" s="11"/>
      <c r="P182" s="11"/>
      <c r="Q182" s="11">
        <f>SUM(L182:L184)*(1/E182)</f>
        <v>0.41519024458451209</v>
      </c>
    </row>
    <row r="183" spans="2:17" ht="12.6">
      <c r="B183" s="13" t="s">
        <v>206</v>
      </c>
      <c r="C183" s="13">
        <v>0</v>
      </c>
      <c r="D183" s="13">
        <v>0</v>
      </c>
      <c r="E183" s="17">
        <f>Misc!B41</f>
        <v>0.38744000000000001</v>
      </c>
      <c r="F183" s="11"/>
      <c r="G183" s="11"/>
      <c r="H183" s="11"/>
      <c r="I183" s="11">
        <f t="shared" si="34"/>
        <v>0</v>
      </c>
      <c r="J183" s="13"/>
      <c r="K183" s="13"/>
      <c r="L183" s="11"/>
      <c r="M183" s="11"/>
      <c r="N183" s="11"/>
      <c r="O183" s="11">
        <f>SUM(L182:L184)*(1/E183)</f>
        <v>0.79778166808637696</v>
      </c>
      <c r="P183" s="11"/>
      <c r="Q183" s="11"/>
    </row>
    <row r="184" spans="2:17" ht="12.6">
      <c r="B184" s="13" t="s">
        <v>207</v>
      </c>
      <c r="C184" s="13">
        <v>0</v>
      </c>
      <c r="D184" s="13">
        <v>0</v>
      </c>
      <c r="E184" s="17">
        <f>Misc!B42</f>
        <v>0.38744000000000001</v>
      </c>
      <c r="F184" s="11"/>
      <c r="G184" s="11"/>
      <c r="H184" s="11"/>
      <c r="I184" s="11">
        <f t="shared" si="34"/>
        <v>0</v>
      </c>
      <c r="J184" s="13"/>
      <c r="K184" s="13"/>
      <c r="L184" s="11"/>
      <c r="M184" s="11"/>
      <c r="N184" s="11"/>
      <c r="O184" s="11"/>
      <c r="P184" s="11">
        <f>SUM(L182:L184)*(1/E184)</f>
        <v>0.79778166808637696</v>
      </c>
      <c r="Q184" s="11"/>
    </row>
    <row r="185" spans="2:17" ht="12.6">
      <c r="B185" s="13" t="s">
        <v>208</v>
      </c>
      <c r="C185" s="48">
        <f>C172</f>
        <v>1838160</v>
      </c>
      <c r="D185" s="11">
        <f>C185/Misc!$B$2</f>
        <v>0.95722543352601153</v>
      </c>
      <c r="E185" s="17">
        <f>Misc!B46</f>
        <v>0.65</v>
      </c>
      <c r="F185" s="11">
        <f>(('RBS summary'!B37/Misc!$B$2)*Misc!$B$65)/365.25</f>
        <v>0.26941811353554768</v>
      </c>
      <c r="G185" s="11"/>
      <c r="H185" s="11"/>
      <c r="I185" s="11">
        <f t="shared" si="34"/>
        <v>0.26941811353554768</v>
      </c>
      <c r="J185" s="13"/>
      <c r="K185" s="13"/>
      <c r="L185" s="11">
        <f>I185*(E185/1)</f>
        <v>0.17512177379810601</v>
      </c>
      <c r="M185" s="11">
        <f t="shared" ref="M185:Q185" si="36">$F$185</f>
        <v>0.26941811353554768</v>
      </c>
      <c r="N185" s="11">
        <f t="shared" si="36"/>
        <v>0.26941811353554768</v>
      </c>
      <c r="O185" s="11">
        <f t="shared" si="36"/>
        <v>0.26941811353554768</v>
      </c>
      <c r="P185" s="11">
        <f t="shared" si="36"/>
        <v>0.26941811353554768</v>
      </c>
      <c r="Q185" s="11">
        <f t="shared" si="36"/>
        <v>0.26941811353554768</v>
      </c>
    </row>
    <row r="186" spans="2:17" ht="12.6">
      <c r="B186" s="51" t="s">
        <v>14</v>
      </c>
      <c r="C186" s="51"/>
      <c r="D186" s="51"/>
      <c r="E186" s="53"/>
      <c r="F186" s="52">
        <f t="shared" ref="F186:I186" si="37">SUM(F175:F185)</f>
        <v>1.625639181530246</v>
      </c>
      <c r="G186" s="52">
        <f t="shared" si="37"/>
        <v>3.9603921654777524E-2</v>
      </c>
      <c r="H186" s="52">
        <f t="shared" si="37"/>
        <v>7.9207843309555045E-3</v>
      </c>
      <c r="I186" s="52">
        <f t="shared" si="37"/>
        <v>1.6731638875159791</v>
      </c>
      <c r="J186" s="51"/>
      <c r="K186" s="51"/>
      <c r="L186" s="52">
        <f t="shared" ref="L186:Q186" si="38">SUM(L175:L185)</f>
        <v>1.2518541391029427</v>
      </c>
      <c r="M186" s="52">
        <f t="shared" si="38"/>
        <v>1.592471226283851</v>
      </c>
      <c r="N186" s="52">
        <f t="shared" si="38"/>
        <v>1.6522880594350009</v>
      </c>
      <c r="O186" s="52">
        <f t="shared" si="38"/>
        <v>2.9029238202878758</v>
      </c>
      <c r="P186" s="52">
        <f t="shared" si="38"/>
        <v>2.9029238202878758</v>
      </c>
      <c r="Q186" s="52">
        <f t="shared" si="38"/>
        <v>1.592471226283851</v>
      </c>
    </row>
    <row r="187" spans="2:17" ht="12.6">
      <c r="E187" s="1"/>
    </row>
    <row r="188" spans="2:17" ht="12.6">
      <c r="B188" s="10" t="s">
        <v>209</v>
      </c>
      <c r="C188" s="135">
        <f>SUM(L175:L178)/SUM(L175:L181)</f>
        <v>0.5877240336334687</v>
      </c>
      <c r="E188" s="1"/>
    </row>
    <row r="189" spans="2:17" ht="12.6">
      <c r="E189" s="1"/>
      <c r="G189" s="50">
        <f>(SUM(L175:L178)+((SUM(L182:L184)*C188)))</f>
        <v>0.63282148888066414</v>
      </c>
    </row>
    <row r="190" spans="2:17" ht="12.6">
      <c r="E190" s="1"/>
    </row>
    <row r="191" spans="2:17" ht="12.95">
      <c r="B191" s="40" t="s">
        <v>210</v>
      </c>
      <c r="C191" s="136" t="s">
        <v>8</v>
      </c>
      <c r="D191" s="58" t="s">
        <v>94</v>
      </c>
      <c r="E191" s="59" t="s">
        <v>95</v>
      </c>
      <c r="F191" s="62" t="s">
        <v>98</v>
      </c>
      <c r="G191" s="63" t="s">
        <v>189</v>
      </c>
      <c r="I191" s="13" t="s">
        <v>101</v>
      </c>
      <c r="J191" s="13" t="s">
        <v>211</v>
      </c>
      <c r="K191" s="13" t="s">
        <v>212</v>
      </c>
      <c r="L191" s="13" t="s">
        <v>213</v>
      </c>
      <c r="M191" s="13" t="s">
        <v>214</v>
      </c>
    </row>
    <row r="192" spans="2:17" ht="12.6">
      <c r="B192" s="13" t="s">
        <v>84</v>
      </c>
      <c r="C192" s="13"/>
      <c r="D192" s="66">
        <f>(SUM(L175:L178)+((SUM(L182:L184)*C188)))*(1/E177)</f>
        <v>2.0816496344758688</v>
      </c>
      <c r="E192" s="67">
        <f>(SUM(L175:L178)+((SUM(L182:L184)*C188)))*(1/E177)</f>
        <v>2.0816496344758688</v>
      </c>
      <c r="F192" s="137">
        <f>(SUM(L175:L178)+((SUM(L182:L184)*C188)))*(1/E175)</f>
        <v>0.89004428815845871</v>
      </c>
      <c r="G192" s="110">
        <f>(SUM(L175:L178)+((SUM(L182:L184)*C188)))*(1/E176)</f>
        <v>0.80614202405180146</v>
      </c>
      <c r="I192" s="13" t="s">
        <v>114</v>
      </c>
      <c r="J192" s="73">
        <f>E202</f>
        <v>1700</v>
      </c>
      <c r="K192" s="73">
        <f>D202</f>
        <v>1700</v>
      </c>
      <c r="L192" s="73">
        <f t="shared" ref="L192:M192" si="39">F202</f>
        <v>1200</v>
      </c>
      <c r="M192" s="73">
        <f t="shared" si="39"/>
        <v>2700</v>
      </c>
    </row>
    <row r="193" spans="2:13" ht="12.6">
      <c r="B193" s="13" t="s">
        <v>108</v>
      </c>
      <c r="C193" s="13"/>
      <c r="D193" s="75">
        <f t="shared" ref="D193:G193" si="40">D192*365.25</f>
        <v>760.32252899231105</v>
      </c>
      <c r="E193" s="76">
        <f t="shared" si="40"/>
        <v>760.32252899231105</v>
      </c>
      <c r="F193" s="79">
        <f t="shared" si="40"/>
        <v>325.08867624987704</v>
      </c>
      <c r="G193" s="80">
        <f t="shared" si="40"/>
        <v>294.44337428492048</v>
      </c>
      <c r="I193" s="13" t="s">
        <v>166</v>
      </c>
      <c r="J193" s="12">
        <f t="shared" ref="J193:J194" si="41">E196</f>
        <v>3202.662758532826</v>
      </c>
      <c r="K193" s="12">
        <f t="shared" ref="K193:K194" si="42">D196</f>
        <v>1443.0961155670507</v>
      </c>
      <c r="L193" s="12">
        <f t="shared" ref="L193:M193" si="43">F196</f>
        <v>1406.2930345347281</v>
      </c>
      <c r="M193" s="73">
        <f t="shared" si="43"/>
        <v>1273.7252835085244</v>
      </c>
    </row>
    <row r="194" spans="2:13" ht="12.6">
      <c r="B194" s="13" t="s">
        <v>110</v>
      </c>
      <c r="C194" s="13"/>
      <c r="D194" s="83">
        <f>D192*'Energy prices'!C45*365.25</f>
        <v>83.635478189154227</v>
      </c>
      <c r="E194" s="84">
        <f>E192*'Energy prices'!C51*365.25</f>
        <v>185.61219062199274</v>
      </c>
      <c r="F194" s="87">
        <f>F192*'Energy prices'!C3*365.25</f>
        <v>78.644165621883602</v>
      </c>
      <c r="G194" s="88">
        <f>G192*'Energy prices'!C3*365.25</f>
        <v>71.23057548682705</v>
      </c>
      <c r="I194" s="13" t="s">
        <v>168</v>
      </c>
      <c r="J194" s="73">
        <f t="shared" si="41"/>
        <v>21.435225842069961</v>
      </c>
      <c r="K194" s="73">
        <f t="shared" si="42"/>
        <v>128.76293068723925</v>
      </c>
      <c r="L194" s="13"/>
      <c r="M194" s="13"/>
    </row>
    <row r="195" spans="2:13" ht="12.6">
      <c r="B195" s="74" t="s">
        <v>113</v>
      </c>
      <c r="C195" s="13">
        <v>15</v>
      </c>
      <c r="D195" s="98">
        <v>15</v>
      </c>
      <c r="E195" s="5">
        <v>15</v>
      </c>
      <c r="F195" s="95">
        <v>15</v>
      </c>
      <c r="G195" s="96">
        <v>15</v>
      </c>
      <c r="I195" s="13" t="s">
        <v>215</v>
      </c>
      <c r="J195" s="73">
        <f t="shared" ref="J195:M195" si="44">SUM(J192,J193,J194)</f>
        <v>4924.0979843748964</v>
      </c>
      <c r="K195" s="73">
        <f t="shared" si="44"/>
        <v>3271.8590462542898</v>
      </c>
      <c r="L195" s="73">
        <f t="shared" si="44"/>
        <v>2606.2930345347281</v>
      </c>
      <c r="M195" s="73">
        <f t="shared" si="44"/>
        <v>3973.7252835085246</v>
      </c>
    </row>
    <row r="196" spans="2:13" ht="12.6">
      <c r="B196" s="13" t="s">
        <v>115</v>
      </c>
      <c r="C196" s="13"/>
      <c r="D196" s="83">
        <f>(D192*'Energy prices'!F45*365.25)*D195</f>
        <v>1443.0961155670507</v>
      </c>
      <c r="E196" s="84">
        <f>(E192*'Energy prices'!H51*365.25)*E195</f>
        <v>3202.662758532826</v>
      </c>
      <c r="F196" s="87">
        <f>(F192*'Energy prices'!H3*365.25)*F195</f>
        <v>1406.2930345347281</v>
      </c>
      <c r="G196" s="88">
        <f>(G192*'Energy prices'!H3*365.25)*G195</f>
        <v>1273.7252835085244</v>
      </c>
      <c r="I196" s="13" t="s">
        <v>122</v>
      </c>
      <c r="J196" s="74">
        <f>E217</f>
        <v>2486.2546698048573</v>
      </c>
      <c r="K196" s="74">
        <f>D217</f>
        <v>2474.8498318699721</v>
      </c>
      <c r="L196" s="74">
        <f t="shared" ref="L196:M196" si="45">F217</f>
        <v>477.88035408731929</v>
      </c>
      <c r="M196" s="74">
        <f t="shared" si="45"/>
        <v>432.83176019883308</v>
      </c>
    </row>
    <row r="197" spans="2:13" ht="12.6">
      <c r="B197" s="13" t="s">
        <v>165</v>
      </c>
      <c r="C197" s="13"/>
      <c r="D197" s="83">
        <f>$D$292*$H$292*D195</f>
        <v>128.76293068723925</v>
      </c>
      <c r="E197" s="84">
        <f>$D$293*$H$293*E195</f>
        <v>21.435225842069961</v>
      </c>
      <c r="F197" s="95"/>
      <c r="G197" s="96"/>
      <c r="I197" s="13"/>
      <c r="J197" s="13"/>
      <c r="K197" s="13"/>
      <c r="L197" s="13"/>
      <c r="M197" s="13"/>
    </row>
    <row r="198" spans="2:13" ht="12.95">
      <c r="B198" s="40"/>
      <c r="C198" s="13"/>
      <c r="D198" s="98"/>
      <c r="E198" s="99"/>
      <c r="F198" s="95"/>
      <c r="G198" s="96"/>
      <c r="I198" s="13"/>
      <c r="J198" s="13"/>
      <c r="K198" s="13"/>
      <c r="L198" s="13"/>
      <c r="M198" s="13"/>
    </row>
    <row r="199" spans="2:13" ht="12.95">
      <c r="B199" s="40" t="s">
        <v>167</v>
      </c>
      <c r="C199" s="13"/>
      <c r="D199" s="98"/>
      <c r="E199" s="99"/>
      <c r="F199" s="95"/>
      <c r="G199" s="96"/>
      <c r="I199" s="13"/>
      <c r="J199" s="13"/>
      <c r="K199" s="13"/>
      <c r="L199" s="13"/>
      <c r="M199" s="13"/>
    </row>
    <row r="200" spans="2:13" ht="12.6">
      <c r="B200" s="13" t="s">
        <v>121</v>
      </c>
      <c r="C200" s="13"/>
      <c r="D200" s="83">
        <f>ROUND('Product prices'!C27,-2)</f>
        <v>1000</v>
      </c>
      <c r="E200" s="84">
        <f>ROUND('Product prices'!C27,-2)</f>
        <v>1000</v>
      </c>
      <c r="F200" s="87">
        <f>ROUND('Product prices'!C26,-2)</f>
        <v>900</v>
      </c>
      <c r="G200" s="88">
        <f>ROUND('Product prices'!C25,-2)</f>
        <v>1400</v>
      </c>
      <c r="I200" s="13" t="s">
        <v>172</v>
      </c>
      <c r="J200" s="13" t="s">
        <v>211</v>
      </c>
      <c r="K200" s="13" t="s">
        <v>212</v>
      </c>
      <c r="L200" s="13" t="s">
        <v>213</v>
      </c>
      <c r="M200" s="13" t="s">
        <v>214</v>
      </c>
    </row>
    <row r="201" spans="2:13" ht="12.6">
      <c r="B201" s="13" t="s">
        <v>123</v>
      </c>
      <c r="C201" s="13"/>
      <c r="D201" s="83">
        <f t="shared" ref="D201:G201" si="46">D202-D200</f>
        <v>700</v>
      </c>
      <c r="E201" s="84">
        <f t="shared" si="46"/>
        <v>700</v>
      </c>
      <c r="F201" s="87">
        <f t="shared" si="46"/>
        <v>300</v>
      </c>
      <c r="G201" s="88">
        <f t="shared" si="46"/>
        <v>1300</v>
      </c>
      <c r="I201" s="13" t="s">
        <v>38</v>
      </c>
      <c r="J201" s="73">
        <f>E194</f>
        <v>185.61219062199274</v>
      </c>
      <c r="K201" s="13"/>
      <c r="L201" s="13"/>
      <c r="M201" s="13"/>
    </row>
    <row r="202" spans="2:13" ht="12.6">
      <c r="B202" s="13" t="s">
        <v>124</v>
      </c>
      <c r="C202" s="13"/>
      <c r="D202" s="83">
        <f>ROUND('Product prices'!E27,-2)</f>
        <v>1700</v>
      </c>
      <c r="E202" s="84">
        <f>ROUND('Product prices'!E27,-2)</f>
        <v>1700</v>
      </c>
      <c r="F202" s="87">
        <f>ROUND('Product prices'!E26,-2)</f>
        <v>1200</v>
      </c>
      <c r="G202" s="88">
        <f>ROUND('Product prices'!E25,-2)</f>
        <v>2700</v>
      </c>
      <c r="I202" s="13" t="s">
        <v>37</v>
      </c>
      <c r="J202" s="13"/>
      <c r="K202" s="73">
        <f>D194</f>
        <v>83.635478189154227</v>
      </c>
      <c r="L202" s="13"/>
      <c r="M202" s="13"/>
    </row>
    <row r="203" spans="2:13" ht="12.6">
      <c r="B203" s="13"/>
      <c r="C203" s="13"/>
      <c r="D203" s="98"/>
      <c r="E203" s="99"/>
      <c r="F203" s="95"/>
      <c r="G203" s="96"/>
      <c r="I203" s="13" t="s">
        <v>130</v>
      </c>
      <c r="J203" s="13"/>
      <c r="K203" s="13"/>
      <c r="L203" s="73">
        <f t="shared" ref="L203:M203" si="47">F194</f>
        <v>78.644165621883602</v>
      </c>
      <c r="M203" s="73">
        <f t="shared" si="47"/>
        <v>71.23057548682705</v>
      </c>
    </row>
    <row r="204" spans="2:13" ht="12.95">
      <c r="B204" s="40" t="s">
        <v>178</v>
      </c>
      <c r="C204" s="13"/>
      <c r="D204" s="83">
        <f t="shared" ref="D204:G204" si="48">SUM(D202,D196)</f>
        <v>3143.0961155670507</v>
      </c>
      <c r="E204" s="84">
        <f t="shared" si="48"/>
        <v>4902.662758532826</v>
      </c>
      <c r="F204" s="87">
        <f t="shared" si="48"/>
        <v>2606.2930345347281</v>
      </c>
      <c r="G204" s="88">
        <f t="shared" si="48"/>
        <v>3973.7252835085246</v>
      </c>
      <c r="I204" s="13" t="s">
        <v>141</v>
      </c>
      <c r="J204" s="73">
        <f>E197/E195</f>
        <v>1.4290150561379975</v>
      </c>
      <c r="K204" s="73">
        <f>D197/D195</f>
        <v>8.5841953791492838</v>
      </c>
      <c r="L204" s="13"/>
      <c r="M204" s="13"/>
    </row>
    <row r="205" spans="2:13" ht="12.95">
      <c r="B205" s="40" t="s">
        <v>216</v>
      </c>
      <c r="C205" s="13"/>
      <c r="D205" s="98" t="s">
        <v>89</v>
      </c>
      <c r="E205" s="5" t="s">
        <v>89</v>
      </c>
      <c r="F205" s="95">
        <v>0</v>
      </c>
      <c r="G205" s="138">
        <f>(G202-D202)/(D194-G194)</f>
        <v>80.613288471210538</v>
      </c>
      <c r="I205" s="13"/>
      <c r="J205" s="13"/>
      <c r="K205" s="13"/>
      <c r="L205" s="13"/>
      <c r="M205" s="13"/>
    </row>
    <row r="206" spans="2:13" ht="12.95">
      <c r="B206" s="40" t="s">
        <v>217</v>
      </c>
      <c r="C206" s="13"/>
      <c r="D206" s="98" t="s">
        <v>89</v>
      </c>
      <c r="E206" s="5" t="s">
        <v>89</v>
      </c>
      <c r="F206" s="95">
        <v>0</v>
      </c>
      <c r="G206" s="138">
        <f>(G202-E202)/(E194-G194)</f>
        <v>8.7426637473014512</v>
      </c>
      <c r="I206" s="13"/>
      <c r="J206" s="13"/>
      <c r="K206" s="13"/>
      <c r="L206" s="13"/>
      <c r="M206" s="13"/>
    </row>
    <row r="207" spans="2:13" ht="12.6">
      <c r="B207" s="13"/>
      <c r="C207" s="13"/>
      <c r="D207" s="98"/>
      <c r="E207" s="99"/>
      <c r="F207" s="95"/>
      <c r="G207" s="96"/>
      <c r="I207" s="13"/>
      <c r="J207" s="13"/>
      <c r="K207" s="13"/>
      <c r="L207" s="13"/>
      <c r="M207" s="13"/>
    </row>
    <row r="208" spans="2:13" ht="12.95">
      <c r="B208" s="40" t="s">
        <v>179</v>
      </c>
      <c r="C208" s="13"/>
      <c r="D208" s="98"/>
      <c r="E208" s="99"/>
      <c r="F208" s="95"/>
      <c r="G208" s="96"/>
      <c r="I208" s="13" t="s">
        <v>218</v>
      </c>
      <c r="J208" s="13" t="s">
        <v>219</v>
      </c>
      <c r="K208" s="13" t="s">
        <v>220</v>
      </c>
      <c r="L208" s="13" t="s">
        <v>221</v>
      </c>
      <c r="M208" s="13"/>
    </row>
    <row r="209" spans="2:13" ht="24.95">
      <c r="B209" s="100" t="s">
        <v>180</v>
      </c>
      <c r="C209" s="13"/>
      <c r="D209" s="98"/>
      <c r="E209" s="99"/>
      <c r="F209" s="95"/>
      <c r="G209" s="96"/>
      <c r="I209" s="13" t="s">
        <v>43</v>
      </c>
      <c r="J209" s="16">
        <f>D192</f>
        <v>2.0816496344758688</v>
      </c>
      <c r="K209" s="13"/>
      <c r="L209" s="13"/>
      <c r="M209" s="13"/>
    </row>
    <row r="210" spans="2:13" ht="12.6">
      <c r="B210" s="100" t="s">
        <v>181</v>
      </c>
      <c r="C210" s="13"/>
      <c r="D210" s="98"/>
      <c r="E210" s="99"/>
      <c r="F210" s="95"/>
      <c r="G210" s="96"/>
      <c r="I210" s="13" t="s">
        <v>36</v>
      </c>
      <c r="J210" s="13"/>
      <c r="K210" s="16">
        <f t="shared" ref="K210:L210" si="49">F192</f>
        <v>0.89004428815845871</v>
      </c>
      <c r="L210" s="11">
        <f t="shared" si="49"/>
        <v>0.80614202405180146</v>
      </c>
      <c r="M210" s="13"/>
    </row>
    <row r="211" spans="2:13" ht="24.95">
      <c r="B211" s="100" t="s">
        <v>182</v>
      </c>
      <c r="C211" s="13"/>
      <c r="D211" s="98"/>
      <c r="E211" s="99"/>
      <c r="F211" s="95"/>
      <c r="G211" s="96"/>
      <c r="I211" s="13"/>
      <c r="J211" s="13"/>
      <c r="K211" s="13"/>
      <c r="L211" s="13"/>
      <c r="M211" s="13"/>
    </row>
    <row r="212" spans="2:13" ht="12.6">
      <c r="B212" s="100" t="s">
        <v>183</v>
      </c>
      <c r="C212" s="13"/>
      <c r="D212" s="98"/>
      <c r="E212" s="99"/>
      <c r="F212" s="95"/>
      <c r="G212" s="96"/>
      <c r="I212" s="13" t="s">
        <v>133</v>
      </c>
      <c r="J212" s="13"/>
      <c r="K212" s="13"/>
      <c r="L212" s="13"/>
      <c r="M212" s="13"/>
    </row>
    <row r="213" spans="2:13" ht="12.6">
      <c r="B213" s="100" t="s">
        <v>184</v>
      </c>
      <c r="C213" s="13"/>
      <c r="D213" s="98"/>
      <c r="E213" s="99"/>
      <c r="F213" s="95"/>
      <c r="G213" s="96"/>
      <c r="I213" s="13" t="s">
        <v>135</v>
      </c>
      <c r="J213" s="13" t="s">
        <v>136</v>
      </c>
      <c r="K213" s="13" t="s">
        <v>136</v>
      </c>
      <c r="L213" s="13" t="s">
        <v>136</v>
      </c>
      <c r="M213" s="13" t="s">
        <v>136</v>
      </c>
    </row>
    <row r="214" spans="2:13" ht="12.6">
      <c r="B214" s="13"/>
      <c r="C214" s="13"/>
      <c r="D214" s="98"/>
      <c r="E214" s="99"/>
      <c r="F214" s="95"/>
      <c r="G214" s="96"/>
      <c r="I214" s="13" t="s">
        <v>138</v>
      </c>
      <c r="J214" s="13" t="s">
        <v>139</v>
      </c>
      <c r="K214" s="13" t="s">
        <v>139</v>
      </c>
      <c r="L214" s="13" t="s">
        <v>139</v>
      </c>
      <c r="M214" s="13" t="s">
        <v>139</v>
      </c>
    </row>
    <row r="215" spans="2:13" ht="12.95">
      <c r="B215" s="101" t="s">
        <v>15</v>
      </c>
      <c r="C215" s="102"/>
      <c r="D215" s="102"/>
      <c r="E215" s="103"/>
      <c r="F215" s="102"/>
      <c r="G215" s="102"/>
      <c r="I215" s="13" t="s">
        <v>140</v>
      </c>
      <c r="J215" s="13" t="s">
        <v>141</v>
      </c>
      <c r="K215" s="13" t="s">
        <v>141</v>
      </c>
      <c r="L215" s="13"/>
      <c r="M215" s="13"/>
    </row>
    <row r="216" spans="2:13" ht="12.6">
      <c r="B216" s="104" t="s">
        <v>134</v>
      </c>
      <c r="C216" s="102"/>
      <c r="D216" s="105">
        <f>D193*Misc!C143</f>
        <v>164.98998879133148</v>
      </c>
      <c r="E216" s="105">
        <f>E193*Misc!D143</f>
        <v>165.75031132032382</v>
      </c>
      <c r="F216" s="105">
        <f>F193*Misc!$B$143</f>
        <v>31.858690272487951</v>
      </c>
      <c r="G216" s="105">
        <f>G193*Misc!$B$143</f>
        <v>28.855450679922207</v>
      </c>
      <c r="I216" s="13" t="s">
        <v>142</v>
      </c>
      <c r="J216" s="13" t="s">
        <v>15</v>
      </c>
      <c r="K216" s="13" t="s">
        <v>15</v>
      </c>
      <c r="L216" s="13" t="s">
        <v>15</v>
      </c>
      <c r="M216" s="13" t="s">
        <v>15</v>
      </c>
    </row>
    <row r="217" spans="2:13" ht="12.6">
      <c r="B217" s="104" t="s">
        <v>137</v>
      </c>
      <c r="C217" s="102"/>
      <c r="D217" s="105">
        <f t="shared" ref="D217:G217" si="50">D216*D195</f>
        <v>2474.8498318699721</v>
      </c>
      <c r="E217" s="105">
        <f t="shared" si="50"/>
        <v>2486.2546698048573</v>
      </c>
      <c r="F217" s="105">
        <f t="shared" si="50"/>
        <v>477.88035408731929</v>
      </c>
      <c r="G217" s="105">
        <f t="shared" si="50"/>
        <v>432.83176019883308</v>
      </c>
    </row>
    <row r="218" spans="2:13" ht="12.6">
      <c r="E218" s="1"/>
    </row>
    <row r="219" spans="2:13" ht="12.95">
      <c r="B219" s="57" t="s">
        <v>222</v>
      </c>
      <c r="C219" s="63" t="s">
        <v>223</v>
      </c>
    </row>
    <row r="220" spans="2:13" ht="12.6">
      <c r="B220" s="13" t="s">
        <v>224</v>
      </c>
      <c r="C220" s="121">
        <f>(SUM(L179:L181)+(SUM(L182:L184)*(1-C188)))*(1/E179)</f>
        <v>0.46727460676228694</v>
      </c>
      <c r="D220" s="50"/>
      <c r="E220" s="50"/>
      <c r="F220" s="50"/>
      <c r="G220" s="50"/>
    </row>
    <row r="221" spans="2:13" ht="12.6">
      <c r="B221" s="13" t="s">
        <v>208</v>
      </c>
      <c r="C221" s="121">
        <f>$F$185</f>
        <v>0.26941811353554768</v>
      </c>
      <c r="E221" s="1"/>
    </row>
    <row r="222" spans="2:13" ht="12.6">
      <c r="B222" s="13" t="s">
        <v>60</v>
      </c>
      <c r="C222" s="121">
        <f>(SUM('RBS summary'!B57:B58)*Misc!$B$65)/365.25/Misc!$B$2</f>
        <v>2.0648834966430689</v>
      </c>
      <c r="D222" s="50"/>
      <c r="E222" s="50"/>
      <c r="F222" s="50"/>
      <c r="G222" s="50"/>
    </row>
    <row r="223" spans="2:13" ht="12.6">
      <c r="B223" s="13" t="s">
        <v>225</v>
      </c>
      <c r="C223" s="121">
        <f>(SUM('RBS summary'!B56)*Misc!$B$65)/365.25/Misc!$B$2</f>
        <v>0.26187893889212638</v>
      </c>
      <c r="D223" s="50"/>
      <c r="E223" s="50"/>
      <c r="F223" s="50"/>
      <c r="G223" s="50"/>
    </row>
    <row r="224" spans="2:13" ht="12.6">
      <c r="B224" s="13" t="s">
        <v>226</v>
      </c>
      <c r="C224" s="121">
        <f>SUM(C220:C223)</f>
        <v>3.0634551558330299</v>
      </c>
      <c r="E224" s="1"/>
    </row>
    <row r="226" spans="2:8" ht="12.6">
      <c r="B226" s="13" t="s">
        <v>227</v>
      </c>
      <c r="C226" s="139">
        <f>C224*365.25*'Energy prices'!C3</f>
        <v>270.6863892683657</v>
      </c>
      <c r="E226" s="1"/>
    </row>
    <row r="227" spans="2:8" ht="12.6">
      <c r="B227" s="13" t="s">
        <v>228</v>
      </c>
      <c r="C227" s="95">
        <v>15</v>
      </c>
    </row>
    <row r="228" spans="2:8" ht="12.6">
      <c r="B228" s="13" t="s">
        <v>229</v>
      </c>
      <c r="C228" s="87">
        <f>(C224*365.25*'Energy prices'!H3)*C227</f>
        <v>4840.3385141330136</v>
      </c>
      <c r="E228" s="1"/>
    </row>
    <row r="229" spans="2:8" ht="15" customHeight="1">
      <c r="E229" s="1"/>
    </row>
    <row r="230" spans="2:8" ht="12.95">
      <c r="B230" s="115"/>
      <c r="E230" s="1"/>
    </row>
    <row r="231" spans="2:8" ht="12.95">
      <c r="B231" s="115"/>
      <c r="E231" s="1"/>
    </row>
    <row r="232" spans="2:8" ht="12.6">
      <c r="E232" s="1"/>
    </row>
    <row r="233" spans="2:8" ht="12.95">
      <c r="B233" s="101" t="s">
        <v>230</v>
      </c>
      <c r="C233" s="102"/>
      <c r="E233" s="1"/>
    </row>
    <row r="234" spans="2:8" ht="12.6">
      <c r="B234" s="104" t="s">
        <v>134</v>
      </c>
      <c r="C234" s="105">
        <f>(C224*365.25)*Misc!B143</f>
        <v>109.65484557546539</v>
      </c>
      <c r="E234" s="1"/>
    </row>
    <row r="235" spans="2:8" ht="12.6">
      <c r="B235" s="104" t="s">
        <v>137</v>
      </c>
      <c r="C235" s="105">
        <f>C234*C227</f>
        <v>1644.8226836319809</v>
      </c>
      <c r="E235" s="1"/>
    </row>
    <row r="236" spans="2:8" ht="12.6">
      <c r="E236" s="1"/>
    </row>
    <row r="237" spans="2:8" ht="12.6">
      <c r="E237" s="1"/>
    </row>
    <row r="238" spans="2:8" ht="30">
      <c r="B238" s="140" t="s">
        <v>231</v>
      </c>
      <c r="C238" s="9"/>
      <c r="D238" s="9"/>
      <c r="E238" s="56"/>
      <c r="F238" s="9"/>
      <c r="G238" s="9"/>
      <c r="H238" s="9"/>
    </row>
    <row r="239" spans="2:8" ht="26.1">
      <c r="B239" s="19" t="s">
        <v>232</v>
      </c>
      <c r="C239" s="141" t="s">
        <v>1</v>
      </c>
      <c r="D239" s="141" t="s">
        <v>108</v>
      </c>
      <c r="E239" s="141" t="s">
        <v>233</v>
      </c>
      <c r="F239" s="141" t="s">
        <v>234</v>
      </c>
      <c r="G239" s="141" t="s">
        <v>235</v>
      </c>
      <c r="H239" s="141" t="s">
        <v>236</v>
      </c>
    </row>
    <row r="240" spans="2:8" ht="12.6">
      <c r="B240" s="13" t="s">
        <v>237</v>
      </c>
      <c r="C240" s="11">
        <f>SUM(('RBS summary'!F50)*Misc!$B$65)/365.25/Misc!$B$2</f>
        <v>0.84912266835445693</v>
      </c>
      <c r="D240" s="74">
        <f t="shared" ref="D240:D244" si="51">C240*365.25</f>
        <v>310.14205461646537</v>
      </c>
      <c r="E240" s="97">
        <f>C240*'Energy prices'!$C$3</f>
        <v>0.20541639448565352</v>
      </c>
      <c r="F240" s="73">
        <f>D240*'Energy prices'!$C$3</f>
        <v>75.02833808588494</v>
      </c>
      <c r="G240" s="74">
        <v>15</v>
      </c>
      <c r="H240" s="73">
        <f>(D240*'Energy prices'!$H$3*G240)</f>
        <v>1341.6358150481394</v>
      </c>
    </row>
    <row r="241" spans="2:14" ht="12.6">
      <c r="B241" s="13" t="s">
        <v>238</v>
      </c>
      <c r="C241" s="11">
        <f>(SUM('RBS summary'!B55)*Misc!$B$65)/365.25/Misc!$B$2</f>
        <v>0.25073728630625786</v>
      </c>
      <c r="D241" s="74">
        <f t="shared" si="51"/>
        <v>91.581793823360684</v>
      </c>
      <c r="E241" s="97">
        <f>C241*'Energy prices'!$C$3</f>
        <v>6.0657371703387489E-2</v>
      </c>
      <c r="F241" s="73">
        <f>D241*'Energy prices'!$C$3</f>
        <v>22.155105014662283</v>
      </c>
      <c r="G241" s="74">
        <v>15</v>
      </c>
      <c r="H241" s="73">
        <f>(D241*'Energy prices'!$H$3*G241)</f>
        <v>396.17140845900633</v>
      </c>
      <c r="I241" s="13"/>
    </row>
    <row r="242" spans="2:14" ht="12.6">
      <c r="B242" s="13" t="s">
        <v>239</v>
      </c>
      <c r="C242" s="11">
        <f>(SUM('RBS summary'!B54)*Misc!$B$65)/365.25/Misc!$B$2</f>
        <v>0.12578869668258152</v>
      </c>
      <c r="D242" s="74">
        <f t="shared" si="51"/>
        <v>45.944321463312903</v>
      </c>
      <c r="E242" s="97">
        <f>C242*'Energy prices'!$C$3</f>
        <v>3.0430303538662745E-2</v>
      </c>
      <c r="F242" s="73">
        <f>D242*'Energy prices'!$C$3</f>
        <v>11.114668367496568</v>
      </c>
      <c r="G242" s="74">
        <v>15</v>
      </c>
      <c r="H242" s="73">
        <f>(D242*'Energy prices'!$H$3*G242)</f>
        <v>198.74939968877425</v>
      </c>
      <c r="I242" s="13"/>
    </row>
    <row r="243" spans="2:14" ht="12.6">
      <c r="B243" s="13" t="s">
        <v>63</v>
      </c>
      <c r="C243" s="11">
        <f>(('RBS summary'!B72)*Misc!$B$65)/365.25/Misc!$B$2</f>
        <v>3.2514819678572349</v>
      </c>
      <c r="D243" s="74">
        <f t="shared" si="51"/>
        <v>1187.603788759855</v>
      </c>
      <c r="E243" s="97">
        <f>C243*'Energy prices'!$C$3</f>
        <v>0.7865856459429017</v>
      </c>
      <c r="F243" s="73">
        <f>D243*'Energy prices'!$C$3</f>
        <v>287.30040718064481</v>
      </c>
      <c r="G243" s="74">
        <v>15</v>
      </c>
      <c r="H243" s="73">
        <f>(D243*'Energy prices'!$H$3*G243)</f>
        <v>5137.4257485250337</v>
      </c>
      <c r="I243" s="13"/>
    </row>
    <row r="244" spans="2:14" ht="12.6">
      <c r="B244" s="9" t="s">
        <v>240</v>
      </c>
      <c r="C244" s="142">
        <f>SUM(C240:C243)</f>
        <v>4.4771306192005316</v>
      </c>
      <c r="D244" s="143">
        <f t="shared" si="51"/>
        <v>1635.2719586629942</v>
      </c>
      <c r="E244" s="144">
        <f t="shared" ref="E244:F244" si="52">SUM(E240:E243)</f>
        <v>1.0830897156706054</v>
      </c>
      <c r="F244" s="145">
        <f t="shared" si="52"/>
        <v>395.59851864868858</v>
      </c>
      <c r="G244" s="143"/>
      <c r="H244" s="145">
        <f>SUM(H240:H243)</f>
        <v>7073.9823717209538</v>
      </c>
      <c r="I244" s="9"/>
    </row>
    <row r="245" spans="2:14" ht="12.6">
      <c r="E245" s="1"/>
    </row>
    <row r="246" spans="2:14" ht="12.6">
      <c r="E246" s="1"/>
    </row>
    <row r="247" spans="2:14" ht="52.5" customHeight="1">
      <c r="B247" s="146" t="s">
        <v>64</v>
      </c>
      <c r="C247" s="147"/>
      <c r="D247" s="5"/>
      <c r="E247" s="99"/>
      <c r="F247" s="5"/>
      <c r="G247" s="5"/>
      <c r="H247" s="5"/>
      <c r="I247" s="5"/>
      <c r="J247" s="5"/>
    </row>
    <row r="248" spans="2:14" ht="12.6">
      <c r="B248" s="47"/>
      <c r="C248" s="47" t="s">
        <v>81</v>
      </c>
      <c r="D248" s="47" t="s">
        <v>82</v>
      </c>
      <c r="E248" s="47" t="s">
        <v>83</v>
      </c>
      <c r="F248" s="47" t="s">
        <v>84</v>
      </c>
      <c r="G248" s="47" t="s">
        <v>84</v>
      </c>
      <c r="H248" s="47" t="s">
        <v>84</v>
      </c>
      <c r="I248" s="47" t="s">
        <v>84</v>
      </c>
      <c r="J248" s="47"/>
      <c r="L248" s="10"/>
      <c r="M248" s="10"/>
      <c r="N248" s="10"/>
    </row>
    <row r="249" spans="2:14" ht="12.95">
      <c r="B249" s="57" t="s">
        <v>64</v>
      </c>
      <c r="C249" s="57"/>
      <c r="D249" s="57" t="s">
        <v>78</v>
      </c>
      <c r="E249" s="113" t="s">
        <v>79</v>
      </c>
      <c r="F249" s="57" t="s">
        <v>36</v>
      </c>
      <c r="G249" s="57" t="s">
        <v>40</v>
      </c>
      <c r="H249" s="113" t="s">
        <v>41</v>
      </c>
      <c r="I249" s="57" t="s">
        <v>38</v>
      </c>
      <c r="J249" s="57" t="s">
        <v>14</v>
      </c>
      <c r="L249" s="10"/>
      <c r="M249" s="10"/>
      <c r="N249" s="10"/>
    </row>
    <row r="250" spans="2:14" ht="12.6">
      <c r="B250" s="13" t="s">
        <v>241</v>
      </c>
      <c r="C250" s="13"/>
      <c r="D250" s="11">
        <f>Misc!B4</f>
        <v>1.8</v>
      </c>
      <c r="E250" s="13"/>
      <c r="F250" s="13"/>
      <c r="G250" s="12">
        <f ca="1">(Vehicles!C74/365.25)*Misc!$B$4</f>
        <v>39.156019184851964</v>
      </c>
      <c r="H250" s="12">
        <f ca="1">(Vehicles!D74/365.25)*Misc!$B$4</f>
        <v>16.348660700941704</v>
      </c>
      <c r="I250" s="11">
        <f ca="1">(Vehicles!E74/365.25)*Misc!$B$4</f>
        <v>4.5075774766852185E-2</v>
      </c>
      <c r="J250" s="11">
        <f ca="1">SUM(G250:I250)</f>
        <v>55.549755660560514</v>
      </c>
      <c r="N250" s="50"/>
    </row>
    <row r="251" spans="2:14" ht="12.6">
      <c r="B251" s="13" t="s">
        <v>242</v>
      </c>
      <c r="C251" s="13"/>
      <c r="D251" s="13">
        <v>1</v>
      </c>
      <c r="E251" s="13"/>
      <c r="F251" s="13"/>
      <c r="G251" s="12">
        <f t="shared" ref="G251:J251" ca="1" si="53">G250*(1/$D$250)</f>
        <v>21.753343991584426</v>
      </c>
      <c r="H251" s="12">
        <f t="shared" ca="1" si="53"/>
        <v>9.0825892783009472</v>
      </c>
      <c r="I251" s="12">
        <f t="shared" ca="1" si="53"/>
        <v>2.5042097092695659E-2</v>
      </c>
      <c r="J251" s="12">
        <f t="shared" ca="1" si="53"/>
        <v>30.860975366978064</v>
      </c>
      <c r="M251" s="50"/>
      <c r="N251" s="50"/>
    </row>
    <row r="252" spans="2:14" ht="12.6">
      <c r="B252" s="10"/>
      <c r="G252" s="148"/>
      <c r="H252" s="148"/>
      <c r="I252" s="50"/>
      <c r="J252" s="50"/>
      <c r="M252" s="50"/>
      <c r="N252" s="50"/>
    </row>
    <row r="253" spans="2:14" ht="12.6">
      <c r="B253" s="10"/>
      <c r="G253" s="148"/>
      <c r="H253" s="148"/>
      <c r="I253" s="50"/>
      <c r="J253" s="50"/>
      <c r="M253" s="50"/>
      <c r="N253" s="50"/>
    </row>
    <row r="254" spans="2:14" ht="12.95">
      <c r="B254" s="57" t="s">
        <v>243</v>
      </c>
      <c r="C254" s="57" t="s">
        <v>8</v>
      </c>
      <c r="D254" s="59" t="s">
        <v>244</v>
      </c>
      <c r="E254" s="149" t="s">
        <v>245</v>
      </c>
      <c r="F254" s="63" t="s">
        <v>223</v>
      </c>
      <c r="G254" s="150" t="s">
        <v>246</v>
      </c>
      <c r="H254" s="151" t="s">
        <v>247</v>
      </c>
      <c r="I254" s="50" t="s">
        <v>248</v>
      </c>
      <c r="J254" s="50"/>
      <c r="M254" s="50"/>
      <c r="N254" s="50"/>
    </row>
    <row r="255" spans="2:14" ht="12.95">
      <c r="B255" s="65" t="s">
        <v>84</v>
      </c>
      <c r="C255" s="12">
        <f ca="1">SUM(G250:I250)</f>
        <v>55.549755660560514</v>
      </c>
      <c r="D255" s="152">
        <f ca="1">G250+(H250*(Misc!B88/Misc!B87))+(I250*(Misc!B89/Misc!B87))</f>
        <v>57.643128002552231</v>
      </c>
      <c r="E255" s="69">
        <f ca="1">H250+(G250*(Misc!B87/Misc!B88))+(I250*(Misc!B89/Misc!B88))</f>
        <v>51.07240875896025</v>
      </c>
      <c r="F255" s="70">
        <f ca="1">J250*Misc!B56</f>
        <v>14.447705103621075</v>
      </c>
      <c r="G255" s="72">
        <f ca="1">J250*Misc!B56</f>
        <v>14.447705103621075</v>
      </c>
      <c r="H255" s="151">
        <f ca="1">J250*Misc!B56</f>
        <v>14.447705103621075</v>
      </c>
      <c r="I255" s="50"/>
      <c r="J255" s="50"/>
      <c r="M255" s="50"/>
      <c r="N255" s="50"/>
    </row>
    <row r="256" spans="2:14" ht="12.95">
      <c r="B256" s="65" t="s">
        <v>108</v>
      </c>
      <c r="C256" s="74">
        <f t="shared" ref="C256:G256" ca="1" si="54">C255*365.25</f>
        <v>20289.548255019727</v>
      </c>
      <c r="D256" s="75">
        <f t="shared" ca="1" si="54"/>
        <v>21054.152502932204</v>
      </c>
      <c r="E256" s="78">
        <f t="shared" ca="1" si="54"/>
        <v>18654.197299210231</v>
      </c>
      <c r="F256" s="79">
        <f t="shared" ca="1" si="54"/>
        <v>5277.0242890975978</v>
      </c>
      <c r="G256" s="81">
        <f t="shared" ca="1" si="54"/>
        <v>5277.0242890975978</v>
      </c>
      <c r="H256" s="151">
        <f ca="1">G255*365.25</f>
        <v>5277.0242890975978</v>
      </c>
      <c r="I256" s="50"/>
      <c r="J256" s="50">
        <v>100</v>
      </c>
      <c r="K256" s="10">
        <v>9.1999999999999993</v>
      </c>
      <c r="L256" s="10">
        <f>J256/K256</f>
        <v>10.869565217391305</v>
      </c>
      <c r="M256" s="50"/>
      <c r="N256" s="50"/>
    </row>
    <row r="257" spans="2:14" ht="12.95">
      <c r="B257" s="65" t="s">
        <v>249</v>
      </c>
      <c r="C257" s="13"/>
      <c r="D257" s="153">
        <f ca="1">D255/Misc!B87</f>
        <v>6.0676976844791826</v>
      </c>
      <c r="E257" s="120">
        <f ca="1">E255/Misc!B88</f>
        <v>4.7632298334290866</v>
      </c>
      <c r="F257" s="95" t="s">
        <v>89</v>
      </c>
      <c r="G257" s="72" t="s">
        <v>89</v>
      </c>
      <c r="H257" s="151" t="s">
        <v>89</v>
      </c>
      <c r="I257" s="50"/>
      <c r="J257" s="50"/>
      <c r="M257" s="50"/>
      <c r="N257" s="50"/>
    </row>
    <row r="258" spans="2:14" ht="12.95">
      <c r="B258" s="65" t="s">
        <v>250</v>
      </c>
      <c r="C258" s="13"/>
      <c r="D258" s="153" t="s">
        <v>89</v>
      </c>
      <c r="E258" s="120" t="s">
        <v>89</v>
      </c>
      <c r="F258" s="154">
        <f ca="1">Misc!B56</f>
        <v>0.26008584433574256</v>
      </c>
      <c r="G258" s="155">
        <f ca="1">Misc!B56</f>
        <v>0.26008584433574256</v>
      </c>
      <c r="H258" s="151">
        <f ca="1">Misc!B56</f>
        <v>0.26008584433574256</v>
      </c>
      <c r="J258" s="13" t="s">
        <v>251</v>
      </c>
      <c r="K258" s="13" t="s">
        <v>252</v>
      </c>
      <c r="L258" s="13" t="s">
        <v>253</v>
      </c>
      <c r="M258" s="13" t="s">
        <v>254</v>
      </c>
      <c r="N258" s="13" t="s">
        <v>255</v>
      </c>
    </row>
    <row r="259" spans="2:14" ht="12.95">
      <c r="B259" s="90" t="s">
        <v>256</v>
      </c>
      <c r="C259" s="13">
        <v>12000</v>
      </c>
      <c r="D259" s="98"/>
      <c r="E259" s="94"/>
      <c r="F259" s="87">
        <f>(I259*1.8)*(76/1000)</f>
        <v>1504.8</v>
      </c>
      <c r="G259" s="89">
        <f>(I259*1.8)*(76/1000)</f>
        <v>1504.8</v>
      </c>
      <c r="H259" s="151">
        <f>(I259*1.8)*(76/1000)</f>
        <v>1504.8</v>
      </c>
      <c r="I259" s="10">
        <v>11000</v>
      </c>
      <c r="J259" s="13" t="s">
        <v>257</v>
      </c>
      <c r="K259" s="13">
        <f>3*50</f>
        <v>150</v>
      </c>
      <c r="L259" s="13">
        <f ca="1">((50*9.5)*Misc!B56)*0.8</f>
        <v>98.832620847582177</v>
      </c>
      <c r="M259" s="156">
        <f ca="1">((50*9.5)*Misc!B56)*'Energy prices'!C3</f>
        <v>29.886495480419772</v>
      </c>
      <c r="N259" s="156">
        <f ca="1">((50*9.5)*Misc!B56)*'Energy prices'!C62</f>
        <v>7.6694058706484816</v>
      </c>
    </row>
    <row r="260" spans="2:14" ht="12.95">
      <c r="B260" s="65" t="s">
        <v>110</v>
      </c>
      <c r="C260" s="13"/>
      <c r="D260" s="83">
        <f ca="1">D256*'Energy prices'!C57</f>
        <v>5760.6127273554321</v>
      </c>
      <c r="E260" s="86">
        <f ca="1">E256*'Energy prices'!C58</f>
        <v>3850.1103387085222</v>
      </c>
      <c r="F260" s="87">
        <f ca="1">F256*'Energy prices'!C3</f>
        <v>1276.5968257334862</v>
      </c>
      <c r="G260" s="89">
        <f ca="1">G256*'Energy prices'!C62</f>
        <v>327.59743263127149</v>
      </c>
      <c r="H260" s="151">
        <f ca="1">G256*0.8</f>
        <v>4221.6194312780781</v>
      </c>
      <c r="J260" s="11" t="s">
        <v>258</v>
      </c>
      <c r="K260" s="11"/>
      <c r="L260" s="13">
        <f t="shared" ref="L260:N260" si="55">76/2</f>
        <v>38</v>
      </c>
      <c r="M260" s="13">
        <f t="shared" si="55"/>
        <v>38</v>
      </c>
      <c r="N260" s="13">
        <f t="shared" si="55"/>
        <v>38</v>
      </c>
    </row>
    <row r="261" spans="2:14" ht="12.95">
      <c r="B261" s="90" t="s">
        <v>113</v>
      </c>
      <c r="C261" s="13"/>
      <c r="D261" s="98">
        <v>15</v>
      </c>
      <c r="E261" s="94">
        <v>15</v>
      </c>
      <c r="F261" s="95">
        <v>15</v>
      </c>
      <c r="G261" s="37">
        <v>15</v>
      </c>
      <c r="H261" s="151">
        <v>15</v>
      </c>
      <c r="J261" s="11"/>
      <c r="K261" s="11"/>
      <c r="L261" s="13"/>
      <c r="M261" s="13"/>
      <c r="N261" s="11"/>
    </row>
    <row r="262" spans="2:14" ht="12.95">
      <c r="B262" s="90" t="s">
        <v>259</v>
      </c>
      <c r="C262" s="13"/>
      <c r="D262" s="98"/>
      <c r="E262" s="94"/>
      <c r="F262" s="87">
        <f t="shared" ref="F262:H262" si="56">F259*F261</f>
        <v>22572</v>
      </c>
      <c r="G262" s="89">
        <f t="shared" si="56"/>
        <v>22572</v>
      </c>
      <c r="H262" s="157">
        <f t="shared" si="56"/>
        <v>22572</v>
      </c>
      <c r="J262" s="11"/>
      <c r="K262" s="11"/>
      <c r="L262" s="13"/>
      <c r="M262" s="13"/>
      <c r="N262" s="11"/>
    </row>
    <row r="263" spans="2:14" ht="12.95">
      <c r="B263" s="40" t="s">
        <v>115</v>
      </c>
      <c r="C263" s="13"/>
      <c r="D263" s="83">
        <f ca="1">D256*'Energy prices'!G57*D261</f>
        <v>88547.755595795708</v>
      </c>
      <c r="E263" s="86">
        <f ca="1">E256*'Energy prices'!G58*E261</f>
        <v>59180.966578414052</v>
      </c>
      <c r="F263" s="87">
        <f ca="1">F256*'Energy prices'!H3*F261</f>
        <v>22827.748374490897</v>
      </c>
      <c r="G263" s="89">
        <f t="shared" ref="G263:H263" ca="1" si="57">G260*G261</f>
        <v>4913.9614894690721</v>
      </c>
      <c r="H263" s="157">
        <f t="shared" ca="1" si="57"/>
        <v>63324.29146917117</v>
      </c>
      <c r="J263" s="11" t="s">
        <v>101</v>
      </c>
      <c r="K263" s="11" t="s">
        <v>260</v>
      </c>
      <c r="L263" s="13" t="s">
        <v>261</v>
      </c>
      <c r="M263" s="13" t="s">
        <v>262</v>
      </c>
      <c r="N263" s="13" t="s">
        <v>263</v>
      </c>
    </row>
    <row r="264" spans="2:14" ht="12.95">
      <c r="B264" s="40" t="s">
        <v>264</v>
      </c>
      <c r="C264" s="13"/>
      <c r="D264" s="98"/>
      <c r="E264" s="94"/>
      <c r="F264" s="87">
        <v>2000</v>
      </c>
      <c r="G264" s="89">
        <v>2000</v>
      </c>
      <c r="H264" s="157">
        <v>2000</v>
      </c>
      <c r="J264" s="11" t="s">
        <v>166</v>
      </c>
      <c r="K264" s="73">
        <f ca="1">D280</f>
        <v>48037.963765649351</v>
      </c>
      <c r="L264" s="73">
        <f ca="1">H280</f>
        <v>35204.241435823351</v>
      </c>
      <c r="M264" s="73">
        <f t="shared" ref="M264:N264" ca="1" si="58">F280</f>
        <v>10645.588405329436</v>
      </c>
      <c r="N264" s="73">
        <f t="shared" ca="1" si="58"/>
        <v>2731.8471737789118</v>
      </c>
    </row>
    <row r="265" spans="2:14" ht="12.95">
      <c r="B265" s="40" t="s">
        <v>265</v>
      </c>
      <c r="C265" s="13"/>
      <c r="D265" s="83">
        <f ca="1">ROUND('Product prices'!E323*D250,-3)</f>
        <v>68000</v>
      </c>
      <c r="E265" s="94"/>
      <c r="F265" s="87">
        <f ca="1">ROUND((('Product prices'!I323*D250)+F264),-3)</f>
        <v>103000</v>
      </c>
      <c r="G265" s="89">
        <f ca="1">ROUND((('Product prices'!I323*D250)+F264),-3)</f>
        <v>103000</v>
      </c>
      <c r="H265" s="157">
        <f ca="1">ROUND((('Product prices'!I323*D250)+F264),-3)</f>
        <v>103000</v>
      </c>
      <c r="J265" s="11" t="s">
        <v>139</v>
      </c>
      <c r="K265" s="73">
        <f ca="1">D282</f>
        <v>37900</v>
      </c>
      <c r="L265" s="12">
        <f ca="1">H282</f>
        <v>58300</v>
      </c>
      <c r="M265" s="73">
        <f t="shared" ref="M265:N265" ca="1" si="59">F282</f>
        <v>58300</v>
      </c>
      <c r="N265" s="73">
        <f t="shared" ca="1" si="59"/>
        <v>58300</v>
      </c>
    </row>
    <row r="266" spans="2:14" ht="12.95">
      <c r="B266" s="54" t="s">
        <v>266</v>
      </c>
      <c r="C266" s="13"/>
      <c r="D266" s="83">
        <f ca="1">SUM(D263,D265)</f>
        <v>156547.75559579569</v>
      </c>
      <c r="E266" s="94"/>
      <c r="F266" s="87">
        <f t="shared" ref="F266:H266" ca="1" si="60">SUM(F263,F265)</f>
        <v>125827.7483744909</v>
      </c>
      <c r="G266" s="89">
        <f t="shared" ca="1" si="60"/>
        <v>107913.96148946907</v>
      </c>
      <c r="H266" s="157">
        <f t="shared" ca="1" si="60"/>
        <v>166324.29146917118</v>
      </c>
      <c r="J266" s="10" t="s">
        <v>267</v>
      </c>
      <c r="K266" s="10">
        <f>D281*D279</f>
        <v>16997.297618899676</v>
      </c>
      <c r="L266" s="10">
        <f>H281*H279</f>
        <v>10265.694601513664</v>
      </c>
      <c r="M266" s="10">
        <f>G281*G279</f>
        <v>10265.694601513664</v>
      </c>
      <c r="N266" s="11">
        <f>F281*F279</f>
        <v>10265.694601513664</v>
      </c>
    </row>
    <row r="267" spans="2:14" ht="12.6">
      <c r="B267" s="13"/>
      <c r="C267" s="13"/>
      <c r="D267" s="98"/>
      <c r="E267" s="94"/>
      <c r="F267" s="95"/>
      <c r="G267" s="72"/>
      <c r="H267" s="151"/>
      <c r="J267" s="11" t="s">
        <v>268</v>
      </c>
      <c r="K267" s="11">
        <v>0</v>
      </c>
      <c r="L267" s="73">
        <f>H277*H279</f>
        <v>12540</v>
      </c>
      <c r="M267" s="73">
        <f t="shared" ref="M267:N267" si="61">F277*F279</f>
        <v>12540</v>
      </c>
      <c r="N267" s="73">
        <f t="shared" si="61"/>
        <v>12540</v>
      </c>
    </row>
    <row r="268" spans="2:14" ht="12.95">
      <c r="B268" s="101" t="s">
        <v>15</v>
      </c>
      <c r="C268" s="13"/>
      <c r="D268" s="98"/>
      <c r="E268" s="94"/>
      <c r="F268" s="95"/>
      <c r="G268" s="72"/>
      <c r="H268" s="151"/>
      <c r="J268" s="11" t="s">
        <v>215</v>
      </c>
      <c r="K268" s="73">
        <f t="shared" ref="K268:N268" ca="1" si="62">SUM(K264:K265,K267,K266)</f>
        <v>102935.26138454903</v>
      </c>
      <c r="L268" s="73">
        <f t="shared" ca="1" si="62"/>
        <v>116309.93603733701</v>
      </c>
      <c r="M268" s="73">
        <f t="shared" ca="1" si="62"/>
        <v>91751.283006843107</v>
      </c>
      <c r="N268" s="73">
        <f t="shared" ca="1" si="62"/>
        <v>83837.541775292586</v>
      </c>
    </row>
    <row r="269" spans="2:14" ht="12.6">
      <c r="B269" s="104" t="s">
        <v>134</v>
      </c>
      <c r="C269" s="13"/>
      <c r="D269" s="152">
        <f ca="1">D256*Misc!F143</f>
        <v>5095.1049057095934</v>
      </c>
      <c r="E269" s="69">
        <f ca="1">E256*Misc!G143</f>
        <v>4719.5119167001885</v>
      </c>
      <c r="F269" s="70">
        <f ca="1">F256*Misc!B143</f>
        <v>517.14838033156457</v>
      </c>
      <c r="G269" s="72">
        <f ca="1">G256*Misc!I143</f>
        <v>0</v>
      </c>
      <c r="H269" s="151">
        <f ca="1">F256*Misc!B143</f>
        <v>517.14838033156457</v>
      </c>
      <c r="J269" s="11" t="s">
        <v>122</v>
      </c>
      <c r="K269" s="11">
        <f ca="1">D288</f>
        <v>42488.269291281242</v>
      </c>
      <c r="L269" s="12">
        <f ca="1">H288</f>
        <v>4312.5195758883601</v>
      </c>
      <c r="M269" s="12">
        <f t="shared" ref="M269:N269" ca="1" si="63">F288</f>
        <v>4312.5195758883601</v>
      </c>
      <c r="N269" s="12">
        <f t="shared" ca="1" si="63"/>
        <v>0</v>
      </c>
    </row>
    <row r="270" spans="2:14" ht="12.6">
      <c r="B270" s="104" t="s">
        <v>137</v>
      </c>
      <c r="C270" s="13"/>
      <c r="D270" s="152">
        <f t="shared" ref="D270:G270" ca="1" si="64">D269*D261</f>
        <v>76426.573585643899</v>
      </c>
      <c r="E270" s="69">
        <f t="shared" ca="1" si="64"/>
        <v>70792.678750502833</v>
      </c>
      <c r="F270" s="70">
        <f t="shared" ca="1" si="64"/>
        <v>7757.225704973469</v>
      </c>
      <c r="G270" s="72">
        <f t="shared" ca="1" si="64"/>
        <v>0</v>
      </c>
      <c r="H270" s="151">
        <f ca="1">F269*F261</f>
        <v>7757.225704973469</v>
      </c>
      <c r="J270" s="11"/>
      <c r="K270" s="11"/>
      <c r="L270" s="13"/>
      <c r="M270" s="13"/>
      <c r="N270" s="11"/>
    </row>
    <row r="271" spans="2:14" ht="12.95">
      <c r="B271" s="40"/>
      <c r="C271" s="13"/>
      <c r="D271" s="98"/>
      <c r="E271" s="94"/>
      <c r="F271" s="95"/>
      <c r="G271" s="72"/>
      <c r="H271" s="151"/>
      <c r="J271" s="10" t="s">
        <v>269</v>
      </c>
      <c r="K271" s="11" t="s">
        <v>260</v>
      </c>
      <c r="L271" s="13" t="s">
        <v>261</v>
      </c>
      <c r="M271" s="13" t="s">
        <v>262</v>
      </c>
      <c r="N271" s="13" t="s">
        <v>263</v>
      </c>
    </row>
    <row r="272" spans="2:14" ht="12.95">
      <c r="B272" s="54" t="s">
        <v>242</v>
      </c>
      <c r="C272" s="54"/>
      <c r="D272" s="54"/>
      <c r="E272" s="54"/>
      <c r="F272" s="54"/>
      <c r="G272" s="54"/>
      <c r="H272" s="54"/>
      <c r="J272" s="11" t="s">
        <v>270</v>
      </c>
      <c r="K272" s="10">
        <f ca="1">D278</f>
        <v>3202.5309177099566</v>
      </c>
      <c r="L272" s="148">
        <f ca="1">H278</f>
        <v>2346.9494290548901</v>
      </c>
      <c r="M272" s="27">
        <f t="shared" ref="M272:N272" ca="1" si="65">F278</f>
        <v>709.70589368862909</v>
      </c>
      <c r="N272" s="148">
        <f t="shared" ca="1" si="65"/>
        <v>182.12314491859414</v>
      </c>
    </row>
    <row r="273" spans="2:14" ht="12.95">
      <c r="B273" s="65" t="s">
        <v>84</v>
      </c>
      <c r="C273" s="13"/>
      <c r="D273" s="152">
        <f ca="1">G251+(H251*(Misc!B88/Misc!B87))+(I251*(Misc!B89/Misc!B87))</f>
        <v>32.023960001417912</v>
      </c>
      <c r="E273" s="69">
        <f ca="1">H251+(G251*(Misc!B87/Misc!B88))+(I251*(Misc!B89/Misc!B88))</f>
        <v>28.373560421644591</v>
      </c>
      <c r="F273" s="137">
        <f ca="1">J251*Misc!B56</f>
        <v>8.0265028353450418</v>
      </c>
      <c r="G273" s="72">
        <f ca="1">J251*Misc!B56</f>
        <v>8.0265028353450418</v>
      </c>
      <c r="H273" s="151">
        <f ca="1">J251*Misc!B56</f>
        <v>8.0265028353450418</v>
      </c>
      <c r="J273" s="10" t="s">
        <v>268</v>
      </c>
      <c r="L273" s="27">
        <f>H277</f>
        <v>836</v>
      </c>
      <c r="M273" s="27">
        <f t="shared" ref="M273:N273" si="66">F277</f>
        <v>836</v>
      </c>
      <c r="N273" s="27">
        <f t="shared" si="66"/>
        <v>836</v>
      </c>
    </row>
    <row r="274" spans="2:14" ht="12.95">
      <c r="B274" s="65" t="s">
        <v>108</v>
      </c>
      <c r="C274" s="13"/>
      <c r="D274" s="75">
        <f t="shared" ref="D274:G274" ca="1" si="67">D273*365.5</f>
        <v>11704.757380518247</v>
      </c>
      <c r="E274" s="78">
        <f t="shared" ca="1" si="67"/>
        <v>10370.536334111099</v>
      </c>
      <c r="F274" s="79">
        <f t="shared" ca="1" si="67"/>
        <v>2933.6867863186126</v>
      </c>
      <c r="G274" s="81">
        <f t="shared" ca="1" si="67"/>
        <v>2933.6867863186126</v>
      </c>
      <c r="H274" s="151">
        <f ca="1">G273*365.5</f>
        <v>2933.6867863186126</v>
      </c>
      <c r="J274" s="10" t="s">
        <v>267</v>
      </c>
      <c r="K274" s="50">
        <f>D281</f>
        <v>1133.1531745933116</v>
      </c>
      <c r="L274" s="148">
        <f>H281</f>
        <v>684.37964010091093</v>
      </c>
      <c r="M274" s="50">
        <f t="shared" ref="M274:N274" si="68">F281</f>
        <v>684.37964010091093</v>
      </c>
      <c r="N274" s="148">
        <f t="shared" si="68"/>
        <v>684.37964010091093</v>
      </c>
    </row>
    <row r="275" spans="2:14" ht="12.95">
      <c r="B275" s="65" t="s">
        <v>249</v>
      </c>
      <c r="C275" s="13"/>
      <c r="D275" s="153">
        <f ca="1">D273/Misc!B87</f>
        <v>3.3709431580439908</v>
      </c>
      <c r="E275" s="120">
        <f ca="1">E273/Misc!B88</f>
        <v>2.6462387963494929</v>
      </c>
      <c r="F275" s="95" t="s">
        <v>89</v>
      </c>
      <c r="G275" s="72" t="s">
        <v>89</v>
      </c>
      <c r="H275" s="151"/>
      <c r="I275" s="50">
        <f ca="1">D275*L256*365.25</f>
        <v>13383.010744299649</v>
      </c>
    </row>
    <row r="276" spans="2:14" ht="12.95">
      <c r="B276" s="65" t="s">
        <v>250</v>
      </c>
      <c r="C276" s="13"/>
      <c r="D276" s="98"/>
      <c r="E276" s="94"/>
      <c r="F276" s="154">
        <f t="shared" ref="F276:H276" ca="1" si="69">F258</f>
        <v>0.26008584433574256</v>
      </c>
      <c r="G276" s="155">
        <f t="shared" ca="1" si="69"/>
        <v>0.26008584433574256</v>
      </c>
      <c r="H276" s="158">
        <f t="shared" ca="1" si="69"/>
        <v>0.26008584433574256</v>
      </c>
    </row>
    <row r="277" spans="2:14" ht="12.95">
      <c r="B277" s="90" t="s">
        <v>256</v>
      </c>
      <c r="C277" s="13"/>
      <c r="D277" s="98"/>
      <c r="E277" s="94"/>
      <c r="F277" s="87">
        <f>(I259*1)*(76/1000)</f>
        <v>836</v>
      </c>
      <c r="G277" s="89">
        <f>(I259*1)*(76/1000)</f>
        <v>836</v>
      </c>
      <c r="H277" s="157">
        <f>(I259*1)*(76/1000)</f>
        <v>836</v>
      </c>
    </row>
    <row r="278" spans="2:14" ht="12.95">
      <c r="B278" s="65" t="s">
        <v>110</v>
      </c>
      <c r="C278" s="13"/>
      <c r="D278" s="98">
        <f ca="1">D274*'Energy prices'!C57</f>
        <v>3202.5309177099566</v>
      </c>
      <c r="E278" s="86">
        <f ca="1">E274*'Energy prices'!C58</f>
        <v>2140.4142197854821</v>
      </c>
      <c r="F278" s="87">
        <f ca="1">F274*'Energy prices'!C3</f>
        <v>709.70589368862909</v>
      </c>
      <c r="G278" s="72">
        <f ca="1">G274*'Energy prices'!C62</f>
        <v>182.12314491859414</v>
      </c>
      <c r="H278" s="151">
        <f ca="1">H274*0.8</f>
        <v>2346.9494290548901</v>
      </c>
    </row>
    <row r="279" spans="2:14" ht="12.95">
      <c r="B279" s="90" t="s">
        <v>113</v>
      </c>
      <c r="C279" s="13"/>
      <c r="D279" s="98">
        <v>15</v>
      </c>
      <c r="E279" s="94">
        <v>15</v>
      </c>
      <c r="F279" s="95">
        <v>15</v>
      </c>
      <c r="G279" s="72">
        <v>15</v>
      </c>
      <c r="H279" s="151">
        <v>15</v>
      </c>
      <c r="I279" s="50"/>
    </row>
    <row r="280" spans="2:14" ht="12.95">
      <c r="B280" s="40" t="s">
        <v>115</v>
      </c>
      <c r="C280" s="13"/>
      <c r="D280" s="83">
        <f t="shared" ref="D280:H280" ca="1" si="70">D278*D279</f>
        <v>48037.963765649351</v>
      </c>
      <c r="E280" s="86">
        <f t="shared" ca="1" si="70"/>
        <v>32106.213296782233</v>
      </c>
      <c r="F280" s="87">
        <f t="shared" ca="1" si="70"/>
        <v>10645.588405329436</v>
      </c>
      <c r="G280" s="89">
        <f t="shared" ca="1" si="70"/>
        <v>2731.8471737789118</v>
      </c>
      <c r="H280" s="157">
        <f t="shared" ca="1" si="70"/>
        <v>35204.241435823351</v>
      </c>
      <c r="I280" s="50"/>
      <c r="J280" s="50"/>
      <c r="M280" s="50"/>
      <c r="N280" s="50"/>
    </row>
    <row r="281" spans="2:14" ht="12.95">
      <c r="B281" s="40" t="s">
        <v>271</v>
      </c>
      <c r="C281" s="13"/>
      <c r="D281" s="153">
        <f>Vehicles!B114</f>
        <v>1133.1531745933116</v>
      </c>
      <c r="E281" s="120">
        <f>Vehicles!B114</f>
        <v>1133.1531745933116</v>
      </c>
      <c r="F281" s="120">
        <f>Vehicles!C114</f>
        <v>684.37964010091093</v>
      </c>
      <c r="G281" s="72">
        <f>Vehicles!C114</f>
        <v>684.37964010091093</v>
      </c>
      <c r="H281" s="151">
        <f>Vehicles!C114</f>
        <v>684.37964010091093</v>
      </c>
      <c r="I281" s="50"/>
      <c r="J281" s="11" t="s">
        <v>133</v>
      </c>
      <c r="K281" s="11"/>
      <c r="L281" s="13"/>
      <c r="M281" s="13"/>
      <c r="N281" s="11"/>
    </row>
    <row r="282" spans="2:14" ht="12.95">
      <c r="B282" s="40" t="s">
        <v>272</v>
      </c>
      <c r="C282" s="13"/>
      <c r="D282" s="83">
        <f ca="1">ROUND('Product prices'!E323,-2)</f>
        <v>37900</v>
      </c>
      <c r="E282" s="94"/>
      <c r="F282" s="87">
        <f ca="1">ROUND('Product prices'!I323+F264,-2)</f>
        <v>58300</v>
      </c>
      <c r="G282" s="72">
        <f ca="1">ROUND('Product prices'!I323+G264,-2)</f>
        <v>58300</v>
      </c>
      <c r="H282" s="151">
        <f ca="1">ROUND('Product prices'!I323+G264,-2)</f>
        <v>58300</v>
      </c>
      <c r="I282" s="50"/>
      <c r="J282" s="13" t="s">
        <v>135</v>
      </c>
      <c r="K282" s="13" t="s">
        <v>273</v>
      </c>
      <c r="L282" s="13" t="s">
        <v>136</v>
      </c>
      <c r="M282" s="13" t="s">
        <v>136</v>
      </c>
      <c r="N282" s="13" t="s">
        <v>136</v>
      </c>
    </row>
    <row r="283" spans="2:14" ht="12.6">
      <c r="B283" s="13"/>
      <c r="C283" s="13"/>
      <c r="D283" s="98"/>
      <c r="E283" s="94"/>
      <c r="F283" s="95"/>
      <c r="G283" s="72"/>
      <c r="H283" s="151"/>
      <c r="I283" s="50"/>
      <c r="J283" s="13" t="s">
        <v>138</v>
      </c>
      <c r="K283" s="13" t="s">
        <v>139</v>
      </c>
      <c r="L283" s="13" t="s">
        <v>139</v>
      </c>
      <c r="M283" s="13" t="s">
        <v>139</v>
      </c>
      <c r="N283" s="13" t="s">
        <v>139</v>
      </c>
    </row>
    <row r="284" spans="2:14" ht="12.95">
      <c r="B284" s="54" t="s">
        <v>274</v>
      </c>
      <c r="C284" s="9"/>
      <c r="D284" s="145">
        <f ca="1">SUM(D282,D280)</f>
        <v>85937.963765649358</v>
      </c>
      <c r="E284" s="9"/>
      <c r="F284" s="145">
        <f t="shared" ref="F284:H284" ca="1" si="71">SUM(F282,F280)</f>
        <v>68945.588405329443</v>
      </c>
      <c r="G284" s="145">
        <f t="shared" ca="1" si="71"/>
        <v>61031.847173778915</v>
      </c>
      <c r="H284" s="157">
        <f t="shared" ca="1" si="71"/>
        <v>93504.241435823351</v>
      </c>
      <c r="I284" s="50"/>
      <c r="J284" s="13" t="s">
        <v>275</v>
      </c>
      <c r="K284" s="13" t="s">
        <v>276</v>
      </c>
      <c r="L284" s="13" t="s">
        <v>268</v>
      </c>
      <c r="M284" s="13" t="s">
        <v>268</v>
      </c>
      <c r="N284" s="13" t="s">
        <v>268</v>
      </c>
    </row>
    <row r="285" spans="2:14" ht="12.6">
      <c r="B285" s="13"/>
      <c r="C285" s="13"/>
      <c r="D285" s="13"/>
      <c r="E285" s="13"/>
      <c r="F285" s="13"/>
      <c r="G285" s="12"/>
      <c r="H285" s="12"/>
      <c r="J285" s="13" t="s">
        <v>142</v>
      </c>
      <c r="K285" s="13" t="s">
        <v>15</v>
      </c>
      <c r="L285" s="13" t="s">
        <v>15</v>
      </c>
      <c r="M285" s="13" t="s">
        <v>15</v>
      </c>
      <c r="N285" s="13" t="s">
        <v>15</v>
      </c>
    </row>
    <row r="286" spans="2:14" ht="12.95">
      <c r="B286" s="101" t="s">
        <v>15</v>
      </c>
      <c r="C286" s="102"/>
      <c r="D286" s="102"/>
      <c r="E286" s="102"/>
      <c r="F286" s="102"/>
      <c r="G286" s="126"/>
      <c r="H286" s="102"/>
      <c r="J286" s="13" t="s">
        <v>277</v>
      </c>
      <c r="K286" s="12" t="s">
        <v>267</v>
      </c>
      <c r="L286" s="12" t="s">
        <v>267</v>
      </c>
      <c r="M286" s="12" t="s">
        <v>267</v>
      </c>
      <c r="N286" s="12" t="s">
        <v>267</v>
      </c>
    </row>
    <row r="287" spans="2:14" ht="12.6">
      <c r="B287" s="104" t="s">
        <v>134</v>
      </c>
      <c r="C287" s="102"/>
      <c r="D287" s="126">
        <f ca="1">D274*Misc!F143</f>
        <v>2832.551286085416</v>
      </c>
      <c r="E287" s="126">
        <f ca="1">E274*Misc!G143</f>
        <v>2623.745692530108</v>
      </c>
      <c r="F287" s="126">
        <f ca="1">F274*Misc!B143</f>
        <v>287.50130505922402</v>
      </c>
      <c r="G287" s="126">
        <f ca="1">G276*Misc!I163</f>
        <v>0</v>
      </c>
      <c r="H287" s="102">
        <f ca="1">H274*Misc!B143</f>
        <v>287.50130505922402</v>
      </c>
      <c r="J287" s="13"/>
      <c r="K287" s="12"/>
      <c r="L287" s="12"/>
      <c r="M287" s="13"/>
      <c r="N287" s="11"/>
    </row>
    <row r="288" spans="2:14" ht="12.6">
      <c r="B288" s="104" t="s">
        <v>137</v>
      </c>
      <c r="C288" s="102"/>
      <c r="D288" s="126">
        <f t="shared" ref="D288:H288" ca="1" si="72">D287*D279</f>
        <v>42488.269291281242</v>
      </c>
      <c r="E288" s="126">
        <f t="shared" ca="1" si="72"/>
        <v>39356.18538795162</v>
      </c>
      <c r="F288" s="126">
        <f t="shared" ca="1" si="72"/>
        <v>4312.5195758883601</v>
      </c>
      <c r="G288" s="126">
        <f t="shared" ca="1" si="72"/>
        <v>0</v>
      </c>
      <c r="H288" s="126">
        <f t="shared" ca="1" si="72"/>
        <v>4312.5195758883601</v>
      </c>
      <c r="J288" s="11"/>
      <c r="K288" s="11"/>
      <c r="L288" s="11"/>
      <c r="M288" s="13"/>
      <c r="N288" s="11"/>
    </row>
    <row r="290" spans="2:8" ht="28.5" customHeight="1">
      <c r="B290" s="159" t="s">
        <v>132</v>
      </c>
      <c r="C290" s="54" t="s">
        <v>278</v>
      </c>
      <c r="D290" s="54" t="s">
        <v>279</v>
      </c>
      <c r="E290" s="160" t="s">
        <v>280</v>
      </c>
      <c r="F290" s="9" t="s">
        <v>281</v>
      </c>
      <c r="G290" s="9"/>
      <c r="H290" s="9"/>
    </row>
    <row r="291" spans="2:8" ht="15.75" customHeight="1">
      <c r="B291" s="9" t="s">
        <v>36</v>
      </c>
      <c r="C291" s="161">
        <f t="shared" ref="C291:C293" si="73">D291/365.25</f>
        <v>1.8863791923340179</v>
      </c>
      <c r="D291" s="145">
        <f>'Energy prices'!D3</f>
        <v>689</v>
      </c>
      <c r="E291" s="56"/>
      <c r="F291" s="9" t="s">
        <v>282</v>
      </c>
      <c r="G291" s="9" t="s">
        <v>283</v>
      </c>
      <c r="H291" s="145" t="s">
        <v>186</v>
      </c>
    </row>
    <row r="292" spans="2:8" ht="15.75" customHeight="1">
      <c r="B292" s="9" t="s">
        <v>37</v>
      </c>
      <c r="C292" s="161">
        <f t="shared" si="73"/>
        <v>1.6071184120465434</v>
      </c>
      <c r="D292" s="145">
        <v>587</v>
      </c>
      <c r="E292" s="56"/>
      <c r="F292" s="162">
        <f>G64/(SUM(G64,G130,G186))</f>
        <v>0.55483311462799212</v>
      </c>
      <c r="G292" s="162">
        <f>G130/(SUM(G64,G130,G186))</f>
        <v>0.43054304315880648</v>
      </c>
      <c r="H292" s="162">
        <f>G186/(SUM(G64,G130,G186))</f>
        <v>1.4623842213201507E-2</v>
      </c>
    </row>
    <row r="293" spans="2:8" ht="15.75" customHeight="1">
      <c r="B293" s="9" t="s">
        <v>38</v>
      </c>
      <c r="C293" s="161">
        <f t="shared" si="73"/>
        <v>0.3805612594113621</v>
      </c>
      <c r="D293" s="145">
        <v>139</v>
      </c>
      <c r="E293" s="56"/>
      <c r="F293" s="162">
        <f>H64/SUM(H64,H130,H186)</f>
        <v>0.30278390290652785</v>
      </c>
      <c r="G293" s="162">
        <f>H130/SUM(H64,H130,H186)</f>
        <v>0.6869354132363642</v>
      </c>
      <c r="H293" s="162">
        <f>H186/SUM(H64,H130,H186)</f>
        <v>1.0280683857107896E-2</v>
      </c>
    </row>
  </sheetData>
  <conditionalFormatting sqref="C5:H8">
    <cfRule type="colorScale" priority="1">
      <colorScale>
        <cfvo type="min"/>
        <cfvo type="max"/>
        <color rgb="FFF4CCCC"/>
        <color rgb="FFFF0000"/>
      </colorScale>
    </cfRule>
    <cfRule type="notContainsBlanks" dxfId="23" priority="2">
      <formula>LEN(TRIM(C5))&gt;0</formula>
    </cfRule>
  </conditionalFormatting>
  <hyperlinks>
    <hyperlink ref="E290" r:id="rId1" xr:uid="{00000000-0004-0000-0000-000000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9900"/>
    <outlinePr summaryBelow="0" summaryRight="0"/>
  </sheetPr>
  <dimension ref="B7:M425"/>
  <sheetViews>
    <sheetView workbookViewId="0"/>
  </sheetViews>
  <sheetFormatPr defaultColWidth="12.5703125" defaultRowHeight="15.75" customHeight="1"/>
  <cols>
    <col min="1" max="1" width="5.7109375" customWidth="1"/>
    <col min="2" max="2" width="25.7109375" customWidth="1"/>
    <col min="3" max="3" width="71.140625" customWidth="1"/>
    <col min="4" max="4" width="21.42578125" customWidth="1"/>
    <col min="11" max="11" width="16.7109375" customWidth="1"/>
  </cols>
  <sheetData>
    <row r="7" spans="2:5" ht="12.95">
      <c r="B7" s="101" t="s">
        <v>56</v>
      </c>
      <c r="C7" s="101" t="s">
        <v>915</v>
      </c>
      <c r="D7" s="101" t="s">
        <v>916</v>
      </c>
      <c r="E7" s="101" t="s">
        <v>215</v>
      </c>
    </row>
    <row r="8" spans="2:5" ht="15.75" customHeight="1">
      <c r="B8" s="42" t="s">
        <v>917</v>
      </c>
      <c r="C8" s="213">
        <f t="shared" ref="C8:E8" si="0">D74</f>
        <v>2728.2466666666669</v>
      </c>
      <c r="D8" s="213">
        <f t="shared" si="0"/>
        <v>1050</v>
      </c>
      <c r="E8" s="209">
        <f t="shared" si="0"/>
        <v>3778.2466666666669</v>
      </c>
    </row>
    <row r="9" spans="2:5" ht="15.75" customHeight="1">
      <c r="B9" s="42" t="s">
        <v>918</v>
      </c>
      <c r="C9" s="213">
        <f t="shared" ref="C9:E9" si="1">D54</f>
        <v>1455.54</v>
      </c>
      <c r="D9" s="213">
        <f t="shared" si="1"/>
        <v>1050</v>
      </c>
      <c r="E9" s="209">
        <f t="shared" si="1"/>
        <v>2198.25</v>
      </c>
    </row>
    <row r="10" spans="2:5" ht="15.75" customHeight="1">
      <c r="B10" s="42" t="s">
        <v>919</v>
      </c>
      <c r="C10" s="213">
        <f t="shared" ref="C10:D10" si="2">D86</f>
        <v>3233.0316666666672</v>
      </c>
      <c r="D10" s="213">
        <f t="shared" si="2"/>
        <v>1250</v>
      </c>
      <c r="E10" s="213">
        <f t="shared" ref="E10:E11" si="3">SUM(C10:D10)</f>
        <v>4483.0316666666677</v>
      </c>
    </row>
    <row r="11" spans="2:5" ht="15.75" customHeight="1">
      <c r="B11" s="42" t="s">
        <v>920</v>
      </c>
      <c r="C11" s="213">
        <f t="shared" ref="C11:D11" si="4">D96</f>
        <v>3313.364</v>
      </c>
      <c r="D11" s="213">
        <f t="shared" si="4"/>
        <v>1250</v>
      </c>
      <c r="E11" s="213">
        <f t="shared" si="3"/>
        <v>4563.3639999999996</v>
      </c>
    </row>
    <row r="12" spans="2:5" ht="15.75" customHeight="1">
      <c r="B12" s="42" t="s">
        <v>104</v>
      </c>
      <c r="C12" s="213">
        <f>E12-D12</f>
        <v>3913.2142857142862</v>
      </c>
      <c r="D12" s="42">
        <f>E112</f>
        <v>1000</v>
      </c>
      <c r="E12" s="209">
        <f>G112</f>
        <v>4913.2142857142862</v>
      </c>
    </row>
    <row r="13" spans="2:5" ht="15.75" customHeight="1">
      <c r="B13" s="42" t="s">
        <v>921</v>
      </c>
      <c r="C13" s="213">
        <v>300</v>
      </c>
      <c r="D13" s="213">
        <v>0</v>
      </c>
      <c r="E13" s="42"/>
    </row>
    <row r="16" spans="2:5" ht="39">
      <c r="B16" s="101" t="s">
        <v>58</v>
      </c>
      <c r="C16" s="101" t="s">
        <v>915</v>
      </c>
      <c r="D16" s="101" t="s">
        <v>922</v>
      </c>
      <c r="E16" s="101" t="s">
        <v>923</v>
      </c>
    </row>
    <row r="17" spans="2:5" ht="15.75" customHeight="1">
      <c r="B17" s="42" t="s">
        <v>924</v>
      </c>
      <c r="C17" s="213">
        <f t="shared" ref="C17:D17" si="5">D163</f>
        <v>4677.9230769230771</v>
      </c>
      <c r="D17" s="213">
        <f t="shared" si="5"/>
        <v>2320.7142857142858</v>
      </c>
      <c r="E17" s="213">
        <f>G163</f>
        <v>6949.2857142857147</v>
      </c>
    </row>
    <row r="18" spans="2:5" ht="15.75" customHeight="1">
      <c r="B18" s="42" t="s">
        <v>925</v>
      </c>
      <c r="C18" s="213">
        <f t="shared" ref="C18:D18" si="6">D145</f>
        <v>1974.8571428571429</v>
      </c>
      <c r="D18" s="213">
        <f t="shared" si="6"/>
        <v>1995</v>
      </c>
      <c r="E18" s="213">
        <f>G145</f>
        <v>4407.5</v>
      </c>
    </row>
    <row r="19" spans="2:5" ht="15.75" customHeight="1">
      <c r="B19" s="42" t="s">
        <v>926</v>
      </c>
      <c r="C19" s="213">
        <f t="shared" ref="C19:D19" si="7">D134</f>
        <v>1425.9</v>
      </c>
      <c r="D19" s="213">
        <f t="shared" si="7"/>
        <v>1816.6666666666667</v>
      </c>
      <c r="E19" s="213">
        <f>G134</f>
        <v>3153.6</v>
      </c>
    </row>
    <row r="20" spans="2:5" ht="15.75" customHeight="1">
      <c r="B20" s="42" t="s">
        <v>927</v>
      </c>
      <c r="C20" s="213">
        <f t="shared" ref="C20:D20" si="8">D185</f>
        <v>1417.9411764705883</v>
      </c>
      <c r="D20" s="213">
        <f t="shared" si="8"/>
        <v>2175</v>
      </c>
      <c r="E20" s="213">
        <f>G185</f>
        <v>3400.3</v>
      </c>
    </row>
    <row r="21" spans="2:5" ht="15.75" customHeight="1">
      <c r="B21" s="42" t="s">
        <v>928</v>
      </c>
      <c r="C21" s="213">
        <f t="shared" ref="C21:D21" si="9">D206</f>
        <v>1418.6666666666667</v>
      </c>
      <c r="D21" s="213">
        <f t="shared" si="9"/>
        <v>2175</v>
      </c>
      <c r="E21" s="213">
        <f>G206</f>
        <v>3400.3</v>
      </c>
    </row>
    <row r="24" spans="2:5" ht="12.95">
      <c r="B24" s="338" t="s">
        <v>59</v>
      </c>
      <c r="C24" s="339" t="s">
        <v>915</v>
      </c>
      <c r="D24" s="339" t="s">
        <v>916</v>
      </c>
      <c r="E24" s="339" t="s">
        <v>215</v>
      </c>
    </row>
    <row r="25" spans="2:5" ht="15.75" customHeight="1">
      <c r="B25" s="38" t="s">
        <v>929</v>
      </c>
      <c r="C25" s="199">
        <f>D260</f>
        <v>1420</v>
      </c>
      <c r="D25" s="199">
        <f t="shared" ref="D25:D27" si="10">E25-C25</f>
        <v>1265</v>
      </c>
      <c r="E25" s="199">
        <f>F260</f>
        <v>2685</v>
      </c>
    </row>
    <row r="26" spans="2:5" ht="15.75" customHeight="1">
      <c r="B26" s="38" t="s">
        <v>930</v>
      </c>
      <c r="C26" s="199">
        <f>D244</f>
        <v>878.88888888888891</v>
      </c>
      <c r="D26" s="199">
        <f t="shared" si="10"/>
        <v>287.5</v>
      </c>
      <c r="E26" s="199">
        <f>F244</f>
        <v>1166.3888888888889</v>
      </c>
    </row>
    <row r="27" spans="2:5" ht="15.75" customHeight="1">
      <c r="B27" s="38" t="s">
        <v>37</v>
      </c>
      <c r="C27" s="199">
        <f>D227</f>
        <v>1021.5555555555555</v>
      </c>
      <c r="D27" s="199">
        <f t="shared" si="10"/>
        <v>629.6</v>
      </c>
      <c r="E27" s="199">
        <f>F227</f>
        <v>1651.1555555555556</v>
      </c>
    </row>
    <row r="30" spans="2:5" ht="12.95">
      <c r="B30" s="58" t="s">
        <v>64</v>
      </c>
      <c r="C30" s="5" t="s">
        <v>931</v>
      </c>
      <c r="D30" s="5"/>
      <c r="E30" s="5"/>
    </row>
    <row r="31" spans="2:5" ht="15.75" customHeight="1">
      <c r="B31" s="98" t="s">
        <v>260</v>
      </c>
      <c r="C31" s="83">
        <f ca="1">E323</f>
        <v>37943.172935907001</v>
      </c>
      <c r="D31" s="98"/>
      <c r="E31" s="98"/>
    </row>
    <row r="32" spans="2:5" ht="12.95">
      <c r="B32" s="98" t="s">
        <v>765</v>
      </c>
      <c r="C32" s="83">
        <f ca="1">I323</f>
        <v>56325.169844226803</v>
      </c>
      <c r="D32" s="340"/>
      <c r="E32" s="340"/>
    </row>
    <row r="37" spans="2:7" ht="15.75" customHeight="1">
      <c r="B37" s="341" t="s">
        <v>56</v>
      </c>
      <c r="C37" s="342"/>
      <c r="D37" s="342"/>
      <c r="E37" s="342"/>
      <c r="F37" s="342"/>
      <c r="G37" s="342"/>
    </row>
    <row r="39" spans="2:7" ht="15.75" customHeight="1">
      <c r="B39" s="10" t="s">
        <v>826</v>
      </c>
      <c r="C39" s="10" t="s">
        <v>932</v>
      </c>
      <c r="D39" s="10" t="s">
        <v>915</v>
      </c>
      <c r="E39" s="10" t="s">
        <v>933</v>
      </c>
      <c r="F39" s="10" t="s">
        <v>934</v>
      </c>
      <c r="G39" s="10" t="s">
        <v>935</v>
      </c>
    </row>
    <row r="40" spans="2:7" ht="15.75" customHeight="1">
      <c r="B40" s="107" t="s">
        <v>936</v>
      </c>
      <c r="C40" s="107"/>
      <c r="D40" s="107"/>
      <c r="E40" s="107"/>
      <c r="F40" s="107"/>
      <c r="G40" s="107"/>
    </row>
    <row r="41" spans="2:7" ht="12.6">
      <c r="B41" s="473" t="s">
        <v>937</v>
      </c>
      <c r="C41" s="10" t="s">
        <v>938</v>
      </c>
      <c r="D41" s="10"/>
      <c r="F41" s="10">
        <v>2005</v>
      </c>
    </row>
    <row r="42" spans="2:7" ht="12.6">
      <c r="B42" s="473" t="s">
        <v>937</v>
      </c>
      <c r="C42" s="10" t="s">
        <v>939</v>
      </c>
      <c r="F42" s="10">
        <v>1959</v>
      </c>
    </row>
    <row r="43" spans="2:7" ht="12.6">
      <c r="B43" s="473" t="s">
        <v>937</v>
      </c>
      <c r="C43" s="10" t="s">
        <v>940</v>
      </c>
      <c r="F43" s="10">
        <v>2050</v>
      </c>
    </row>
    <row r="44" spans="2:7" ht="12.6">
      <c r="B44" s="473" t="s">
        <v>937</v>
      </c>
      <c r="C44" s="10" t="s">
        <v>941</v>
      </c>
      <c r="F44" s="10">
        <v>2779</v>
      </c>
    </row>
    <row r="45" spans="2:7" ht="12.6">
      <c r="B45" s="343" t="s">
        <v>937</v>
      </c>
      <c r="C45" s="473" t="s">
        <v>942</v>
      </c>
      <c r="D45" s="10">
        <v>1338</v>
      </c>
    </row>
    <row r="46" spans="2:7" ht="12.6">
      <c r="B46" s="10" t="s">
        <v>943</v>
      </c>
      <c r="C46" s="473" t="s">
        <v>944</v>
      </c>
      <c r="D46" s="10">
        <v>1338</v>
      </c>
    </row>
    <row r="47" spans="2:7" ht="12.6">
      <c r="B47" s="10" t="s">
        <v>945</v>
      </c>
      <c r="C47" s="473" t="s">
        <v>946</v>
      </c>
      <c r="E47" s="10">
        <v>1050</v>
      </c>
    </row>
    <row r="48" spans="2:7" ht="12.6">
      <c r="B48" s="10" t="s">
        <v>947</v>
      </c>
      <c r="C48" s="473" t="s">
        <v>948</v>
      </c>
      <c r="D48" s="10">
        <v>1690</v>
      </c>
      <c r="E48" s="10"/>
    </row>
    <row r="49" spans="2:7" ht="12.6">
      <c r="B49" s="10" t="s">
        <v>949</v>
      </c>
      <c r="C49" s="473" t="s">
        <v>950</v>
      </c>
      <c r="D49" s="10">
        <v>1567.86</v>
      </c>
    </row>
    <row r="50" spans="2:7" ht="12.6">
      <c r="B50" s="10" t="s">
        <v>949</v>
      </c>
      <c r="C50" s="473" t="s">
        <v>951</v>
      </c>
      <c r="D50" s="10">
        <v>1343.84</v>
      </c>
    </row>
    <row r="51" spans="2:7" ht="12.6">
      <c r="B51" s="10" t="s">
        <v>949</v>
      </c>
      <c r="C51" s="473" t="s">
        <v>952</v>
      </c>
      <c r="D51" s="10">
        <v>1876</v>
      </c>
    </row>
    <row r="52" spans="2:7" ht="12.6">
      <c r="B52" s="10"/>
      <c r="C52" s="10"/>
      <c r="D52" s="10"/>
    </row>
    <row r="53" spans="2:7" ht="12.6">
      <c r="B53" s="10"/>
      <c r="C53" s="10"/>
      <c r="D53" s="10"/>
    </row>
    <row r="54" spans="2:7" ht="12.6">
      <c r="B54" s="96" t="s">
        <v>286</v>
      </c>
      <c r="C54" s="96"/>
      <c r="D54" s="96">
        <f>AVERAGE(D41:D50)</f>
        <v>1455.54</v>
      </c>
      <c r="E54" s="96">
        <f>AVERAGE(E41:E53)</f>
        <v>1050</v>
      </c>
      <c r="F54" s="96">
        <f>AVERAGE(F41:F49)</f>
        <v>2198.25</v>
      </c>
      <c r="G54" s="96"/>
    </row>
    <row r="55" spans="2:7" ht="12.6">
      <c r="B55" s="10"/>
    </row>
    <row r="56" spans="2:7" ht="12.6">
      <c r="B56" s="107" t="s">
        <v>953</v>
      </c>
      <c r="C56" s="107"/>
      <c r="D56" s="107"/>
      <c r="E56" s="107"/>
      <c r="F56" s="107"/>
      <c r="G56" s="107"/>
    </row>
    <row r="57" spans="2:7" ht="12.6">
      <c r="B57" s="473" t="s">
        <v>937</v>
      </c>
      <c r="C57" s="10" t="s">
        <v>954</v>
      </c>
      <c r="F57" s="10">
        <v>2879</v>
      </c>
    </row>
    <row r="58" spans="2:7" ht="12.6">
      <c r="B58" s="473" t="s">
        <v>937</v>
      </c>
      <c r="C58" s="10" t="s">
        <v>955</v>
      </c>
      <c r="F58" s="10">
        <v>2899</v>
      </c>
    </row>
    <row r="59" spans="2:7" ht="12.6">
      <c r="B59" s="473" t="s">
        <v>937</v>
      </c>
      <c r="C59" s="10" t="s">
        <v>956</v>
      </c>
      <c r="F59" s="10">
        <v>3155</v>
      </c>
    </row>
    <row r="60" spans="2:7" ht="12.6">
      <c r="B60" s="473" t="s">
        <v>937</v>
      </c>
      <c r="C60" s="10" t="s">
        <v>957</v>
      </c>
      <c r="F60" s="10">
        <v>2760</v>
      </c>
    </row>
    <row r="61" spans="2:7" ht="12.6">
      <c r="B61" s="473" t="s">
        <v>937</v>
      </c>
    </row>
    <row r="62" spans="2:7" ht="12.6">
      <c r="B62" s="10" t="s">
        <v>943</v>
      </c>
      <c r="C62" s="473" t="s">
        <v>958</v>
      </c>
      <c r="D62" s="10">
        <v>2699</v>
      </c>
    </row>
    <row r="63" spans="2:7" ht="12.6">
      <c r="B63" s="10" t="s">
        <v>945</v>
      </c>
      <c r="C63" s="473" t="s">
        <v>946</v>
      </c>
      <c r="E63" s="10">
        <v>1050</v>
      </c>
    </row>
    <row r="64" spans="2:7" ht="12.6">
      <c r="B64" s="473" t="s">
        <v>959</v>
      </c>
      <c r="D64" s="10">
        <v>2550</v>
      </c>
    </row>
    <row r="65" spans="2:7" ht="12.6">
      <c r="B65" s="473" t="s">
        <v>960</v>
      </c>
      <c r="C65" s="10" t="s">
        <v>961</v>
      </c>
      <c r="D65" s="10">
        <v>3049</v>
      </c>
    </row>
    <row r="66" spans="2:7" ht="12.6">
      <c r="B66" s="473" t="s">
        <v>962</v>
      </c>
      <c r="C66" s="10" t="s">
        <v>963</v>
      </c>
      <c r="D66" s="10">
        <v>2537.9899999999998</v>
      </c>
    </row>
    <row r="67" spans="2:7" ht="12.6">
      <c r="B67" s="473" t="s">
        <v>964</v>
      </c>
      <c r="C67" s="10" t="s">
        <v>965</v>
      </c>
      <c r="D67" s="10">
        <v>3364.95</v>
      </c>
    </row>
    <row r="68" spans="2:7" ht="12.6">
      <c r="B68" s="473" t="s">
        <v>966</v>
      </c>
      <c r="C68" s="10" t="s">
        <v>967</v>
      </c>
      <c r="D68" s="10">
        <v>1909.99</v>
      </c>
    </row>
    <row r="69" spans="2:7" ht="12.6">
      <c r="B69" s="473" t="s">
        <v>952</v>
      </c>
      <c r="C69" s="10" t="s">
        <v>968</v>
      </c>
      <c r="D69" s="10">
        <v>3045.3</v>
      </c>
    </row>
    <row r="70" spans="2:7" ht="12.6">
      <c r="B70" s="473" t="s">
        <v>969</v>
      </c>
      <c r="C70" s="10" t="s">
        <v>970</v>
      </c>
      <c r="D70" s="10">
        <v>3447.99</v>
      </c>
    </row>
    <row r="71" spans="2:7" ht="12.6">
      <c r="B71" s="473" t="s">
        <v>971</v>
      </c>
      <c r="C71" s="343" t="s">
        <v>972</v>
      </c>
      <c r="D71" s="10">
        <v>1950</v>
      </c>
    </row>
    <row r="72" spans="2:7" ht="12.6">
      <c r="B72" s="10"/>
      <c r="C72" s="10"/>
      <c r="D72" s="10"/>
    </row>
    <row r="73" spans="2:7" ht="12.6">
      <c r="B73" s="10"/>
      <c r="C73" s="10"/>
      <c r="D73" s="10"/>
    </row>
    <row r="74" spans="2:7" ht="12.6">
      <c r="B74" s="96" t="s">
        <v>286</v>
      </c>
      <c r="C74" s="96"/>
      <c r="D74" s="96">
        <f t="shared" ref="D74:E74" si="11">AVERAGE(D57:D73)</f>
        <v>2728.2466666666669</v>
      </c>
      <c r="E74" s="96">
        <f t="shared" si="11"/>
        <v>1050</v>
      </c>
      <c r="F74" s="96">
        <f>SUM(D74:E74)</f>
        <v>3778.2466666666669</v>
      </c>
      <c r="G74" s="96"/>
    </row>
    <row r="75" spans="2:7" ht="12.6"/>
    <row r="76" spans="2:7" ht="12.6">
      <c r="B76" s="4" t="s">
        <v>973</v>
      </c>
      <c r="C76" s="4" t="s">
        <v>932</v>
      </c>
      <c r="D76" s="4" t="s">
        <v>915</v>
      </c>
      <c r="E76" s="4" t="s">
        <v>933</v>
      </c>
      <c r="F76" s="4" t="s">
        <v>934</v>
      </c>
      <c r="G76" s="4" t="s">
        <v>935</v>
      </c>
    </row>
    <row r="77" spans="2:7" ht="12.6">
      <c r="B77" s="10" t="s">
        <v>974</v>
      </c>
      <c r="C77" s="473" t="s">
        <v>975</v>
      </c>
      <c r="D77" s="10">
        <v>3025</v>
      </c>
    </row>
    <row r="78" spans="2:7" ht="12.6">
      <c r="B78" s="10" t="s">
        <v>974</v>
      </c>
      <c r="C78" s="473" t="s">
        <v>976</v>
      </c>
      <c r="D78" s="10">
        <v>3825</v>
      </c>
    </row>
    <row r="79" spans="2:7" ht="12.6">
      <c r="B79" s="10" t="s">
        <v>943</v>
      </c>
      <c r="C79" s="473" t="s">
        <v>977</v>
      </c>
      <c r="D79" s="10">
        <v>2913</v>
      </c>
    </row>
    <row r="80" spans="2:7" ht="12.6">
      <c r="B80" s="10" t="s">
        <v>945</v>
      </c>
      <c r="C80" s="473" t="s">
        <v>978</v>
      </c>
      <c r="D80" s="10">
        <v>2686</v>
      </c>
      <c r="E80" s="10">
        <v>1250</v>
      </c>
    </row>
    <row r="81" spans="2:8" ht="12.6">
      <c r="B81" s="473" t="s">
        <v>979</v>
      </c>
      <c r="C81" s="10" t="s">
        <v>980</v>
      </c>
      <c r="D81" s="10">
        <v>3022.02</v>
      </c>
    </row>
    <row r="82" spans="2:8" ht="12.6">
      <c r="B82" s="473" t="s">
        <v>981</v>
      </c>
      <c r="C82" s="10" t="s">
        <v>982</v>
      </c>
      <c r="D82" s="10">
        <v>3927.17</v>
      </c>
    </row>
    <row r="83" spans="2:8" ht="12.6"/>
    <row r="84" spans="2:8" ht="12.6"/>
    <row r="85" spans="2:8" ht="12.6"/>
    <row r="86" spans="2:8" ht="12.6">
      <c r="B86" s="42" t="s">
        <v>286</v>
      </c>
      <c r="C86" s="42"/>
      <c r="D86" s="42">
        <f>AVERAGE(D77:D85)</f>
        <v>3233.0316666666672</v>
      </c>
      <c r="E86" s="42">
        <f>AVERAGE(E77:E80)</f>
        <v>1250</v>
      </c>
      <c r="F86" s="42">
        <f>SUM(D86:E86)</f>
        <v>4483.0316666666677</v>
      </c>
      <c r="G86" s="42"/>
      <c r="H86" s="42"/>
    </row>
    <row r="87" spans="2:8" ht="12.6"/>
    <row r="88" spans="2:8" ht="12.6">
      <c r="B88" s="5" t="s">
        <v>983</v>
      </c>
      <c r="C88" s="5" t="s">
        <v>932</v>
      </c>
      <c r="D88" s="5" t="s">
        <v>915</v>
      </c>
      <c r="E88" s="5" t="s">
        <v>933</v>
      </c>
      <c r="F88" s="5" t="s">
        <v>934</v>
      </c>
      <c r="G88" s="5" t="s">
        <v>935</v>
      </c>
      <c r="H88" s="5"/>
    </row>
    <row r="89" spans="2:8" ht="12.6">
      <c r="B89" s="10" t="s">
        <v>974</v>
      </c>
      <c r="C89" s="473" t="s">
        <v>975</v>
      </c>
      <c r="D89" s="10">
        <v>3025</v>
      </c>
    </row>
    <row r="90" spans="2:8" ht="12.6">
      <c r="B90" s="10" t="s">
        <v>974</v>
      </c>
      <c r="C90" s="473" t="s">
        <v>976</v>
      </c>
      <c r="D90" s="10">
        <v>3825</v>
      </c>
    </row>
    <row r="91" spans="2:8" ht="12.6">
      <c r="B91" s="10" t="s">
        <v>945</v>
      </c>
      <c r="C91" s="473" t="s">
        <v>978</v>
      </c>
      <c r="D91" s="10">
        <v>2686</v>
      </c>
      <c r="E91" s="10">
        <v>1250</v>
      </c>
    </row>
    <row r="92" spans="2:8" ht="12.6">
      <c r="B92" s="473" t="s">
        <v>984</v>
      </c>
      <c r="C92" s="10" t="s">
        <v>985</v>
      </c>
      <c r="D92" s="10">
        <v>3103.65</v>
      </c>
      <c r="E92" s="10"/>
    </row>
    <row r="93" spans="2:8" ht="12.6">
      <c r="B93" s="473" t="s">
        <v>986</v>
      </c>
      <c r="C93" s="10" t="s">
        <v>987</v>
      </c>
      <c r="D93" s="10">
        <v>3927.17</v>
      </c>
      <c r="E93" s="10"/>
      <c r="H93" s="10">
        <v>2900</v>
      </c>
    </row>
    <row r="94" spans="2:8" ht="12.6">
      <c r="B94" s="10"/>
      <c r="C94" s="10"/>
      <c r="D94" s="10"/>
      <c r="E94" s="10"/>
    </row>
    <row r="95" spans="2:8" ht="12.6">
      <c r="B95" s="10"/>
      <c r="C95" s="10"/>
      <c r="D95" s="10"/>
      <c r="E95" s="10"/>
    </row>
    <row r="96" spans="2:8" ht="12.6">
      <c r="B96" s="98" t="s">
        <v>286</v>
      </c>
      <c r="C96" s="98"/>
      <c r="D96" s="75">
        <f t="shared" ref="D96:E96" si="12">AVERAGE(D89:D95)</f>
        <v>3313.364</v>
      </c>
      <c r="E96" s="75">
        <f t="shared" si="12"/>
        <v>1250</v>
      </c>
      <c r="F96" s="75">
        <f>SUM(D96:E96)</f>
        <v>4563.3639999999996</v>
      </c>
      <c r="G96" s="98"/>
      <c r="H96" s="98"/>
    </row>
    <row r="99" spans="2:7" ht="12.6">
      <c r="B99" s="6" t="s">
        <v>104</v>
      </c>
      <c r="C99" s="6"/>
      <c r="D99" s="6" t="s">
        <v>988</v>
      </c>
      <c r="E99" s="6" t="s">
        <v>916</v>
      </c>
      <c r="F99" s="6" t="s">
        <v>989</v>
      </c>
      <c r="G99" s="6" t="s">
        <v>990</v>
      </c>
    </row>
    <row r="100" spans="2:7" ht="12.6">
      <c r="B100" s="486" t="s">
        <v>991</v>
      </c>
      <c r="C100" s="344" t="s">
        <v>992</v>
      </c>
      <c r="D100" s="344">
        <v>2299</v>
      </c>
      <c r="E100" s="344"/>
      <c r="F100" s="344"/>
      <c r="G100" s="344"/>
    </row>
    <row r="101" spans="2:7" ht="12.6">
      <c r="B101" s="486" t="s">
        <v>993</v>
      </c>
      <c r="C101" s="344" t="s">
        <v>994</v>
      </c>
      <c r="D101" s="344">
        <v>3498</v>
      </c>
      <c r="E101" s="344"/>
      <c r="F101" s="344"/>
      <c r="G101" s="344"/>
    </row>
    <row r="102" spans="2:7" ht="12.6">
      <c r="B102" s="486" t="s">
        <v>995</v>
      </c>
      <c r="C102" s="344" t="s">
        <v>994</v>
      </c>
      <c r="D102" s="344">
        <v>3359</v>
      </c>
      <c r="E102" s="344"/>
      <c r="F102" s="344"/>
      <c r="G102" s="344"/>
    </row>
    <row r="103" spans="2:7" ht="12.6">
      <c r="B103" s="486" t="s">
        <v>996</v>
      </c>
      <c r="C103" s="344" t="s">
        <v>997</v>
      </c>
      <c r="D103" s="344">
        <v>3049</v>
      </c>
      <c r="E103" s="344"/>
      <c r="F103" s="344"/>
      <c r="G103" s="344"/>
    </row>
    <row r="104" spans="2:7" ht="12.6">
      <c r="B104" s="344" t="s">
        <v>998</v>
      </c>
      <c r="C104" s="344"/>
      <c r="D104" s="344"/>
      <c r="E104" s="344">
        <v>1000</v>
      </c>
      <c r="F104" s="344"/>
      <c r="G104" s="344"/>
    </row>
    <row r="105" spans="2:7" ht="12.6">
      <c r="B105" s="486" t="s">
        <v>999</v>
      </c>
      <c r="C105" s="344" t="s">
        <v>1000</v>
      </c>
      <c r="D105" s="344">
        <v>2899</v>
      </c>
      <c r="E105" s="344"/>
      <c r="F105" s="344"/>
      <c r="G105" s="344"/>
    </row>
    <row r="106" spans="2:7" ht="12.6">
      <c r="B106" s="486" t="s">
        <v>1001</v>
      </c>
      <c r="C106" s="344"/>
      <c r="D106" s="344">
        <v>2899</v>
      </c>
      <c r="E106" s="344"/>
      <c r="F106" s="344"/>
      <c r="G106" s="344"/>
    </row>
    <row r="107" spans="2:7" ht="12.6">
      <c r="B107" s="486" t="s">
        <v>1002</v>
      </c>
      <c r="C107" s="344" t="s">
        <v>1003</v>
      </c>
      <c r="D107" s="344">
        <v>2099</v>
      </c>
      <c r="E107" s="344"/>
      <c r="F107" s="344"/>
      <c r="G107" s="344"/>
    </row>
    <row r="108" spans="2:7" ht="12.6">
      <c r="B108" s="486" t="s">
        <v>1004</v>
      </c>
      <c r="C108" s="344" t="s">
        <v>1005</v>
      </c>
      <c r="D108" s="344"/>
      <c r="E108" s="344"/>
      <c r="F108" s="344">
        <v>999</v>
      </c>
      <c r="G108" s="344"/>
    </row>
    <row r="109" spans="2:7" ht="12.6">
      <c r="B109" s="486" t="s">
        <v>1006</v>
      </c>
      <c r="C109" s="344" t="s">
        <v>1005</v>
      </c>
      <c r="D109" s="344"/>
      <c r="E109" s="344"/>
      <c r="F109" s="344">
        <v>799</v>
      </c>
      <c r="G109" s="344"/>
    </row>
    <row r="110" spans="2:7" ht="12.6">
      <c r="B110" s="486" t="s">
        <v>1007</v>
      </c>
      <c r="C110" s="344" t="s">
        <v>1005</v>
      </c>
      <c r="D110" s="344"/>
      <c r="E110" s="344"/>
      <c r="F110" s="344">
        <v>1149</v>
      </c>
      <c r="G110" s="344"/>
    </row>
    <row r="111" spans="2:7" ht="12.6">
      <c r="B111" s="486" t="s">
        <v>1008</v>
      </c>
      <c r="C111" s="344" t="s">
        <v>1005</v>
      </c>
      <c r="D111" s="344"/>
      <c r="E111" s="344"/>
      <c r="F111" s="344">
        <v>1219</v>
      </c>
      <c r="G111" s="344"/>
    </row>
    <row r="112" spans="2:7" ht="12.6">
      <c r="B112" s="102"/>
      <c r="C112" s="102"/>
      <c r="D112" s="102">
        <f t="shared" ref="D112:E112" si="13">AVERAGE(D100:D107)</f>
        <v>2871.7142857142858</v>
      </c>
      <c r="E112" s="102">
        <f t="shared" si="13"/>
        <v>1000</v>
      </c>
      <c r="F112" s="102">
        <f>AVERAGE(F100:F111)</f>
        <v>1041.5</v>
      </c>
      <c r="G112" s="105">
        <f>SUM(D112:F112)</f>
        <v>4913.2142857142862</v>
      </c>
    </row>
    <row r="117" spans="2:9" ht="24">
      <c r="B117" s="345" t="s">
        <v>58</v>
      </c>
      <c r="C117" s="346"/>
      <c r="D117" s="346"/>
      <c r="E117" s="346"/>
      <c r="F117" s="346"/>
      <c r="G117" s="346"/>
      <c r="H117" s="346"/>
      <c r="I117" s="346"/>
    </row>
    <row r="118" spans="2:9" ht="12.6"/>
    <row r="119" spans="2:9" ht="38.1">
      <c r="B119" s="62" t="s">
        <v>1009</v>
      </c>
      <c r="C119" s="62" t="s">
        <v>932</v>
      </c>
      <c r="D119" s="347" t="s">
        <v>915</v>
      </c>
      <c r="E119" s="347" t="s">
        <v>1010</v>
      </c>
      <c r="F119" s="347" t="s">
        <v>1011</v>
      </c>
      <c r="G119" s="347" t="s">
        <v>1012</v>
      </c>
      <c r="H119" s="347" t="s">
        <v>1013</v>
      </c>
      <c r="I119" s="347" t="s">
        <v>935</v>
      </c>
    </row>
    <row r="120" spans="2:9" ht="12.95">
      <c r="B120" s="54" t="s">
        <v>1014</v>
      </c>
      <c r="C120" s="9"/>
      <c r="D120" s="9"/>
      <c r="E120" s="9"/>
      <c r="F120" s="9"/>
      <c r="G120" s="9"/>
      <c r="H120" s="9"/>
      <c r="I120" s="348"/>
    </row>
    <row r="121" spans="2:9" ht="12.6">
      <c r="B121" s="10" t="s">
        <v>1015</v>
      </c>
      <c r="C121" s="473" t="s">
        <v>1016</v>
      </c>
      <c r="D121" s="10">
        <v>1025</v>
      </c>
      <c r="E121" s="10">
        <f t="shared" ref="E121:E123" si="14">G121-D121</f>
        <v>2150</v>
      </c>
      <c r="F121" s="10">
        <f t="shared" ref="F121:F123" si="15">H121-D121</f>
        <v>1850</v>
      </c>
      <c r="G121" s="10">
        <v>3175</v>
      </c>
      <c r="H121" s="10">
        <v>2875</v>
      </c>
      <c r="I121" s="349">
        <v>45227</v>
      </c>
    </row>
    <row r="122" spans="2:9" ht="12.6">
      <c r="B122" s="10" t="s">
        <v>1015</v>
      </c>
      <c r="C122" s="473" t="s">
        <v>1017</v>
      </c>
      <c r="D122" s="10">
        <v>995</v>
      </c>
      <c r="E122" s="10">
        <f t="shared" si="14"/>
        <v>1750</v>
      </c>
      <c r="F122" s="10">
        <f t="shared" si="15"/>
        <v>1550</v>
      </c>
      <c r="G122" s="10">
        <v>2745</v>
      </c>
      <c r="H122" s="10">
        <v>2545</v>
      </c>
      <c r="I122" s="349">
        <v>45227</v>
      </c>
    </row>
    <row r="123" spans="2:9" ht="12.6">
      <c r="B123" s="10" t="s">
        <v>1015</v>
      </c>
      <c r="C123" s="473" t="s">
        <v>1018</v>
      </c>
      <c r="D123" s="10">
        <v>2300</v>
      </c>
      <c r="E123" s="10">
        <f t="shared" si="14"/>
        <v>1550</v>
      </c>
      <c r="F123" s="10">
        <f t="shared" si="15"/>
        <v>1550</v>
      </c>
      <c r="G123" s="10">
        <v>3850</v>
      </c>
      <c r="H123" s="10">
        <v>3850</v>
      </c>
      <c r="I123" s="349">
        <v>45227</v>
      </c>
    </row>
    <row r="124" spans="2:9" ht="12.6">
      <c r="B124" s="10" t="s">
        <v>1019</v>
      </c>
      <c r="C124" s="473" t="s">
        <v>1020</v>
      </c>
      <c r="D124" s="10"/>
      <c r="E124" s="10"/>
      <c r="G124" s="10">
        <v>2899</v>
      </c>
      <c r="H124" s="10">
        <v>2699</v>
      </c>
      <c r="I124" s="349"/>
    </row>
    <row r="125" spans="2:9" ht="12.6">
      <c r="B125" s="10" t="s">
        <v>1019</v>
      </c>
      <c r="C125" s="473" t="s">
        <v>1021</v>
      </c>
      <c r="D125" s="10"/>
      <c r="E125" s="10"/>
      <c r="G125" s="10">
        <v>3099</v>
      </c>
      <c r="H125" s="10">
        <v>2899</v>
      </c>
      <c r="I125" s="349"/>
    </row>
    <row r="126" spans="2:9" ht="12.6">
      <c r="B126" s="10" t="s">
        <v>937</v>
      </c>
      <c r="C126" s="473" t="s">
        <v>1022</v>
      </c>
      <c r="D126" s="10">
        <v>1520</v>
      </c>
      <c r="E126" s="10"/>
      <c r="G126" s="10"/>
      <c r="H126" s="10"/>
      <c r="I126" s="349"/>
    </row>
    <row r="127" spans="2:9" ht="12.6">
      <c r="B127" s="10" t="s">
        <v>943</v>
      </c>
      <c r="C127" s="473" t="s">
        <v>1023</v>
      </c>
      <c r="D127" s="10">
        <v>1384</v>
      </c>
      <c r="E127" s="10"/>
      <c r="G127" s="10"/>
      <c r="H127" s="10"/>
      <c r="I127" s="349"/>
    </row>
    <row r="128" spans="2:9" ht="12.6">
      <c r="B128" s="10" t="s">
        <v>1024</v>
      </c>
      <c r="C128" s="473" t="s">
        <v>1025</v>
      </c>
      <c r="D128" s="10">
        <v>1345</v>
      </c>
      <c r="E128" s="10"/>
      <c r="G128" s="10"/>
      <c r="H128" s="10"/>
      <c r="I128" s="349"/>
    </row>
    <row r="129" spans="2:9" ht="12.6">
      <c r="B129" s="10" t="s">
        <v>1024</v>
      </c>
      <c r="C129" s="473" t="s">
        <v>1026</v>
      </c>
      <c r="D129" s="10">
        <v>1395</v>
      </c>
      <c r="E129" s="10"/>
      <c r="G129" s="10"/>
      <c r="H129" s="10"/>
      <c r="I129" s="349"/>
    </row>
    <row r="130" spans="2:9" ht="12.6">
      <c r="B130" s="10" t="s">
        <v>974</v>
      </c>
      <c r="C130" s="473" t="s">
        <v>1027</v>
      </c>
      <c r="D130" s="10">
        <v>1600</v>
      </c>
      <c r="E130" s="10"/>
      <c r="G130" s="10"/>
      <c r="H130" s="10"/>
      <c r="I130" s="349"/>
    </row>
    <row r="131" spans="2:9" ht="12.6">
      <c r="B131" s="10" t="s">
        <v>974</v>
      </c>
      <c r="C131" s="473" t="s">
        <v>1028</v>
      </c>
      <c r="D131" s="10">
        <v>1339</v>
      </c>
      <c r="E131" s="10"/>
      <c r="G131" s="10"/>
      <c r="H131" s="10"/>
      <c r="I131" s="349"/>
    </row>
    <row r="132" spans="2:9" ht="12.6">
      <c r="B132" s="10" t="s">
        <v>974</v>
      </c>
      <c r="C132" s="473" t="s">
        <v>1029</v>
      </c>
      <c r="D132" s="10">
        <v>1356</v>
      </c>
      <c r="E132" s="10"/>
      <c r="G132" s="10"/>
      <c r="H132" s="10"/>
      <c r="I132" s="349"/>
    </row>
    <row r="133" spans="2:9" ht="12.6">
      <c r="B133" s="10"/>
      <c r="C133" s="10"/>
      <c r="D133" s="10"/>
      <c r="E133" s="10"/>
      <c r="G133" s="10"/>
      <c r="H133" s="10"/>
      <c r="I133" s="349"/>
    </row>
    <row r="134" spans="2:9" ht="12.6">
      <c r="B134" s="51" t="s">
        <v>1030</v>
      </c>
      <c r="C134" s="51"/>
      <c r="D134" s="51">
        <f>AVERAGE(D121:D133)</f>
        <v>1425.9</v>
      </c>
      <c r="E134" s="51">
        <f t="shared" ref="E134:H134" si="16">AVERAGE(E121:E125)</f>
        <v>1816.6666666666667</v>
      </c>
      <c r="F134" s="51">
        <f t="shared" si="16"/>
        <v>1650</v>
      </c>
      <c r="G134" s="51">
        <f t="shared" si="16"/>
        <v>3153.6</v>
      </c>
      <c r="H134" s="51">
        <f t="shared" si="16"/>
        <v>2973.6</v>
      </c>
      <c r="I134" s="350"/>
    </row>
    <row r="135" spans="2:9" ht="12.6">
      <c r="B135" s="10"/>
      <c r="C135" s="10"/>
      <c r="D135" s="10"/>
      <c r="E135" s="10"/>
      <c r="G135" s="10"/>
      <c r="I135" s="349"/>
    </row>
    <row r="136" spans="2:9" ht="12.95">
      <c r="B136" s="54" t="s">
        <v>1031</v>
      </c>
      <c r="C136" s="9"/>
      <c r="D136" s="9"/>
      <c r="E136" s="9"/>
      <c r="F136" s="9"/>
      <c r="G136" s="9"/>
      <c r="H136" s="9"/>
      <c r="I136" s="348"/>
    </row>
    <row r="137" spans="2:9" ht="12.6">
      <c r="B137" s="10" t="s">
        <v>1015</v>
      </c>
      <c r="C137" s="473" t="s">
        <v>1032</v>
      </c>
      <c r="D137" s="10">
        <v>1475</v>
      </c>
      <c r="E137" s="10">
        <f t="shared" ref="E137:E138" si="17">G137-D137</f>
        <v>1750</v>
      </c>
      <c r="F137" s="10">
        <f t="shared" ref="F137:F138" si="18">H137-D137</f>
        <v>2100</v>
      </c>
      <c r="G137" s="10">
        <v>3225</v>
      </c>
      <c r="H137" s="10">
        <v>3575</v>
      </c>
      <c r="I137" s="349">
        <v>45227</v>
      </c>
    </row>
    <row r="138" spans="2:9" ht="12.6">
      <c r="B138" s="10" t="s">
        <v>1015</v>
      </c>
      <c r="C138" s="473" t="s">
        <v>1033</v>
      </c>
      <c r="D138" s="10">
        <v>2755</v>
      </c>
      <c r="E138" s="10">
        <f t="shared" si="17"/>
        <v>2240</v>
      </c>
      <c r="F138" s="10">
        <f t="shared" si="18"/>
        <v>2045</v>
      </c>
      <c r="G138" s="10">
        <v>4995</v>
      </c>
      <c r="H138" s="10">
        <v>4800</v>
      </c>
      <c r="I138" s="349">
        <v>45227</v>
      </c>
    </row>
    <row r="139" spans="2:9" ht="12.6">
      <c r="B139" s="10" t="s">
        <v>1034</v>
      </c>
      <c r="C139" s="10" t="s">
        <v>1035</v>
      </c>
      <c r="G139" s="10">
        <v>5002.5</v>
      </c>
    </row>
    <row r="140" spans="2:9" ht="12.6">
      <c r="B140" s="10" t="s">
        <v>1024</v>
      </c>
      <c r="C140" s="473" t="s">
        <v>1036</v>
      </c>
      <c r="D140" s="10">
        <v>1815</v>
      </c>
      <c r="G140" s="10"/>
    </row>
    <row r="141" spans="2:9" ht="12.6">
      <c r="B141" s="10" t="s">
        <v>1024</v>
      </c>
      <c r="C141" s="473" t="s">
        <v>1037</v>
      </c>
      <c r="D141" s="10">
        <v>1875</v>
      </c>
      <c r="G141" s="10"/>
    </row>
    <row r="142" spans="2:9" ht="12.6">
      <c r="B142" s="10" t="s">
        <v>974</v>
      </c>
      <c r="C142" s="473" t="s">
        <v>1038</v>
      </c>
      <c r="D142" s="10">
        <v>2076</v>
      </c>
      <c r="G142" s="10"/>
    </row>
    <row r="143" spans="2:9" ht="12.6">
      <c r="B143" s="10" t="s">
        <v>974</v>
      </c>
      <c r="C143" s="473" t="s">
        <v>1039</v>
      </c>
      <c r="D143" s="10">
        <v>1942</v>
      </c>
      <c r="G143" s="10"/>
    </row>
    <row r="144" spans="2:9" ht="12.6">
      <c r="B144" s="10" t="s">
        <v>974</v>
      </c>
      <c r="C144" s="473" t="s">
        <v>1040</v>
      </c>
      <c r="D144" s="10">
        <v>1886</v>
      </c>
      <c r="G144" s="10"/>
    </row>
    <row r="145" spans="2:9" ht="12.6">
      <c r="B145" s="47" t="s">
        <v>1041</v>
      </c>
      <c r="C145" s="47"/>
      <c r="D145" s="47">
        <f>AVERAGE(D137:D144)</f>
        <v>1974.8571428571429</v>
      </c>
      <c r="E145" s="47">
        <f t="shared" ref="E145:H145" si="19">AVERAGE(E137:E139)</f>
        <v>1995</v>
      </c>
      <c r="F145" s="47">
        <f t="shared" si="19"/>
        <v>2072.5</v>
      </c>
      <c r="G145" s="47">
        <f t="shared" si="19"/>
        <v>4407.5</v>
      </c>
      <c r="H145" s="47">
        <f t="shared" si="19"/>
        <v>4187.5</v>
      </c>
      <c r="I145" s="47"/>
    </row>
    <row r="146" spans="2:9" ht="12.6"/>
    <row r="147" spans="2:9" ht="12.95">
      <c r="B147" s="57" t="s">
        <v>1042</v>
      </c>
      <c r="C147" s="51"/>
      <c r="D147" s="200">
        <f t="shared" ref="D147:H147" si="20">AVERAGE(D145,D134)</f>
        <v>1700.3785714285714</v>
      </c>
      <c r="E147" s="200">
        <f t="shared" si="20"/>
        <v>1905.8333333333335</v>
      </c>
      <c r="F147" s="200">
        <f t="shared" si="20"/>
        <v>1861.25</v>
      </c>
      <c r="G147" s="200">
        <f t="shared" si="20"/>
        <v>3780.55</v>
      </c>
      <c r="H147" s="200">
        <f t="shared" si="20"/>
        <v>3580.55</v>
      </c>
      <c r="I147" s="51"/>
    </row>
    <row r="148" spans="2:9" ht="12.6"/>
    <row r="149" spans="2:9" ht="38.1">
      <c r="B149" s="351" t="s">
        <v>106</v>
      </c>
      <c r="C149" s="352" t="s">
        <v>932</v>
      </c>
      <c r="D149" s="351" t="s">
        <v>915</v>
      </c>
      <c r="E149" s="351" t="s">
        <v>1010</v>
      </c>
      <c r="F149" s="351" t="s">
        <v>1011</v>
      </c>
      <c r="G149" s="351" t="s">
        <v>1012</v>
      </c>
      <c r="H149" s="351" t="s">
        <v>1013</v>
      </c>
      <c r="I149" s="351" t="s">
        <v>935</v>
      </c>
    </row>
    <row r="150" spans="2:9" ht="12.6">
      <c r="B150" s="10" t="s">
        <v>1015</v>
      </c>
      <c r="C150" s="473" t="s">
        <v>1043</v>
      </c>
      <c r="D150" s="10">
        <v>3650</v>
      </c>
      <c r="E150" s="10">
        <f t="shared" ref="E150:E156" si="21">G150-D150</f>
        <v>2300</v>
      </c>
      <c r="F150" s="10">
        <f t="shared" ref="F150:F156" si="22">H150-D150</f>
        <v>2150</v>
      </c>
      <c r="G150" s="10">
        <v>5950</v>
      </c>
      <c r="H150" s="10">
        <v>5800</v>
      </c>
      <c r="I150" s="349">
        <v>45227</v>
      </c>
    </row>
    <row r="151" spans="2:9" ht="12.6">
      <c r="B151" s="10" t="s">
        <v>1015</v>
      </c>
      <c r="C151" s="473" t="s">
        <v>1044</v>
      </c>
      <c r="D151" s="10">
        <v>4100</v>
      </c>
      <c r="E151" s="10">
        <f t="shared" si="21"/>
        <v>2300</v>
      </c>
      <c r="F151" s="10">
        <f t="shared" si="22"/>
        <v>2100</v>
      </c>
      <c r="G151" s="10">
        <v>6400</v>
      </c>
      <c r="H151" s="10">
        <v>6200</v>
      </c>
      <c r="I151" s="349">
        <v>45227</v>
      </c>
    </row>
    <row r="152" spans="2:9" ht="12.6">
      <c r="B152" s="10" t="s">
        <v>1015</v>
      </c>
      <c r="C152" s="473" t="s">
        <v>1045</v>
      </c>
      <c r="D152" s="10">
        <v>6750</v>
      </c>
      <c r="E152" s="10">
        <f t="shared" si="21"/>
        <v>2445</v>
      </c>
      <c r="F152" s="10">
        <f t="shared" si="22"/>
        <v>2100</v>
      </c>
      <c r="G152" s="10">
        <v>9195</v>
      </c>
      <c r="H152" s="10">
        <v>8850</v>
      </c>
      <c r="I152" s="349">
        <v>45227</v>
      </c>
    </row>
    <row r="153" spans="2:9" ht="12.6">
      <c r="B153" s="10" t="s">
        <v>1015</v>
      </c>
      <c r="C153" s="473" t="s">
        <v>1046</v>
      </c>
      <c r="D153" s="10">
        <v>4650</v>
      </c>
      <c r="E153" s="10">
        <f t="shared" si="21"/>
        <v>2300</v>
      </c>
      <c r="F153" s="10">
        <f t="shared" si="22"/>
        <v>2150</v>
      </c>
      <c r="G153" s="10">
        <v>6950</v>
      </c>
      <c r="H153" s="10">
        <v>6800</v>
      </c>
      <c r="I153" s="349">
        <v>45227</v>
      </c>
    </row>
    <row r="154" spans="2:9" ht="12.6">
      <c r="B154" s="10" t="s">
        <v>1015</v>
      </c>
      <c r="C154" s="473" t="s">
        <v>1047</v>
      </c>
      <c r="D154" s="10">
        <v>4750</v>
      </c>
      <c r="E154" s="10">
        <f t="shared" si="21"/>
        <v>2300</v>
      </c>
      <c r="F154" s="10">
        <f t="shared" si="22"/>
        <v>2150</v>
      </c>
      <c r="G154" s="10">
        <v>7050</v>
      </c>
      <c r="H154" s="10">
        <v>6900</v>
      </c>
      <c r="I154" s="349">
        <v>45227</v>
      </c>
    </row>
    <row r="155" spans="2:9" ht="12.6">
      <c r="B155" s="10" t="s">
        <v>1015</v>
      </c>
      <c r="C155" s="473" t="s">
        <v>1048</v>
      </c>
      <c r="D155" s="10">
        <v>3750</v>
      </c>
      <c r="E155" s="10">
        <f t="shared" si="21"/>
        <v>2300</v>
      </c>
      <c r="F155" s="10">
        <f t="shared" si="22"/>
        <v>2150</v>
      </c>
      <c r="G155" s="10">
        <v>6050</v>
      </c>
      <c r="H155" s="10">
        <v>5900</v>
      </c>
      <c r="I155" s="349">
        <v>45227</v>
      </c>
    </row>
    <row r="156" spans="2:9" ht="12.6">
      <c r="B156" s="10" t="s">
        <v>1015</v>
      </c>
      <c r="C156" s="473" t="s">
        <v>1049</v>
      </c>
      <c r="D156" s="10">
        <v>4750</v>
      </c>
      <c r="E156" s="10">
        <f t="shared" si="21"/>
        <v>2300</v>
      </c>
      <c r="F156" s="10">
        <f t="shared" si="22"/>
        <v>2150</v>
      </c>
      <c r="G156" s="10">
        <v>7050</v>
      </c>
      <c r="H156" s="10">
        <v>6900</v>
      </c>
      <c r="I156" s="349">
        <v>45227</v>
      </c>
    </row>
    <row r="157" spans="2:9" ht="12.6">
      <c r="B157" s="343" t="s">
        <v>1024</v>
      </c>
      <c r="C157" s="473" t="s">
        <v>1050</v>
      </c>
      <c r="D157" s="10">
        <v>4695</v>
      </c>
      <c r="G157" s="332"/>
      <c r="H157" s="10"/>
      <c r="I157" s="349"/>
    </row>
    <row r="158" spans="2:9" ht="12.6">
      <c r="B158" s="343" t="s">
        <v>1024</v>
      </c>
      <c r="C158" s="473" t="s">
        <v>1051</v>
      </c>
      <c r="D158" s="10">
        <v>3530</v>
      </c>
      <c r="G158" s="332"/>
      <c r="H158" s="10"/>
      <c r="I158" s="349"/>
    </row>
    <row r="159" spans="2:9" ht="12.6">
      <c r="B159" s="343" t="s">
        <v>1024</v>
      </c>
      <c r="C159" s="473" t="s">
        <v>1052</v>
      </c>
      <c r="D159" s="10">
        <v>4795</v>
      </c>
      <c r="G159" s="332"/>
      <c r="H159" s="10"/>
      <c r="I159" s="349"/>
    </row>
    <row r="160" spans="2:9" ht="12.6">
      <c r="B160" s="343" t="s">
        <v>1024</v>
      </c>
      <c r="C160" s="473" t="s">
        <v>1053</v>
      </c>
      <c r="D160" s="10">
        <v>5615</v>
      </c>
      <c r="G160" s="332"/>
      <c r="H160" s="10"/>
      <c r="I160" s="349"/>
    </row>
    <row r="161" spans="2:9" ht="12.6">
      <c r="B161" s="343" t="s">
        <v>974</v>
      </c>
      <c r="C161" s="473" t="s">
        <v>1054</v>
      </c>
      <c r="D161" s="10">
        <v>3279</v>
      </c>
      <c r="G161" s="332"/>
      <c r="H161" s="10"/>
      <c r="I161" s="349"/>
    </row>
    <row r="162" spans="2:9" ht="12.6">
      <c r="B162" s="343" t="s">
        <v>949</v>
      </c>
      <c r="C162" s="473" t="s">
        <v>1055</v>
      </c>
      <c r="D162" s="10">
        <v>6499</v>
      </c>
      <c r="G162" s="332"/>
      <c r="H162" s="10"/>
      <c r="I162" s="349"/>
    </row>
    <row r="163" spans="2:9" ht="12.6">
      <c r="B163" s="51" t="s">
        <v>286</v>
      </c>
      <c r="C163" s="51"/>
      <c r="D163" s="200">
        <f>AVERAGE(D150:D162)</f>
        <v>4677.9230769230771</v>
      </c>
      <c r="E163" s="200">
        <f t="shared" ref="E163:H163" si="23">AVERAGE(E150:E156)</f>
        <v>2320.7142857142858</v>
      </c>
      <c r="F163" s="200">
        <f t="shared" si="23"/>
        <v>2135.7142857142858</v>
      </c>
      <c r="G163" s="200">
        <f t="shared" si="23"/>
        <v>6949.2857142857147</v>
      </c>
      <c r="H163" s="200">
        <f t="shared" si="23"/>
        <v>6764.2857142857147</v>
      </c>
      <c r="I163" s="350"/>
    </row>
    <row r="164" spans="2:9" ht="12.6">
      <c r="I164" s="349"/>
    </row>
    <row r="165" spans="2:9" ht="50.1">
      <c r="B165" s="4" t="s">
        <v>1056</v>
      </c>
      <c r="C165" s="20"/>
      <c r="D165" s="20" t="s">
        <v>915</v>
      </c>
      <c r="E165" s="20" t="s">
        <v>1057</v>
      </c>
      <c r="F165" s="20" t="s">
        <v>1011</v>
      </c>
      <c r="G165" s="20" t="s">
        <v>1058</v>
      </c>
      <c r="H165" s="20" t="s">
        <v>1013</v>
      </c>
      <c r="I165" s="20" t="s">
        <v>935</v>
      </c>
    </row>
    <row r="166" spans="2:9" ht="12.6">
      <c r="B166" s="10" t="s">
        <v>1015</v>
      </c>
      <c r="C166" s="473" t="s">
        <v>1059</v>
      </c>
      <c r="D166" s="10">
        <v>1120</v>
      </c>
      <c r="E166" s="10">
        <f t="shared" ref="E166:E173" si="24">G166-D166</f>
        <v>2150</v>
      </c>
      <c r="F166" s="10">
        <f t="shared" ref="F166:F173" si="25">H166-D166</f>
        <v>775</v>
      </c>
      <c r="G166" s="10">
        <v>3270</v>
      </c>
      <c r="H166" s="10">
        <v>1895</v>
      </c>
      <c r="I166" s="349">
        <v>45227</v>
      </c>
    </row>
    <row r="167" spans="2:9" ht="12.6">
      <c r="B167" s="10" t="s">
        <v>1015</v>
      </c>
      <c r="C167" s="473" t="s">
        <v>1060</v>
      </c>
      <c r="D167" s="10">
        <v>1100</v>
      </c>
      <c r="E167" s="10">
        <f t="shared" si="24"/>
        <v>2150</v>
      </c>
      <c r="F167" s="10">
        <f t="shared" si="25"/>
        <v>775</v>
      </c>
      <c r="G167" s="10">
        <v>3250</v>
      </c>
      <c r="H167" s="10">
        <v>1875</v>
      </c>
      <c r="I167" s="349">
        <v>45227</v>
      </c>
    </row>
    <row r="168" spans="2:9" ht="12.6">
      <c r="B168" s="10" t="s">
        <v>1015</v>
      </c>
      <c r="C168" s="473" t="s">
        <v>1061</v>
      </c>
      <c r="D168" s="10">
        <v>1125</v>
      </c>
      <c r="E168" s="10">
        <f t="shared" si="24"/>
        <v>2150</v>
      </c>
      <c r="F168" s="10">
        <f t="shared" si="25"/>
        <v>775</v>
      </c>
      <c r="G168" s="10">
        <v>3275</v>
      </c>
      <c r="H168" s="10">
        <v>1900</v>
      </c>
      <c r="I168" s="349">
        <v>45227</v>
      </c>
    </row>
    <row r="169" spans="2:9" ht="12.6">
      <c r="B169" s="10" t="s">
        <v>1015</v>
      </c>
      <c r="C169" s="473" t="s">
        <v>1062</v>
      </c>
      <c r="D169" s="10">
        <v>1135</v>
      </c>
      <c r="E169" s="10">
        <f t="shared" si="24"/>
        <v>2150</v>
      </c>
      <c r="F169" s="10">
        <f t="shared" si="25"/>
        <v>775</v>
      </c>
      <c r="G169" s="10">
        <v>3285</v>
      </c>
      <c r="H169" s="10">
        <v>1910</v>
      </c>
      <c r="I169" s="349">
        <v>45227</v>
      </c>
    </row>
    <row r="170" spans="2:9" ht="12.6">
      <c r="B170" s="10" t="s">
        <v>1015</v>
      </c>
      <c r="C170" s="473" t="s">
        <v>1063</v>
      </c>
      <c r="D170" s="10">
        <v>1165</v>
      </c>
      <c r="E170" s="10">
        <f t="shared" si="24"/>
        <v>2150</v>
      </c>
      <c r="F170" s="10">
        <f t="shared" si="25"/>
        <v>775</v>
      </c>
      <c r="G170" s="10">
        <v>3315</v>
      </c>
      <c r="H170" s="10">
        <v>1940</v>
      </c>
      <c r="I170" s="349">
        <v>45227</v>
      </c>
    </row>
    <row r="171" spans="2:9" ht="12.6">
      <c r="B171" s="10" t="s">
        <v>1015</v>
      </c>
      <c r="C171" s="473" t="s">
        <v>1064</v>
      </c>
      <c r="D171" s="10">
        <v>985</v>
      </c>
      <c r="E171" s="10">
        <f t="shared" si="24"/>
        <v>2150</v>
      </c>
      <c r="F171" s="10">
        <f t="shared" si="25"/>
        <v>775</v>
      </c>
      <c r="G171" s="10">
        <v>3135</v>
      </c>
      <c r="H171" s="10">
        <v>1760</v>
      </c>
      <c r="I171" s="349">
        <v>45227</v>
      </c>
    </row>
    <row r="172" spans="2:9" ht="12.6">
      <c r="B172" s="10" t="s">
        <v>1015</v>
      </c>
      <c r="C172" s="473" t="s">
        <v>1065</v>
      </c>
      <c r="D172" s="10">
        <v>1125</v>
      </c>
      <c r="E172" s="10">
        <f t="shared" si="24"/>
        <v>2150</v>
      </c>
      <c r="F172" s="10">
        <f t="shared" si="25"/>
        <v>775</v>
      </c>
      <c r="G172" s="10">
        <v>3275</v>
      </c>
      <c r="H172" s="10">
        <v>1900</v>
      </c>
      <c r="I172" s="349">
        <v>45227</v>
      </c>
    </row>
    <row r="173" spans="2:9" ht="12.6">
      <c r="B173" s="10" t="s">
        <v>1015</v>
      </c>
      <c r="C173" s="473" t="s">
        <v>1066</v>
      </c>
      <c r="D173" s="10">
        <v>2250</v>
      </c>
      <c r="E173" s="10">
        <f t="shared" si="24"/>
        <v>2350</v>
      </c>
      <c r="F173" s="10">
        <f t="shared" si="25"/>
        <v>925</v>
      </c>
      <c r="G173" s="10">
        <v>4600</v>
      </c>
      <c r="H173" s="10">
        <v>3175</v>
      </c>
      <c r="I173" s="349">
        <v>45227</v>
      </c>
    </row>
    <row r="174" spans="2:9" ht="12.6">
      <c r="B174" s="10" t="s">
        <v>1019</v>
      </c>
      <c r="C174" s="473" t="s">
        <v>1067</v>
      </c>
      <c r="G174" s="10">
        <v>3299</v>
      </c>
      <c r="H174" s="10">
        <v>2099</v>
      </c>
      <c r="I174" s="349">
        <v>45233</v>
      </c>
    </row>
    <row r="175" spans="2:9" ht="12.6">
      <c r="B175" s="10" t="s">
        <v>1019</v>
      </c>
      <c r="C175" s="473" t="s">
        <v>1068</v>
      </c>
      <c r="G175" s="10">
        <v>3299</v>
      </c>
      <c r="H175" s="10">
        <v>2099</v>
      </c>
      <c r="I175" s="349">
        <v>45233</v>
      </c>
    </row>
    <row r="176" spans="2:9" ht="12.6">
      <c r="B176" s="10" t="s">
        <v>937</v>
      </c>
      <c r="C176" s="473" t="s">
        <v>1069</v>
      </c>
      <c r="D176" s="10">
        <v>1290</v>
      </c>
      <c r="I176" s="349">
        <v>45233</v>
      </c>
    </row>
    <row r="177" spans="2:9" ht="12.6">
      <c r="B177" s="10" t="s">
        <v>937</v>
      </c>
      <c r="C177" s="473" t="s">
        <v>1070</v>
      </c>
      <c r="D177" s="10">
        <v>1445</v>
      </c>
      <c r="I177" s="349">
        <v>45233</v>
      </c>
    </row>
    <row r="178" spans="2:9" ht="12.6">
      <c r="B178" s="10" t="s">
        <v>943</v>
      </c>
      <c r="C178" s="473" t="s">
        <v>1071</v>
      </c>
      <c r="D178" s="10">
        <v>1640</v>
      </c>
      <c r="I178" s="349"/>
    </row>
    <row r="179" spans="2:9" ht="12.6">
      <c r="B179" s="10" t="s">
        <v>1024</v>
      </c>
      <c r="C179" s="473" t="s">
        <v>1072</v>
      </c>
      <c r="D179" s="10">
        <v>1495</v>
      </c>
      <c r="I179" s="349"/>
    </row>
    <row r="180" spans="2:9" ht="12.6">
      <c r="B180" s="10" t="s">
        <v>1024</v>
      </c>
      <c r="C180" s="473" t="s">
        <v>1073</v>
      </c>
      <c r="D180" s="10">
        <v>1495</v>
      </c>
      <c r="I180" s="349"/>
    </row>
    <row r="181" spans="2:9" ht="12.6">
      <c r="B181" s="10" t="s">
        <v>974</v>
      </c>
      <c r="C181" s="473" t="s">
        <v>1074</v>
      </c>
      <c r="D181" s="10">
        <v>1526</v>
      </c>
      <c r="I181" s="349"/>
    </row>
    <row r="182" spans="2:9" ht="12.6">
      <c r="B182" s="10" t="s">
        <v>974</v>
      </c>
      <c r="C182" s="473" t="s">
        <v>1075</v>
      </c>
      <c r="D182" s="10">
        <v>1589</v>
      </c>
      <c r="I182" s="349"/>
    </row>
    <row r="183" spans="2:9" ht="12.6">
      <c r="B183" s="10" t="s">
        <v>974</v>
      </c>
      <c r="C183" s="473" t="s">
        <v>1076</v>
      </c>
      <c r="D183" s="10">
        <v>1785</v>
      </c>
      <c r="I183" s="349"/>
    </row>
    <row r="184" spans="2:9" ht="12.6">
      <c r="B184" s="10" t="s">
        <v>974</v>
      </c>
      <c r="C184" s="473" t="s">
        <v>1077</v>
      </c>
      <c r="D184" s="10">
        <v>1835</v>
      </c>
      <c r="I184" s="349"/>
    </row>
    <row r="185" spans="2:9" ht="12.6">
      <c r="B185" s="51" t="s">
        <v>286</v>
      </c>
      <c r="C185" s="51"/>
      <c r="D185" s="200">
        <f>AVERAGE(D166:D184)</f>
        <v>1417.9411764705883</v>
      </c>
      <c r="E185" s="200">
        <f t="shared" ref="E185:H185" si="26">AVERAGE(E166:E177)</f>
        <v>2175</v>
      </c>
      <c r="F185" s="200">
        <f t="shared" si="26"/>
        <v>793.75</v>
      </c>
      <c r="G185" s="200">
        <f t="shared" si="26"/>
        <v>3400.3</v>
      </c>
      <c r="H185" s="200">
        <f t="shared" si="26"/>
        <v>2055.3000000000002</v>
      </c>
      <c r="I185" s="51"/>
    </row>
    <row r="186" spans="2:9" ht="12.6"/>
    <row r="187" spans="2:9" ht="12.6"/>
    <row r="188" spans="2:9" ht="50.1">
      <c r="B188" s="5" t="s">
        <v>1078</v>
      </c>
      <c r="C188" s="21"/>
      <c r="D188" s="21" t="s">
        <v>915</v>
      </c>
      <c r="E188" s="21" t="s">
        <v>1057</v>
      </c>
      <c r="F188" s="21" t="s">
        <v>1011</v>
      </c>
      <c r="G188" s="21" t="s">
        <v>1058</v>
      </c>
      <c r="H188" s="21" t="s">
        <v>1013</v>
      </c>
      <c r="I188" s="21" t="s">
        <v>935</v>
      </c>
    </row>
    <row r="189" spans="2:9" ht="12.6">
      <c r="B189" s="10" t="s">
        <v>1015</v>
      </c>
      <c r="C189" s="473" t="s">
        <v>1059</v>
      </c>
      <c r="D189" s="10">
        <v>1120</v>
      </c>
      <c r="E189" s="10">
        <f t="shared" ref="E189:E196" si="27">G189-D189</f>
        <v>2150</v>
      </c>
      <c r="F189" s="10">
        <f t="shared" ref="F189:F196" si="28">H189-D189</f>
        <v>775</v>
      </c>
      <c r="G189" s="10">
        <v>3270</v>
      </c>
      <c r="H189" s="10">
        <v>1895</v>
      </c>
      <c r="I189" s="349">
        <v>45227</v>
      </c>
    </row>
    <row r="190" spans="2:9" ht="12.6">
      <c r="B190" s="10" t="s">
        <v>1015</v>
      </c>
      <c r="C190" s="473" t="s">
        <v>1060</v>
      </c>
      <c r="D190" s="10">
        <v>1100</v>
      </c>
      <c r="E190" s="10">
        <f t="shared" si="27"/>
        <v>2150</v>
      </c>
      <c r="F190" s="10">
        <f t="shared" si="28"/>
        <v>775</v>
      </c>
      <c r="G190" s="10">
        <v>3250</v>
      </c>
      <c r="H190" s="10">
        <v>1875</v>
      </c>
      <c r="I190" s="349">
        <v>45227</v>
      </c>
    </row>
    <row r="191" spans="2:9" ht="12.6">
      <c r="B191" s="10" t="s">
        <v>1015</v>
      </c>
      <c r="C191" s="473" t="s">
        <v>1061</v>
      </c>
      <c r="D191" s="10">
        <v>1125</v>
      </c>
      <c r="E191" s="10">
        <f t="shared" si="27"/>
        <v>2150</v>
      </c>
      <c r="F191" s="10">
        <f t="shared" si="28"/>
        <v>775</v>
      </c>
      <c r="G191" s="10">
        <v>3275</v>
      </c>
      <c r="H191" s="10">
        <v>1900</v>
      </c>
      <c r="I191" s="349">
        <v>45227</v>
      </c>
    </row>
    <row r="192" spans="2:9" ht="12.6">
      <c r="B192" s="10" t="s">
        <v>1015</v>
      </c>
      <c r="C192" s="473" t="s">
        <v>1062</v>
      </c>
      <c r="D192" s="10">
        <v>1135</v>
      </c>
      <c r="E192" s="10">
        <f t="shared" si="27"/>
        <v>2150</v>
      </c>
      <c r="F192" s="10">
        <f t="shared" si="28"/>
        <v>775</v>
      </c>
      <c r="G192" s="10">
        <v>3285</v>
      </c>
      <c r="H192" s="10">
        <v>1910</v>
      </c>
      <c r="I192" s="349">
        <v>45227</v>
      </c>
    </row>
    <row r="193" spans="2:9" ht="12.6">
      <c r="B193" s="10" t="s">
        <v>1015</v>
      </c>
      <c r="C193" s="473" t="s">
        <v>1063</v>
      </c>
      <c r="D193" s="10">
        <v>1165</v>
      </c>
      <c r="E193" s="10">
        <f t="shared" si="27"/>
        <v>2150</v>
      </c>
      <c r="F193" s="10">
        <f t="shared" si="28"/>
        <v>775</v>
      </c>
      <c r="G193" s="10">
        <v>3315</v>
      </c>
      <c r="H193" s="10">
        <v>1940</v>
      </c>
      <c r="I193" s="349">
        <v>45227</v>
      </c>
    </row>
    <row r="194" spans="2:9" ht="12.6">
      <c r="B194" s="10" t="s">
        <v>1015</v>
      </c>
      <c r="C194" s="473" t="s">
        <v>1064</v>
      </c>
      <c r="D194" s="10">
        <v>985</v>
      </c>
      <c r="E194" s="10">
        <f t="shared" si="27"/>
        <v>2150</v>
      </c>
      <c r="F194" s="10">
        <f t="shared" si="28"/>
        <v>775</v>
      </c>
      <c r="G194" s="10">
        <v>3135</v>
      </c>
      <c r="H194" s="10">
        <v>1760</v>
      </c>
      <c r="I194" s="349">
        <v>45227</v>
      </c>
    </row>
    <row r="195" spans="2:9" ht="12.6">
      <c r="B195" s="10" t="s">
        <v>1015</v>
      </c>
      <c r="C195" s="473" t="s">
        <v>1065</v>
      </c>
      <c r="D195" s="10">
        <v>1125</v>
      </c>
      <c r="E195" s="10">
        <f t="shared" si="27"/>
        <v>2150</v>
      </c>
      <c r="F195" s="10">
        <f t="shared" si="28"/>
        <v>775</v>
      </c>
      <c r="G195" s="10">
        <v>3275</v>
      </c>
      <c r="H195" s="10">
        <v>1900</v>
      </c>
      <c r="I195" s="349">
        <v>45227</v>
      </c>
    </row>
    <row r="196" spans="2:9" ht="12.6">
      <c r="B196" s="10" t="s">
        <v>1015</v>
      </c>
      <c r="C196" s="473" t="s">
        <v>1066</v>
      </c>
      <c r="D196" s="10">
        <v>2250</v>
      </c>
      <c r="E196" s="10">
        <f t="shared" si="27"/>
        <v>2350</v>
      </c>
      <c r="F196" s="10">
        <f t="shared" si="28"/>
        <v>925</v>
      </c>
      <c r="G196" s="10">
        <v>4600</v>
      </c>
      <c r="H196" s="10">
        <v>3175</v>
      </c>
      <c r="I196" s="349">
        <v>45227</v>
      </c>
    </row>
    <row r="197" spans="2:9" ht="12.6">
      <c r="B197" s="10" t="s">
        <v>1019</v>
      </c>
      <c r="C197" s="473" t="s">
        <v>1067</v>
      </c>
      <c r="G197" s="10">
        <v>3299</v>
      </c>
      <c r="H197" s="10">
        <v>2099</v>
      </c>
      <c r="I197" s="349">
        <v>45233</v>
      </c>
    </row>
    <row r="198" spans="2:9" ht="12.6">
      <c r="B198" s="10" t="s">
        <v>1019</v>
      </c>
      <c r="C198" s="473" t="s">
        <v>1068</v>
      </c>
      <c r="G198" s="10">
        <v>3299</v>
      </c>
      <c r="H198" s="10">
        <v>2099</v>
      </c>
      <c r="I198" s="349">
        <v>45233</v>
      </c>
    </row>
    <row r="199" spans="2:9" ht="12.6">
      <c r="B199" s="10" t="s">
        <v>937</v>
      </c>
      <c r="C199" s="473" t="s">
        <v>1079</v>
      </c>
      <c r="D199" s="10">
        <v>1490</v>
      </c>
      <c r="H199" s="349"/>
      <c r="I199" s="349">
        <v>45233</v>
      </c>
    </row>
    <row r="200" spans="2:9" ht="12.6">
      <c r="B200" s="10" t="s">
        <v>937</v>
      </c>
      <c r="C200" s="473" t="s">
        <v>1080</v>
      </c>
      <c r="D200" s="10">
        <v>1470</v>
      </c>
      <c r="H200" s="349"/>
      <c r="I200" s="349">
        <v>45233</v>
      </c>
    </row>
    <row r="201" spans="2:9" ht="12.6">
      <c r="B201" s="10" t="s">
        <v>943</v>
      </c>
      <c r="C201" s="473" t="s">
        <v>1081</v>
      </c>
      <c r="D201" s="10">
        <v>1580</v>
      </c>
      <c r="H201" s="349"/>
      <c r="I201" s="349"/>
    </row>
    <row r="202" spans="2:9" ht="12.6">
      <c r="B202" s="10" t="s">
        <v>974</v>
      </c>
      <c r="C202" s="473" t="s">
        <v>1074</v>
      </c>
      <c r="D202" s="10">
        <v>1526</v>
      </c>
      <c r="H202" s="349"/>
      <c r="I202" s="349"/>
    </row>
    <row r="203" spans="2:9" ht="12.6">
      <c r="B203" s="10" t="s">
        <v>974</v>
      </c>
      <c r="C203" s="473" t="s">
        <v>1075</v>
      </c>
      <c r="D203" s="10">
        <v>1589</v>
      </c>
      <c r="H203" s="349"/>
      <c r="I203" s="349"/>
    </row>
    <row r="204" spans="2:9" ht="12.6">
      <c r="B204" s="10" t="s">
        <v>974</v>
      </c>
      <c r="C204" s="473" t="s">
        <v>1076</v>
      </c>
      <c r="D204" s="10">
        <v>1785</v>
      </c>
      <c r="H204" s="349"/>
      <c r="I204" s="349"/>
    </row>
    <row r="205" spans="2:9" ht="12.6">
      <c r="B205" s="10" t="s">
        <v>974</v>
      </c>
      <c r="C205" s="473" t="s">
        <v>1077</v>
      </c>
      <c r="D205" s="10">
        <v>1835</v>
      </c>
      <c r="H205" s="349"/>
      <c r="I205" s="349"/>
    </row>
    <row r="206" spans="2:9" ht="12.6">
      <c r="B206" s="51" t="s">
        <v>286</v>
      </c>
      <c r="C206" s="51"/>
      <c r="D206" s="51">
        <f>AVERAGE(D189:D205)</f>
        <v>1418.6666666666667</v>
      </c>
      <c r="E206" s="51">
        <f t="shared" ref="E206:H206" si="29">AVERAGE(E189:E200)</f>
        <v>2175</v>
      </c>
      <c r="F206" s="51">
        <f t="shared" si="29"/>
        <v>793.75</v>
      </c>
      <c r="G206" s="51">
        <f t="shared" si="29"/>
        <v>3400.3</v>
      </c>
      <c r="H206" s="51">
        <f t="shared" si="29"/>
        <v>2055.3000000000002</v>
      </c>
      <c r="I206" s="51"/>
    </row>
    <row r="210" spans="2:7" ht="26.45">
      <c r="B210" s="353" t="s">
        <v>186</v>
      </c>
      <c r="C210" s="38"/>
      <c r="D210" s="38" t="s">
        <v>1082</v>
      </c>
      <c r="E210" s="38" t="s">
        <v>916</v>
      </c>
      <c r="F210" s="38" t="s">
        <v>1083</v>
      </c>
      <c r="G210" s="38" t="s">
        <v>935</v>
      </c>
    </row>
    <row r="211" spans="2:7" ht="12.6">
      <c r="F211" s="349"/>
    </row>
    <row r="212" spans="2:7" ht="12.6">
      <c r="B212" s="181" t="s">
        <v>1084</v>
      </c>
      <c r="C212" s="181"/>
      <c r="D212" s="181"/>
      <c r="E212" s="181"/>
      <c r="F212" s="354"/>
      <c r="G212" s="181"/>
    </row>
    <row r="213" spans="2:7" ht="12.6">
      <c r="B213" s="10" t="s">
        <v>1019</v>
      </c>
      <c r="C213" s="473" t="s">
        <v>1085</v>
      </c>
      <c r="E213" s="10">
        <v>899</v>
      </c>
      <c r="F213" s="349"/>
      <c r="G213" s="349">
        <v>45233</v>
      </c>
    </row>
    <row r="214" spans="2:7" ht="12.6">
      <c r="B214" s="10" t="s">
        <v>1086</v>
      </c>
      <c r="C214" s="473" t="s">
        <v>1087</v>
      </c>
      <c r="D214" s="10">
        <v>998</v>
      </c>
      <c r="F214" s="349"/>
      <c r="G214" s="349">
        <v>45233</v>
      </c>
    </row>
    <row r="215" spans="2:7" ht="12.6">
      <c r="B215" s="10" t="s">
        <v>1086</v>
      </c>
      <c r="C215" s="473" t="s">
        <v>1088</v>
      </c>
      <c r="D215" s="10">
        <v>1457</v>
      </c>
      <c r="E215" s="10"/>
      <c r="F215" s="349"/>
      <c r="G215" s="349">
        <v>45233</v>
      </c>
    </row>
    <row r="216" spans="2:7" ht="12.6">
      <c r="B216" s="10" t="s">
        <v>1086</v>
      </c>
      <c r="C216" s="473" t="s">
        <v>1089</v>
      </c>
      <c r="D216" s="10">
        <v>1449</v>
      </c>
      <c r="E216" s="10"/>
      <c r="F216" s="349"/>
      <c r="G216" s="349">
        <v>45233</v>
      </c>
    </row>
    <row r="217" spans="2:7" ht="12.6">
      <c r="B217" s="10" t="s">
        <v>1086</v>
      </c>
      <c r="C217" s="473" t="s">
        <v>1090</v>
      </c>
      <c r="D217" s="10">
        <v>639</v>
      </c>
      <c r="E217" s="10"/>
      <c r="F217" s="349"/>
      <c r="G217" s="349">
        <v>45233</v>
      </c>
    </row>
    <row r="218" spans="2:7" ht="12.6">
      <c r="B218" s="10" t="s">
        <v>1086</v>
      </c>
      <c r="C218" s="473" t="s">
        <v>1091</v>
      </c>
      <c r="D218" s="10">
        <v>1849</v>
      </c>
      <c r="E218" s="10"/>
      <c r="F218" s="349"/>
      <c r="G218" s="349">
        <v>45233</v>
      </c>
    </row>
    <row r="219" spans="2:7" ht="12.6">
      <c r="B219" s="10" t="s">
        <v>1086</v>
      </c>
      <c r="C219" s="473" t="s">
        <v>1092</v>
      </c>
      <c r="D219" s="10">
        <v>849</v>
      </c>
      <c r="E219" s="10"/>
      <c r="F219" s="349"/>
      <c r="G219" s="349">
        <v>45233</v>
      </c>
    </row>
    <row r="220" spans="2:7" ht="12.6">
      <c r="B220" s="10" t="s">
        <v>1086</v>
      </c>
      <c r="C220" s="473" t="s">
        <v>1093</v>
      </c>
      <c r="D220" s="10">
        <v>976</v>
      </c>
      <c r="E220" s="10"/>
      <c r="F220" s="349"/>
      <c r="G220" s="349">
        <v>45233</v>
      </c>
    </row>
    <row r="221" spans="2:7" ht="12.6">
      <c r="B221" s="10" t="s">
        <v>937</v>
      </c>
      <c r="C221" s="473" t="s">
        <v>1094</v>
      </c>
      <c r="D221" s="10">
        <v>348</v>
      </c>
      <c r="E221" s="10"/>
      <c r="F221" s="349"/>
      <c r="G221" s="349">
        <v>45233</v>
      </c>
    </row>
    <row r="222" spans="2:7" ht="12.6">
      <c r="B222" s="10" t="s">
        <v>937</v>
      </c>
      <c r="C222" s="473" t="s">
        <v>1095</v>
      </c>
      <c r="D222" s="10">
        <v>629</v>
      </c>
      <c r="E222" s="10"/>
      <c r="F222" s="349"/>
      <c r="G222" s="349">
        <v>45233</v>
      </c>
    </row>
    <row r="223" spans="2:7" ht="12.6">
      <c r="B223" s="10" t="s">
        <v>1096</v>
      </c>
      <c r="C223" s="10" t="s">
        <v>1097</v>
      </c>
      <c r="D223" s="10"/>
      <c r="E223" s="10">
        <v>500</v>
      </c>
    </row>
    <row r="224" spans="2:7" ht="12.6">
      <c r="B224" s="10" t="s">
        <v>1098</v>
      </c>
      <c r="C224" s="473" t="s">
        <v>1099</v>
      </c>
      <c r="D224" s="10"/>
      <c r="E224" s="10">
        <v>477.25</v>
      </c>
    </row>
    <row r="225" spans="2:7" ht="12.6">
      <c r="B225" s="10" t="s">
        <v>1098</v>
      </c>
      <c r="C225" s="473" t="s">
        <v>1100</v>
      </c>
      <c r="D225" s="10"/>
      <c r="E225" s="10">
        <v>672.75</v>
      </c>
    </row>
    <row r="226" spans="2:7" ht="12.6">
      <c r="B226" s="10" t="s">
        <v>1101</v>
      </c>
      <c r="C226" s="473" t="s">
        <v>1102</v>
      </c>
      <c r="D226" s="10"/>
      <c r="E226" s="10">
        <v>599</v>
      </c>
    </row>
    <row r="227" spans="2:7" ht="12.6">
      <c r="B227" s="129" t="s">
        <v>286</v>
      </c>
      <c r="C227" s="355"/>
      <c r="D227" s="355">
        <f t="shared" ref="D227:E227" si="30">AVERAGE(D213:D226)</f>
        <v>1021.5555555555555</v>
      </c>
      <c r="E227" s="355">
        <f t="shared" si="30"/>
        <v>629.6</v>
      </c>
      <c r="F227" s="355">
        <f>SUM(D227:E227)</f>
        <v>1651.1555555555556</v>
      </c>
      <c r="G227" s="355"/>
    </row>
    <row r="228" spans="2:7" ht="12.6">
      <c r="C228" s="10"/>
      <c r="D228" s="10"/>
      <c r="E228" s="10"/>
    </row>
    <row r="229" spans="2:7" ht="12.6">
      <c r="C229" s="10"/>
      <c r="D229" s="10"/>
      <c r="E229" s="10"/>
    </row>
    <row r="230" spans="2:7" ht="12.6">
      <c r="C230" s="10"/>
      <c r="D230" s="10"/>
      <c r="E230" s="10"/>
    </row>
    <row r="231" spans="2:7" ht="12.6">
      <c r="B231" s="36" t="s">
        <v>1103</v>
      </c>
      <c r="C231" s="36"/>
      <c r="D231" s="36"/>
      <c r="E231" s="36"/>
      <c r="F231" s="36"/>
      <c r="G231" s="36"/>
    </row>
    <row r="232" spans="2:7" ht="12.6">
      <c r="B232" s="10" t="s">
        <v>1104</v>
      </c>
      <c r="E232" s="10">
        <v>287.5</v>
      </c>
      <c r="F232" s="349"/>
      <c r="G232" s="349">
        <v>45233</v>
      </c>
    </row>
    <row r="233" spans="2:7" ht="12.6">
      <c r="B233" s="10" t="s">
        <v>1086</v>
      </c>
      <c r="C233" s="473" t="s">
        <v>1105</v>
      </c>
      <c r="D233" s="10">
        <v>559</v>
      </c>
      <c r="E233" s="10"/>
      <c r="F233" s="349"/>
      <c r="G233" s="349">
        <v>45233</v>
      </c>
    </row>
    <row r="234" spans="2:7" ht="12.6">
      <c r="B234" s="10" t="s">
        <v>1086</v>
      </c>
      <c r="C234" s="473" t="s">
        <v>1106</v>
      </c>
      <c r="D234" s="10">
        <v>1648</v>
      </c>
      <c r="E234" s="10"/>
      <c r="F234" s="349"/>
      <c r="G234" s="349">
        <v>45233</v>
      </c>
    </row>
    <row r="235" spans="2:7" ht="12.6">
      <c r="B235" s="10" t="s">
        <v>1086</v>
      </c>
      <c r="C235" s="473" t="s">
        <v>1107</v>
      </c>
      <c r="D235" s="10">
        <v>898</v>
      </c>
      <c r="E235" s="10"/>
      <c r="F235" s="349"/>
      <c r="G235" s="349">
        <v>45233</v>
      </c>
    </row>
    <row r="236" spans="2:7" ht="12.6">
      <c r="B236" s="10" t="s">
        <v>1086</v>
      </c>
      <c r="C236" s="473" t="s">
        <v>1108</v>
      </c>
      <c r="D236" s="10">
        <v>1569</v>
      </c>
      <c r="E236" s="10"/>
      <c r="F236" s="349"/>
      <c r="G236" s="349">
        <v>45233</v>
      </c>
    </row>
    <row r="237" spans="2:7" ht="12.6">
      <c r="B237" s="10" t="s">
        <v>1086</v>
      </c>
      <c r="C237" s="473" t="s">
        <v>1109</v>
      </c>
      <c r="D237" s="10">
        <v>699</v>
      </c>
      <c r="E237" s="10"/>
      <c r="F237" s="349"/>
      <c r="G237" s="349">
        <v>45233</v>
      </c>
    </row>
    <row r="238" spans="2:7" ht="12.6">
      <c r="B238" s="10" t="s">
        <v>1086</v>
      </c>
      <c r="C238" s="473" t="s">
        <v>1110</v>
      </c>
      <c r="D238" s="10">
        <v>1031</v>
      </c>
      <c r="E238" s="10"/>
      <c r="F238" s="349"/>
      <c r="G238" s="349">
        <v>45233</v>
      </c>
    </row>
    <row r="239" spans="2:7" ht="12.6">
      <c r="B239" s="10" t="s">
        <v>937</v>
      </c>
      <c r="C239" s="473" t="s">
        <v>1111</v>
      </c>
      <c r="D239" s="10">
        <v>428</v>
      </c>
      <c r="E239" s="10"/>
      <c r="F239" s="349"/>
      <c r="G239" s="349">
        <v>45233</v>
      </c>
    </row>
    <row r="240" spans="2:7" ht="12.6">
      <c r="B240" s="10" t="s">
        <v>937</v>
      </c>
      <c r="C240" s="473" t="s">
        <v>1112</v>
      </c>
      <c r="D240" s="10">
        <v>780</v>
      </c>
      <c r="E240" s="10"/>
      <c r="F240" s="349"/>
      <c r="G240" s="349">
        <v>45233</v>
      </c>
    </row>
    <row r="241" spans="2:7" ht="12.6">
      <c r="B241" s="10" t="s">
        <v>937</v>
      </c>
      <c r="C241" s="473" t="s">
        <v>1113</v>
      </c>
      <c r="D241" s="10">
        <v>298</v>
      </c>
      <c r="E241" s="10"/>
      <c r="F241" s="349"/>
      <c r="G241" s="349">
        <v>45233</v>
      </c>
    </row>
    <row r="242" spans="2:7" ht="12.6">
      <c r="E242" s="10"/>
    </row>
    <row r="243" spans="2:7" ht="12.6">
      <c r="E243" s="10"/>
    </row>
    <row r="244" spans="2:7" ht="12.6">
      <c r="B244" s="95" t="s">
        <v>286</v>
      </c>
      <c r="C244" s="87"/>
      <c r="D244" s="87">
        <f t="shared" ref="D244:E244" si="31">AVERAGE(D232:D243)</f>
        <v>878.88888888888891</v>
      </c>
      <c r="E244" s="87">
        <f t="shared" si="31"/>
        <v>287.5</v>
      </c>
      <c r="F244" s="87">
        <f>SUM(D244:E244)</f>
        <v>1166.3888888888889</v>
      </c>
      <c r="G244" s="87"/>
    </row>
    <row r="245" spans="2:7" ht="12.6">
      <c r="E245" s="10"/>
    </row>
    <row r="246" spans="2:7" ht="12.6">
      <c r="E246" s="10"/>
    </row>
    <row r="247" spans="2:7" ht="12.6">
      <c r="B247" s="107" t="s">
        <v>1114</v>
      </c>
      <c r="C247" s="107"/>
      <c r="D247" s="107"/>
      <c r="E247" s="107"/>
      <c r="F247" s="107"/>
      <c r="G247" s="107"/>
    </row>
    <row r="248" spans="2:7" ht="12.6">
      <c r="B248" s="10" t="s">
        <v>1104</v>
      </c>
      <c r="E248" s="10">
        <f>287.5+977.5</f>
        <v>1265</v>
      </c>
      <c r="F248" s="349"/>
      <c r="G248" s="349">
        <v>45233</v>
      </c>
    </row>
    <row r="249" spans="2:7" ht="12.6">
      <c r="B249" s="10" t="s">
        <v>1086</v>
      </c>
      <c r="C249" s="473" t="s">
        <v>1115</v>
      </c>
      <c r="D249" s="10">
        <v>929</v>
      </c>
      <c r="E249" s="10"/>
      <c r="F249" s="349"/>
      <c r="G249" s="349">
        <v>45233</v>
      </c>
    </row>
    <row r="250" spans="2:7" ht="12.6">
      <c r="B250" s="10" t="s">
        <v>1086</v>
      </c>
      <c r="C250" s="473" t="s">
        <v>1116</v>
      </c>
      <c r="D250" s="10">
        <v>2098</v>
      </c>
      <c r="E250" s="10"/>
      <c r="F250" s="349"/>
      <c r="G250" s="349">
        <v>45233</v>
      </c>
    </row>
    <row r="251" spans="2:7" ht="12.6">
      <c r="B251" s="10" t="s">
        <v>1086</v>
      </c>
      <c r="C251" s="473" t="s">
        <v>1117</v>
      </c>
      <c r="D251" s="10">
        <v>1899</v>
      </c>
      <c r="E251" s="10"/>
      <c r="F251" s="349"/>
      <c r="G251" s="349">
        <v>45233</v>
      </c>
    </row>
    <row r="252" spans="2:7" ht="12.6">
      <c r="B252" s="10" t="s">
        <v>1086</v>
      </c>
      <c r="C252" s="473" t="s">
        <v>1118</v>
      </c>
      <c r="D252" s="10">
        <v>1688</v>
      </c>
      <c r="E252" s="10"/>
      <c r="F252" s="349"/>
      <c r="G252" s="349">
        <v>45233</v>
      </c>
    </row>
    <row r="253" spans="2:7" ht="12.6">
      <c r="B253" s="10" t="s">
        <v>1086</v>
      </c>
      <c r="C253" s="473" t="s">
        <v>1119</v>
      </c>
      <c r="D253" s="10">
        <v>2995</v>
      </c>
      <c r="E253" s="10"/>
      <c r="F253" s="349"/>
      <c r="G253" s="349">
        <v>45233</v>
      </c>
    </row>
    <row r="254" spans="2:7" ht="12.6">
      <c r="B254" s="10" t="s">
        <v>1086</v>
      </c>
      <c r="C254" s="473" t="s">
        <v>1120</v>
      </c>
      <c r="D254" s="10">
        <v>1139</v>
      </c>
      <c r="E254" s="10"/>
      <c r="F254" s="349"/>
      <c r="G254" s="349">
        <v>45233</v>
      </c>
    </row>
    <row r="255" spans="2:7" ht="12.6">
      <c r="B255" s="10" t="s">
        <v>937</v>
      </c>
      <c r="C255" s="473" t="s">
        <v>1121</v>
      </c>
      <c r="D255" s="10">
        <v>488</v>
      </c>
      <c r="E255" s="10"/>
      <c r="F255" s="349"/>
      <c r="G255" s="349">
        <v>45233</v>
      </c>
    </row>
    <row r="256" spans="2:7" ht="12.6">
      <c r="B256" s="10" t="s">
        <v>937</v>
      </c>
      <c r="C256" s="473" t="s">
        <v>1122</v>
      </c>
      <c r="D256" s="10">
        <v>1146</v>
      </c>
      <c r="E256" s="10"/>
      <c r="F256" s="349"/>
      <c r="G256" s="349">
        <v>45233</v>
      </c>
    </row>
    <row r="257" spans="2:6" ht="12.6">
      <c r="B257" s="10" t="s">
        <v>937</v>
      </c>
      <c r="C257" s="473" t="s">
        <v>1123</v>
      </c>
      <c r="D257" s="10">
        <v>398</v>
      </c>
      <c r="E257" s="10"/>
    </row>
    <row r="258" spans="2:6" ht="12.6"/>
    <row r="259" spans="2:6" ht="12.6">
      <c r="E259" s="10"/>
    </row>
    <row r="260" spans="2:6" ht="12.6">
      <c r="B260" s="107" t="s">
        <v>286</v>
      </c>
      <c r="C260" s="207"/>
      <c r="D260" s="207">
        <f t="shared" ref="D260:E260" si="32">AVERAGE(D248:D259)</f>
        <v>1420</v>
      </c>
      <c r="E260" s="207">
        <f t="shared" si="32"/>
        <v>1265</v>
      </c>
      <c r="F260" s="207">
        <f>SUM(D260:E260)</f>
        <v>2685</v>
      </c>
    </row>
    <row r="296" spans="2:13" ht="26.45">
      <c r="B296" s="356" t="s">
        <v>64</v>
      </c>
      <c r="C296" s="5"/>
      <c r="D296" s="84"/>
      <c r="E296" s="5"/>
      <c r="F296" s="5"/>
      <c r="G296" s="5"/>
      <c r="H296" s="5"/>
      <c r="I296" s="84"/>
      <c r="J296" s="5"/>
      <c r="K296" s="5"/>
      <c r="L296" s="5"/>
      <c r="M296" s="5"/>
    </row>
    <row r="297" spans="2:13" ht="12.95">
      <c r="B297" s="98"/>
      <c r="C297" s="340" t="s">
        <v>1124</v>
      </c>
      <c r="D297" s="340" t="s">
        <v>1125</v>
      </c>
      <c r="E297" s="340" t="s">
        <v>1126</v>
      </c>
      <c r="F297" s="340" t="s">
        <v>1127</v>
      </c>
      <c r="G297" s="98"/>
      <c r="H297" s="340" t="s">
        <v>1128</v>
      </c>
      <c r="I297" s="340" t="s">
        <v>1126</v>
      </c>
      <c r="J297" s="340" t="s">
        <v>1127</v>
      </c>
      <c r="K297" s="98"/>
      <c r="L297" s="98"/>
      <c r="M297" s="98"/>
    </row>
    <row r="298" spans="2:13" ht="12.6">
      <c r="B298" s="98" t="s">
        <v>1129</v>
      </c>
      <c r="C298" s="98" t="s">
        <v>1130</v>
      </c>
      <c r="D298" s="357">
        <v>2618</v>
      </c>
      <c r="E298" s="83">
        <v>24990</v>
      </c>
      <c r="F298" s="75">
        <v>38</v>
      </c>
      <c r="G298" s="98"/>
      <c r="H298" s="98" t="s">
        <v>1131</v>
      </c>
      <c r="I298" s="83">
        <v>42900</v>
      </c>
      <c r="J298" s="75">
        <f>L298</f>
        <v>120.34632887987638</v>
      </c>
      <c r="K298" s="98"/>
      <c r="L298" s="75">
        <f>((1/(M298/1000))/Misc!$B$85)*Misc!$B$84</f>
        <v>120.34632887987638</v>
      </c>
      <c r="M298" s="98">
        <v>174</v>
      </c>
    </row>
    <row r="299" spans="2:13" ht="12.6">
      <c r="B299" s="98" t="s">
        <v>1132</v>
      </c>
      <c r="C299" s="98" t="s">
        <v>1133</v>
      </c>
      <c r="D299" s="357">
        <v>2300</v>
      </c>
      <c r="E299" s="83">
        <v>31500</v>
      </c>
      <c r="F299" s="98">
        <v>35</v>
      </c>
      <c r="G299" s="98"/>
      <c r="H299" s="98" t="s">
        <v>1134</v>
      </c>
      <c r="I299" s="83">
        <v>47990</v>
      </c>
      <c r="J299" s="98">
        <v>111</v>
      </c>
      <c r="K299" s="98"/>
      <c r="L299" s="75"/>
      <c r="M299" s="98"/>
    </row>
    <row r="300" spans="2:13" ht="12.6">
      <c r="B300" s="98"/>
      <c r="C300" s="98"/>
      <c r="D300" s="98"/>
      <c r="E300" s="83"/>
      <c r="F300" s="98"/>
      <c r="G300" s="98"/>
      <c r="H300" s="98"/>
      <c r="I300" s="98"/>
      <c r="J300" s="98"/>
      <c r="K300" s="98"/>
      <c r="L300" s="75"/>
      <c r="M300" s="98"/>
    </row>
    <row r="301" spans="2:13" ht="12.6">
      <c r="B301" s="98" t="s">
        <v>1135</v>
      </c>
      <c r="C301" s="98" t="s">
        <v>1136</v>
      </c>
      <c r="D301" s="98">
        <v>1218</v>
      </c>
      <c r="E301" s="83">
        <v>39290</v>
      </c>
      <c r="F301" s="98">
        <v>30</v>
      </c>
      <c r="G301" s="98"/>
      <c r="H301" s="98" t="s">
        <v>1137</v>
      </c>
      <c r="I301" s="83">
        <v>54990</v>
      </c>
      <c r="J301" s="75">
        <f>L301</f>
        <v>114.4276569677513</v>
      </c>
      <c r="K301" s="98"/>
      <c r="L301" s="75">
        <f>((1/(M301/1000))/Misc!$B$85)*Misc!$B$84</f>
        <v>114.4276569677513</v>
      </c>
      <c r="M301" s="98">
        <v>183</v>
      </c>
    </row>
    <row r="302" spans="2:13" ht="12.6">
      <c r="B302" s="98" t="s">
        <v>1138</v>
      </c>
      <c r="C302" s="98" t="s">
        <v>1139</v>
      </c>
      <c r="D302" s="98">
        <v>692</v>
      </c>
      <c r="E302" s="83">
        <v>46990</v>
      </c>
      <c r="F302" s="98">
        <v>27</v>
      </c>
      <c r="G302" s="98"/>
      <c r="H302" s="98" t="s">
        <v>1140</v>
      </c>
      <c r="I302" s="83">
        <v>67900</v>
      </c>
      <c r="J302" s="98">
        <v>122</v>
      </c>
      <c r="K302" s="98"/>
      <c r="L302" s="75"/>
      <c r="M302" s="98"/>
    </row>
    <row r="303" spans="2:13" ht="12.6">
      <c r="B303" s="98" t="s">
        <v>1138</v>
      </c>
      <c r="C303" s="98" t="s">
        <v>1141</v>
      </c>
      <c r="D303" s="357">
        <v>2321</v>
      </c>
      <c r="E303" s="83">
        <v>36990</v>
      </c>
      <c r="F303" s="98">
        <v>26</v>
      </c>
      <c r="G303" s="98"/>
      <c r="H303" s="98" t="s">
        <v>1137</v>
      </c>
      <c r="I303" s="83">
        <v>54990</v>
      </c>
      <c r="J303" s="75">
        <f t="shared" ref="J303:J305" si="33">L303</f>
        <v>114.4276569677513</v>
      </c>
      <c r="K303" s="98"/>
      <c r="L303" s="75">
        <f>((1/(M303/1000))/Misc!$B$85)*Misc!$B$84</f>
        <v>114.4276569677513</v>
      </c>
      <c r="M303" s="98">
        <v>183</v>
      </c>
    </row>
    <row r="304" spans="2:13" ht="12.6">
      <c r="B304" s="98" t="s">
        <v>1142</v>
      </c>
      <c r="C304" s="98" t="s">
        <v>1143</v>
      </c>
      <c r="D304" s="357">
        <v>1143</v>
      </c>
      <c r="E304" s="83">
        <v>35990</v>
      </c>
      <c r="F304" s="98">
        <v>31</v>
      </c>
      <c r="G304" s="98"/>
      <c r="H304" s="98" t="s">
        <v>1144</v>
      </c>
      <c r="I304" s="83">
        <v>46990</v>
      </c>
      <c r="J304" s="75">
        <f t="shared" si="33"/>
        <v>121.74570479708426</v>
      </c>
      <c r="K304" s="98"/>
      <c r="L304" s="75">
        <f>((1/(M304/1000))/Misc!$B$85)*Misc!$B$84</f>
        <v>121.74570479708426</v>
      </c>
      <c r="M304" s="98">
        <v>172</v>
      </c>
    </row>
    <row r="305" spans="2:13" ht="12.6">
      <c r="B305" s="98" t="s">
        <v>1142</v>
      </c>
      <c r="C305" s="98" t="s">
        <v>1145</v>
      </c>
      <c r="D305" s="357">
        <v>764</v>
      </c>
      <c r="E305" s="83">
        <v>28990</v>
      </c>
      <c r="F305" s="98">
        <v>35</v>
      </c>
      <c r="G305" s="98"/>
      <c r="H305" s="98" t="s">
        <v>1144</v>
      </c>
      <c r="I305" s="83">
        <v>46990</v>
      </c>
      <c r="J305" s="75">
        <f t="shared" si="33"/>
        <v>121.74570479708426</v>
      </c>
      <c r="K305" s="98"/>
      <c r="L305" s="75">
        <f>((1/(M305/1000))/Misc!$B$85)*Misc!$B$84</f>
        <v>121.74570479708426</v>
      </c>
      <c r="M305" s="98">
        <v>172</v>
      </c>
    </row>
    <row r="306" spans="2:13" ht="12.6">
      <c r="B306" s="98" t="s">
        <v>1146</v>
      </c>
      <c r="C306" s="98" t="s">
        <v>1147</v>
      </c>
      <c r="D306" s="357">
        <v>681</v>
      </c>
      <c r="E306" s="83">
        <v>50990</v>
      </c>
      <c r="F306" s="98">
        <v>28</v>
      </c>
      <c r="G306" s="98"/>
      <c r="H306" s="98" t="s">
        <v>1140</v>
      </c>
      <c r="I306" s="83">
        <v>67900</v>
      </c>
      <c r="J306" s="98">
        <v>122</v>
      </c>
      <c r="K306" s="98"/>
      <c r="L306" s="75"/>
      <c r="M306" s="98"/>
    </row>
    <row r="307" spans="2:13" ht="12.6">
      <c r="B307" s="98" t="s">
        <v>1138</v>
      </c>
      <c r="C307" s="98" t="s">
        <v>1148</v>
      </c>
      <c r="D307" s="357">
        <v>1758</v>
      </c>
      <c r="E307" s="83">
        <v>27990</v>
      </c>
      <c r="F307" s="98">
        <v>26</v>
      </c>
      <c r="G307" s="98"/>
      <c r="H307" s="98" t="s">
        <v>1144</v>
      </c>
      <c r="I307" s="83">
        <v>46990</v>
      </c>
      <c r="J307" s="75">
        <f t="shared" ref="J307:J308" si="34">L307</f>
        <v>121.74570479708426</v>
      </c>
      <c r="K307" s="98"/>
      <c r="L307" s="75">
        <f>((1/(M307/1000))/Misc!$B$85)*Misc!$B$84</f>
        <v>121.74570479708426</v>
      </c>
      <c r="M307" s="98">
        <v>172</v>
      </c>
    </row>
    <row r="308" spans="2:13" ht="12.6">
      <c r="B308" s="98" t="s">
        <v>1146</v>
      </c>
      <c r="C308" s="98" t="s">
        <v>1149</v>
      </c>
      <c r="D308" s="357">
        <v>2117</v>
      </c>
      <c r="E308" s="83">
        <v>42990</v>
      </c>
      <c r="F308" s="98">
        <v>31</v>
      </c>
      <c r="G308" s="98"/>
      <c r="H308" s="98" t="s">
        <v>1137</v>
      </c>
      <c r="I308" s="83">
        <v>54990</v>
      </c>
      <c r="J308" s="75">
        <f t="shared" si="34"/>
        <v>114.4276569677513</v>
      </c>
      <c r="K308" s="98"/>
      <c r="L308" s="75">
        <f>((1/(M308/1000))/Misc!$B$85)*Misc!$B$84</f>
        <v>114.4276569677513</v>
      </c>
      <c r="M308" s="98">
        <v>183</v>
      </c>
    </row>
    <row r="309" spans="2:13" ht="12.6">
      <c r="B309" s="98" t="s">
        <v>1129</v>
      </c>
      <c r="C309" s="98" t="s">
        <v>1150</v>
      </c>
      <c r="D309" s="357">
        <v>596</v>
      </c>
      <c r="E309" s="83">
        <v>24990</v>
      </c>
      <c r="F309" s="98">
        <v>33</v>
      </c>
      <c r="G309" s="98"/>
      <c r="H309" s="98" t="s">
        <v>1151</v>
      </c>
      <c r="I309" s="83">
        <v>49990</v>
      </c>
      <c r="J309" s="75">
        <v>118.97875696078688</v>
      </c>
      <c r="K309" s="98"/>
      <c r="L309" s="75"/>
      <c r="M309" s="98"/>
    </row>
    <row r="310" spans="2:13" ht="12.6">
      <c r="B310" s="98" t="s">
        <v>1152</v>
      </c>
      <c r="C310" s="98" t="s">
        <v>1153</v>
      </c>
      <c r="D310" s="357">
        <v>1990</v>
      </c>
      <c r="E310" s="83">
        <v>24990</v>
      </c>
      <c r="F310" s="98">
        <v>28</v>
      </c>
      <c r="G310" s="98"/>
      <c r="H310" s="98" t="s">
        <v>1154</v>
      </c>
      <c r="I310" s="83">
        <v>50990</v>
      </c>
      <c r="J310" s="75">
        <f t="shared" ref="J310:J311" si="35">L310</f>
        <v>113.19060121674859</v>
      </c>
      <c r="K310" s="98"/>
      <c r="L310" s="75">
        <f>((1/(M310/1000))/Misc!$B$85)*Misc!$B$84</f>
        <v>113.19060121674859</v>
      </c>
      <c r="M310" s="98">
        <v>185</v>
      </c>
    </row>
    <row r="311" spans="2:13" ht="12.6">
      <c r="B311" s="98" t="s">
        <v>1155</v>
      </c>
      <c r="C311" s="98" t="s">
        <v>1156</v>
      </c>
      <c r="D311" s="357">
        <v>589</v>
      </c>
      <c r="E311" s="83">
        <v>36990</v>
      </c>
      <c r="F311" s="98">
        <v>25</v>
      </c>
      <c r="G311" s="98"/>
      <c r="H311" s="98" t="s">
        <v>1137</v>
      </c>
      <c r="I311" s="83">
        <v>54990</v>
      </c>
      <c r="J311" s="75">
        <f t="shared" si="35"/>
        <v>114.4276569677513</v>
      </c>
      <c r="K311" s="98"/>
      <c r="L311" s="75">
        <f>((1/(M311/1000))/Misc!$B$85)*Misc!$B$84</f>
        <v>114.4276569677513</v>
      </c>
      <c r="M311" s="98">
        <v>183</v>
      </c>
    </row>
    <row r="312" spans="2:13" ht="12.6">
      <c r="B312" s="98" t="s">
        <v>1142</v>
      </c>
      <c r="C312" s="98" t="s">
        <v>1157</v>
      </c>
      <c r="D312" s="357">
        <v>516</v>
      </c>
      <c r="E312" s="83">
        <v>42290</v>
      </c>
      <c r="F312" s="98">
        <v>28</v>
      </c>
      <c r="G312" s="98"/>
      <c r="H312" s="98" t="s">
        <v>1140</v>
      </c>
      <c r="I312" s="83">
        <v>67900</v>
      </c>
      <c r="J312" s="98">
        <v>122</v>
      </c>
      <c r="K312" s="98"/>
      <c r="L312" s="75"/>
      <c r="M312" s="98"/>
    </row>
    <row r="313" spans="2:13" ht="12.6">
      <c r="B313" s="98" t="s">
        <v>1129</v>
      </c>
      <c r="C313" s="98" t="s">
        <v>1158</v>
      </c>
      <c r="D313" s="357">
        <v>591</v>
      </c>
      <c r="E313" s="83">
        <v>35990</v>
      </c>
      <c r="F313" s="98">
        <v>26</v>
      </c>
      <c r="G313" s="98"/>
      <c r="H313" s="98" t="s">
        <v>1137</v>
      </c>
      <c r="I313" s="83">
        <v>54990</v>
      </c>
      <c r="J313" s="75">
        <f>L313</f>
        <v>114.4276569677513</v>
      </c>
      <c r="K313" s="98"/>
      <c r="L313" s="75">
        <f>((1/(M313/1000))/Misc!$B$85)*Misc!$B$84</f>
        <v>114.4276569677513</v>
      </c>
      <c r="M313" s="98">
        <v>183</v>
      </c>
    </row>
    <row r="314" spans="2:13" ht="12.6">
      <c r="B314" s="98"/>
      <c r="C314" s="98"/>
      <c r="D314" s="98"/>
      <c r="E314" s="83"/>
      <c r="F314" s="98"/>
      <c r="G314" s="98"/>
      <c r="H314" s="98"/>
      <c r="I314" s="98"/>
      <c r="J314" s="98"/>
      <c r="K314" s="98"/>
      <c r="L314" s="75"/>
      <c r="M314" s="98"/>
    </row>
    <row r="315" spans="2:13" ht="12.6">
      <c r="B315" s="98" t="s">
        <v>1135</v>
      </c>
      <c r="C315" s="98" t="s">
        <v>1136</v>
      </c>
      <c r="D315" s="98">
        <v>1218</v>
      </c>
      <c r="E315" s="83">
        <v>46290</v>
      </c>
      <c r="F315" s="98">
        <v>30</v>
      </c>
      <c r="G315" s="98"/>
      <c r="H315" s="98" t="s">
        <v>1159</v>
      </c>
      <c r="I315" s="83">
        <v>77900</v>
      </c>
      <c r="J315" s="98">
        <v>122</v>
      </c>
      <c r="K315" s="98"/>
      <c r="L315" s="75"/>
      <c r="M315" s="98"/>
    </row>
    <row r="316" spans="2:13" ht="12.6">
      <c r="B316" s="98" t="s">
        <v>1138</v>
      </c>
      <c r="C316" s="98" t="s">
        <v>1139</v>
      </c>
      <c r="D316" s="98">
        <v>692</v>
      </c>
      <c r="E316" s="83">
        <v>49990</v>
      </c>
      <c r="F316" s="98">
        <v>26</v>
      </c>
      <c r="G316" s="98"/>
      <c r="H316" s="98" t="s">
        <v>1159</v>
      </c>
      <c r="I316" s="83">
        <v>77900</v>
      </c>
      <c r="J316" s="98">
        <v>122</v>
      </c>
      <c r="K316" s="98"/>
      <c r="L316" s="75"/>
      <c r="M316" s="98"/>
    </row>
    <row r="317" spans="2:13" ht="12.6">
      <c r="B317" s="98" t="s">
        <v>1160</v>
      </c>
      <c r="C317" s="98" t="s">
        <v>1161</v>
      </c>
      <c r="D317" s="357">
        <v>483</v>
      </c>
      <c r="E317" s="83">
        <v>53990</v>
      </c>
      <c r="F317" s="98">
        <v>31</v>
      </c>
      <c r="G317" s="98"/>
      <c r="H317" s="98" t="s">
        <v>1159</v>
      </c>
      <c r="I317" s="83">
        <v>77900</v>
      </c>
      <c r="J317" s="98">
        <v>122</v>
      </c>
      <c r="K317" s="98"/>
      <c r="L317" s="75"/>
      <c r="M317" s="98"/>
    </row>
    <row r="318" spans="2:13" ht="12.6">
      <c r="B318" s="98" t="s">
        <v>1162</v>
      </c>
      <c r="C318" s="98" t="s">
        <v>1163</v>
      </c>
      <c r="D318" s="357">
        <v>1312</v>
      </c>
      <c r="E318" s="83">
        <v>57490</v>
      </c>
      <c r="F318" s="98">
        <v>22</v>
      </c>
      <c r="G318" s="98"/>
      <c r="H318" s="98" t="s">
        <v>1164</v>
      </c>
      <c r="I318" s="83">
        <v>59990</v>
      </c>
      <c r="J318" s="75">
        <f t="shared" ref="J318:J319" si="36">L318</f>
        <v>78.135303078725698</v>
      </c>
      <c r="K318" s="98"/>
      <c r="L318" s="75">
        <f>((1/(M318/1000))/Misc!$B$85)*Misc!$B$84</f>
        <v>78.135303078725698</v>
      </c>
      <c r="M318" s="98">
        <v>268</v>
      </c>
    </row>
    <row r="319" spans="2:13" ht="12.6">
      <c r="B319" s="98" t="s">
        <v>1135</v>
      </c>
      <c r="C319" s="98" t="s">
        <v>1165</v>
      </c>
      <c r="D319" s="357">
        <v>1134</v>
      </c>
      <c r="E319" s="83">
        <v>46990</v>
      </c>
      <c r="F319" s="98">
        <v>21</v>
      </c>
      <c r="G319" s="98"/>
      <c r="H319" s="98" t="s">
        <v>1164</v>
      </c>
      <c r="I319" s="83">
        <v>59990</v>
      </c>
      <c r="J319" s="75">
        <f t="shared" si="36"/>
        <v>78.135303078725698</v>
      </c>
      <c r="K319" s="98"/>
      <c r="L319" s="75">
        <f>((1/(M319/1000))/Misc!$B$85)*Misc!$B$84</f>
        <v>78.135303078725698</v>
      </c>
      <c r="M319" s="98">
        <v>268</v>
      </c>
    </row>
    <row r="320" spans="2:13" ht="12.6">
      <c r="B320" s="98" t="s">
        <v>1162</v>
      </c>
      <c r="C320" s="98" t="s">
        <v>1166</v>
      </c>
      <c r="D320" s="357">
        <v>496</v>
      </c>
      <c r="E320" s="83">
        <v>79990</v>
      </c>
      <c r="F320" s="98">
        <v>22</v>
      </c>
      <c r="G320" s="98"/>
      <c r="H320" s="98" t="s">
        <v>1167</v>
      </c>
      <c r="I320" s="357">
        <v>115990</v>
      </c>
      <c r="J320" s="98">
        <v>83</v>
      </c>
      <c r="K320" s="98"/>
      <c r="L320" s="75"/>
      <c r="M320" s="98"/>
    </row>
    <row r="323" spans="2:11" ht="12.6">
      <c r="B323" s="358" t="s">
        <v>1168</v>
      </c>
      <c r="C323" s="358"/>
      <c r="D323" s="358"/>
      <c r="E323" s="359">
        <f ca="1">IFERROR(__xludf.DUMMYFUNCTION("AVERAGE.WEIGHTED(E298:E320,$D$298:$D$320)"),37943.172935907)</f>
        <v>37943.172935907001</v>
      </c>
      <c r="F323" s="360">
        <f ca="1">IFERROR(__xludf.DUMMYFUNCTION("AVERAGE.WEIGHTED(F298:F320,$D$298:$D$320)"),29.3769868009037)</f>
        <v>29.376986800903701</v>
      </c>
      <c r="G323" s="358"/>
      <c r="H323" s="358"/>
      <c r="I323" s="359">
        <f ca="1">IFERROR(__xludf.DUMMYFUNCTION("AVERAGE.WEIGHTED(I298:I320,$D$298:$D$320)"),56325.1698442268)</f>
        <v>56325.169844226803</v>
      </c>
      <c r="J323" s="360">
        <f ca="1">IFERROR(__xludf.DUMMYFUNCTION("AVERAGE.WEIGHTED(J298:J320,$D$298:$D$320)"),112.951117643224)</f>
        <v>112.95111764322399</v>
      </c>
      <c r="K323" s="361">
        <f ca="1">1/(J323/F323)</f>
        <v>0.26008584433574256</v>
      </c>
    </row>
    <row r="374" spans="2:8" ht="12.6">
      <c r="B374" s="10" t="s">
        <v>1169</v>
      </c>
      <c r="C374" s="10" t="s">
        <v>1170</v>
      </c>
      <c r="D374" s="27" t="s">
        <v>1171</v>
      </c>
      <c r="E374" s="10" t="s">
        <v>1127</v>
      </c>
      <c r="F374" s="10" t="s">
        <v>47</v>
      </c>
      <c r="H374" s="10" t="s">
        <v>1172</v>
      </c>
    </row>
    <row r="375" spans="2:8" ht="12.6">
      <c r="B375" s="10" t="s">
        <v>1173</v>
      </c>
      <c r="C375" s="91">
        <f>(1/((E375/Misc!$B$84)*Misc!$B$85))*100</f>
        <v>104.70130612549244</v>
      </c>
      <c r="D375" s="91"/>
      <c r="E375" s="10">
        <v>20</v>
      </c>
      <c r="F375" s="10" t="s">
        <v>40</v>
      </c>
    </row>
    <row r="376" spans="2:8" ht="12.6">
      <c r="B376" s="10" t="s">
        <v>1174</v>
      </c>
      <c r="C376" s="91">
        <f>(1/((E376/Misc!$B$84)*Misc!$B$85))*100</f>
        <v>95.183005568629511</v>
      </c>
      <c r="D376" s="91"/>
      <c r="E376" s="10">
        <v>22</v>
      </c>
      <c r="F376" s="10" t="s">
        <v>40</v>
      </c>
    </row>
    <row r="377" spans="2:8" ht="12.6">
      <c r="B377" s="10" t="s">
        <v>1175</v>
      </c>
      <c r="C377" s="91">
        <f>(1/((E377/Misc!$B$84)*Misc!$B$85))*100</f>
        <v>91.044614022167337</v>
      </c>
      <c r="D377" s="91"/>
      <c r="E377" s="10">
        <v>23</v>
      </c>
      <c r="F377" s="10" t="s">
        <v>40</v>
      </c>
    </row>
    <row r="378" spans="2:8" ht="12.6">
      <c r="B378" s="10" t="s">
        <v>1176</v>
      </c>
      <c r="C378" s="91">
        <f>(1/((E378/Misc!$B$84)*Misc!$B$85))*100</f>
        <v>80.539466250378823</v>
      </c>
      <c r="D378" s="91"/>
      <c r="E378" s="10">
        <v>26</v>
      </c>
      <c r="F378" s="10" t="s">
        <v>40</v>
      </c>
    </row>
    <row r="379" spans="2:8" ht="12.6">
      <c r="B379" s="10" t="s">
        <v>1177</v>
      </c>
      <c r="C379" s="91">
        <f>(1/((E379/Misc!$B$84)*Misc!$B$85))*100</f>
        <v>80.539466250378823</v>
      </c>
      <c r="D379" s="91"/>
      <c r="E379" s="10">
        <v>26</v>
      </c>
      <c r="F379" s="10" t="s">
        <v>40</v>
      </c>
    </row>
    <row r="380" spans="2:8" ht="12.6">
      <c r="B380" s="10" t="s">
        <v>1178</v>
      </c>
      <c r="C380" s="91">
        <f>(1/((E380/Misc!$B$84)*Misc!$B$85))*100</f>
        <v>80.539466250378823</v>
      </c>
      <c r="D380" s="91"/>
      <c r="E380" s="10">
        <v>26</v>
      </c>
      <c r="F380" s="10" t="s">
        <v>40</v>
      </c>
    </row>
    <row r="381" spans="2:8" ht="12.6">
      <c r="B381" s="10" t="s">
        <v>1179</v>
      </c>
      <c r="C381" s="91">
        <f>(1/((E381/Misc!$B$84)*Misc!$B$85))*100</f>
        <v>74.786647232494602</v>
      </c>
      <c r="D381" s="91"/>
      <c r="E381" s="10">
        <v>28</v>
      </c>
      <c r="F381" s="10" t="s">
        <v>40</v>
      </c>
    </row>
    <row r="382" spans="2:8" ht="12.6">
      <c r="B382" s="10" t="s">
        <v>1180</v>
      </c>
      <c r="C382" s="91">
        <f>(1/((E382/Misc!$B$84)*Misc!$B$85))*100</f>
        <v>72.207797327925832</v>
      </c>
      <c r="D382" s="91"/>
      <c r="E382" s="10">
        <v>29</v>
      </c>
      <c r="F382" s="10" t="s">
        <v>40</v>
      </c>
    </row>
    <row r="383" spans="2:8" ht="12.6">
      <c r="B383" s="10" t="s">
        <v>1181</v>
      </c>
      <c r="C383" s="91">
        <f>(1/((E383/Misc!$B$84)*Misc!$B$85))*100</f>
        <v>69.800870750328301</v>
      </c>
      <c r="D383" s="91"/>
      <c r="E383" s="10">
        <v>30</v>
      </c>
      <c r="F383" s="10" t="s">
        <v>40</v>
      </c>
    </row>
    <row r="384" spans="2:8" ht="12.6">
      <c r="B384" s="10" t="s">
        <v>1182</v>
      </c>
      <c r="C384" s="91">
        <f>(1/((E384/Misc!$B$84)*Misc!$B$85))*100</f>
        <v>58.16739229194026</v>
      </c>
      <c r="D384" s="91"/>
      <c r="E384" s="10">
        <v>36</v>
      </c>
      <c r="F384" s="10" t="s">
        <v>40</v>
      </c>
    </row>
    <row r="385" spans="2:7" ht="12.6">
      <c r="B385" s="10" t="s">
        <v>1183</v>
      </c>
      <c r="C385" s="91"/>
      <c r="D385" s="91">
        <f>(1/((E385/Misc!$B$84)*Misc!$B$85))*100</f>
        <v>29.914658892997842</v>
      </c>
      <c r="E385" s="10">
        <v>70</v>
      </c>
      <c r="G385" s="10" t="s">
        <v>223</v>
      </c>
    </row>
    <row r="386" spans="2:7" ht="12.6">
      <c r="B386" s="10" t="s">
        <v>1184</v>
      </c>
      <c r="C386" s="91"/>
      <c r="D386" s="91">
        <f>(1/((E386/Misc!$B$84)*Misc!$B$85))*100</f>
        <v>26.846488750126269</v>
      </c>
      <c r="E386" s="10">
        <v>78</v>
      </c>
      <c r="G386" s="10" t="s">
        <v>223</v>
      </c>
    </row>
    <row r="387" spans="2:7" ht="12.6">
      <c r="B387" s="10" t="s">
        <v>1185</v>
      </c>
      <c r="C387" s="91"/>
      <c r="D387" s="91">
        <f>(1/((E387/Misc!$B$84)*Misc!$B$85))*100</f>
        <v>18.865100202791432</v>
      </c>
      <c r="E387" s="10">
        <v>111</v>
      </c>
      <c r="G387" s="10" t="s">
        <v>223</v>
      </c>
    </row>
    <row r="388" spans="2:7" ht="12.6">
      <c r="B388" s="10" t="s">
        <v>1186</v>
      </c>
      <c r="C388" s="91"/>
      <c r="D388" s="91">
        <f>(1/((E388/Misc!$B$84)*Misc!$B$85))*100</f>
        <v>19.211248830365587</v>
      </c>
      <c r="E388" s="10">
        <v>109</v>
      </c>
      <c r="G388" s="10" t="s">
        <v>223</v>
      </c>
    </row>
    <row r="389" spans="2:7" ht="12.6">
      <c r="B389" s="10" t="s">
        <v>1137</v>
      </c>
      <c r="C389" s="91"/>
      <c r="D389" s="91">
        <f>(1/((E389/Misc!$B$84)*Misc!$B$85))*100</f>
        <v>18.3</v>
      </c>
      <c r="E389" s="91">
        <v>114.4276569677513</v>
      </c>
      <c r="G389" s="10" t="s">
        <v>223</v>
      </c>
    </row>
    <row r="390" spans="2:7" ht="12.6">
      <c r="B390" s="10" t="s">
        <v>1151</v>
      </c>
      <c r="C390" s="91"/>
      <c r="D390" s="91">
        <f>(1/((E390/Misc!$B$84)*Misc!$B$85))*100</f>
        <v>17.599999999999998</v>
      </c>
      <c r="E390" s="91">
        <v>118.97875696078688</v>
      </c>
      <c r="G390" s="10" t="s">
        <v>223</v>
      </c>
    </row>
    <row r="391" spans="2:7" ht="12.6">
      <c r="B391" s="10" t="s">
        <v>1140</v>
      </c>
      <c r="C391" s="91"/>
      <c r="D391" s="91">
        <f>(1/((E391/Misc!$B$84)*Misc!$B$85))*100</f>
        <v>17.164148545162693</v>
      </c>
      <c r="E391" s="10">
        <v>122</v>
      </c>
      <c r="G391" s="10" t="s">
        <v>223</v>
      </c>
    </row>
    <row r="392" spans="2:7" ht="12.6">
      <c r="B392" s="10" t="s">
        <v>1187</v>
      </c>
      <c r="C392" s="91"/>
      <c r="D392" s="91">
        <f>(1/((E392/Misc!$B$84)*Misc!$B$85))*100</f>
        <v>15.863834261438251</v>
      </c>
      <c r="E392" s="10">
        <v>132</v>
      </c>
      <c r="G392" s="10" t="s">
        <v>223</v>
      </c>
    </row>
    <row r="393" spans="2:7" ht="12.6"/>
    <row r="394" spans="2:7" ht="12.6"/>
    <row r="395" spans="2:7" ht="12.6">
      <c r="C395" s="10" t="s">
        <v>40</v>
      </c>
      <c r="D395" s="27" t="s">
        <v>223</v>
      </c>
      <c r="E395" s="10" t="s">
        <v>47</v>
      </c>
      <c r="F395" s="10" t="s">
        <v>47</v>
      </c>
    </row>
    <row r="396" spans="2:7" ht="12.95">
      <c r="B396" s="222" t="s">
        <v>1188</v>
      </c>
      <c r="D396" s="362">
        <f>I320</f>
        <v>115990</v>
      </c>
      <c r="F396" s="10" t="s">
        <v>223</v>
      </c>
    </row>
    <row r="397" spans="2:7" ht="12.95">
      <c r="B397" s="222" t="s">
        <v>1189</v>
      </c>
      <c r="C397" s="27">
        <v>79990</v>
      </c>
      <c r="D397" s="363"/>
      <c r="E397" s="10" t="s">
        <v>40</v>
      </c>
    </row>
    <row r="398" spans="2:7" ht="12.6">
      <c r="B398" s="10" t="s">
        <v>1159</v>
      </c>
      <c r="D398" s="27">
        <v>77900</v>
      </c>
      <c r="F398" s="10" t="s">
        <v>223</v>
      </c>
    </row>
    <row r="399" spans="2:7" ht="12.6">
      <c r="B399" s="10" t="s">
        <v>1140</v>
      </c>
      <c r="D399" s="27">
        <v>67900</v>
      </c>
      <c r="E399" s="10"/>
      <c r="F399" s="10" t="s">
        <v>223</v>
      </c>
    </row>
    <row r="400" spans="2:7" ht="12.95">
      <c r="B400" s="222" t="s">
        <v>1190</v>
      </c>
      <c r="C400" s="363"/>
      <c r="D400" s="27">
        <v>59990</v>
      </c>
      <c r="F400" s="10" t="s">
        <v>223</v>
      </c>
    </row>
    <row r="401" spans="2:6" ht="12.95">
      <c r="B401" s="222" t="s">
        <v>1191</v>
      </c>
      <c r="C401" s="27">
        <v>57490</v>
      </c>
      <c r="E401" s="10" t="s">
        <v>40</v>
      </c>
    </row>
    <row r="402" spans="2:6" ht="12.6">
      <c r="B402" s="10" t="s">
        <v>1137</v>
      </c>
      <c r="D402" s="83">
        <v>54990</v>
      </c>
      <c r="F402" s="10" t="s">
        <v>223</v>
      </c>
    </row>
    <row r="403" spans="2:6" ht="12.6">
      <c r="B403" s="10" t="s">
        <v>1192</v>
      </c>
      <c r="C403" s="83">
        <v>53990</v>
      </c>
      <c r="D403" s="27"/>
      <c r="E403" s="10" t="s">
        <v>40</v>
      </c>
    </row>
    <row r="404" spans="2:6" ht="12.95">
      <c r="B404" s="222" t="s">
        <v>1154</v>
      </c>
      <c r="C404" s="364"/>
      <c r="D404" s="27">
        <v>50990</v>
      </c>
      <c r="F404" s="10" t="s">
        <v>223</v>
      </c>
    </row>
    <row r="405" spans="2:6" ht="12.6">
      <c r="B405" s="10" t="s">
        <v>1193</v>
      </c>
      <c r="C405" s="27">
        <v>50990</v>
      </c>
      <c r="D405" s="27"/>
      <c r="E405" s="10" t="s">
        <v>40</v>
      </c>
    </row>
    <row r="406" spans="2:6" ht="12.6">
      <c r="B406" s="10" t="s">
        <v>1151</v>
      </c>
      <c r="C406" s="27"/>
      <c r="D406" s="27">
        <v>49990</v>
      </c>
      <c r="F406" s="10" t="s">
        <v>223</v>
      </c>
    </row>
    <row r="407" spans="2:6" ht="12.6">
      <c r="B407" s="10" t="s">
        <v>1194</v>
      </c>
      <c r="C407" s="83">
        <v>49990</v>
      </c>
      <c r="E407" s="10" t="s">
        <v>40</v>
      </c>
    </row>
    <row r="408" spans="2:6" ht="12.6">
      <c r="B408" s="10" t="s">
        <v>1134</v>
      </c>
      <c r="D408" s="83">
        <v>47990</v>
      </c>
      <c r="F408" s="10" t="s">
        <v>223</v>
      </c>
    </row>
    <row r="409" spans="2:6" ht="12.6">
      <c r="B409" s="10" t="s">
        <v>1195</v>
      </c>
      <c r="C409" s="83">
        <v>46990</v>
      </c>
      <c r="D409" s="27"/>
      <c r="E409" s="10" t="s">
        <v>40</v>
      </c>
    </row>
    <row r="410" spans="2:6" ht="12.95">
      <c r="B410" s="222" t="s">
        <v>1196</v>
      </c>
      <c r="C410" s="83">
        <v>46990</v>
      </c>
      <c r="D410" s="27"/>
      <c r="E410" s="10" t="s">
        <v>40</v>
      </c>
    </row>
    <row r="411" spans="2:6" ht="12.6">
      <c r="B411" s="10" t="s">
        <v>1144</v>
      </c>
      <c r="D411" s="83">
        <v>46990</v>
      </c>
      <c r="F411" s="10" t="s">
        <v>223</v>
      </c>
    </row>
    <row r="412" spans="2:6" ht="12.95">
      <c r="B412" s="222" t="s">
        <v>1197</v>
      </c>
      <c r="C412" s="83">
        <v>46290</v>
      </c>
      <c r="D412" s="27"/>
      <c r="E412" s="10" t="s">
        <v>40</v>
      </c>
    </row>
    <row r="413" spans="2:6" ht="12.6">
      <c r="B413" s="10" t="s">
        <v>1198</v>
      </c>
      <c r="C413" s="83">
        <v>42990</v>
      </c>
      <c r="D413" s="27"/>
      <c r="E413" s="10" t="s">
        <v>40</v>
      </c>
    </row>
    <row r="414" spans="2:6" ht="12.95">
      <c r="B414" s="222" t="s">
        <v>1179</v>
      </c>
      <c r="C414" s="83">
        <v>42290</v>
      </c>
      <c r="E414" s="10" t="s">
        <v>40</v>
      </c>
    </row>
    <row r="415" spans="2:6" ht="12.95">
      <c r="B415" s="222" t="s">
        <v>1199</v>
      </c>
      <c r="C415" s="83">
        <v>39290</v>
      </c>
      <c r="E415" s="10" t="s">
        <v>40</v>
      </c>
    </row>
    <row r="416" spans="2:6" ht="12.6">
      <c r="B416" s="10" t="s">
        <v>1178</v>
      </c>
      <c r="C416" s="83">
        <v>36990</v>
      </c>
      <c r="E416" s="10" t="s">
        <v>40</v>
      </c>
    </row>
    <row r="417" spans="2:6" ht="12.6">
      <c r="B417" s="10" t="s">
        <v>1200</v>
      </c>
      <c r="C417" s="83">
        <v>36990</v>
      </c>
      <c r="E417" s="10" t="s">
        <v>40</v>
      </c>
    </row>
    <row r="418" spans="2:6" ht="12.6">
      <c r="B418" s="10" t="s">
        <v>1201</v>
      </c>
      <c r="C418" s="83">
        <v>35990</v>
      </c>
      <c r="D418" s="27"/>
      <c r="E418" s="10" t="s">
        <v>40</v>
      </c>
    </row>
    <row r="419" spans="2:6" ht="12.6">
      <c r="B419" s="10" t="s">
        <v>1202</v>
      </c>
      <c r="C419" s="83">
        <v>35990</v>
      </c>
      <c r="E419" s="10" t="s">
        <v>40</v>
      </c>
    </row>
    <row r="420" spans="2:6" ht="12.6">
      <c r="B420" s="10" t="s">
        <v>1203</v>
      </c>
      <c r="C420" s="83">
        <v>31500</v>
      </c>
      <c r="D420" s="10"/>
      <c r="E420" s="10" t="s">
        <v>40</v>
      </c>
    </row>
    <row r="421" spans="2:6" ht="12.6">
      <c r="B421" s="10" t="s">
        <v>1204</v>
      </c>
      <c r="C421" s="83">
        <v>28990</v>
      </c>
      <c r="D421" s="10"/>
      <c r="E421" s="10" t="s">
        <v>40</v>
      </c>
    </row>
    <row r="422" spans="2:6" ht="12.6">
      <c r="B422" s="10" t="s">
        <v>1205</v>
      </c>
      <c r="C422" s="83">
        <v>27990</v>
      </c>
      <c r="D422" s="10"/>
      <c r="E422" s="10" t="s">
        <v>40</v>
      </c>
    </row>
    <row r="423" spans="2:6" ht="12.6">
      <c r="B423" s="10" t="s">
        <v>1206</v>
      </c>
      <c r="C423" s="83">
        <v>24990</v>
      </c>
      <c r="D423" s="10"/>
      <c r="E423" s="10" t="s">
        <v>40</v>
      </c>
    </row>
    <row r="424" spans="2:6" ht="12.6">
      <c r="B424" s="10" t="s">
        <v>1207</v>
      </c>
      <c r="C424" s="83">
        <v>24990</v>
      </c>
      <c r="E424" s="10" t="s">
        <v>40</v>
      </c>
      <c r="F424" s="10"/>
    </row>
    <row r="425" spans="2:6" ht="12.6">
      <c r="B425" s="10" t="s">
        <v>1208</v>
      </c>
      <c r="C425" s="83">
        <v>24990</v>
      </c>
      <c r="E425" s="10" t="s">
        <v>40</v>
      </c>
      <c r="F425" s="10"/>
    </row>
  </sheetData>
  <conditionalFormatting sqref="B424:B450 D424:D450 F424:G450 C426:C450 E426:E450 B544:D596">
    <cfRule type="notContainsBlanks" dxfId="22" priority="9">
      <formula>LEN(TRIM(B424))&gt;0</formula>
    </cfRule>
  </conditionalFormatting>
  <conditionalFormatting sqref="B121:I133">
    <cfRule type="notContainsBlanks" dxfId="21" priority="4">
      <formula>LEN(TRIM(B121))&gt;0</formula>
    </cfRule>
  </conditionalFormatting>
  <conditionalFormatting sqref="B137:I144">
    <cfRule type="notContainsBlanks" dxfId="20" priority="3">
      <formula>LEN(TRIM(B137))&gt;0</formula>
    </cfRule>
  </conditionalFormatting>
  <conditionalFormatting sqref="B150:I162">
    <cfRule type="notContainsBlanks" dxfId="19" priority="2">
      <formula>LEN(TRIM(B150))&gt;0</formula>
    </cfRule>
  </conditionalFormatting>
  <conditionalFormatting sqref="B166:I184">
    <cfRule type="notContainsBlanks" dxfId="18" priority="1">
      <formula>LEN(TRIM(B166))&gt;0</formula>
    </cfRule>
  </conditionalFormatting>
  <conditionalFormatting sqref="B189:I205">
    <cfRule type="notContainsBlanks" dxfId="17" priority="5">
      <formula>LEN(TRIM(B189))&gt;0</formula>
    </cfRule>
  </conditionalFormatting>
  <conditionalFormatting sqref="B213:I226">
    <cfRule type="notContainsBlanks" dxfId="16" priority="6">
      <formula>LEN(TRIM(B213))&gt;0</formula>
    </cfRule>
  </conditionalFormatting>
  <conditionalFormatting sqref="B232:I243">
    <cfRule type="notContainsBlanks" dxfId="15" priority="7">
      <formula>LEN(TRIM(B232))&gt;0</formula>
    </cfRule>
  </conditionalFormatting>
  <conditionalFormatting sqref="B248:I259">
    <cfRule type="notContainsBlanks" dxfId="14" priority="8">
      <formula>LEN(TRIM(B248))&gt;0</formula>
    </cfRule>
  </conditionalFormatting>
  <hyperlinks>
    <hyperlink ref="B41" r:id="rId1" xr:uid="{00000000-0004-0000-0900-000000000000}"/>
    <hyperlink ref="B42" r:id="rId2" xr:uid="{00000000-0004-0000-0900-000001000000}"/>
    <hyperlink ref="B43" r:id="rId3" xr:uid="{00000000-0004-0000-0900-000002000000}"/>
    <hyperlink ref="B44" r:id="rId4" xr:uid="{00000000-0004-0000-0900-000003000000}"/>
    <hyperlink ref="C45" r:id="rId5" xr:uid="{00000000-0004-0000-0900-000004000000}"/>
    <hyperlink ref="C46" r:id="rId6" xr:uid="{00000000-0004-0000-0900-000005000000}"/>
    <hyperlink ref="C47" r:id="rId7" xr:uid="{00000000-0004-0000-0900-000006000000}"/>
    <hyperlink ref="C48" r:id="rId8" xr:uid="{00000000-0004-0000-0900-000007000000}"/>
    <hyperlink ref="C49" r:id="rId9" xr:uid="{00000000-0004-0000-0900-000008000000}"/>
    <hyperlink ref="C50" r:id="rId10" xr:uid="{00000000-0004-0000-0900-000009000000}"/>
    <hyperlink ref="C51" r:id="rId11" xr:uid="{00000000-0004-0000-0900-00000A000000}"/>
    <hyperlink ref="B57" r:id="rId12" xr:uid="{00000000-0004-0000-0900-00000B000000}"/>
    <hyperlink ref="B58" r:id="rId13" xr:uid="{00000000-0004-0000-0900-00000C000000}"/>
    <hyperlink ref="B59" r:id="rId14" xr:uid="{00000000-0004-0000-0900-00000D000000}"/>
    <hyperlink ref="B60" r:id="rId15" xr:uid="{00000000-0004-0000-0900-00000E000000}"/>
    <hyperlink ref="B61" r:id="rId16" xr:uid="{00000000-0004-0000-0900-00000F000000}"/>
    <hyperlink ref="C62" r:id="rId17" xr:uid="{00000000-0004-0000-0900-000010000000}"/>
    <hyperlink ref="C63" r:id="rId18" xr:uid="{00000000-0004-0000-0900-000011000000}"/>
    <hyperlink ref="B64" r:id="rId19" xr:uid="{00000000-0004-0000-0900-000012000000}"/>
    <hyperlink ref="B65" r:id="rId20" xr:uid="{00000000-0004-0000-0900-000013000000}"/>
    <hyperlink ref="B66" r:id="rId21" xr:uid="{00000000-0004-0000-0900-000014000000}"/>
    <hyperlink ref="B67" r:id="rId22" xr:uid="{00000000-0004-0000-0900-000015000000}"/>
    <hyperlink ref="B68" r:id="rId23" xr:uid="{00000000-0004-0000-0900-000016000000}"/>
    <hyperlink ref="B69" r:id="rId24" xr:uid="{00000000-0004-0000-0900-000017000000}"/>
    <hyperlink ref="B70" r:id="rId25" xr:uid="{00000000-0004-0000-0900-000018000000}"/>
    <hyperlink ref="B71" r:id="rId26" xr:uid="{00000000-0004-0000-0900-000019000000}"/>
    <hyperlink ref="C77" r:id="rId27" xr:uid="{00000000-0004-0000-0900-00001A000000}"/>
    <hyperlink ref="C78" r:id="rId28" xr:uid="{00000000-0004-0000-0900-00001B000000}"/>
    <hyperlink ref="C79" r:id="rId29" xr:uid="{00000000-0004-0000-0900-00001C000000}"/>
    <hyperlink ref="C80" r:id="rId30" xr:uid="{00000000-0004-0000-0900-00001D000000}"/>
    <hyperlink ref="B81" r:id="rId31" xr:uid="{00000000-0004-0000-0900-00001E000000}"/>
    <hyperlink ref="B82" r:id="rId32" xr:uid="{00000000-0004-0000-0900-00001F000000}"/>
    <hyperlink ref="C89" r:id="rId33" xr:uid="{00000000-0004-0000-0900-000020000000}"/>
    <hyperlink ref="C90" r:id="rId34" xr:uid="{00000000-0004-0000-0900-000021000000}"/>
    <hyperlink ref="C91" r:id="rId35" xr:uid="{00000000-0004-0000-0900-000022000000}"/>
    <hyperlink ref="B92" r:id="rId36" xr:uid="{00000000-0004-0000-0900-000023000000}"/>
    <hyperlink ref="B93" r:id="rId37" xr:uid="{00000000-0004-0000-0900-000024000000}"/>
    <hyperlink ref="B100" r:id="rId38" xr:uid="{00000000-0004-0000-0900-000025000000}"/>
    <hyperlink ref="B101" r:id="rId39" xr:uid="{00000000-0004-0000-0900-000026000000}"/>
    <hyperlink ref="B102" r:id="rId40" xr:uid="{00000000-0004-0000-0900-000027000000}"/>
    <hyperlink ref="B103" r:id="rId41" xr:uid="{00000000-0004-0000-0900-000028000000}"/>
    <hyperlink ref="B105" r:id="rId42" xr:uid="{00000000-0004-0000-0900-000029000000}"/>
    <hyperlink ref="B106" r:id="rId43" xr:uid="{00000000-0004-0000-0900-00002A000000}"/>
    <hyperlink ref="B107" r:id="rId44" xr:uid="{00000000-0004-0000-0900-00002B000000}"/>
    <hyperlink ref="B108" r:id="rId45" xr:uid="{00000000-0004-0000-0900-00002C000000}"/>
    <hyperlink ref="B109" r:id="rId46" xr:uid="{00000000-0004-0000-0900-00002D000000}"/>
    <hyperlink ref="B110" r:id="rId47" xr:uid="{00000000-0004-0000-0900-00002E000000}"/>
    <hyperlink ref="B111" r:id="rId48" xr:uid="{00000000-0004-0000-0900-00002F000000}"/>
    <hyperlink ref="C121" r:id="rId49" xr:uid="{00000000-0004-0000-0900-000030000000}"/>
    <hyperlink ref="C122" r:id="rId50" xr:uid="{00000000-0004-0000-0900-000031000000}"/>
    <hyperlink ref="C123" r:id="rId51" xr:uid="{00000000-0004-0000-0900-000032000000}"/>
    <hyperlink ref="C124" r:id="rId52" xr:uid="{00000000-0004-0000-0900-000033000000}"/>
    <hyperlink ref="C125" r:id="rId53" xr:uid="{00000000-0004-0000-0900-000034000000}"/>
    <hyperlink ref="C126" r:id="rId54" xr:uid="{00000000-0004-0000-0900-000035000000}"/>
    <hyperlink ref="C127" r:id="rId55" xr:uid="{00000000-0004-0000-0900-000036000000}"/>
    <hyperlink ref="C128" r:id="rId56" xr:uid="{00000000-0004-0000-0900-000037000000}"/>
    <hyperlink ref="C129" r:id="rId57" xr:uid="{00000000-0004-0000-0900-000038000000}"/>
    <hyperlink ref="C130" r:id="rId58" xr:uid="{00000000-0004-0000-0900-000039000000}"/>
    <hyperlink ref="C131" r:id="rId59" xr:uid="{00000000-0004-0000-0900-00003A000000}"/>
    <hyperlink ref="C132" r:id="rId60" xr:uid="{00000000-0004-0000-0900-00003B000000}"/>
    <hyperlink ref="C137" r:id="rId61" xr:uid="{00000000-0004-0000-0900-00003C000000}"/>
    <hyperlink ref="C138" r:id="rId62" xr:uid="{00000000-0004-0000-0900-00003D000000}"/>
    <hyperlink ref="C140" r:id="rId63" xr:uid="{00000000-0004-0000-0900-00003E000000}"/>
    <hyperlink ref="C141" r:id="rId64" xr:uid="{00000000-0004-0000-0900-00003F000000}"/>
    <hyperlink ref="C142" r:id="rId65" xr:uid="{00000000-0004-0000-0900-000040000000}"/>
    <hyperlink ref="C143" r:id="rId66" xr:uid="{00000000-0004-0000-0900-000041000000}"/>
    <hyperlink ref="C144" r:id="rId67" xr:uid="{00000000-0004-0000-0900-000042000000}"/>
    <hyperlink ref="C150" r:id="rId68" xr:uid="{00000000-0004-0000-0900-000043000000}"/>
    <hyperlink ref="C151" r:id="rId69" xr:uid="{00000000-0004-0000-0900-000044000000}"/>
    <hyperlink ref="C152" r:id="rId70" xr:uid="{00000000-0004-0000-0900-000045000000}"/>
    <hyperlink ref="C153" r:id="rId71" xr:uid="{00000000-0004-0000-0900-000046000000}"/>
    <hyperlink ref="C154" r:id="rId72" xr:uid="{00000000-0004-0000-0900-000047000000}"/>
    <hyperlink ref="C155" r:id="rId73" xr:uid="{00000000-0004-0000-0900-000048000000}"/>
    <hyperlink ref="C156" r:id="rId74" xr:uid="{00000000-0004-0000-0900-000049000000}"/>
    <hyperlink ref="C157" r:id="rId75" xr:uid="{00000000-0004-0000-0900-00004A000000}"/>
    <hyperlink ref="C158" r:id="rId76" xr:uid="{00000000-0004-0000-0900-00004B000000}"/>
    <hyperlink ref="C159" r:id="rId77" xr:uid="{00000000-0004-0000-0900-00004C000000}"/>
    <hyperlink ref="C160" r:id="rId78" xr:uid="{00000000-0004-0000-0900-00004D000000}"/>
    <hyperlink ref="C161" r:id="rId79" xr:uid="{00000000-0004-0000-0900-00004E000000}"/>
    <hyperlink ref="C162" r:id="rId80" xr:uid="{00000000-0004-0000-0900-00004F000000}"/>
    <hyperlink ref="C166" r:id="rId81" xr:uid="{00000000-0004-0000-0900-000050000000}"/>
    <hyperlink ref="C167" r:id="rId82" xr:uid="{00000000-0004-0000-0900-000051000000}"/>
    <hyperlink ref="C168" r:id="rId83" xr:uid="{00000000-0004-0000-0900-000052000000}"/>
    <hyperlink ref="C169" r:id="rId84" xr:uid="{00000000-0004-0000-0900-000053000000}"/>
    <hyperlink ref="C170" r:id="rId85" xr:uid="{00000000-0004-0000-0900-000054000000}"/>
    <hyperlink ref="C171" r:id="rId86" xr:uid="{00000000-0004-0000-0900-000055000000}"/>
    <hyperlink ref="C172" r:id="rId87" xr:uid="{00000000-0004-0000-0900-000056000000}"/>
    <hyperlink ref="C173" r:id="rId88" xr:uid="{00000000-0004-0000-0900-000057000000}"/>
    <hyperlink ref="C174" r:id="rId89" xr:uid="{00000000-0004-0000-0900-000058000000}"/>
    <hyperlink ref="C175" r:id="rId90" xr:uid="{00000000-0004-0000-0900-000059000000}"/>
    <hyperlink ref="C176" r:id="rId91" xr:uid="{00000000-0004-0000-0900-00005A000000}"/>
    <hyperlink ref="C177" r:id="rId92" xr:uid="{00000000-0004-0000-0900-00005B000000}"/>
    <hyperlink ref="C178" r:id="rId93" xr:uid="{00000000-0004-0000-0900-00005C000000}"/>
    <hyperlink ref="C179" r:id="rId94" xr:uid="{00000000-0004-0000-0900-00005D000000}"/>
    <hyperlink ref="C180" r:id="rId95" xr:uid="{00000000-0004-0000-0900-00005E000000}"/>
    <hyperlink ref="C181" r:id="rId96" xr:uid="{00000000-0004-0000-0900-00005F000000}"/>
    <hyperlink ref="C182" r:id="rId97" xr:uid="{00000000-0004-0000-0900-000060000000}"/>
    <hyperlink ref="C183" r:id="rId98" xr:uid="{00000000-0004-0000-0900-000061000000}"/>
    <hyperlink ref="C184" r:id="rId99" xr:uid="{00000000-0004-0000-0900-000062000000}"/>
    <hyperlink ref="C189" r:id="rId100" xr:uid="{00000000-0004-0000-0900-000063000000}"/>
    <hyperlink ref="C190" r:id="rId101" xr:uid="{00000000-0004-0000-0900-000064000000}"/>
    <hyperlink ref="C191" r:id="rId102" xr:uid="{00000000-0004-0000-0900-000065000000}"/>
    <hyperlink ref="C192" r:id="rId103" xr:uid="{00000000-0004-0000-0900-000066000000}"/>
    <hyperlink ref="C193" r:id="rId104" xr:uid="{00000000-0004-0000-0900-000067000000}"/>
    <hyperlink ref="C194" r:id="rId105" xr:uid="{00000000-0004-0000-0900-000068000000}"/>
    <hyperlink ref="C195" r:id="rId106" xr:uid="{00000000-0004-0000-0900-000069000000}"/>
    <hyperlink ref="C196" r:id="rId107" xr:uid="{00000000-0004-0000-0900-00006A000000}"/>
    <hyperlink ref="C197" r:id="rId108" xr:uid="{00000000-0004-0000-0900-00006B000000}"/>
    <hyperlink ref="C198" r:id="rId109" xr:uid="{00000000-0004-0000-0900-00006C000000}"/>
    <hyperlink ref="C199" r:id="rId110" xr:uid="{00000000-0004-0000-0900-00006D000000}"/>
    <hyperlink ref="C200" r:id="rId111" xr:uid="{00000000-0004-0000-0900-00006E000000}"/>
    <hyperlink ref="C201" r:id="rId112" xr:uid="{00000000-0004-0000-0900-00006F000000}"/>
    <hyperlink ref="C202" r:id="rId113" xr:uid="{00000000-0004-0000-0900-000070000000}"/>
    <hyperlink ref="C203" r:id="rId114" xr:uid="{00000000-0004-0000-0900-000071000000}"/>
    <hyperlink ref="C204" r:id="rId115" xr:uid="{00000000-0004-0000-0900-000072000000}"/>
    <hyperlink ref="C205" r:id="rId116" xr:uid="{00000000-0004-0000-0900-000073000000}"/>
    <hyperlink ref="C213" r:id="rId117" xr:uid="{00000000-0004-0000-0900-000074000000}"/>
    <hyperlink ref="C214" r:id="rId118" xr:uid="{00000000-0004-0000-0900-000075000000}"/>
    <hyperlink ref="C215" r:id="rId119" xr:uid="{00000000-0004-0000-0900-000076000000}"/>
    <hyperlink ref="C216" r:id="rId120" xr:uid="{00000000-0004-0000-0900-000077000000}"/>
    <hyperlink ref="C217" r:id="rId121" xr:uid="{00000000-0004-0000-0900-000078000000}"/>
    <hyperlink ref="C218" r:id="rId122" xr:uid="{00000000-0004-0000-0900-000079000000}"/>
    <hyperlink ref="C219" r:id="rId123" xr:uid="{00000000-0004-0000-0900-00007A000000}"/>
    <hyperlink ref="C220" r:id="rId124" xr:uid="{00000000-0004-0000-0900-00007B000000}"/>
    <hyperlink ref="C221" r:id="rId125" xr:uid="{00000000-0004-0000-0900-00007C000000}"/>
    <hyperlink ref="C222" r:id="rId126" xr:uid="{00000000-0004-0000-0900-00007D000000}"/>
    <hyperlink ref="C224" r:id="rId127" xr:uid="{00000000-0004-0000-0900-00007E000000}"/>
    <hyperlink ref="C225" r:id="rId128" xr:uid="{00000000-0004-0000-0900-00007F000000}"/>
    <hyperlink ref="C226" r:id="rId129" xr:uid="{00000000-0004-0000-0900-000080000000}"/>
    <hyperlink ref="C233" r:id="rId130" xr:uid="{00000000-0004-0000-0900-000081000000}"/>
    <hyperlink ref="C234" r:id="rId131" xr:uid="{00000000-0004-0000-0900-000082000000}"/>
    <hyperlink ref="C235" r:id="rId132" xr:uid="{00000000-0004-0000-0900-000083000000}"/>
    <hyperlink ref="C236" r:id="rId133" xr:uid="{00000000-0004-0000-0900-000084000000}"/>
    <hyperlink ref="C237" r:id="rId134" xr:uid="{00000000-0004-0000-0900-000085000000}"/>
    <hyperlink ref="C238" r:id="rId135" xr:uid="{00000000-0004-0000-0900-000086000000}"/>
    <hyperlink ref="C239" r:id="rId136" xr:uid="{00000000-0004-0000-0900-000087000000}"/>
    <hyperlink ref="C240" r:id="rId137" xr:uid="{00000000-0004-0000-0900-000088000000}"/>
    <hyperlink ref="C241" r:id="rId138" xr:uid="{00000000-0004-0000-0900-000089000000}"/>
    <hyperlink ref="C249" r:id="rId139" xr:uid="{00000000-0004-0000-0900-00008A000000}"/>
    <hyperlink ref="C250" r:id="rId140" xr:uid="{00000000-0004-0000-0900-00008B000000}"/>
    <hyperlink ref="C251" r:id="rId141" xr:uid="{00000000-0004-0000-0900-00008C000000}"/>
    <hyperlink ref="C252" r:id="rId142" xr:uid="{00000000-0004-0000-0900-00008D000000}"/>
    <hyperlink ref="C253" r:id="rId143" xr:uid="{00000000-0004-0000-0900-00008E000000}"/>
    <hyperlink ref="C254" r:id="rId144" xr:uid="{00000000-0004-0000-0900-00008F000000}"/>
    <hyperlink ref="C255" r:id="rId145" xr:uid="{00000000-0004-0000-0900-000090000000}"/>
    <hyperlink ref="C256" r:id="rId146" xr:uid="{00000000-0004-0000-0900-000091000000}"/>
    <hyperlink ref="C257" r:id="rId147" xr:uid="{00000000-0004-0000-0900-000092000000}"/>
  </hyperlinks>
  <pageMargins left="0.7" right="0.7" top="0.75" bottom="0.75" header="0.3" footer="0.3"/>
  <drawing r:id="rId148"/>
  <legacyDrawing r:id="rId14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E06666"/>
    <outlinePr summaryBelow="0" summaryRight="0"/>
  </sheetPr>
  <dimension ref="A3:P118"/>
  <sheetViews>
    <sheetView workbookViewId="0"/>
  </sheetViews>
  <sheetFormatPr defaultColWidth="12.5703125" defaultRowHeight="15.75" customHeight="1"/>
  <cols>
    <col min="1" max="1" width="26.7109375" customWidth="1"/>
    <col min="5" max="5" width="25.7109375" customWidth="1"/>
    <col min="6" max="6" width="32.42578125" customWidth="1"/>
  </cols>
  <sheetData>
    <row r="3" spans="1:6" ht="15.75" customHeight="1">
      <c r="A3" s="47" t="s">
        <v>1209</v>
      </c>
      <c r="B3" s="47"/>
      <c r="C3" s="47"/>
      <c r="D3" s="47"/>
      <c r="E3" s="47"/>
      <c r="F3" s="47"/>
    </row>
    <row r="4" spans="1:6" ht="15.75" customHeight="1">
      <c r="A4" s="482" t="s">
        <v>1210</v>
      </c>
      <c r="B4" s="13"/>
      <c r="C4" s="13"/>
      <c r="D4" s="13"/>
      <c r="E4" s="13"/>
      <c r="F4" s="13"/>
    </row>
    <row r="5" spans="1:6" ht="15.75" customHeight="1">
      <c r="A5" s="13" t="s">
        <v>1211</v>
      </c>
      <c r="B5" s="13" t="s">
        <v>1212</v>
      </c>
      <c r="C5" s="13" t="s">
        <v>1213</v>
      </c>
      <c r="D5" s="13" t="s">
        <v>1214</v>
      </c>
      <c r="E5" s="13" t="s">
        <v>1215</v>
      </c>
      <c r="F5" s="13"/>
    </row>
    <row r="6" spans="1:6" ht="15.75" customHeight="1">
      <c r="A6" s="13" t="s">
        <v>1216</v>
      </c>
      <c r="B6" s="13">
        <v>126</v>
      </c>
      <c r="C6" s="13">
        <v>104079</v>
      </c>
      <c r="D6" s="13">
        <v>12705</v>
      </c>
      <c r="E6" s="13">
        <v>94</v>
      </c>
      <c r="F6" s="13"/>
    </row>
    <row r="7" spans="1:6" ht="15.75" customHeight="1">
      <c r="A7" s="13" t="s">
        <v>1217</v>
      </c>
      <c r="B7" s="13"/>
      <c r="C7" s="13">
        <v>6479</v>
      </c>
      <c r="D7" s="13">
        <v>31023</v>
      </c>
      <c r="E7" s="13">
        <v>31</v>
      </c>
      <c r="F7" s="13"/>
    </row>
    <row r="8" spans="1:6" ht="15.75" customHeight="1">
      <c r="A8" s="13" t="s">
        <v>1218</v>
      </c>
      <c r="B8" s="13"/>
      <c r="C8" s="13">
        <v>701</v>
      </c>
      <c r="D8" s="13"/>
      <c r="E8" s="13"/>
      <c r="F8" s="13"/>
    </row>
    <row r="9" spans="1:6" ht="15.75" customHeight="1">
      <c r="A9" s="13"/>
      <c r="B9" s="13"/>
      <c r="C9" s="13"/>
      <c r="D9" s="13"/>
      <c r="E9" s="13"/>
      <c r="F9" s="13"/>
    </row>
    <row r="10" spans="1:6" ht="15.75" customHeight="1">
      <c r="A10" s="13"/>
      <c r="B10" s="13"/>
      <c r="C10" s="13"/>
      <c r="D10" s="13"/>
      <c r="E10" s="13"/>
      <c r="F10" s="13"/>
    </row>
    <row r="11" spans="1:6" ht="15.75" customHeight="1">
      <c r="A11" s="13" t="s">
        <v>1211</v>
      </c>
      <c r="B11" s="13" t="s">
        <v>1219</v>
      </c>
      <c r="C11" s="13" t="s">
        <v>1219</v>
      </c>
      <c r="D11" s="13" t="s">
        <v>1219</v>
      </c>
      <c r="E11" s="13" t="s">
        <v>1219</v>
      </c>
      <c r="F11" s="13" t="s">
        <v>1220</v>
      </c>
    </row>
    <row r="12" spans="1:6" ht="15.75" customHeight="1">
      <c r="A12" s="13" t="s">
        <v>1216</v>
      </c>
      <c r="B12" s="74">
        <f>B6*Misc!$B$66</f>
        <v>34999999.999999903</v>
      </c>
      <c r="C12" s="74">
        <f>C6*Misc!$B$66</f>
        <v>28910833333.333252</v>
      </c>
      <c r="D12" s="74">
        <f>D6*Misc!$B$66</f>
        <v>3529166666.6666565</v>
      </c>
      <c r="E12" s="74">
        <f>E6*Misc!$B$66</f>
        <v>26111111.111111037</v>
      </c>
      <c r="F12" s="13"/>
    </row>
    <row r="13" spans="1:6" ht="15.75" customHeight="1">
      <c r="A13" s="13" t="s">
        <v>1217</v>
      </c>
      <c r="B13" s="74">
        <f>B7*Misc!$B$66</f>
        <v>0</v>
      </c>
      <c r="C13" s="74">
        <f>C7*Misc!$B$66</f>
        <v>1799722222.2222171</v>
      </c>
      <c r="D13" s="74">
        <f>D7*Misc!$B$66</f>
        <v>8617499999.9999752</v>
      </c>
      <c r="E13" s="74">
        <f>E7*Misc!$B$66</f>
        <v>8611111.1111110877</v>
      </c>
      <c r="F13" s="13"/>
    </row>
    <row r="14" spans="1:6" ht="15.75" customHeight="1">
      <c r="A14" s="13" t="s">
        <v>1218</v>
      </c>
      <c r="B14" s="74">
        <f>B8*Misc!$B$66</f>
        <v>0</v>
      </c>
      <c r="C14" s="74">
        <f>C8*Misc!$B$66</f>
        <v>194722222.22222167</v>
      </c>
      <c r="D14" s="74">
        <f>D8*Misc!$B$66</f>
        <v>0</v>
      </c>
      <c r="E14" s="74">
        <f>E8*Misc!$B$66</f>
        <v>0</v>
      </c>
      <c r="F14" s="13"/>
    </row>
    <row r="25" spans="1:9" ht="12.95">
      <c r="A25" s="57" t="s">
        <v>1221</v>
      </c>
      <c r="B25" s="51" t="s">
        <v>1222</v>
      </c>
      <c r="C25" s="51"/>
      <c r="E25" s="57" t="s">
        <v>1223</v>
      </c>
      <c r="F25" s="51" t="s">
        <v>1222</v>
      </c>
      <c r="H25" s="57" t="s">
        <v>1224</v>
      </c>
      <c r="I25" s="51" t="s">
        <v>1222</v>
      </c>
    </row>
    <row r="26" spans="1:9" ht="15.75" customHeight="1">
      <c r="A26" s="13" t="s">
        <v>1225</v>
      </c>
      <c r="B26" s="48">
        <v>3065816</v>
      </c>
      <c r="C26" s="13"/>
      <c r="E26" s="13" t="s">
        <v>1225</v>
      </c>
      <c r="F26" s="48">
        <v>147535</v>
      </c>
      <c r="H26" s="13" t="s">
        <v>40</v>
      </c>
      <c r="I26" s="48">
        <v>176950</v>
      </c>
    </row>
    <row r="27" spans="1:9" ht="15.75" customHeight="1">
      <c r="A27" s="13" t="s">
        <v>1226</v>
      </c>
      <c r="B27" s="48">
        <v>316653</v>
      </c>
      <c r="C27" s="13"/>
      <c r="E27" s="13" t="s">
        <v>1226</v>
      </c>
      <c r="F27" s="48">
        <v>705762</v>
      </c>
      <c r="H27" s="13"/>
      <c r="I27" s="13"/>
    </row>
    <row r="28" spans="1:9" ht="15.75" customHeight="1">
      <c r="A28" s="13" t="s">
        <v>1227</v>
      </c>
      <c r="B28" s="48">
        <v>39386</v>
      </c>
      <c r="C28" s="13"/>
      <c r="E28" s="13" t="s">
        <v>1227</v>
      </c>
      <c r="F28" s="48">
        <v>1357</v>
      </c>
      <c r="H28" s="13"/>
      <c r="I28" s="365">
        <f>I26/SUM(B42,F42,I26)</f>
        <v>3.8296853749520611E-2</v>
      </c>
    </row>
    <row r="29" spans="1:9" ht="15.75" customHeight="1">
      <c r="A29" s="13" t="s">
        <v>1228</v>
      </c>
      <c r="B29" s="48">
        <v>147594</v>
      </c>
      <c r="C29" s="13"/>
      <c r="E29" s="13" t="s">
        <v>1228</v>
      </c>
      <c r="F29" s="13">
        <v>17</v>
      </c>
      <c r="H29" s="13"/>
      <c r="I29" s="13"/>
    </row>
    <row r="30" spans="1:9" ht="15.75" customHeight="1">
      <c r="A30" s="13" t="s">
        <v>1229</v>
      </c>
      <c r="B30" s="13">
        <v>65</v>
      </c>
      <c r="C30" s="13"/>
      <c r="E30" s="13" t="s">
        <v>1229</v>
      </c>
      <c r="F30" s="13">
        <v>79</v>
      </c>
      <c r="H30" s="13"/>
      <c r="I30" s="13"/>
    </row>
    <row r="31" spans="1:9" ht="15.75" customHeight="1">
      <c r="A31" s="13" t="s">
        <v>1230</v>
      </c>
      <c r="B31" s="48">
        <v>1724</v>
      </c>
      <c r="C31" s="13"/>
      <c r="E31" s="13" t="s">
        <v>1230</v>
      </c>
      <c r="F31" s="13">
        <v>1</v>
      </c>
      <c r="H31" s="13"/>
      <c r="I31" s="13"/>
    </row>
    <row r="32" spans="1:9" ht="15.75" customHeight="1">
      <c r="A32" s="13" t="s">
        <v>1231</v>
      </c>
      <c r="B32" s="13">
        <v>7</v>
      </c>
      <c r="C32" s="13"/>
      <c r="E32" s="13" t="s">
        <v>1231</v>
      </c>
      <c r="F32" s="13">
        <v>30</v>
      </c>
      <c r="H32" s="13"/>
      <c r="I32" s="13"/>
    </row>
    <row r="33" spans="1:14" ht="15.75" customHeight="1">
      <c r="A33" s="13" t="s">
        <v>1232</v>
      </c>
      <c r="B33" s="48">
        <v>15677</v>
      </c>
      <c r="C33" s="13"/>
      <c r="E33" s="13" t="s">
        <v>1232</v>
      </c>
      <c r="F33" s="13">
        <v>61</v>
      </c>
      <c r="H33" s="13"/>
      <c r="I33" s="13"/>
      <c r="J33" s="13"/>
      <c r="K33" s="13"/>
    </row>
    <row r="34" spans="1:14" ht="15.75" customHeight="1">
      <c r="A34" s="13" t="s">
        <v>1233</v>
      </c>
      <c r="B34" s="13">
        <v>23</v>
      </c>
      <c r="C34" s="13"/>
      <c r="E34" s="13" t="s">
        <v>1233</v>
      </c>
      <c r="F34" s="13">
        <v>1</v>
      </c>
      <c r="H34" s="13"/>
      <c r="I34" s="13"/>
      <c r="J34" s="13"/>
      <c r="K34" s="13"/>
    </row>
    <row r="35" spans="1:14" ht="15.75" customHeight="1">
      <c r="A35" s="13" t="s">
        <v>1234</v>
      </c>
      <c r="B35" s="13">
        <v>489</v>
      </c>
      <c r="C35" s="13"/>
      <c r="E35" s="13" t="s">
        <v>1235</v>
      </c>
      <c r="F35" s="13">
        <v>45</v>
      </c>
      <c r="H35" s="13"/>
      <c r="I35" s="13"/>
      <c r="J35" s="13"/>
      <c r="K35" s="13"/>
    </row>
    <row r="36" spans="1:14" ht="15.75" customHeight="1">
      <c r="A36" s="13" t="s">
        <v>1236</v>
      </c>
      <c r="B36" s="13">
        <v>2</v>
      </c>
      <c r="C36" s="13"/>
      <c r="E36" s="13" t="s">
        <v>38</v>
      </c>
      <c r="F36" s="13">
        <v>342</v>
      </c>
      <c r="H36" s="13"/>
      <c r="I36" s="13"/>
      <c r="J36" s="13"/>
      <c r="K36" s="13"/>
    </row>
    <row r="37" spans="1:14" ht="15.75" customHeight="1">
      <c r="A37" s="13" t="s">
        <v>1237</v>
      </c>
      <c r="B37" s="13">
        <v>17</v>
      </c>
      <c r="C37" s="13"/>
      <c r="E37" s="13" t="s">
        <v>1238</v>
      </c>
      <c r="F37" s="13">
        <v>26</v>
      </c>
      <c r="H37" s="13"/>
      <c r="I37" s="13"/>
      <c r="J37" s="13"/>
      <c r="K37" s="13"/>
    </row>
    <row r="38" spans="1:14" ht="15.75" customHeight="1">
      <c r="A38" s="13" t="s">
        <v>1235</v>
      </c>
      <c r="B38" s="13">
        <v>8</v>
      </c>
      <c r="C38" s="13"/>
      <c r="E38" s="13"/>
      <c r="F38" s="13"/>
      <c r="H38" s="13"/>
      <c r="I38" s="13"/>
      <c r="J38" s="13"/>
      <c r="K38" s="13"/>
    </row>
    <row r="39" spans="1:14" ht="15.75" customHeight="1">
      <c r="A39" s="13" t="s">
        <v>38</v>
      </c>
      <c r="B39" s="13">
        <v>710</v>
      </c>
      <c r="C39" s="13"/>
      <c r="E39" s="13"/>
      <c r="F39" s="13"/>
      <c r="H39" s="13"/>
      <c r="I39" s="13"/>
      <c r="J39" s="13"/>
      <c r="K39" s="13"/>
    </row>
    <row r="40" spans="1:14" ht="15.75" customHeight="1">
      <c r="A40" s="13" t="s">
        <v>1238</v>
      </c>
      <c r="B40" s="13">
        <v>107</v>
      </c>
      <c r="C40" s="13"/>
      <c r="E40" s="13"/>
      <c r="F40" s="13"/>
      <c r="H40" s="13"/>
      <c r="I40" s="13"/>
      <c r="J40" s="13"/>
      <c r="K40" s="13"/>
    </row>
    <row r="41" spans="1:14" ht="12.6">
      <c r="A41" s="13"/>
      <c r="B41" s="13"/>
      <c r="C41" s="13"/>
      <c r="E41" s="13"/>
      <c r="F41" s="13"/>
      <c r="H41" s="13"/>
      <c r="I41" s="13"/>
      <c r="J41" s="13"/>
      <c r="K41" s="13"/>
    </row>
    <row r="42" spans="1:14" ht="12.6">
      <c r="A42" s="13" t="s">
        <v>14</v>
      </c>
      <c r="B42" s="48">
        <v>3588278</v>
      </c>
      <c r="C42" s="13"/>
      <c r="E42" s="13" t="s">
        <v>14</v>
      </c>
      <c r="F42" s="13">
        <f>SUM(F25:F39)</f>
        <v>855256</v>
      </c>
      <c r="H42" s="13"/>
      <c r="I42" s="13"/>
      <c r="J42" s="13"/>
      <c r="K42" s="13"/>
    </row>
    <row r="43" spans="1:14" ht="12.6">
      <c r="A43" s="13"/>
      <c r="B43" s="365">
        <f>B42/SUM(B42,F42,I26)</f>
        <v>0.77660219145873033</v>
      </c>
      <c r="C43" s="13"/>
      <c r="E43" s="13"/>
      <c r="F43" s="365">
        <f>F42/SUM(B42,F42,I26)</f>
        <v>0.18510095479174909</v>
      </c>
      <c r="H43" s="13"/>
      <c r="I43" s="13"/>
      <c r="J43" s="13"/>
      <c r="K43" s="13"/>
    </row>
    <row r="44" spans="1:14" ht="12.6">
      <c r="A44" s="13" t="s">
        <v>1239</v>
      </c>
      <c r="B44" s="48">
        <f>SUM(B42,F42)</f>
        <v>4443534</v>
      </c>
      <c r="C44" s="13"/>
      <c r="E44" s="13"/>
      <c r="F44" s="13"/>
      <c r="H44" s="13"/>
      <c r="I44" s="13"/>
      <c r="J44" s="13"/>
      <c r="K44" s="13"/>
    </row>
    <row r="47" spans="1:14" ht="12.95">
      <c r="A47" s="57" t="s">
        <v>1240</v>
      </c>
      <c r="B47" s="51" t="s">
        <v>1222</v>
      </c>
      <c r="C47" s="51" t="s">
        <v>697</v>
      </c>
      <c r="D47" s="51" t="s">
        <v>1241</v>
      </c>
      <c r="E47" s="51"/>
      <c r="F47" s="57" t="s">
        <v>1242</v>
      </c>
      <c r="G47" s="51" t="s">
        <v>1222</v>
      </c>
      <c r="H47" s="51" t="s">
        <v>697</v>
      </c>
      <c r="I47" s="51" t="s">
        <v>1241</v>
      </c>
      <c r="J47" s="51"/>
      <c r="K47" s="51" t="s">
        <v>1243</v>
      </c>
      <c r="L47" s="51" t="s">
        <v>1222</v>
      </c>
      <c r="M47" s="51" t="s">
        <v>697</v>
      </c>
      <c r="N47" s="51" t="s">
        <v>1244</v>
      </c>
    </row>
    <row r="48" spans="1:14" ht="12.6">
      <c r="A48" s="13" t="s">
        <v>40</v>
      </c>
      <c r="B48" s="48">
        <v>2677453</v>
      </c>
      <c r="C48" s="13">
        <f>(C12)*(B48/SUM(B48,(B51/2)))</f>
        <v>28642895868.169838</v>
      </c>
      <c r="D48" s="74">
        <f t="shared" ref="D48:D53" si="0">C48/B48</f>
        <v>10697.814627621787</v>
      </c>
      <c r="E48" s="13"/>
      <c r="F48" s="13" t="s">
        <v>40</v>
      </c>
      <c r="G48" s="48">
        <v>112736</v>
      </c>
      <c r="H48" s="13">
        <f>(C13)*(G48/SUM(G48,(G51/2)))</f>
        <v>1799698276.4780474</v>
      </c>
      <c r="I48" s="74">
        <f t="shared" ref="I48:I53" si="1">H48/G48</f>
        <v>15963.829446477144</v>
      </c>
      <c r="J48" s="13"/>
      <c r="K48" s="13" t="s">
        <v>40</v>
      </c>
      <c r="L48" s="48">
        <v>158584</v>
      </c>
      <c r="M48" s="74">
        <f>C14</f>
        <v>194722222.22222167</v>
      </c>
      <c r="N48" s="74">
        <f>M48/L48</f>
        <v>1227.8806324863899</v>
      </c>
    </row>
    <row r="49" spans="1:9" ht="12.6">
      <c r="A49" s="13" t="s">
        <v>41</v>
      </c>
      <c r="B49" s="48">
        <v>266300</v>
      </c>
      <c r="C49" s="13">
        <f>(D12)*(B49/SUM(B49,(B52/2)))</f>
        <v>3528861883.2520308</v>
      </c>
      <c r="D49" s="74">
        <f t="shared" si="0"/>
        <v>13251.452809808603</v>
      </c>
      <c r="E49" s="13"/>
      <c r="F49" s="13" t="s">
        <v>41</v>
      </c>
      <c r="G49" s="48">
        <v>549068</v>
      </c>
      <c r="H49" s="13">
        <f>(D13)*(G49/SUM(G49,(G52/2)))</f>
        <v>8617295972.7253113</v>
      </c>
      <c r="I49" s="74">
        <f t="shared" si="1"/>
        <v>15694.405743414862</v>
      </c>
    </row>
    <row r="50" spans="1:9" ht="12.6">
      <c r="A50" s="13" t="s">
        <v>223</v>
      </c>
      <c r="B50" s="48">
        <v>13111</v>
      </c>
      <c r="C50" s="74">
        <f>B12</f>
        <v>34999999.999999903</v>
      </c>
      <c r="D50" s="74">
        <f t="shared" si="0"/>
        <v>2669.5141484249793</v>
      </c>
      <c r="E50" s="13"/>
      <c r="F50" s="13" t="s">
        <v>223</v>
      </c>
      <c r="G50" s="13">
        <v>831</v>
      </c>
      <c r="H50" s="74">
        <f>B13</f>
        <v>0</v>
      </c>
      <c r="I50" s="74">
        <f t="shared" si="1"/>
        <v>0</v>
      </c>
    </row>
    <row r="51" spans="1:9" ht="12.6">
      <c r="A51" s="13" t="s">
        <v>1245</v>
      </c>
      <c r="B51" s="48">
        <v>50092</v>
      </c>
      <c r="C51" s="74">
        <f>(C12)-C48</f>
        <v>267937465.163414</v>
      </c>
      <c r="D51" s="74">
        <f t="shared" si="0"/>
        <v>5348.9073138108679</v>
      </c>
      <c r="E51" s="13"/>
      <c r="F51" s="13" t="s">
        <v>1245</v>
      </c>
      <c r="G51" s="13">
        <v>3</v>
      </c>
      <c r="H51" s="74">
        <f>(C13)-H48</f>
        <v>23945.744169712067</v>
      </c>
      <c r="I51" s="74">
        <f t="shared" si="1"/>
        <v>7981.9147232373552</v>
      </c>
    </row>
    <row r="52" spans="1:9" ht="12.6">
      <c r="A52" s="13" t="s">
        <v>1246</v>
      </c>
      <c r="B52" s="13">
        <v>46</v>
      </c>
      <c r="C52" s="74">
        <f>(D12)-C49</f>
        <v>304783.41462564468</v>
      </c>
      <c r="D52" s="74">
        <f t="shared" si="0"/>
        <v>6625.7264049053192</v>
      </c>
      <c r="E52" s="13"/>
      <c r="F52" s="13" t="s">
        <v>1246</v>
      </c>
      <c r="G52" s="13">
        <v>26</v>
      </c>
      <c r="H52" s="74">
        <f>(D13)-H49</f>
        <v>204027.27466392517</v>
      </c>
      <c r="I52" s="74">
        <f t="shared" si="1"/>
        <v>7847.2028716894292</v>
      </c>
    </row>
    <row r="53" spans="1:9" ht="12.6">
      <c r="A53" s="13" t="s">
        <v>1247</v>
      </c>
      <c r="B53" s="13">
        <v>649</v>
      </c>
      <c r="C53" s="74">
        <f>E12</f>
        <v>26111111.111111037</v>
      </c>
      <c r="D53" s="74">
        <f t="shared" si="0"/>
        <v>40232.836843006218</v>
      </c>
      <c r="E53" s="13"/>
      <c r="F53" s="13" t="s">
        <v>1247</v>
      </c>
      <c r="G53" s="13">
        <v>227</v>
      </c>
      <c r="H53" s="74">
        <f>E13</f>
        <v>8611111.1111110877</v>
      </c>
      <c r="I53" s="74">
        <f t="shared" si="1"/>
        <v>37934.410181106112</v>
      </c>
    </row>
    <row r="54" spans="1:9" ht="12.6">
      <c r="A54" s="13" t="s">
        <v>1248</v>
      </c>
      <c r="B54" s="13">
        <v>699</v>
      </c>
      <c r="C54" s="13"/>
      <c r="D54" s="13"/>
      <c r="E54" s="13"/>
      <c r="F54" s="13" t="s">
        <v>1249</v>
      </c>
      <c r="G54" s="13">
        <v>7</v>
      </c>
      <c r="H54" s="13"/>
      <c r="I54" s="13"/>
    </row>
    <row r="55" spans="1:9" ht="12.6">
      <c r="A55" s="13" t="s">
        <v>1249</v>
      </c>
      <c r="B55" s="13">
        <v>11</v>
      </c>
      <c r="C55" s="13"/>
      <c r="D55" s="13"/>
      <c r="E55" s="13"/>
      <c r="F55" s="13" t="s">
        <v>1250</v>
      </c>
      <c r="G55" s="13">
        <v>19</v>
      </c>
      <c r="H55" s="13"/>
      <c r="I55" s="13"/>
    </row>
    <row r="56" spans="1:9" ht="12.6">
      <c r="A56" s="13" t="s">
        <v>1251</v>
      </c>
      <c r="B56" s="48">
        <v>4001</v>
      </c>
      <c r="C56" s="13"/>
      <c r="D56" s="13"/>
      <c r="E56" s="13"/>
      <c r="F56" s="13" t="s">
        <v>1246</v>
      </c>
      <c r="G56" s="13">
        <v>1</v>
      </c>
      <c r="H56" s="13"/>
      <c r="I56" s="13"/>
    </row>
    <row r="57" spans="1:9" ht="12.6">
      <c r="A57" s="13" t="s">
        <v>1252</v>
      </c>
      <c r="B57" s="13">
        <v>20</v>
      </c>
      <c r="C57" s="13"/>
      <c r="D57" s="13"/>
      <c r="E57" s="13"/>
      <c r="F57" s="13" t="s">
        <v>63</v>
      </c>
      <c r="G57" s="13">
        <v>9</v>
      </c>
      <c r="H57" s="13"/>
      <c r="I57" s="13"/>
    </row>
    <row r="58" spans="1:9" ht="12.6">
      <c r="A58" s="13" t="s">
        <v>1253</v>
      </c>
      <c r="B58" s="13">
        <v>401</v>
      </c>
      <c r="C58" s="13"/>
      <c r="D58" s="13"/>
      <c r="E58" s="13"/>
      <c r="F58" s="13"/>
      <c r="G58" s="13"/>
      <c r="H58" s="13"/>
      <c r="I58" s="13"/>
    </row>
    <row r="59" spans="1:9" ht="12.6">
      <c r="A59" s="13" t="s">
        <v>1254</v>
      </c>
      <c r="B59" s="13">
        <v>2</v>
      </c>
      <c r="C59" s="13"/>
      <c r="D59" s="13"/>
      <c r="E59" s="13"/>
      <c r="F59" s="13"/>
      <c r="G59" s="13"/>
      <c r="H59" s="13"/>
      <c r="I59" s="13"/>
    </row>
    <row r="60" spans="1:9" ht="12.6">
      <c r="A60" s="13" t="s">
        <v>1255</v>
      </c>
      <c r="B60" s="13">
        <v>2</v>
      </c>
      <c r="C60" s="13"/>
      <c r="D60" s="13"/>
      <c r="E60" s="13"/>
      <c r="F60" s="13"/>
      <c r="G60" s="13"/>
      <c r="H60" s="13"/>
      <c r="I60" s="13"/>
    </row>
    <row r="61" spans="1:9" ht="12.6">
      <c r="A61" s="13" t="s">
        <v>1250</v>
      </c>
      <c r="B61" s="13">
        <v>2</v>
      </c>
      <c r="C61" s="13"/>
      <c r="D61" s="13"/>
      <c r="E61" s="13"/>
      <c r="F61" s="13"/>
      <c r="G61" s="13"/>
      <c r="H61" s="13"/>
      <c r="I61" s="13"/>
    </row>
    <row r="62" spans="1:9" ht="12.6">
      <c r="A62" s="13" t="s">
        <v>63</v>
      </c>
      <c r="B62" s="13">
        <v>27</v>
      </c>
      <c r="C62" s="13"/>
      <c r="D62" s="13"/>
      <c r="E62" s="13"/>
      <c r="F62" s="13"/>
      <c r="G62" s="13"/>
      <c r="H62" s="13"/>
      <c r="I62" s="13"/>
    </row>
    <row r="63" spans="1:9" ht="12.6">
      <c r="A63" s="13"/>
      <c r="B63" s="13"/>
      <c r="C63" s="13"/>
      <c r="D63" s="13"/>
      <c r="E63" s="13"/>
      <c r="F63" s="13"/>
      <c r="G63" s="13"/>
      <c r="H63" s="13"/>
      <c r="I63" s="13"/>
    </row>
    <row r="64" spans="1:9" ht="12.6">
      <c r="A64" s="13" t="s">
        <v>14</v>
      </c>
      <c r="B64" s="48">
        <f>SUM(B48:B62)</f>
        <v>3012816</v>
      </c>
      <c r="C64" s="13"/>
      <c r="D64" s="13"/>
      <c r="E64" s="13"/>
      <c r="F64" s="13" t="s">
        <v>14</v>
      </c>
      <c r="G64" s="48">
        <f>SUM(G48:G59)</f>
        <v>662927</v>
      </c>
      <c r="H64" s="13"/>
      <c r="I64" s="13"/>
    </row>
    <row r="66" spans="1:7" ht="12.6">
      <c r="A66" s="9" t="s">
        <v>1239</v>
      </c>
      <c r="B66" s="319">
        <f>SUM(B64,G64)</f>
        <v>3675743</v>
      </c>
      <c r="C66" s="9">
        <f>1900000*1.8</f>
        <v>3420000</v>
      </c>
    </row>
    <row r="69" spans="1:7" ht="12.6">
      <c r="A69" s="47" t="s">
        <v>1256</v>
      </c>
      <c r="B69" s="47" t="s">
        <v>36</v>
      </c>
      <c r="C69" s="47" t="s">
        <v>40</v>
      </c>
      <c r="D69" s="47" t="s">
        <v>41</v>
      </c>
      <c r="E69" s="47" t="s">
        <v>1247</v>
      </c>
      <c r="F69" s="47" t="s">
        <v>14</v>
      </c>
      <c r="G69" s="47" t="s">
        <v>1257</v>
      </c>
    </row>
    <row r="70" spans="1:7" ht="12.6">
      <c r="A70" s="9" t="s">
        <v>1216</v>
      </c>
      <c r="B70" s="143">
        <f>(D50*B50)/SUM(B48:B53)</f>
        <v>11.636988467079426</v>
      </c>
      <c r="C70" s="143">
        <f>(D48*B48)/SUM(B48:B53)</f>
        <v>9523.3442537614355</v>
      </c>
      <c r="D70" s="143">
        <f>(D49*B49)/SUM(B48:B53)</f>
        <v>1173.295001066291</v>
      </c>
      <c r="E70" s="143">
        <f>(D53*B53)/SUM(B48:B53)</f>
        <v>8.681562824646555</v>
      </c>
      <c r="F70" s="143">
        <f t="shared" ref="F70:F72" si="2">SUM(B70:E70)</f>
        <v>10716.957806119453</v>
      </c>
      <c r="G70" s="366">
        <f>B43</f>
        <v>0.77660219145873033</v>
      </c>
    </row>
    <row r="71" spans="1:7" ht="12.6">
      <c r="A71" s="9" t="s">
        <v>1258</v>
      </c>
      <c r="B71" s="143">
        <f>(I50*G50)/SUM(G48:G53)</f>
        <v>0</v>
      </c>
      <c r="C71" s="143">
        <f>(I48*G48)/SUM(G48:G53)</f>
        <v>2714.9233832983814</v>
      </c>
      <c r="D71" s="143">
        <f>(I49*G49)/SUM(G48:G53)</f>
        <v>12999.567006831156</v>
      </c>
      <c r="E71" s="143">
        <f>(I53*G53)/SUM(G48:G53)</f>
        <v>12.990236873197988</v>
      </c>
      <c r="F71" s="143">
        <f t="shared" si="2"/>
        <v>15727.480627002735</v>
      </c>
      <c r="G71" s="366">
        <f>F43</f>
        <v>0.18510095479174909</v>
      </c>
    </row>
    <row r="72" spans="1:7" ht="12.6">
      <c r="A72" s="9" t="s">
        <v>1259</v>
      </c>
      <c r="B72" s="9">
        <v>0</v>
      </c>
      <c r="C72" s="143">
        <f>N48</f>
        <v>1227.8806324863899</v>
      </c>
      <c r="D72" s="9">
        <v>0</v>
      </c>
      <c r="E72" s="9">
        <v>0</v>
      </c>
      <c r="F72" s="143">
        <f t="shared" si="2"/>
        <v>1227.8806324863899</v>
      </c>
      <c r="G72" s="366">
        <f>I28</f>
        <v>3.8296853749520611E-2</v>
      </c>
    </row>
    <row r="73" spans="1:7" ht="12.6">
      <c r="A73" s="9"/>
      <c r="B73" s="9"/>
      <c r="C73" s="9"/>
      <c r="D73" s="9"/>
      <c r="E73" s="9"/>
      <c r="F73" s="9"/>
      <c r="G73" s="9"/>
    </row>
    <row r="74" spans="1:7" ht="12.6">
      <c r="A74" s="9" t="s">
        <v>1256</v>
      </c>
      <c r="B74" s="260">
        <f ca="1">IFERROR(__xludf.DUMMYFUNCTION("AVERAGE.WEIGHTED(B70:B72,$G$70:$G$72)"),9.03731074551385)</f>
        <v>9.0373107455138495</v>
      </c>
      <c r="C74" s="260">
        <f ca="1">IFERROR(__xludf.DUMMYFUNCTION("AVERAGE.WEIGHTED(C70:C72,$G$70:$G$72)"),7945.40889292621)</f>
        <v>7945.4088929262098</v>
      </c>
      <c r="D74" s="260">
        <f ca="1">IFERROR(__xludf.DUMMYFUNCTION("AVERAGE.WEIGHTED(D70:D72,$G$70:$G$72)"),3317.41573389942)</f>
        <v>3317.41573389942</v>
      </c>
      <c r="E74" s="260">
        <f ca="1">IFERROR(__xludf.DUMMYFUNCTION("AVERAGE.WEIGHTED(E70:E72,$G$70:$G$72)"),9.14662596310709)</f>
        <v>9.1466259631070894</v>
      </c>
      <c r="F74" s="143">
        <f ca="1">SUM(B74:E74)</f>
        <v>11281.008563534249</v>
      </c>
      <c r="G74" s="9"/>
    </row>
    <row r="84" spans="1:16" ht="12.6">
      <c r="A84" s="473" t="s">
        <v>1260</v>
      </c>
    </row>
    <row r="85" spans="1:16" ht="16.5">
      <c r="A85" s="367" t="s">
        <v>1261</v>
      </c>
      <c r="B85" s="368"/>
      <c r="F85" s="300" t="s">
        <v>1262</v>
      </c>
      <c r="G85" s="298"/>
      <c r="H85" s="298"/>
    </row>
    <row r="86" spans="1:16" ht="14.45">
      <c r="A86" s="598" t="s">
        <v>1263</v>
      </c>
      <c r="B86" s="615"/>
      <c r="F86" s="616" t="s">
        <v>1264</v>
      </c>
      <c r="G86" s="615"/>
      <c r="H86" s="298"/>
      <c r="K86" s="10" t="s">
        <v>1265</v>
      </c>
      <c r="L86" s="10">
        <f>Misc!B2*Misc!B4</f>
        <v>3456540</v>
      </c>
    </row>
    <row r="87" spans="1:16" ht="14.45">
      <c r="A87" s="368"/>
      <c r="B87" s="368"/>
      <c r="F87" s="487"/>
      <c r="G87" s="487"/>
      <c r="H87" s="487"/>
      <c r="K87" s="10" t="s">
        <v>1266</v>
      </c>
      <c r="L87" s="91">
        <f>L91</f>
        <v>2948795</v>
      </c>
    </row>
    <row r="88" spans="1:16" ht="12.6">
      <c r="A88" s="599" t="s">
        <v>1267</v>
      </c>
      <c r="B88" s="617"/>
      <c r="C88" s="473" t="s">
        <v>1268</v>
      </c>
      <c r="F88" s="600" t="s">
        <v>1267</v>
      </c>
      <c r="G88" s="618"/>
      <c r="H88" s="619"/>
      <c r="K88" s="10" t="s">
        <v>1269</v>
      </c>
      <c r="L88" s="91">
        <f>L86-L87</f>
        <v>507745</v>
      </c>
    </row>
    <row r="89" spans="1:16" ht="14.45">
      <c r="A89" s="370" t="s">
        <v>14</v>
      </c>
      <c r="B89" s="488">
        <v>5674083</v>
      </c>
      <c r="F89" s="489"/>
      <c r="G89" s="490" t="s">
        <v>1270</v>
      </c>
      <c r="H89" s="491">
        <v>2690</v>
      </c>
    </row>
    <row r="90" spans="1:16" ht="14.45">
      <c r="A90" s="371" t="s">
        <v>1271</v>
      </c>
      <c r="B90" s="492">
        <v>3057</v>
      </c>
      <c r="F90" s="489"/>
      <c r="G90" s="490" t="s">
        <v>1272</v>
      </c>
      <c r="H90" s="491">
        <v>7651</v>
      </c>
      <c r="K90" s="372" t="s">
        <v>1267</v>
      </c>
      <c r="L90" s="10">
        <v>2021</v>
      </c>
      <c r="M90" s="10" t="s">
        <v>1273</v>
      </c>
      <c r="N90" s="318" t="s">
        <v>1274</v>
      </c>
      <c r="O90" s="10" t="s">
        <v>1275</v>
      </c>
    </row>
    <row r="91" spans="1:16" ht="14.45">
      <c r="A91" s="371" t="s">
        <v>1272</v>
      </c>
      <c r="B91" s="492">
        <v>8397</v>
      </c>
      <c r="F91" s="489"/>
      <c r="G91" s="490" t="s">
        <v>1276</v>
      </c>
      <c r="H91" s="491">
        <v>31774</v>
      </c>
      <c r="K91" s="369" t="s">
        <v>1277</v>
      </c>
      <c r="L91" s="10">
        <v>2948795</v>
      </c>
      <c r="M91" s="135">
        <f t="shared" ref="M91:M101" si="3">L91/$L$102</f>
        <v>0.6467462716290695</v>
      </c>
      <c r="O91" s="135">
        <f t="shared" ref="O91:O93" si="4">L91/SUM($L$91:$L$93)</f>
        <v>0.98552853435469123</v>
      </c>
    </row>
    <row r="92" spans="1:16" ht="14.45">
      <c r="A92" s="371" t="s">
        <v>1278</v>
      </c>
      <c r="B92" s="492">
        <v>34168</v>
      </c>
      <c r="F92" s="489"/>
      <c r="G92" s="490" t="s">
        <v>1279</v>
      </c>
      <c r="H92" s="491">
        <v>765655</v>
      </c>
      <c r="K92" s="369" t="s">
        <v>1280</v>
      </c>
      <c r="L92" s="10">
        <v>26560</v>
      </c>
      <c r="M92" s="135">
        <f t="shared" si="3"/>
        <v>5.8252882870691537E-3</v>
      </c>
      <c r="O92" s="135">
        <f t="shared" si="4"/>
        <v>8.8767234997551882E-3</v>
      </c>
    </row>
    <row r="93" spans="1:16" ht="14.45">
      <c r="A93" s="371" t="s">
        <v>1281</v>
      </c>
      <c r="B93" s="492">
        <v>855256</v>
      </c>
      <c r="C93" s="10">
        <f>B93/SUM(B93,B99,B96,B98)</f>
        <v>0.18382201382400626</v>
      </c>
      <c r="F93" s="489"/>
      <c r="G93" s="490" t="s">
        <v>1282</v>
      </c>
      <c r="H93" s="491">
        <v>132</v>
      </c>
      <c r="K93" s="369" t="s">
        <v>1283</v>
      </c>
      <c r="L93" s="10">
        <v>16740</v>
      </c>
      <c r="M93" s="135">
        <f t="shared" si="3"/>
        <v>3.6715107652687362E-3</v>
      </c>
      <c r="O93" s="135">
        <f t="shared" si="4"/>
        <v>5.5947421455535334E-3</v>
      </c>
      <c r="P93" s="135">
        <f>SUM(O92:O93)</f>
        <v>1.4471465645308722E-2</v>
      </c>
    </row>
    <row r="94" spans="1:16" ht="14.45">
      <c r="A94" s="371" t="s">
        <v>1284</v>
      </c>
      <c r="B94" s="493">
        <v>179</v>
      </c>
      <c r="F94" s="489"/>
      <c r="G94" s="490" t="s">
        <v>1285</v>
      </c>
      <c r="H94" s="491">
        <v>22321</v>
      </c>
      <c r="K94" s="369" t="s">
        <v>1286</v>
      </c>
      <c r="L94" s="10">
        <v>694257</v>
      </c>
      <c r="M94" s="135">
        <f t="shared" si="3"/>
        <v>0.15226834225586483</v>
      </c>
    </row>
    <row r="95" spans="1:16" ht="14.45">
      <c r="A95" s="371" t="s">
        <v>1287</v>
      </c>
      <c r="B95" s="492">
        <v>25502</v>
      </c>
      <c r="F95" s="489"/>
      <c r="G95" s="490" t="s">
        <v>1288</v>
      </c>
      <c r="H95" s="491">
        <v>31770</v>
      </c>
      <c r="K95" s="369" t="s">
        <v>1289</v>
      </c>
      <c r="L95" s="10">
        <v>27821</v>
      </c>
      <c r="M95" s="135">
        <f t="shared" si="3"/>
        <v>6.1018578853370082E-3</v>
      </c>
    </row>
    <row r="96" spans="1:16" ht="14.45">
      <c r="A96" s="371" t="s">
        <v>1290</v>
      </c>
      <c r="B96" s="492">
        <v>32147</v>
      </c>
      <c r="F96" s="489"/>
      <c r="G96" s="490" t="s">
        <v>1291</v>
      </c>
      <c r="H96" s="491">
        <v>46673</v>
      </c>
      <c r="K96" s="369" t="s">
        <v>1292</v>
      </c>
      <c r="L96" s="10">
        <v>633068</v>
      </c>
      <c r="M96" s="135">
        <f t="shared" si="3"/>
        <v>0.13884802730867074</v>
      </c>
    </row>
    <row r="97" spans="1:16" ht="14.45">
      <c r="A97" s="371" t="s">
        <v>1293</v>
      </c>
      <c r="B97" s="492">
        <v>50056</v>
      </c>
      <c r="F97" s="489"/>
      <c r="G97" s="490" t="s">
        <v>1218</v>
      </c>
      <c r="H97" s="491">
        <v>158584</v>
      </c>
      <c r="K97" s="369" t="s">
        <v>1294</v>
      </c>
      <c r="L97" s="10">
        <v>83905</v>
      </c>
      <c r="M97" s="135">
        <f t="shared" si="3"/>
        <v>1.8402515577053365E-2</v>
      </c>
    </row>
    <row r="98" spans="1:16" ht="14.45">
      <c r="A98" s="371" t="s">
        <v>1295</v>
      </c>
      <c r="B98" s="492">
        <v>176950</v>
      </c>
      <c r="C98" s="10">
        <f>(SUM(B98,B96))/SUM(B93,B99,B96,B98)</f>
        <v>4.4941668488216666E-2</v>
      </c>
      <c r="F98" s="489"/>
      <c r="G98" s="490" t="s">
        <v>1296</v>
      </c>
      <c r="H98" s="491">
        <v>3464409</v>
      </c>
      <c r="K98" s="369" t="s">
        <v>1297</v>
      </c>
      <c r="L98" s="10">
        <v>16370</v>
      </c>
      <c r="M98" s="135">
        <f t="shared" si="3"/>
        <v>3.5903602883780891E-3</v>
      </c>
    </row>
    <row r="99" spans="1:16" ht="14.45">
      <c r="A99" s="371" t="s">
        <v>1298</v>
      </c>
      <c r="B99" s="492">
        <v>3588278</v>
      </c>
      <c r="C99" s="10">
        <f>B99/SUM(B93,B99,B96,B98)</f>
        <v>0.77123631768777712</v>
      </c>
      <c r="F99" s="489"/>
      <c r="G99" s="490" t="s">
        <v>1299</v>
      </c>
      <c r="H99" s="491">
        <v>3253</v>
      </c>
      <c r="K99" s="369" t="s">
        <v>1300</v>
      </c>
      <c r="L99" s="10">
        <v>34556</v>
      </c>
      <c r="M99" s="135">
        <f t="shared" si="3"/>
        <v>7.5790158903600033E-3</v>
      </c>
    </row>
    <row r="100" spans="1:16" ht="14.45">
      <c r="A100" s="371" t="s">
        <v>1301</v>
      </c>
      <c r="B100" s="492">
        <v>3379</v>
      </c>
      <c r="F100" s="489"/>
      <c r="G100" s="490" t="s">
        <v>1302</v>
      </c>
      <c r="H100" s="491">
        <v>46020</v>
      </c>
      <c r="K100" s="369" t="s">
        <v>1303</v>
      </c>
      <c r="L100" s="10">
        <v>22086</v>
      </c>
      <c r="M100" s="135">
        <f t="shared" si="3"/>
        <v>4.8440254935319784E-3</v>
      </c>
    </row>
    <row r="101" spans="1:16" ht="14.45">
      <c r="A101" s="371" t="s">
        <v>1304</v>
      </c>
      <c r="B101" s="492">
        <v>46912</v>
      </c>
      <c r="F101" s="489"/>
      <c r="G101" s="490" t="s">
        <v>1305</v>
      </c>
      <c r="H101" s="491">
        <v>1030</v>
      </c>
      <c r="K101" s="369" t="s">
        <v>1306</v>
      </c>
      <c r="L101" s="10">
        <v>55273</v>
      </c>
      <c r="M101" s="135">
        <f t="shared" si="3"/>
        <v>1.2122784619396587E-2</v>
      </c>
    </row>
    <row r="102" spans="1:16" ht="14.45">
      <c r="A102" s="371" t="s">
        <v>1307</v>
      </c>
      <c r="B102" s="492">
        <v>1014</v>
      </c>
      <c r="F102" s="373"/>
      <c r="G102" s="374" t="s">
        <v>1308</v>
      </c>
      <c r="H102" s="375">
        <v>784485</v>
      </c>
      <c r="K102" s="376" t="s">
        <v>1309</v>
      </c>
      <c r="L102" s="332">
        <v>4559431</v>
      </c>
    </row>
    <row r="103" spans="1:16" ht="14.45">
      <c r="A103" s="371" t="s">
        <v>1310</v>
      </c>
      <c r="B103" s="492">
        <v>848788</v>
      </c>
      <c r="F103" s="494"/>
      <c r="G103" s="495" t="s">
        <v>14</v>
      </c>
      <c r="H103" s="495">
        <v>5366447</v>
      </c>
    </row>
    <row r="106" spans="1:16" ht="14.45">
      <c r="A106" s="296"/>
      <c r="B106" s="296"/>
      <c r="C106" s="296"/>
      <c r="D106" s="296"/>
      <c r="E106" s="296"/>
      <c r="F106" s="296"/>
      <c r="G106" s="377"/>
      <c r="H106" s="377"/>
      <c r="I106" s="296"/>
      <c r="J106" s="296"/>
      <c r="K106" s="296"/>
      <c r="L106" s="296"/>
      <c r="M106" s="378"/>
      <c r="N106" s="377"/>
      <c r="O106" s="296"/>
      <c r="P106" s="379"/>
    </row>
    <row r="107" spans="1:16" ht="12.6">
      <c r="B107" s="10" t="s">
        <v>1311</v>
      </c>
    </row>
    <row r="108" spans="1:16" ht="12.6">
      <c r="A108" s="10" t="s">
        <v>1312</v>
      </c>
      <c r="B108" s="10">
        <f>Machines!I259</f>
        <v>11000</v>
      </c>
    </row>
    <row r="110" spans="1:16" ht="12.6">
      <c r="A110" s="10" t="s">
        <v>1313</v>
      </c>
      <c r="B110" s="10" t="s">
        <v>1314</v>
      </c>
      <c r="C110" s="10" t="s">
        <v>914</v>
      </c>
      <c r="D110" s="10" t="s">
        <v>75</v>
      </c>
    </row>
    <row r="111" spans="1:16" ht="12.6">
      <c r="A111" s="10" t="s">
        <v>1315</v>
      </c>
      <c r="B111" s="50">
        <v>0.10100000000000001</v>
      </c>
      <c r="C111" s="50">
        <v>6.0999999999999999E-2</v>
      </c>
      <c r="D111" s="50"/>
    </row>
    <row r="112" spans="1:16" ht="12.6">
      <c r="A112" s="10" t="s">
        <v>1316</v>
      </c>
      <c r="B112" s="380">
        <v>0.16578443000000001</v>
      </c>
      <c r="C112" s="380">
        <v>0.10012723</v>
      </c>
      <c r="D112" s="381"/>
      <c r="E112" s="336" t="s">
        <v>1317</v>
      </c>
      <c r="F112" s="336"/>
    </row>
    <row r="113" spans="1:5" ht="12.6">
      <c r="A113" s="10" t="s">
        <v>1318</v>
      </c>
      <c r="B113" s="50">
        <f>B112/Misc!$B$85</f>
        <v>0.10301392496302833</v>
      </c>
      <c r="C113" s="50">
        <f>C112/Misc!$B$85</f>
        <v>6.2216330918264631E-2</v>
      </c>
      <c r="D113" s="50"/>
    </row>
    <row r="114" spans="1:5" ht="12.6">
      <c r="A114" s="10" t="s">
        <v>1319</v>
      </c>
      <c r="B114" s="50">
        <f t="shared" ref="B114:C114" si="5">B113*$B$108</f>
        <v>1133.1531745933116</v>
      </c>
      <c r="C114" s="50">
        <f t="shared" si="5"/>
        <v>684.37964010091093</v>
      </c>
      <c r="D114" s="50">
        <f t="shared" ref="D114:D115" si="6">B114-C114</f>
        <v>448.7735344924007</v>
      </c>
    </row>
    <row r="115" spans="1:5" ht="12.6">
      <c r="A115" s="10" t="s">
        <v>1320</v>
      </c>
      <c r="B115" s="50">
        <f t="shared" ref="B115:C115" si="7">B114*15</f>
        <v>16997.297618899676</v>
      </c>
      <c r="C115" s="50">
        <f t="shared" si="7"/>
        <v>10265.694601513664</v>
      </c>
      <c r="D115" s="50">
        <f t="shared" si="6"/>
        <v>6731.6030173860127</v>
      </c>
    </row>
    <row r="118" spans="1:5" ht="12.6">
      <c r="E118" s="382" t="s">
        <v>1321</v>
      </c>
    </row>
  </sheetData>
  <mergeCells count="4">
    <mergeCell ref="A86:B86"/>
    <mergeCell ref="F86:G86"/>
    <mergeCell ref="A88:B88"/>
    <mergeCell ref="F88:H88"/>
  </mergeCells>
  <hyperlinks>
    <hyperlink ref="A4" r:id="rId1" xr:uid="{00000000-0004-0000-0A00-000000000000}"/>
    <hyperlink ref="A84" r:id="rId2" xr:uid="{00000000-0004-0000-0A00-000001000000}"/>
    <hyperlink ref="C88" r:id="rId3" xr:uid="{00000000-0004-0000-0A00-000002000000}"/>
    <hyperlink ref="N90" r:id="rId4" location="oss" xr:uid="{00000000-0004-0000-0A00-000003000000}"/>
    <hyperlink ref="E118" r:id="rId5" xr:uid="{00000000-0004-0000-0A00-000004000000}"/>
  </hyperlinks>
  <pageMargins left="0.7" right="0.7" top="0.75" bottom="0.75" header="0.3" footer="0.3"/>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outlinePr summaryBelow="0" summaryRight="0"/>
  </sheetPr>
  <dimension ref="A3:T158"/>
  <sheetViews>
    <sheetView workbookViewId="0"/>
  </sheetViews>
  <sheetFormatPr defaultColWidth="12.5703125" defaultRowHeight="15.75" customHeight="1"/>
  <cols>
    <col min="1" max="1" width="17.140625" customWidth="1"/>
    <col min="15" max="15" width="16" customWidth="1"/>
  </cols>
  <sheetData>
    <row r="3" spans="1:14" ht="15.75" customHeight="1">
      <c r="A3" s="10" t="str">
        <f t="shared" ref="A3:A5" si="0">D4</f>
        <v>RAV4</v>
      </c>
      <c r="B3" s="10">
        <v>1</v>
      </c>
      <c r="C3" s="383" t="s">
        <v>1322</v>
      </c>
      <c r="D3" s="383" t="s">
        <v>1323</v>
      </c>
      <c r="E3" s="384">
        <v>2711</v>
      </c>
      <c r="F3" s="10" t="s">
        <v>1324</v>
      </c>
      <c r="H3" s="10" t="s">
        <v>1324</v>
      </c>
    </row>
    <row r="4" spans="1:14" ht="15.75" customHeight="1">
      <c r="A4" s="10" t="str">
        <f t="shared" si="0"/>
        <v>SWIFT</v>
      </c>
      <c r="B4" s="10">
        <v>2</v>
      </c>
      <c r="C4" s="298" t="s">
        <v>1135</v>
      </c>
      <c r="D4" s="298" t="s">
        <v>1136</v>
      </c>
      <c r="E4" s="385">
        <v>2436</v>
      </c>
      <c r="F4" s="10" t="s">
        <v>1324</v>
      </c>
      <c r="H4" s="10" t="str">
        <f t="shared" ref="H4:J4" si="1">C3</f>
        <v>TESLA</v>
      </c>
      <c r="I4" s="10" t="str">
        <f t="shared" si="1"/>
        <v>MODEL Y</v>
      </c>
      <c r="J4" s="332">
        <f t="shared" si="1"/>
        <v>2711</v>
      </c>
    </row>
    <row r="5" spans="1:14" ht="15.75" customHeight="1">
      <c r="A5" s="10" t="str">
        <f t="shared" si="0"/>
        <v>ZS</v>
      </c>
      <c r="B5" s="10">
        <v>3</v>
      </c>
      <c r="C5" s="298" t="s">
        <v>1129</v>
      </c>
      <c r="D5" s="298" t="s">
        <v>1130</v>
      </c>
      <c r="E5" s="385">
        <v>1998</v>
      </c>
      <c r="F5" s="10" t="s">
        <v>1325</v>
      </c>
      <c r="H5" s="10" t="str">
        <f t="shared" ref="H5:J5" si="2">C4</f>
        <v>TOYOTA</v>
      </c>
      <c r="I5" s="10" t="str">
        <f t="shared" si="2"/>
        <v>RAV4</v>
      </c>
      <c r="J5" s="332">
        <f t="shared" si="2"/>
        <v>2436</v>
      </c>
    </row>
    <row r="6" spans="1:14" ht="15.75" customHeight="1">
      <c r="A6" s="10" t="str">
        <f t="shared" ref="A6:A9" si="3">D8</f>
        <v>JAZZ</v>
      </c>
      <c r="B6" s="10">
        <v>4</v>
      </c>
      <c r="C6" s="298" t="s">
        <v>1152</v>
      </c>
      <c r="D6" s="298" t="s">
        <v>1153</v>
      </c>
      <c r="E6" s="385">
        <v>1990</v>
      </c>
      <c r="F6" s="10" t="s">
        <v>1324</v>
      </c>
      <c r="H6" s="10" t="str">
        <f t="shared" ref="H6:J6" si="4">C7</f>
        <v>BYD</v>
      </c>
      <c r="I6" s="10" t="str">
        <f t="shared" si="4"/>
        <v>ATTO 3</v>
      </c>
      <c r="J6" s="332">
        <f t="shared" si="4"/>
        <v>1687</v>
      </c>
    </row>
    <row r="7" spans="1:14" ht="15.75" customHeight="1">
      <c r="A7" s="10" t="str">
        <f t="shared" si="3"/>
        <v>OUTLANDER</v>
      </c>
      <c r="B7" s="10">
        <v>5</v>
      </c>
      <c r="C7" s="383" t="s">
        <v>1326</v>
      </c>
      <c r="D7" s="383" t="s">
        <v>1327</v>
      </c>
      <c r="E7" s="384">
        <v>1687</v>
      </c>
      <c r="F7" s="10" t="s">
        <v>1324</v>
      </c>
      <c r="H7" s="10" t="str">
        <f t="shared" ref="H7:J7" si="5">C9</f>
        <v>MITSUBISHI</v>
      </c>
      <c r="I7" s="10" t="str">
        <f t="shared" si="5"/>
        <v>OUTLANDER</v>
      </c>
      <c r="J7" s="332">
        <f t="shared" si="5"/>
        <v>1384</v>
      </c>
    </row>
    <row r="8" spans="1:14" ht="15.75" customHeight="1">
      <c r="A8" s="10" t="str">
        <f t="shared" si="3"/>
        <v>ECLIPSE CROSS</v>
      </c>
      <c r="B8" s="10">
        <v>6</v>
      </c>
      <c r="C8" s="298" t="s">
        <v>1132</v>
      </c>
      <c r="D8" s="298" t="s">
        <v>1133</v>
      </c>
      <c r="E8" s="385">
        <v>1668</v>
      </c>
      <c r="F8" s="10" t="s">
        <v>1325</v>
      </c>
      <c r="H8" s="10" t="str">
        <f t="shared" ref="H8:J8" si="6">C10</f>
        <v>MITSUBISHI</v>
      </c>
      <c r="I8" s="10" t="str">
        <f t="shared" si="6"/>
        <v>ECLIPSE CROSS</v>
      </c>
      <c r="J8" s="332">
        <f t="shared" si="6"/>
        <v>1350</v>
      </c>
    </row>
    <row r="9" spans="1:14" ht="15.75" customHeight="1">
      <c r="A9" s="10" t="str">
        <f t="shared" si="3"/>
        <v>RANGER</v>
      </c>
      <c r="B9" s="10">
        <v>7</v>
      </c>
      <c r="C9" s="298" t="s">
        <v>1138</v>
      </c>
      <c r="D9" s="298" t="s">
        <v>1139</v>
      </c>
      <c r="E9" s="385">
        <v>1384</v>
      </c>
      <c r="F9" s="10" t="s">
        <v>1324</v>
      </c>
      <c r="H9" s="10" t="str">
        <f t="shared" ref="H9:J9" si="7">C13</f>
        <v>KIA</v>
      </c>
      <c r="I9" s="10" t="str">
        <f t="shared" si="7"/>
        <v>SELTOS</v>
      </c>
      <c r="J9" s="332">
        <f t="shared" si="7"/>
        <v>1143</v>
      </c>
      <c r="M9" s="10" t="s">
        <v>1324</v>
      </c>
      <c r="N9" s="10">
        <f>SUMIF(F3:F27,"Mid-Size SUV",E3:E27)</f>
        <v>20887</v>
      </c>
    </row>
    <row r="10" spans="1:14" ht="15.75" customHeight="1">
      <c r="A10" s="10" t="str">
        <f>D13</f>
        <v>SELTOS</v>
      </c>
      <c r="B10" s="10">
        <v>8</v>
      </c>
      <c r="C10" s="298" t="s">
        <v>1138</v>
      </c>
      <c r="D10" s="298" t="s">
        <v>1141</v>
      </c>
      <c r="E10" s="385">
        <v>1350</v>
      </c>
      <c r="F10" s="10" t="s">
        <v>1324</v>
      </c>
      <c r="M10" s="10" t="s">
        <v>1325</v>
      </c>
      <c r="N10" s="10">
        <f>SUMIF(F3:F27,"Small",E3:E27)</f>
        <v>6204</v>
      </c>
    </row>
    <row r="11" spans="1:14" ht="15.75" customHeight="1">
      <c r="A11" s="10" t="str">
        <f>D15</f>
        <v>HILUX</v>
      </c>
      <c r="B11" s="10">
        <v>9</v>
      </c>
      <c r="C11" s="298" t="s">
        <v>1162</v>
      </c>
      <c r="D11" s="298" t="s">
        <v>1163</v>
      </c>
      <c r="E11" s="385">
        <v>1312</v>
      </c>
      <c r="F11" s="10" t="s">
        <v>1328</v>
      </c>
      <c r="M11" s="10" t="s">
        <v>1328</v>
      </c>
      <c r="N11" s="10">
        <f>SUMIF(F3:F27,"Ute",E3:E27)</f>
        <v>2446</v>
      </c>
    </row>
    <row r="12" spans="1:14" ht="15.75" customHeight="1">
      <c r="A12" s="10" t="str">
        <f>D18</f>
        <v>STONIC</v>
      </c>
      <c r="B12" s="10">
        <v>10</v>
      </c>
      <c r="C12" s="383" t="s">
        <v>1152</v>
      </c>
      <c r="D12" s="383" t="s">
        <v>1329</v>
      </c>
      <c r="E12" s="384">
        <v>1303</v>
      </c>
      <c r="F12" s="10" t="s">
        <v>1324</v>
      </c>
    </row>
    <row r="13" spans="1:14" ht="15.75" customHeight="1">
      <c r="A13" s="10" t="str">
        <f>D20</f>
        <v>TUCSON</v>
      </c>
      <c r="B13" s="10">
        <v>11</v>
      </c>
      <c r="C13" s="298" t="s">
        <v>1142</v>
      </c>
      <c r="D13" s="298" t="s">
        <v>1143</v>
      </c>
      <c r="E13" s="385">
        <v>1143</v>
      </c>
      <c r="F13" s="10" t="s">
        <v>1324</v>
      </c>
    </row>
    <row r="14" spans="1:14" ht="15.75" customHeight="1">
      <c r="A14" s="10" t="str">
        <f t="shared" ref="A14:A15" si="8">D22</f>
        <v>ASX</v>
      </c>
      <c r="B14" s="10">
        <v>12</v>
      </c>
      <c r="C14" s="298" t="s">
        <v>1135</v>
      </c>
      <c r="D14" s="298" t="s">
        <v>1330</v>
      </c>
      <c r="E14" s="385">
        <v>1137</v>
      </c>
      <c r="F14" s="10" t="s">
        <v>1324</v>
      </c>
    </row>
    <row r="15" spans="1:14" ht="15.75" customHeight="1">
      <c r="A15" s="10" t="str">
        <f t="shared" si="8"/>
        <v>KONA</v>
      </c>
      <c r="B15" s="10">
        <v>13</v>
      </c>
      <c r="C15" s="298" t="s">
        <v>1135</v>
      </c>
      <c r="D15" s="298" t="s">
        <v>1165</v>
      </c>
      <c r="E15" s="385">
        <v>1134</v>
      </c>
      <c r="F15" s="10" t="s">
        <v>1328</v>
      </c>
    </row>
    <row r="16" spans="1:14" ht="15.75" customHeight="1">
      <c r="A16" s="10" t="str">
        <f t="shared" ref="A16:A21" si="9">D27</f>
        <v>IGNIS</v>
      </c>
      <c r="B16" s="10">
        <v>14</v>
      </c>
      <c r="C16" s="298" t="s">
        <v>1135</v>
      </c>
      <c r="D16" s="298" t="s">
        <v>1331</v>
      </c>
      <c r="E16" s="385">
        <v>971</v>
      </c>
      <c r="F16" s="10" t="s">
        <v>1324</v>
      </c>
    </row>
    <row r="17" spans="1:16" ht="15.75" customHeight="1">
      <c r="A17" s="10" t="str">
        <f t="shared" si="9"/>
        <v>JIMNY</v>
      </c>
      <c r="B17" s="10">
        <v>15</v>
      </c>
      <c r="C17" s="298" t="s">
        <v>1135</v>
      </c>
      <c r="D17" s="298" t="s">
        <v>1332</v>
      </c>
      <c r="E17" s="385">
        <v>894</v>
      </c>
      <c r="F17" s="10" t="s">
        <v>1324</v>
      </c>
    </row>
    <row r="18" spans="1:16" ht="15.75" customHeight="1">
      <c r="A18" s="10" t="str">
        <f t="shared" si="9"/>
        <v>H6</v>
      </c>
      <c r="B18" s="10">
        <v>16</v>
      </c>
      <c r="C18" s="298" t="s">
        <v>1142</v>
      </c>
      <c r="D18" s="298" t="s">
        <v>1145</v>
      </c>
      <c r="E18" s="385">
        <v>764</v>
      </c>
      <c r="F18" s="10" t="s">
        <v>1324</v>
      </c>
      <c r="K18" s="10" t="s">
        <v>1125</v>
      </c>
      <c r="L18" s="10" t="s">
        <v>1333</v>
      </c>
      <c r="M18" s="10" t="s">
        <v>1334</v>
      </c>
      <c r="O18" s="10" t="s">
        <v>1335</v>
      </c>
    </row>
    <row r="19" spans="1:16" ht="15.75" customHeight="1">
      <c r="A19" s="10" t="str">
        <f t="shared" si="9"/>
        <v>SPORTAGE</v>
      </c>
      <c r="B19" s="10">
        <v>17</v>
      </c>
      <c r="C19" s="383" t="s">
        <v>1322</v>
      </c>
      <c r="D19" s="383" t="s">
        <v>1336</v>
      </c>
      <c r="E19" s="385">
        <v>683</v>
      </c>
      <c r="F19" s="10" t="s">
        <v>1325</v>
      </c>
      <c r="I19" s="10" t="str">
        <f t="shared" ref="I19:J19" si="10">C5</f>
        <v>SUZUKI</v>
      </c>
      <c r="J19" s="10" t="str">
        <f t="shared" si="10"/>
        <v>SWIFT</v>
      </c>
      <c r="K19" s="332">
        <f>E5+K48</f>
        <v>2618</v>
      </c>
      <c r="L19" s="27">
        <f>'Product prices'!D269</f>
        <v>0</v>
      </c>
      <c r="M19" s="91">
        <f>'Product prices'!E269</f>
        <v>0</v>
      </c>
      <c r="O19" s="10">
        <f>'Product prices'!H269</f>
        <v>0</v>
      </c>
      <c r="P19" s="27">
        <f>'Product prices'!I269</f>
        <v>0</v>
      </c>
    </row>
    <row r="20" spans="1:16" ht="15.75" customHeight="1">
      <c r="A20" s="10" t="str">
        <f t="shared" si="9"/>
        <v>VITARA</v>
      </c>
      <c r="B20" s="10">
        <v>18</v>
      </c>
      <c r="C20" s="298" t="s">
        <v>1146</v>
      </c>
      <c r="D20" s="298" t="s">
        <v>1147</v>
      </c>
      <c r="E20" s="385">
        <v>681</v>
      </c>
      <c r="F20" s="10" t="s">
        <v>1324</v>
      </c>
      <c r="I20" s="10" t="str">
        <f t="shared" ref="I20:J20" si="11">C8</f>
        <v>HONDA</v>
      </c>
      <c r="J20" s="10" t="str">
        <f t="shared" si="11"/>
        <v>JAZZ</v>
      </c>
      <c r="K20" s="332">
        <f>E8+K49</f>
        <v>2300</v>
      </c>
      <c r="L20" s="27">
        <v>31500</v>
      </c>
      <c r="O20" s="10">
        <f>'Product prices'!H272</f>
        <v>0</v>
      </c>
      <c r="P20" s="27">
        <f>'Product prices'!I272</f>
        <v>0</v>
      </c>
    </row>
    <row r="21" spans="1:16" ht="15.75" customHeight="1">
      <c r="A21" s="10" t="str">
        <f t="shared" si="9"/>
        <v>EVEREST</v>
      </c>
      <c r="B21" s="10">
        <v>19</v>
      </c>
      <c r="C21" s="298" t="s">
        <v>1135</v>
      </c>
      <c r="D21" s="298" t="s">
        <v>1337</v>
      </c>
      <c r="E21" s="385">
        <v>632</v>
      </c>
      <c r="F21" s="10" t="s">
        <v>1325</v>
      </c>
      <c r="L21" s="27"/>
    </row>
    <row r="22" spans="1:16" ht="15.75" customHeight="1">
      <c r="B22" s="10">
        <v>20</v>
      </c>
      <c r="C22" s="298" t="s">
        <v>1138</v>
      </c>
      <c r="D22" s="298" t="s">
        <v>1148</v>
      </c>
      <c r="E22" s="385">
        <v>621</v>
      </c>
      <c r="F22" s="10" t="s">
        <v>1324</v>
      </c>
      <c r="I22" s="10" t="str">
        <f t="shared" ref="I22:J22" si="12">C4</f>
        <v>TOYOTA</v>
      </c>
      <c r="J22" s="10" t="str">
        <f t="shared" si="12"/>
        <v>RAV4</v>
      </c>
      <c r="K22" s="10">
        <f>E4/2</f>
        <v>1218</v>
      </c>
      <c r="L22" s="27">
        <f>'Product prices'!D280</f>
        <v>0</v>
      </c>
      <c r="O22" s="10">
        <f>'Product prices'!H274</f>
        <v>0</v>
      </c>
      <c r="P22" s="27">
        <f>'Product prices'!I274</f>
        <v>0</v>
      </c>
    </row>
    <row r="23" spans="1:16" ht="15.75" customHeight="1">
      <c r="B23" s="10">
        <v>21</v>
      </c>
      <c r="C23" s="298" t="s">
        <v>1146</v>
      </c>
      <c r="D23" s="298" t="s">
        <v>1149</v>
      </c>
      <c r="E23" s="385">
        <v>620</v>
      </c>
      <c r="F23" s="10" t="s">
        <v>1324</v>
      </c>
      <c r="I23" s="10" t="str">
        <f t="shared" ref="I23:J23" si="13">C9</f>
        <v>MITSUBISHI</v>
      </c>
      <c r="J23" s="10" t="str">
        <f t="shared" si="13"/>
        <v>OUTLANDER</v>
      </c>
      <c r="K23" s="10">
        <f>E9/2</f>
        <v>692</v>
      </c>
      <c r="L23" s="27">
        <v>46990</v>
      </c>
      <c r="O23" s="10">
        <f>'Product prices'!H280</f>
        <v>0</v>
      </c>
      <c r="P23" s="27">
        <f>'Product prices'!I280</f>
        <v>0</v>
      </c>
    </row>
    <row r="24" spans="1:16" ht="15.75" customHeight="1">
      <c r="B24" s="10">
        <v>22</v>
      </c>
      <c r="C24" s="298" t="s">
        <v>1135</v>
      </c>
      <c r="D24" s="298" t="s">
        <v>1338</v>
      </c>
      <c r="E24" s="385">
        <v>620</v>
      </c>
      <c r="F24" s="10" t="s">
        <v>1325</v>
      </c>
      <c r="I24" s="10" t="str">
        <f t="shared" ref="I24:J24" si="14">C10</f>
        <v>MITSUBISHI</v>
      </c>
      <c r="J24" s="10" t="str">
        <f t="shared" si="14"/>
        <v>ECLIPSE CROSS</v>
      </c>
      <c r="K24" s="332">
        <f>E10+K52</f>
        <v>2321</v>
      </c>
      <c r="L24" s="27">
        <f>'Product prices'!D274</f>
        <v>0</v>
      </c>
      <c r="M24" s="10">
        <f>'Product prices'!E274</f>
        <v>0</v>
      </c>
      <c r="O24" s="10">
        <f>'Product prices'!H275</f>
        <v>0</v>
      </c>
      <c r="P24" s="27">
        <f>'Product prices'!I275</f>
        <v>0</v>
      </c>
    </row>
    <row r="25" spans="1:16" ht="15.75" customHeight="1">
      <c r="B25" s="10">
        <v>23</v>
      </c>
      <c r="C25" s="298" t="s">
        <v>1142</v>
      </c>
      <c r="D25" s="298" t="s">
        <v>1339</v>
      </c>
      <c r="E25" s="385">
        <v>603</v>
      </c>
      <c r="F25" s="10" t="s">
        <v>1325</v>
      </c>
      <c r="I25" s="10" t="str">
        <f t="shared" ref="I25:K25" si="15">C13</f>
        <v>KIA</v>
      </c>
      <c r="J25" s="10" t="str">
        <f t="shared" si="15"/>
        <v>SELTOS</v>
      </c>
      <c r="K25" s="332">
        <f t="shared" si="15"/>
        <v>1143</v>
      </c>
      <c r="L25" s="27">
        <v>35990</v>
      </c>
      <c r="O25" s="10" t="s">
        <v>1144</v>
      </c>
      <c r="P25" s="27">
        <v>46990</v>
      </c>
    </row>
    <row r="26" spans="1:16" ht="15.75" customHeight="1">
      <c r="B26" s="10">
        <v>24</v>
      </c>
      <c r="C26" s="298" t="s">
        <v>1142</v>
      </c>
      <c r="D26" s="298" t="s">
        <v>1340</v>
      </c>
      <c r="E26" s="385">
        <v>599</v>
      </c>
      <c r="F26" s="10" t="s">
        <v>1324</v>
      </c>
      <c r="I26" s="10" t="str">
        <f t="shared" ref="I26:K26" si="16">C18</f>
        <v>KIA</v>
      </c>
      <c r="J26" s="10" t="str">
        <f t="shared" si="16"/>
        <v>STONIC</v>
      </c>
      <c r="K26" s="332">
        <f t="shared" si="16"/>
        <v>764</v>
      </c>
      <c r="L26" s="27">
        <v>28990</v>
      </c>
      <c r="O26" s="10" t="s">
        <v>1144</v>
      </c>
      <c r="P26" s="27">
        <v>46990</v>
      </c>
    </row>
    <row r="27" spans="1:16" ht="15.75" customHeight="1">
      <c r="A27" s="10"/>
      <c r="B27" s="10">
        <v>25</v>
      </c>
      <c r="C27" s="298" t="s">
        <v>1129</v>
      </c>
      <c r="D27" s="298" t="s">
        <v>1150</v>
      </c>
      <c r="E27" s="385">
        <v>596</v>
      </c>
      <c r="F27" s="10" t="s">
        <v>1324</v>
      </c>
      <c r="I27" s="10" t="str">
        <f t="shared" ref="I27:K27" si="17">C20</f>
        <v>HYUNDAI</v>
      </c>
      <c r="J27" s="10" t="str">
        <f t="shared" si="17"/>
        <v>TUCSON</v>
      </c>
      <c r="K27" s="332">
        <f t="shared" si="17"/>
        <v>681</v>
      </c>
      <c r="L27" s="27">
        <v>50990</v>
      </c>
      <c r="M27" s="10">
        <f>'Product prices'!E281</f>
        <v>0</v>
      </c>
      <c r="O27" s="10">
        <f>'Product prices'!H280</f>
        <v>0</v>
      </c>
      <c r="P27" s="27">
        <f>'Product prices'!I280</f>
        <v>0</v>
      </c>
    </row>
    <row r="28" spans="1:16" ht="15.75" customHeight="1">
      <c r="A28" s="10"/>
      <c r="B28" s="10">
        <v>26</v>
      </c>
      <c r="C28" s="298" t="s">
        <v>1129</v>
      </c>
      <c r="D28" s="298" t="s">
        <v>1158</v>
      </c>
      <c r="E28" s="385">
        <v>591</v>
      </c>
      <c r="G28" s="10">
        <v>32500</v>
      </c>
      <c r="I28" s="10" t="str">
        <f t="shared" ref="I28:J28" si="18">C22</f>
        <v>MITSUBISHI</v>
      </c>
      <c r="J28" s="10" t="str">
        <f t="shared" si="18"/>
        <v>ASX</v>
      </c>
      <c r="K28" s="332">
        <f>E22+K51</f>
        <v>1758</v>
      </c>
      <c r="L28" s="27">
        <f>'Product prices'!D275</f>
        <v>0</v>
      </c>
      <c r="M28" s="10">
        <f>'Product prices'!E275</f>
        <v>0</v>
      </c>
      <c r="O28" s="10" t="s">
        <v>1144</v>
      </c>
      <c r="P28" s="27">
        <v>46990</v>
      </c>
    </row>
    <row r="29" spans="1:16" ht="15.75" customHeight="1">
      <c r="A29" s="10"/>
      <c r="B29" s="10">
        <v>27</v>
      </c>
      <c r="C29" s="298" t="s">
        <v>1155</v>
      </c>
      <c r="D29" s="298" t="s">
        <v>1156</v>
      </c>
      <c r="E29" s="385">
        <v>589</v>
      </c>
      <c r="G29" s="10">
        <v>35990</v>
      </c>
      <c r="I29" s="10" t="str">
        <f t="shared" ref="I29:J29" si="19">C23</f>
        <v>HYUNDAI</v>
      </c>
      <c r="J29" s="10" t="str">
        <f t="shared" si="19"/>
        <v>KONA</v>
      </c>
      <c r="K29" s="332">
        <f>E23+K53+K55</f>
        <v>2117</v>
      </c>
      <c r="L29" s="27">
        <v>42990</v>
      </c>
      <c r="O29" s="10">
        <f>'Product prices'!H275</f>
        <v>0</v>
      </c>
      <c r="P29" s="27">
        <f>'Product prices'!I275</f>
        <v>0</v>
      </c>
    </row>
    <row r="30" spans="1:16" ht="15.75" customHeight="1">
      <c r="A30" s="10"/>
      <c r="B30" s="10">
        <v>28</v>
      </c>
      <c r="C30" s="298" t="s">
        <v>1142</v>
      </c>
      <c r="D30" s="298" t="s">
        <v>1157</v>
      </c>
      <c r="E30" s="385">
        <v>516</v>
      </c>
      <c r="G30" s="10">
        <v>40290</v>
      </c>
      <c r="I30" s="10" t="str">
        <f t="shared" ref="I30:K30" si="20">C27</f>
        <v>SUZUKI</v>
      </c>
      <c r="J30" s="10" t="str">
        <f t="shared" si="20"/>
        <v>IGNIS</v>
      </c>
      <c r="K30" s="332">
        <f t="shared" si="20"/>
        <v>596</v>
      </c>
      <c r="L30" s="27">
        <v>24990</v>
      </c>
      <c r="O30" s="10">
        <f>'Product prices'!H270</f>
        <v>0</v>
      </c>
      <c r="P30" s="27">
        <f>'Product prices'!I270</f>
        <v>0</v>
      </c>
    </row>
    <row r="31" spans="1:16" ht="15.75" customHeight="1">
      <c r="A31" s="10"/>
      <c r="B31" s="10">
        <v>29</v>
      </c>
      <c r="C31" s="298" t="s">
        <v>1129</v>
      </c>
      <c r="D31" s="311" t="s">
        <v>1341</v>
      </c>
      <c r="E31" s="385">
        <v>502</v>
      </c>
      <c r="I31" s="10" t="str">
        <f t="shared" ref="I31:K31" si="21">C6</f>
        <v>MG</v>
      </c>
      <c r="J31" s="10" t="str">
        <f t="shared" si="21"/>
        <v>ZS</v>
      </c>
      <c r="K31" s="332">
        <f t="shared" si="21"/>
        <v>1990</v>
      </c>
      <c r="L31" s="27">
        <f>'Product prices'!D276</f>
        <v>0</v>
      </c>
      <c r="M31" s="10">
        <f>'Product prices'!E276</f>
        <v>0</v>
      </c>
      <c r="O31" s="10">
        <f>'Product prices'!H276</f>
        <v>0</v>
      </c>
      <c r="P31" s="27">
        <f>'Product prices'!I276</f>
        <v>0</v>
      </c>
    </row>
    <row r="32" spans="1:16" ht="15.75" customHeight="1">
      <c r="A32" s="10"/>
      <c r="B32" s="10">
        <v>30</v>
      </c>
      <c r="C32" s="298" t="s">
        <v>1162</v>
      </c>
      <c r="D32" s="298" t="s">
        <v>1166</v>
      </c>
      <c r="E32" s="385">
        <v>496</v>
      </c>
      <c r="G32" s="10">
        <v>74990</v>
      </c>
      <c r="I32" s="10" t="str">
        <f t="shared" ref="I32:K32" si="22">C29</f>
        <v>HAVAL</v>
      </c>
      <c r="J32" s="10" t="str">
        <f t="shared" si="22"/>
        <v>H6</v>
      </c>
      <c r="K32" s="332">
        <f t="shared" si="22"/>
        <v>589</v>
      </c>
      <c r="L32" s="27">
        <v>36990</v>
      </c>
      <c r="O32" s="10">
        <f>'Product prices'!H275</f>
        <v>0</v>
      </c>
      <c r="P32" s="27">
        <f>'Product prices'!I275</f>
        <v>0</v>
      </c>
    </row>
    <row r="33" spans="1:20" ht="15.75" customHeight="1">
      <c r="A33" s="10"/>
      <c r="B33" s="10">
        <v>31</v>
      </c>
      <c r="C33" s="298" t="s">
        <v>1160</v>
      </c>
      <c r="D33" s="298" t="s">
        <v>1161</v>
      </c>
      <c r="E33" s="385">
        <v>483</v>
      </c>
      <c r="G33" s="27">
        <f>'Product prices'!D289</f>
        <v>0</v>
      </c>
      <c r="I33" s="10" t="str">
        <f t="shared" ref="I33:K33" si="23">C30</f>
        <v>KIA</v>
      </c>
      <c r="J33" s="10" t="str">
        <f t="shared" si="23"/>
        <v>SPORTAGE</v>
      </c>
      <c r="K33" s="332">
        <f t="shared" si="23"/>
        <v>516</v>
      </c>
      <c r="L33" s="27">
        <v>42290</v>
      </c>
      <c r="O33" s="10">
        <f>'Product prices'!H280</f>
        <v>0</v>
      </c>
      <c r="P33" s="27">
        <f>'Product prices'!I280</f>
        <v>0</v>
      </c>
    </row>
    <row r="34" spans="1:20" ht="15.75" customHeight="1">
      <c r="A34" s="10"/>
      <c r="B34" s="10">
        <v>32</v>
      </c>
      <c r="C34" s="298" t="s">
        <v>1138</v>
      </c>
      <c r="D34" s="298" t="s">
        <v>1342</v>
      </c>
      <c r="E34" s="385">
        <v>475</v>
      </c>
      <c r="I34" s="10" t="str">
        <f t="shared" ref="I34:K34" si="24">C28</f>
        <v>SUZUKI</v>
      </c>
      <c r="J34" s="10" t="str">
        <f t="shared" si="24"/>
        <v>JIMNY</v>
      </c>
      <c r="K34" s="332">
        <f t="shared" si="24"/>
        <v>591</v>
      </c>
      <c r="L34" s="27">
        <v>35990</v>
      </c>
      <c r="O34" s="10">
        <f>'Product prices'!H275</f>
        <v>0</v>
      </c>
      <c r="P34" s="27">
        <f>'Product prices'!I275</f>
        <v>0</v>
      </c>
    </row>
    <row r="35" spans="1:20" ht="15.75" customHeight="1">
      <c r="A35" s="10"/>
      <c r="B35" s="10">
        <v>33</v>
      </c>
      <c r="C35" s="298" t="s">
        <v>1132</v>
      </c>
      <c r="D35" s="298" t="s">
        <v>1343</v>
      </c>
      <c r="E35" s="385">
        <v>464</v>
      </c>
      <c r="L35" s="27"/>
    </row>
    <row r="36" spans="1:20" ht="15.75" customHeight="1">
      <c r="A36" s="10"/>
      <c r="B36" s="10">
        <v>34</v>
      </c>
      <c r="C36" s="298" t="s">
        <v>1135</v>
      </c>
      <c r="D36" s="298" t="s">
        <v>1344</v>
      </c>
      <c r="E36" s="385">
        <v>458</v>
      </c>
      <c r="H36" s="10" t="s">
        <v>1345</v>
      </c>
      <c r="I36" s="10" t="str">
        <f t="shared" ref="I36:J36" si="25">C4</f>
        <v>TOYOTA</v>
      </c>
      <c r="J36" s="10" t="str">
        <f t="shared" si="25"/>
        <v>RAV4</v>
      </c>
      <c r="K36" s="10">
        <f>E4/2</f>
        <v>1218</v>
      </c>
      <c r="L36" s="27">
        <f>'Product prices'!D288</f>
        <v>0</v>
      </c>
      <c r="M36" s="10">
        <f>'Product prices'!E288</f>
        <v>0</v>
      </c>
      <c r="O36" s="10">
        <f>'Product prices'!H285</f>
        <v>0</v>
      </c>
      <c r="P36" s="27">
        <f>'Product prices'!I285</f>
        <v>0</v>
      </c>
    </row>
    <row r="37" spans="1:20" ht="15.75" customHeight="1">
      <c r="A37" s="10"/>
      <c r="B37" s="10">
        <v>35</v>
      </c>
      <c r="C37" s="298" t="s">
        <v>1155</v>
      </c>
      <c r="D37" s="298" t="s">
        <v>1346</v>
      </c>
      <c r="E37" s="385">
        <v>438</v>
      </c>
      <c r="H37" s="10" t="s">
        <v>1345</v>
      </c>
      <c r="I37" s="10" t="str">
        <f t="shared" ref="I37:J37" si="26">C9</f>
        <v>MITSUBISHI</v>
      </c>
      <c r="J37" s="10" t="str">
        <f t="shared" si="26"/>
        <v>OUTLANDER</v>
      </c>
      <c r="K37" s="10">
        <f>E9/2</f>
        <v>692</v>
      </c>
      <c r="L37" s="27">
        <v>46990</v>
      </c>
      <c r="O37" s="10">
        <f>'Product prices'!H285</f>
        <v>0</v>
      </c>
      <c r="P37" s="27">
        <f>'Product prices'!I285</f>
        <v>0</v>
      </c>
    </row>
    <row r="38" spans="1:20" ht="15.75" customHeight="1">
      <c r="A38" s="10"/>
      <c r="B38" s="10">
        <v>36</v>
      </c>
      <c r="C38" s="298" t="s">
        <v>1132</v>
      </c>
      <c r="D38" s="298" t="s">
        <v>1347</v>
      </c>
      <c r="E38" s="385">
        <v>435</v>
      </c>
      <c r="H38" s="10" t="s">
        <v>1345</v>
      </c>
      <c r="I38" s="10" t="str">
        <f t="shared" ref="I38:K38" si="27">C33</f>
        <v>NISSAN</v>
      </c>
      <c r="J38" s="10" t="str">
        <f t="shared" si="27"/>
        <v>X-TRAIL</v>
      </c>
      <c r="K38" s="332">
        <f t="shared" si="27"/>
        <v>483</v>
      </c>
      <c r="L38" s="27">
        <v>53990</v>
      </c>
      <c r="O38" s="10">
        <f>'Product prices'!H285</f>
        <v>0</v>
      </c>
      <c r="P38" s="27">
        <f>'Product prices'!I285</f>
        <v>0</v>
      </c>
      <c r="R38" s="386">
        <v>57990</v>
      </c>
      <c r="S38" s="10" t="str">
        <f>J38</f>
        <v>X-TRAIL</v>
      </c>
      <c r="T38" s="10">
        <f>T27</f>
        <v>0</v>
      </c>
    </row>
    <row r="39" spans="1:20" ht="15.75" customHeight="1">
      <c r="A39" s="10"/>
      <c r="B39" s="10">
        <v>37</v>
      </c>
      <c r="C39" s="298" t="s">
        <v>1160</v>
      </c>
      <c r="D39" s="298" t="s">
        <v>1348</v>
      </c>
      <c r="E39" s="385">
        <v>396</v>
      </c>
      <c r="H39" s="10" t="s">
        <v>1345</v>
      </c>
      <c r="I39" s="10" t="str">
        <f t="shared" ref="I39:K39" si="28">C11</f>
        <v>FORD</v>
      </c>
      <c r="J39" s="10" t="str">
        <f t="shared" si="28"/>
        <v>RANGER</v>
      </c>
      <c r="K39" s="332">
        <f t="shared" si="28"/>
        <v>1312</v>
      </c>
      <c r="L39" s="27">
        <f>'Product prices'!D291</f>
        <v>0</v>
      </c>
      <c r="O39" s="10">
        <f>'Product prices'!H291</f>
        <v>0</v>
      </c>
      <c r="P39" s="27">
        <f>'Product prices'!I291</f>
        <v>0</v>
      </c>
    </row>
    <row r="40" spans="1:20" ht="15.75" customHeight="1">
      <c r="A40" s="10"/>
      <c r="B40" s="10">
        <v>38</v>
      </c>
      <c r="C40" s="298" t="s">
        <v>1349</v>
      </c>
      <c r="D40" s="298" t="s">
        <v>1350</v>
      </c>
      <c r="E40" s="385">
        <v>362</v>
      </c>
      <c r="H40" s="10" t="s">
        <v>1345</v>
      </c>
      <c r="I40" s="10" t="str">
        <f t="shared" ref="I40:K40" si="29">C15</f>
        <v>TOYOTA</v>
      </c>
      <c r="J40" s="10" t="str">
        <f t="shared" si="29"/>
        <v>HILUX</v>
      </c>
      <c r="K40" s="332">
        <f t="shared" si="29"/>
        <v>1134</v>
      </c>
      <c r="L40" s="27">
        <v>46990</v>
      </c>
      <c r="O40" s="10">
        <f>'Product prices'!H291</f>
        <v>0</v>
      </c>
      <c r="P40" s="27">
        <f>'Product prices'!I291</f>
        <v>0</v>
      </c>
    </row>
    <row r="41" spans="1:20" ht="14.45">
      <c r="A41" s="10"/>
      <c r="B41" s="10">
        <v>39</v>
      </c>
      <c r="C41" s="298" t="s">
        <v>1138</v>
      </c>
      <c r="D41" s="298" t="s">
        <v>1351</v>
      </c>
      <c r="E41" s="385">
        <v>356</v>
      </c>
      <c r="H41" s="10" t="s">
        <v>1345</v>
      </c>
      <c r="I41" s="10" t="s">
        <v>1162</v>
      </c>
      <c r="J41" s="10" t="s">
        <v>1166</v>
      </c>
      <c r="K41" s="332">
        <v>496</v>
      </c>
      <c r="L41" s="27">
        <v>79990</v>
      </c>
      <c r="O41" s="10" t="s">
        <v>1167</v>
      </c>
      <c r="P41" s="332">
        <v>115990</v>
      </c>
    </row>
    <row r="42" spans="1:20" ht="14.45">
      <c r="A42" s="10"/>
      <c r="B42" s="10">
        <v>40</v>
      </c>
      <c r="C42" s="298" t="s">
        <v>1352</v>
      </c>
      <c r="D42" s="298" t="s">
        <v>1353</v>
      </c>
      <c r="E42" s="385">
        <v>352</v>
      </c>
    </row>
    <row r="43" spans="1:20" ht="14.45">
      <c r="A43" s="10"/>
      <c r="B43" s="10">
        <v>41</v>
      </c>
      <c r="C43" s="298" t="s">
        <v>1354</v>
      </c>
      <c r="D43" s="298" t="s">
        <v>1355</v>
      </c>
      <c r="E43" s="385">
        <v>340</v>
      </c>
    </row>
    <row r="44" spans="1:20" ht="14.45">
      <c r="A44" s="10"/>
      <c r="B44" s="10">
        <v>42</v>
      </c>
      <c r="C44" s="298" t="s">
        <v>1356</v>
      </c>
      <c r="D44" s="298" t="s">
        <v>1357</v>
      </c>
      <c r="E44" s="385">
        <v>297</v>
      </c>
      <c r="L44" s="27">
        <f>AVERAGE(L19:L41)</f>
        <v>28841.428571428572</v>
      </c>
      <c r="P44" s="27">
        <f>AVERAGE(P19:P41)</f>
        <v>12236.190476190477</v>
      </c>
    </row>
    <row r="45" spans="1:20" ht="14.45">
      <c r="C45" s="298" t="s">
        <v>1358</v>
      </c>
      <c r="D45" s="298" t="s">
        <v>1359</v>
      </c>
      <c r="E45" s="385">
        <v>291</v>
      </c>
      <c r="L45" s="118" t="str">
        <f ca="1">IFERROR(__xludf.DUMMYFUNCTION("AVERAGE.WEIGHTED(L19:L41,$K19:$K41)"),"#VALUE!")</f>
        <v>#VALUE!</v>
      </c>
      <c r="M45" s="118"/>
      <c r="N45" s="118"/>
      <c r="O45" s="118"/>
      <c r="P45" s="118" t="str">
        <f ca="1">IFERROR(__xludf.DUMMYFUNCTION("AVERAGE.WEIGHTED(P19:P41,$K19:$K41)"),"#VALUE!")</f>
        <v>#VALUE!</v>
      </c>
    </row>
    <row r="46" spans="1:20" ht="14.45">
      <c r="C46" s="298" t="s">
        <v>1352</v>
      </c>
      <c r="D46" s="298" t="s">
        <v>1360</v>
      </c>
      <c r="E46" s="385">
        <v>288</v>
      </c>
      <c r="L46" s="10" t="e">
        <f ca="1">ROUND(L45,-2)</f>
        <v>#VALUE!</v>
      </c>
      <c r="N46" s="10" t="e">
        <f t="shared" ref="N46:N47" ca="1" si="30">P45-L45</f>
        <v>#VALUE!</v>
      </c>
      <c r="P46" s="10" t="e">
        <f ca="1">ROUND(P45,-2)</f>
        <v>#VALUE!</v>
      </c>
    </row>
    <row r="47" spans="1:20" ht="14.45">
      <c r="C47" s="298" t="s">
        <v>1361</v>
      </c>
      <c r="D47" s="298" t="s">
        <v>1362</v>
      </c>
      <c r="E47" s="385">
        <v>287</v>
      </c>
      <c r="N47" s="10" t="e">
        <f t="shared" ca="1" si="30"/>
        <v>#VALUE!</v>
      </c>
    </row>
    <row r="48" spans="1:20" ht="14.45">
      <c r="C48" s="298" t="s">
        <v>1363</v>
      </c>
      <c r="D48" s="298" t="s">
        <v>1364</v>
      </c>
      <c r="E48" s="385">
        <v>280</v>
      </c>
      <c r="I48" s="10" t="str">
        <f t="shared" ref="I48:K48" si="31">C24</f>
        <v>TOYOTA</v>
      </c>
      <c r="J48" s="42" t="str">
        <f t="shared" si="31"/>
        <v>YARIS</v>
      </c>
      <c r="K48" s="332">
        <f t="shared" si="31"/>
        <v>620</v>
      </c>
    </row>
    <row r="49" spans="3:16" ht="14.45">
      <c r="C49" s="298" t="s">
        <v>1142</v>
      </c>
      <c r="D49" s="298" t="s">
        <v>1365</v>
      </c>
      <c r="E49" s="385">
        <v>278</v>
      </c>
      <c r="I49" s="10" t="str">
        <f t="shared" ref="I49:K49" si="32">C21</f>
        <v>TOYOTA</v>
      </c>
      <c r="J49" s="42" t="str">
        <f t="shared" si="32"/>
        <v>COROLLA</v>
      </c>
      <c r="K49" s="332">
        <f t="shared" si="32"/>
        <v>632</v>
      </c>
      <c r="L49" s="332">
        <f>SUM(K48:K49)</f>
        <v>1252</v>
      </c>
    </row>
    <row r="50" spans="3:16" ht="14.45">
      <c r="C50" s="298" t="s">
        <v>1326</v>
      </c>
      <c r="D50" s="298" t="s">
        <v>1366</v>
      </c>
      <c r="E50" s="385">
        <v>260</v>
      </c>
    </row>
    <row r="51" spans="3:16" ht="14.45">
      <c r="C51" s="298" t="s">
        <v>1367</v>
      </c>
      <c r="D51" s="298" t="s">
        <v>1368</v>
      </c>
      <c r="E51" s="385">
        <v>260</v>
      </c>
      <c r="I51" s="10" t="str">
        <f t="shared" ref="I51:K51" si="33">C14</f>
        <v>TOYOTA</v>
      </c>
      <c r="J51" s="42" t="str">
        <f t="shared" si="33"/>
        <v>YARIS CROSS</v>
      </c>
      <c r="K51" s="332">
        <f t="shared" si="33"/>
        <v>1137</v>
      </c>
      <c r="L51" s="332">
        <f>SUM(K51:K53)</f>
        <v>3002</v>
      </c>
    </row>
    <row r="52" spans="3:16" ht="14.45">
      <c r="C52" s="298" t="s">
        <v>1152</v>
      </c>
      <c r="D52" s="298" t="s">
        <v>1369</v>
      </c>
      <c r="E52" s="385">
        <v>257</v>
      </c>
      <c r="I52" s="10" t="str">
        <f t="shared" ref="I52:K52" si="34">C16</f>
        <v>TOYOTA</v>
      </c>
      <c r="J52" s="42" t="str">
        <f t="shared" si="34"/>
        <v>COROLLA CROSS</v>
      </c>
      <c r="K52" s="332">
        <f t="shared" si="34"/>
        <v>971</v>
      </c>
    </row>
    <row r="53" spans="3:16" ht="14.45">
      <c r="C53" s="298" t="s">
        <v>1162</v>
      </c>
      <c r="D53" s="298" t="s">
        <v>1370</v>
      </c>
      <c r="E53" s="385">
        <v>248</v>
      </c>
      <c r="I53" s="10" t="str">
        <f t="shared" ref="I53:K53" si="35">C17</f>
        <v>TOYOTA</v>
      </c>
      <c r="J53" s="42" t="str">
        <f t="shared" si="35"/>
        <v>C-HR</v>
      </c>
      <c r="K53" s="332">
        <f t="shared" si="35"/>
        <v>894</v>
      </c>
    </row>
    <row r="54" spans="3:16" ht="14.45">
      <c r="C54" s="298" t="s">
        <v>1135</v>
      </c>
      <c r="D54" s="298" t="s">
        <v>1371</v>
      </c>
      <c r="E54" s="385">
        <v>248</v>
      </c>
    </row>
    <row r="55" spans="3:16" ht="14.45">
      <c r="C55" s="298" t="s">
        <v>1372</v>
      </c>
      <c r="D55" s="298" t="s">
        <v>1373</v>
      </c>
      <c r="E55" s="385">
        <v>243</v>
      </c>
      <c r="I55" s="10" t="str">
        <f t="shared" ref="I55:K55" si="36">C25</f>
        <v>KIA</v>
      </c>
      <c r="J55" s="42" t="str">
        <f t="shared" si="36"/>
        <v>NIRO</v>
      </c>
      <c r="K55" s="332">
        <f t="shared" si="36"/>
        <v>603</v>
      </c>
    </row>
    <row r="56" spans="3:16" ht="14.45">
      <c r="C56" s="298" t="s">
        <v>1146</v>
      </c>
      <c r="D56" s="298" t="s">
        <v>1374</v>
      </c>
      <c r="E56" s="385">
        <v>241</v>
      </c>
    </row>
    <row r="57" spans="3:16" ht="14.45">
      <c r="C57" s="298" t="s">
        <v>1152</v>
      </c>
      <c r="D57" s="298" t="s">
        <v>1375</v>
      </c>
      <c r="E57" s="385">
        <v>235</v>
      </c>
    </row>
    <row r="58" spans="3:16" ht="14.45">
      <c r="C58" s="298" t="s">
        <v>1376</v>
      </c>
      <c r="D58" s="298" t="s">
        <v>1377</v>
      </c>
      <c r="E58" s="385">
        <v>232</v>
      </c>
      <c r="H58" s="10" t="s">
        <v>1345</v>
      </c>
      <c r="I58" s="10" t="s">
        <v>1162</v>
      </c>
      <c r="J58" s="10" t="s">
        <v>1166</v>
      </c>
      <c r="K58" s="332">
        <v>496</v>
      </c>
      <c r="L58" s="10">
        <v>74990</v>
      </c>
      <c r="O58" s="10" t="s">
        <v>1167</v>
      </c>
      <c r="P58" s="332">
        <v>115990</v>
      </c>
    </row>
    <row r="59" spans="3:16" ht="14.45">
      <c r="C59" s="298" t="s">
        <v>1132</v>
      </c>
      <c r="D59" s="298" t="s">
        <v>1378</v>
      </c>
      <c r="E59" s="385">
        <v>225</v>
      </c>
    </row>
    <row r="60" spans="3:16" ht="14.45">
      <c r="C60" s="298" t="s">
        <v>1379</v>
      </c>
      <c r="D60" s="298" t="s">
        <v>1380</v>
      </c>
      <c r="E60" s="385">
        <v>222</v>
      </c>
    </row>
    <row r="61" spans="3:16" ht="14.45">
      <c r="C61" s="298" t="s">
        <v>1129</v>
      </c>
      <c r="D61" s="298" t="s">
        <v>1381</v>
      </c>
      <c r="E61" s="385">
        <v>219</v>
      </c>
    </row>
    <row r="62" spans="3:16" ht="14.45">
      <c r="C62" s="298" t="s">
        <v>1363</v>
      </c>
      <c r="D62" s="298" t="s">
        <v>1382</v>
      </c>
      <c r="E62" s="385">
        <v>219</v>
      </c>
    </row>
    <row r="63" spans="3:16" ht="14.45">
      <c r="C63" s="298" t="s">
        <v>1356</v>
      </c>
      <c r="D63" s="298" t="s">
        <v>1383</v>
      </c>
      <c r="E63" s="385">
        <v>217</v>
      </c>
    </row>
    <row r="64" spans="3:16" ht="14.45">
      <c r="C64" s="298" t="s">
        <v>1363</v>
      </c>
      <c r="D64" s="298" t="s">
        <v>1384</v>
      </c>
      <c r="E64" s="385">
        <v>214</v>
      </c>
    </row>
    <row r="65" spans="3:5" ht="14.45">
      <c r="C65" s="298" t="s">
        <v>1160</v>
      </c>
      <c r="D65" s="298" t="s">
        <v>1385</v>
      </c>
      <c r="E65" s="385">
        <v>212</v>
      </c>
    </row>
    <row r="66" spans="3:5" ht="14.45">
      <c r="C66" s="298" t="s">
        <v>1129</v>
      </c>
      <c r="D66" s="298" t="s">
        <v>1386</v>
      </c>
      <c r="E66" s="385">
        <v>205</v>
      </c>
    </row>
    <row r="67" spans="3:5" ht="14.45">
      <c r="C67" s="298" t="s">
        <v>1387</v>
      </c>
      <c r="D67" s="298" t="s">
        <v>1388</v>
      </c>
      <c r="E67" s="385">
        <v>204</v>
      </c>
    </row>
    <row r="68" spans="3:5" ht="14.45">
      <c r="C68" s="298" t="s">
        <v>1129</v>
      </c>
      <c r="D68" s="298" t="s">
        <v>1389</v>
      </c>
      <c r="E68" s="385">
        <v>199</v>
      </c>
    </row>
    <row r="69" spans="3:5" ht="14.45">
      <c r="C69" s="298" t="s">
        <v>1349</v>
      </c>
      <c r="D69" s="298" t="s">
        <v>1390</v>
      </c>
      <c r="E69" s="385">
        <v>193</v>
      </c>
    </row>
    <row r="70" spans="3:5" ht="14.45">
      <c r="C70" s="298" t="s">
        <v>1372</v>
      </c>
      <c r="D70" s="298" t="s">
        <v>1391</v>
      </c>
      <c r="E70" s="385">
        <v>191</v>
      </c>
    </row>
    <row r="71" spans="3:5" ht="14.45">
      <c r="C71" s="298" t="s">
        <v>1162</v>
      </c>
      <c r="D71" s="298" t="s">
        <v>1392</v>
      </c>
      <c r="E71" s="385">
        <v>190</v>
      </c>
    </row>
    <row r="72" spans="3:5" ht="14.45">
      <c r="C72" s="298" t="s">
        <v>1349</v>
      </c>
      <c r="D72" s="298" t="s">
        <v>1393</v>
      </c>
      <c r="E72" s="385">
        <v>168</v>
      </c>
    </row>
    <row r="73" spans="3:5" ht="14.45">
      <c r="C73" s="298" t="s">
        <v>1160</v>
      </c>
      <c r="D73" s="298" t="s">
        <v>1394</v>
      </c>
      <c r="E73" s="385">
        <v>167</v>
      </c>
    </row>
    <row r="74" spans="3:5" ht="14.45">
      <c r="C74" s="298" t="s">
        <v>1162</v>
      </c>
      <c r="D74" s="298" t="s">
        <v>1395</v>
      </c>
      <c r="E74" s="385">
        <v>164</v>
      </c>
    </row>
    <row r="75" spans="3:5" ht="14.45">
      <c r="C75" s="298" t="s">
        <v>1356</v>
      </c>
      <c r="D75" s="298" t="s">
        <v>1396</v>
      </c>
      <c r="E75" s="385">
        <v>163</v>
      </c>
    </row>
    <row r="76" spans="3:5" ht="14.45">
      <c r="C76" s="298" t="s">
        <v>1397</v>
      </c>
      <c r="D76" s="298" t="s">
        <v>1398</v>
      </c>
      <c r="E76" s="385">
        <v>159</v>
      </c>
    </row>
    <row r="77" spans="3:5" ht="14.45">
      <c r="C77" s="298" t="s">
        <v>1399</v>
      </c>
      <c r="D77" s="298" t="s">
        <v>1400</v>
      </c>
      <c r="E77" s="385">
        <v>158</v>
      </c>
    </row>
    <row r="78" spans="3:5" ht="14.45">
      <c r="C78" s="298" t="s">
        <v>1363</v>
      </c>
      <c r="D78" s="298" t="s">
        <v>1401</v>
      </c>
      <c r="E78" s="385">
        <v>153</v>
      </c>
    </row>
    <row r="79" spans="3:5" ht="14.45">
      <c r="C79" s="298" t="s">
        <v>1132</v>
      </c>
      <c r="D79" s="298" t="s">
        <v>1402</v>
      </c>
      <c r="E79" s="385">
        <v>149</v>
      </c>
    </row>
    <row r="80" spans="3:5" ht="14.45">
      <c r="C80" s="298" t="s">
        <v>1403</v>
      </c>
      <c r="D80" s="298" t="s">
        <v>1404</v>
      </c>
      <c r="E80" s="385">
        <v>148</v>
      </c>
    </row>
    <row r="81" spans="3:5" ht="14.45">
      <c r="C81" s="298" t="s">
        <v>1349</v>
      </c>
      <c r="D81" s="298" t="s">
        <v>1405</v>
      </c>
      <c r="E81" s="385">
        <v>147</v>
      </c>
    </row>
    <row r="82" spans="3:5" ht="14.45">
      <c r="C82" s="298" t="s">
        <v>1162</v>
      </c>
      <c r="D82" s="298" t="s">
        <v>1406</v>
      </c>
      <c r="E82" s="385">
        <v>144</v>
      </c>
    </row>
    <row r="83" spans="3:5" ht="14.45">
      <c r="C83" s="298" t="s">
        <v>1138</v>
      </c>
      <c r="D83" s="298" t="s">
        <v>1407</v>
      </c>
      <c r="E83" s="385">
        <v>143</v>
      </c>
    </row>
    <row r="84" spans="3:5" ht="14.45">
      <c r="C84" s="298" t="s">
        <v>1135</v>
      </c>
      <c r="D84" s="298" t="s">
        <v>1408</v>
      </c>
      <c r="E84" s="385">
        <v>143</v>
      </c>
    </row>
    <row r="85" spans="3:5" ht="14.45">
      <c r="C85" s="298" t="s">
        <v>1409</v>
      </c>
      <c r="D85" s="298" t="s">
        <v>1410</v>
      </c>
      <c r="E85" s="385">
        <v>140</v>
      </c>
    </row>
    <row r="86" spans="3:5" ht="14.45">
      <c r="C86" s="298" t="s">
        <v>1411</v>
      </c>
      <c r="D86" s="298" t="s">
        <v>1412</v>
      </c>
      <c r="E86" s="385">
        <v>138</v>
      </c>
    </row>
    <row r="87" spans="3:5" ht="14.45">
      <c r="C87" s="298" t="s">
        <v>1387</v>
      </c>
      <c r="D87" s="298" t="s">
        <v>1413</v>
      </c>
      <c r="E87" s="385">
        <v>137</v>
      </c>
    </row>
    <row r="88" spans="3:5" ht="14.45">
      <c r="C88" s="298" t="s">
        <v>1414</v>
      </c>
      <c r="D88" s="298" t="s">
        <v>1415</v>
      </c>
      <c r="E88" s="385">
        <v>134</v>
      </c>
    </row>
    <row r="89" spans="3:5" ht="14.45">
      <c r="C89" s="298" t="s">
        <v>1356</v>
      </c>
      <c r="D89" s="298" t="s">
        <v>1416</v>
      </c>
      <c r="E89" s="385">
        <v>130</v>
      </c>
    </row>
    <row r="90" spans="3:5" ht="14.45">
      <c r="C90" s="298" t="s">
        <v>1162</v>
      </c>
      <c r="D90" s="298" t="s">
        <v>1417</v>
      </c>
      <c r="E90" s="385">
        <v>127</v>
      </c>
    </row>
    <row r="91" spans="3:5" ht="14.45">
      <c r="C91" s="298" t="s">
        <v>1403</v>
      </c>
      <c r="D91" s="298" t="s">
        <v>1418</v>
      </c>
      <c r="E91" s="385">
        <v>123</v>
      </c>
    </row>
    <row r="92" spans="3:5" ht="14.45">
      <c r="C92" s="298" t="s">
        <v>1419</v>
      </c>
      <c r="D92" s="298" t="s">
        <v>1420</v>
      </c>
      <c r="E92" s="385">
        <v>122</v>
      </c>
    </row>
    <row r="93" spans="3:5" ht="14.45">
      <c r="C93" s="298" t="s">
        <v>1135</v>
      </c>
      <c r="D93" s="298" t="s">
        <v>1421</v>
      </c>
      <c r="E93" s="385">
        <v>121</v>
      </c>
    </row>
    <row r="94" spans="3:5" ht="14.45">
      <c r="C94" s="298" t="s">
        <v>1422</v>
      </c>
      <c r="D94" s="298" t="s">
        <v>1423</v>
      </c>
      <c r="E94" s="385">
        <v>119</v>
      </c>
    </row>
    <row r="95" spans="3:5" ht="14.45">
      <c r="C95" s="298" t="s">
        <v>1135</v>
      </c>
      <c r="D95" s="298" t="s">
        <v>1424</v>
      </c>
      <c r="E95" s="385">
        <v>117</v>
      </c>
    </row>
    <row r="96" spans="3:5" ht="14.45">
      <c r="C96" s="298" t="s">
        <v>1425</v>
      </c>
      <c r="D96" s="298" t="s">
        <v>1426</v>
      </c>
      <c r="E96" s="385">
        <v>117</v>
      </c>
    </row>
    <row r="97" spans="3:5" ht="14.45">
      <c r="C97" s="298" t="s">
        <v>1397</v>
      </c>
      <c r="D97" s="298" t="s">
        <v>1427</v>
      </c>
      <c r="E97" s="385">
        <v>116</v>
      </c>
    </row>
    <row r="98" spans="3:5" ht="14.45">
      <c r="C98" s="298" t="s">
        <v>1428</v>
      </c>
      <c r="D98" s="298" t="s">
        <v>1429</v>
      </c>
      <c r="E98" s="385">
        <v>115</v>
      </c>
    </row>
    <row r="99" spans="3:5" ht="14.45">
      <c r="C99" s="298" t="s">
        <v>1430</v>
      </c>
      <c r="D99" s="298" t="s">
        <v>1431</v>
      </c>
      <c r="E99" s="385">
        <v>115</v>
      </c>
    </row>
    <row r="100" spans="3:5" ht="14.45">
      <c r="C100" s="298" t="s">
        <v>1432</v>
      </c>
      <c r="D100" s="298" t="s">
        <v>1433</v>
      </c>
      <c r="E100" s="385">
        <v>110</v>
      </c>
    </row>
    <row r="101" spans="3:5" ht="14.45">
      <c r="C101" s="298" t="s">
        <v>1425</v>
      </c>
      <c r="D101" s="298" t="s">
        <v>1434</v>
      </c>
      <c r="E101" s="385">
        <v>110</v>
      </c>
    </row>
    <row r="102" spans="3:5" ht="14.45">
      <c r="C102" s="298" t="s">
        <v>1435</v>
      </c>
      <c r="D102" s="298" t="s">
        <v>1436</v>
      </c>
      <c r="E102" s="385">
        <v>109</v>
      </c>
    </row>
    <row r="103" spans="3:5" ht="14.45">
      <c r="C103" s="298" t="s">
        <v>1132</v>
      </c>
      <c r="D103" s="298" t="s">
        <v>1437</v>
      </c>
      <c r="E103" s="385">
        <v>104</v>
      </c>
    </row>
    <row r="104" spans="3:5" ht="14.45">
      <c r="C104" s="298" t="s">
        <v>1146</v>
      </c>
      <c r="D104" s="298" t="s">
        <v>1438</v>
      </c>
      <c r="E104" s="385">
        <v>104</v>
      </c>
    </row>
    <row r="105" spans="3:5" ht="14.45">
      <c r="C105" s="298" t="s">
        <v>1129</v>
      </c>
      <c r="D105" s="298" t="s">
        <v>1439</v>
      </c>
      <c r="E105" s="385">
        <v>104</v>
      </c>
    </row>
    <row r="106" spans="3:5" ht="14.45">
      <c r="C106" s="298" t="s">
        <v>1440</v>
      </c>
      <c r="D106" s="298" t="s">
        <v>1441</v>
      </c>
      <c r="E106" s="385">
        <v>102</v>
      </c>
    </row>
    <row r="107" spans="3:5" ht="14.45">
      <c r="C107" s="298" t="s">
        <v>1135</v>
      </c>
      <c r="D107" s="298" t="s">
        <v>1442</v>
      </c>
      <c r="E107" s="385">
        <v>102</v>
      </c>
    </row>
    <row r="108" spans="3:5" ht="14.45">
      <c r="C108" s="298" t="s">
        <v>1376</v>
      </c>
      <c r="D108" s="298" t="s">
        <v>1443</v>
      </c>
      <c r="E108" s="385">
        <v>101</v>
      </c>
    </row>
    <row r="109" spans="3:5" ht="14.45">
      <c r="C109" s="298" t="s">
        <v>1349</v>
      </c>
      <c r="D109" s="298" t="s">
        <v>1444</v>
      </c>
      <c r="E109" s="385">
        <v>101</v>
      </c>
    </row>
    <row r="110" spans="3:5" ht="14.45">
      <c r="C110" s="298" t="s">
        <v>1367</v>
      </c>
      <c r="D110" s="298" t="s">
        <v>1445</v>
      </c>
      <c r="E110" s="385">
        <v>99</v>
      </c>
    </row>
    <row r="111" spans="3:5" ht="14.45">
      <c r="C111" s="298" t="s">
        <v>1446</v>
      </c>
      <c r="D111" s="298" t="s">
        <v>1447</v>
      </c>
      <c r="E111" s="385">
        <v>98</v>
      </c>
    </row>
    <row r="112" spans="3:5" ht="14.45">
      <c r="C112" s="298" t="s">
        <v>1363</v>
      </c>
      <c r="D112" s="298" t="s">
        <v>1448</v>
      </c>
      <c r="E112" s="385">
        <v>97</v>
      </c>
    </row>
    <row r="113" spans="3:5" ht="14.45">
      <c r="C113" s="298" t="s">
        <v>1449</v>
      </c>
      <c r="D113" s="298" t="s">
        <v>1450</v>
      </c>
      <c r="E113" s="385">
        <v>96</v>
      </c>
    </row>
    <row r="114" spans="3:5" ht="14.45">
      <c r="C114" s="298" t="s">
        <v>1451</v>
      </c>
      <c r="D114" s="298" t="s">
        <v>1452</v>
      </c>
      <c r="E114" s="385">
        <v>96</v>
      </c>
    </row>
    <row r="115" spans="3:5" ht="14.45">
      <c r="C115" s="298" t="s">
        <v>1435</v>
      </c>
      <c r="D115" s="298" t="s">
        <v>1453</v>
      </c>
      <c r="E115" s="385">
        <v>95</v>
      </c>
    </row>
    <row r="116" spans="3:5" ht="14.45">
      <c r="C116" s="298" t="s">
        <v>1454</v>
      </c>
      <c r="D116" s="298" t="s">
        <v>1455</v>
      </c>
      <c r="E116" s="385">
        <v>94</v>
      </c>
    </row>
    <row r="117" spans="3:5" ht="14.45">
      <c r="C117" s="298" t="s">
        <v>1376</v>
      </c>
      <c r="D117" s="298" t="s">
        <v>1456</v>
      </c>
      <c r="E117" s="385">
        <v>93</v>
      </c>
    </row>
    <row r="118" spans="3:5" ht="14.45">
      <c r="C118" s="298" t="s">
        <v>1132</v>
      </c>
      <c r="D118" s="298" t="s">
        <v>1457</v>
      </c>
      <c r="E118" s="385">
        <v>92</v>
      </c>
    </row>
    <row r="119" spans="3:5" ht="14.45">
      <c r="C119" s="298" t="s">
        <v>1458</v>
      </c>
      <c r="D119" s="298" t="s">
        <v>1459</v>
      </c>
      <c r="E119" s="385">
        <v>92</v>
      </c>
    </row>
    <row r="120" spans="3:5" ht="14.45">
      <c r="C120" s="298" t="s">
        <v>1135</v>
      </c>
      <c r="D120" s="298" t="s">
        <v>1460</v>
      </c>
      <c r="E120" s="385">
        <v>92</v>
      </c>
    </row>
    <row r="121" spans="3:5" ht="14.45">
      <c r="C121" s="298" t="s">
        <v>1425</v>
      </c>
      <c r="D121" s="298" t="s">
        <v>1461</v>
      </c>
      <c r="E121" s="385">
        <v>91</v>
      </c>
    </row>
    <row r="122" spans="3:5" ht="14.45">
      <c r="C122" s="298" t="s">
        <v>1462</v>
      </c>
      <c r="D122" s="298" t="s">
        <v>1463</v>
      </c>
      <c r="E122" s="385">
        <v>88</v>
      </c>
    </row>
    <row r="123" spans="3:5" ht="14.45">
      <c r="C123" s="298" t="s">
        <v>1363</v>
      </c>
      <c r="D123" s="298" t="s">
        <v>1464</v>
      </c>
      <c r="E123" s="385">
        <v>88</v>
      </c>
    </row>
    <row r="124" spans="3:5" ht="14.45">
      <c r="C124" s="298" t="s">
        <v>1465</v>
      </c>
      <c r="D124" s="298" t="s">
        <v>1455</v>
      </c>
      <c r="E124" s="385">
        <v>87</v>
      </c>
    </row>
    <row r="125" spans="3:5" ht="14.45">
      <c r="C125" s="298" t="s">
        <v>1132</v>
      </c>
      <c r="D125" s="298" t="s">
        <v>1466</v>
      </c>
      <c r="E125" s="385">
        <v>87</v>
      </c>
    </row>
    <row r="126" spans="3:5" ht="14.45">
      <c r="C126" s="298" t="s">
        <v>1409</v>
      </c>
      <c r="D126" s="298" t="s">
        <v>1467</v>
      </c>
      <c r="E126" s="385">
        <v>87</v>
      </c>
    </row>
    <row r="127" spans="3:5" ht="14.45">
      <c r="C127" s="298" t="s">
        <v>1468</v>
      </c>
      <c r="D127" s="298" t="s">
        <v>1469</v>
      </c>
      <c r="E127" s="385">
        <v>87</v>
      </c>
    </row>
    <row r="128" spans="3:5" ht="14.45">
      <c r="C128" s="298" t="s">
        <v>1435</v>
      </c>
      <c r="D128" s="298" t="s">
        <v>1470</v>
      </c>
      <c r="E128" s="385">
        <v>85</v>
      </c>
    </row>
    <row r="129" spans="3:5" ht="14.45">
      <c r="C129" s="298" t="s">
        <v>1422</v>
      </c>
      <c r="D129" s="298" t="s">
        <v>1471</v>
      </c>
      <c r="E129" s="385">
        <v>85</v>
      </c>
    </row>
    <row r="130" spans="3:5" ht="14.45">
      <c r="C130" s="298" t="s">
        <v>1446</v>
      </c>
      <c r="D130" s="298" t="s">
        <v>1472</v>
      </c>
      <c r="E130" s="385">
        <v>85</v>
      </c>
    </row>
    <row r="131" spans="3:5" ht="14.45">
      <c r="C131" s="298" t="s">
        <v>1473</v>
      </c>
      <c r="D131" s="298" t="s">
        <v>1474</v>
      </c>
      <c r="E131" s="385">
        <v>84</v>
      </c>
    </row>
    <row r="132" spans="3:5" ht="14.45">
      <c r="C132" s="298" t="s">
        <v>1363</v>
      </c>
      <c r="D132" s="298" t="s">
        <v>1475</v>
      </c>
      <c r="E132" s="385">
        <v>84</v>
      </c>
    </row>
    <row r="133" spans="3:5" ht="14.45">
      <c r="C133" s="298" t="s">
        <v>1372</v>
      </c>
      <c r="D133" s="298" t="s">
        <v>1476</v>
      </c>
      <c r="E133" s="385">
        <v>83</v>
      </c>
    </row>
    <row r="134" spans="3:5" ht="14.45">
      <c r="C134" s="298" t="s">
        <v>1162</v>
      </c>
      <c r="D134" s="298" t="s">
        <v>1477</v>
      </c>
      <c r="E134" s="385">
        <v>81</v>
      </c>
    </row>
    <row r="135" spans="3:5" ht="14.45">
      <c r="C135" s="298" t="s">
        <v>1403</v>
      </c>
      <c r="D135" s="298" t="s">
        <v>1478</v>
      </c>
      <c r="E135" s="385">
        <v>79</v>
      </c>
    </row>
    <row r="136" spans="3:5" ht="14.45">
      <c r="C136" s="298" t="s">
        <v>1349</v>
      </c>
      <c r="D136" s="298" t="s">
        <v>1479</v>
      </c>
      <c r="E136" s="385">
        <v>78</v>
      </c>
    </row>
    <row r="137" spans="3:5" ht="14.45">
      <c r="C137" s="298" t="s">
        <v>1440</v>
      </c>
      <c r="D137" s="298" t="s">
        <v>1480</v>
      </c>
      <c r="E137" s="385">
        <v>77</v>
      </c>
    </row>
    <row r="138" spans="3:5" ht="14.45">
      <c r="C138" s="298" t="s">
        <v>1132</v>
      </c>
      <c r="D138" s="298" t="s">
        <v>1481</v>
      </c>
      <c r="E138" s="385">
        <v>76</v>
      </c>
    </row>
    <row r="139" spans="3:5" ht="14.45">
      <c r="C139" s="298" t="s">
        <v>1129</v>
      </c>
      <c r="D139" s="298" t="s">
        <v>1482</v>
      </c>
      <c r="E139" s="385">
        <v>76</v>
      </c>
    </row>
    <row r="140" spans="3:5" ht="14.45">
      <c r="C140" s="298" t="s">
        <v>1483</v>
      </c>
      <c r="D140" s="298" t="s">
        <v>1484</v>
      </c>
      <c r="E140" s="385">
        <v>75</v>
      </c>
    </row>
    <row r="141" spans="3:5" ht="14.45">
      <c r="C141" s="298" t="s">
        <v>1446</v>
      </c>
      <c r="D141" s="298" t="s">
        <v>1485</v>
      </c>
      <c r="E141" s="385">
        <v>75</v>
      </c>
    </row>
    <row r="142" spans="3:5" ht="14.45">
      <c r="C142" s="298" t="s">
        <v>1486</v>
      </c>
      <c r="D142" s="298" t="s">
        <v>1487</v>
      </c>
      <c r="E142" s="385">
        <v>75</v>
      </c>
    </row>
    <row r="143" spans="3:5" ht="14.45">
      <c r="C143" s="298" t="s">
        <v>1486</v>
      </c>
      <c r="D143" s="298" t="s">
        <v>1488</v>
      </c>
      <c r="E143" s="385">
        <v>73</v>
      </c>
    </row>
    <row r="144" spans="3:5" ht="14.45">
      <c r="C144" s="298" t="s">
        <v>1132</v>
      </c>
      <c r="D144" s="298" t="s">
        <v>1489</v>
      </c>
      <c r="E144" s="385">
        <v>72</v>
      </c>
    </row>
    <row r="145" spans="3:5" ht="14.45">
      <c r="C145" s="298" t="s">
        <v>1399</v>
      </c>
      <c r="D145" s="298" t="s">
        <v>1490</v>
      </c>
      <c r="E145" s="385">
        <v>71</v>
      </c>
    </row>
    <row r="146" spans="3:5" ht="14.45">
      <c r="C146" s="298" t="s">
        <v>1435</v>
      </c>
      <c r="D146" s="298" t="s">
        <v>1491</v>
      </c>
      <c r="E146" s="385">
        <v>70</v>
      </c>
    </row>
    <row r="147" spans="3:5" ht="14.45">
      <c r="C147" s="298" t="s">
        <v>1132</v>
      </c>
      <c r="D147" s="298" t="s">
        <v>1492</v>
      </c>
      <c r="E147" s="385">
        <v>70</v>
      </c>
    </row>
    <row r="148" spans="3:5" ht="14.45">
      <c r="C148" s="298" t="s">
        <v>1493</v>
      </c>
      <c r="D148" s="298" t="s">
        <v>1494</v>
      </c>
      <c r="E148" s="385">
        <v>68</v>
      </c>
    </row>
    <row r="149" spans="3:5" ht="14.45">
      <c r="C149" s="298" t="s">
        <v>1440</v>
      </c>
      <c r="D149" s="298" t="s">
        <v>1495</v>
      </c>
      <c r="E149" s="385">
        <v>66</v>
      </c>
    </row>
    <row r="150" spans="3:5" ht="14.45">
      <c r="C150" s="298" t="s">
        <v>1435</v>
      </c>
      <c r="D150" s="298" t="s">
        <v>1496</v>
      </c>
      <c r="E150" s="385">
        <v>66</v>
      </c>
    </row>
    <row r="151" spans="3:5" ht="14.45">
      <c r="C151" s="298" t="s">
        <v>1414</v>
      </c>
      <c r="D151" s="298" t="s">
        <v>1497</v>
      </c>
      <c r="E151" s="385">
        <v>65</v>
      </c>
    </row>
    <row r="152" spans="3:5" ht="14.45">
      <c r="C152" s="298" t="s">
        <v>1387</v>
      </c>
      <c r="D152" s="298" t="s">
        <v>1498</v>
      </c>
      <c r="E152" s="385">
        <v>65</v>
      </c>
    </row>
    <row r="153" spans="3:5" ht="14.45">
      <c r="C153" s="298" t="s">
        <v>1129</v>
      </c>
      <c r="D153" s="298" t="s">
        <v>1499</v>
      </c>
      <c r="E153" s="385">
        <v>63</v>
      </c>
    </row>
    <row r="154" spans="3:5" ht="14.45">
      <c r="C154" s="298" t="s">
        <v>1473</v>
      </c>
      <c r="D154" s="298" t="s">
        <v>1500</v>
      </c>
      <c r="E154" s="385">
        <v>62</v>
      </c>
    </row>
    <row r="155" spans="3:5" ht="14.45">
      <c r="C155" s="298" t="s">
        <v>1425</v>
      </c>
      <c r="D155" s="298" t="s">
        <v>1501</v>
      </c>
      <c r="E155" s="385">
        <v>62</v>
      </c>
    </row>
    <row r="156" spans="3:5" ht="14.45">
      <c r="C156" s="298" t="s">
        <v>1435</v>
      </c>
      <c r="D156" s="298" t="s">
        <v>1502</v>
      </c>
      <c r="E156" s="385">
        <v>61</v>
      </c>
    </row>
    <row r="157" spans="3:5" ht="14.45">
      <c r="C157" s="298" t="s">
        <v>1503</v>
      </c>
      <c r="D157" s="298" t="s">
        <v>1504</v>
      </c>
      <c r="E157" s="385">
        <v>61</v>
      </c>
    </row>
    <row r="158" spans="3:5" ht="14.45">
      <c r="C158" s="298" t="s">
        <v>1132</v>
      </c>
      <c r="D158" s="298" t="s">
        <v>1505</v>
      </c>
      <c r="E158" s="385">
        <v>60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E06666"/>
    <outlinePr summaryBelow="0" summaryRight="0"/>
  </sheetPr>
  <dimension ref="A1:AI2556"/>
  <sheetViews>
    <sheetView workbookViewId="0">
      <pane xSplit="2" ySplit="1" topLeftCell="C2" activePane="bottomRight" state="frozen"/>
      <selection pane="bottomRight" activeCell="C2" sqref="C2"/>
      <selection pane="bottomLeft" activeCell="A2" sqref="A2"/>
      <selection pane="topRight" activeCell="C1" sqref="C1"/>
    </sheetView>
  </sheetViews>
  <sheetFormatPr defaultColWidth="12.5703125" defaultRowHeight="15.75" customHeight="1"/>
  <sheetData>
    <row r="1" spans="1:35" ht="12.95">
      <c r="A1" s="54" t="s">
        <v>1506</v>
      </c>
      <c r="B1" s="54" t="s">
        <v>1507</v>
      </c>
      <c r="C1" s="54" t="s">
        <v>1508</v>
      </c>
      <c r="D1" s="54" t="s">
        <v>1509</v>
      </c>
      <c r="E1" s="54" t="s">
        <v>1510</v>
      </c>
      <c r="F1" s="387" t="str">
        <f t="shared" ref="F1:F255" si="0">A1</f>
        <v>Load</v>
      </c>
      <c r="G1" s="387">
        <v>0</v>
      </c>
      <c r="H1" s="387">
        <v>4.1666666666666664E-2</v>
      </c>
      <c r="I1" s="387">
        <v>8.3333333333333329E-2</v>
      </c>
      <c r="J1" s="387">
        <v>0.125</v>
      </c>
      <c r="K1" s="387">
        <v>0.16666666666666666</v>
      </c>
      <c r="L1" s="387">
        <v>0.20833333333333334</v>
      </c>
      <c r="M1" s="387">
        <v>0.25</v>
      </c>
      <c r="N1" s="387">
        <v>0.29166666666666669</v>
      </c>
      <c r="O1" s="387">
        <v>0.33333333333333331</v>
      </c>
      <c r="P1" s="387">
        <v>0.375</v>
      </c>
      <c r="Q1" s="387">
        <v>0.41666666666666669</v>
      </c>
      <c r="R1" s="387">
        <v>0.45833333333333331</v>
      </c>
      <c r="S1" s="387">
        <v>0.5</v>
      </c>
      <c r="T1" s="387">
        <v>0.54166666666666663</v>
      </c>
      <c r="U1" s="387">
        <v>0.58333333333333337</v>
      </c>
      <c r="V1" s="387">
        <v>0.625</v>
      </c>
      <c r="W1" s="387">
        <v>0.66666666666666663</v>
      </c>
      <c r="X1" s="387">
        <v>0.70833333333333337</v>
      </c>
      <c r="Y1" s="387">
        <v>0.75</v>
      </c>
      <c r="Z1" s="387">
        <v>0.79166666666666663</v>
      </c>
      <c r="AA1" s="387">
        <v>0.83333333333333337</v>
      </c>
      <c r="AB1" s="387">
        <v>0.875</v>
      </c>
      <c r="AC1" s="387">
        <v>0.91666666666666663</v>
      </c>
      <c r="AD1" s="387">
        <v>0.95833333333333337</v>
      </c>
      <c r="AE1" s="54"/>
      <c r="AF1" s="54" t="s">
        <v>88</v>
      </c>
      <c r="AG1" s="54" t="s">
        <v>153</v>
      </c>
      <c r="AH1" s="54" t="s">
        <v>152</v>
      </c>
      <c r="AI1" s="54" t="s">
        <v>1511</v>
      </c>
    </row>
    <row r="2" spans="1:35" ht="15.75" customHeight="1">
      <c r="A2" s="10" t="s">
        <v>186</v>
      </c>
      <c r="B2" s="10">
        <v>1</v>
      </c>
      <c r="C2" s="10" t="s">
        <v>1512</v>
      </c>
      <c r="D2" s="388">
        <v>44927</v>
      </c>
      <c r="E2" s="389">
        <v>44927</v>
      </c>
      <c r="F2" s="390" t="str">
        <f t="shared" si="0"/>
        <v>Cooking</v>
      </c>
      <c r="G2" s="135">
        <v>1.74400830213755E-3</v>
      </c>
      <c r="H2" s="135">
        <v>2.14107876536978E-3</v>
      </c>
      <c r="I2" s="135">
        <v>2.2116760729407499E-3</v>
      </c>
      <c r="J2" s="135">
        <v>2.13705315979724E-3</v>
      </c>
      <c r="K2" s="135">
        <v>2.8735451221860498E-3</v>
      </c>
      <c r="L2" s="135">
        <v>8.4009082595883008E-3</v>
      </c>
      <c r="M2" s="135">
        <v>2.0526673480187399E-2</v>
      </c>
      <c r="N2" s="135">
        <v>3.2898854494523802E-2</v>
      </c>
      <c r="O2" s="135">
        <v>3.52735598668278E-2</v>
      </c>
      <c r="P2" s="135">
        <v>3.9777219891279601E-2</v>
      </c>
      <c r="Q2" s="135">
        <v>4.81865921371726E-2</v>
      </c>
      <c r="R2" s="135">
        <v>5.8062938727434399E-2</v>
      </c>
      <c r="S2" s="135">
        <v>4.1881092729344899E-2</v>
      </c>
      <c r="T2" s="135">
        <v>4.4799329329721603E-2</v>
      </c>
      <c r="U2" s="135">
        <v>4.3164940779069197E-2</v>
      </c>
      <c r="V2" s="135">
        <v>7.5964078527142598E-2</v>
      </c>
      <c r="W2" s="135">
        <v>0.175105949846284</v>
      </c>
      <c r="X2" s="135">
        <v>0.101824990391504</v>
      </c>
      <c r="Y2" s="135">
        <v>7.7200999155179001E-2</v>
      </c>
      <c r="Z2" s="135">
        <v>3.7657486401596003E-2</v>
      </c>
      <c r="AA2" s="135">
        <v>1.5784183235553799E-2</v>
      </c>
      <c r="AB2" s="135">
        <v>6.5260846468256804E-3</v>
      </c>
      <c r="AC2" s="135">
        <v>4.1060587215597903E-3</v>
      </c>
      <c r="AD2" s="135">
        <v>2.8232181240905002E-3</v>
      </c>
      <c r="AF2" s="243">
        <f t="shared" ref="AF2:AF256" si="1">SUM(Q2:W2)</f>
        <v>0.48716492207616935</v>
      </c>
      <c r="AG2" s="275">
        <f t="shared" ref="AG2:AG256" si="2">SUM(G2:AD2)-AH2</f>
        <v>0.42787961121941953</v>
      </c>
      <c r="AH2" s="391">
        <f t="shared" ref="AH2:AH256" si="3">SUM(N2:R2,X2:AB2)</f>
        <v>0.45319290894789666</v>
      </c>
      <c r="AI2" s="135">
        <f t="shared" ref="AI2:AI256" si="4">SUM(G2:AD2)</f>
        <v>0.88107252016731619</v>
      </c>
    </row>
    <row r="3" spans="1:35" ht="15.75" customHeight="1">
      <c r="A3" s="10" t="s">
        <v>186</v>
      </c>
      <c r="B3" s="10">
        <v>2</v>
      </c>
      <c r="C3" s="10" t="s">
        <v>1512</v>
      </c>
      <c r="D3" s="388">
        <v>44928</v>
      </c>
      <c r="E3" s="389">
        <v>44928</v>
      </c>
      <c r="F3" s="390" t="str">
        <f t="shared" si="0"/>
        <v>Cooking</v>
      </c>
      <c r="G3" s="135">
        <v>2.0932003871910899E-3</v>
      </c>
      <c r="H3" s="135">
        <v>2.2618496290306802E-3</v>
      </c>
      <c r="I3" s="135">
        <v>2.0176407199901701E-3</v>
      </c>
      <c r="J3" s="135">
        <v>2.1276617659541199E-3</v>
      </c>
      <c r="K3" s="135">
        <v>2.60674023000843E-3</v>
      </c>
      <c r="L3" s="135">
        <v>7.7479121953398502E-3</v>
      </c>
      <c r="M3" s="135">
        <v>1.9127191390849702E-2</v>
      </c>
      <c r="N3" s="135">
        <v>1.4518223682810701E-2</v>
      </c>
      <c r="O3" s="135">
        <v>1.76564882996007E-2</v>
      </c>
      <c r="P3" s="135">
        <v>1.8592463057635102E-2</v>
      </c>
      <c r="Q3" s="135">
        <v>3.24301747070058E-2</v>
      </c>
      <c r="R3" s="135">
        <v>4.3128203976526003E-2</v>
      </c>
      <c r="S3" s="135">
        <v>2.69788952025477E-2</v>
      </c>
      <c r="T3" s="135">
        <v>2.2854185507576001E-2</v>
      </c>
      <c r="U3" s="135">
        <v>3.3687796007744901E-2</v>
      </c>
      <c r="V3" s="135">
        <v>0.10210507053517701</v>
      </c>
      <c r="W3" s="135">
        <v>0.21037007247832301</v>
      </c>
      <c r="X3" s="135">
        <v>0.143392092108133</v>
      </c>
      <c r="Y3" s="135">
        <v>0.105945178630046</v>
      </c>
      <c r="Z3" s="135">
        <v>4.3153639840515401E-2</v>
      </c>
      <c r="AA3" s="135">
        <v>2.0191081133463702E-2</v>
      </c>
      <c r="AB3" s="135">
        <v>6.2857526481636698E-3</v>
      </c>
      <c r="AC3" s="135">
        <v>4.7886458989848503E-3</v>
      </c>
      <c r="AD3" s="135">
        <v>3.7827962862338502E-3</v>
      </c>
      <c r="AF3" s="243">
        <f t="shared" si="1"/>
        <v>0.47155439841490043</v>
      </c>
      <c r="AG3" s="275">
        <f t="shared" si="2"/>
        <v>0.44254965823495152</v>
      </c>
      <c r="AH3" s="391">
        <f t="shared" si="3"/>
        <v>0.44529329808390006</v>
      </c>
      <c r="AI3" s="135">
        <f t="shared" si="4"/>
        <v>0.88784295631885157</v>
      </c>
    </row>
    <row r="4" spans="1:35" ht="15.75" customHeight="1">
      <c r="A4" s="10" t="s">
        <v>186</v>
      </c>
      <c r="B4" s="10">
        <v>3</v>
      </c>
      <c r="C4" s="10" t="s">
        <v>1512</v>
      </c>
      <c r="D4" s="388">
        <v>44929</v>
      </c>
      <c r="E4" s="389">
        <v>44929</v>
      </c>
      <c r="F4" s="390" t="str">
        <f t="shared" si="0"/>
        <v>Cooking</v>
      </c>
      <c r="G4" s="135">
        <v>2.0932003871910899E-3</v>
      </c>
      <c r="H4" s="135">
        <v>2.2618496290306802E-3</v>
      </c>
      <c r="I4" s="135">
        <v>2.0176407199901701E-3</v>
      </c>
      <c r="J4" s="135">
        <v>2.1276617659541199E-3</v>
      </c>
      <c r="K4" s="135">
        <v>2.60674023000843E-3</v>
      </c>
      <c r="L4" s="135">
        <v>7.7479121953398502E-3</v>
      </c>
      <c r="M4" s="135">
        <v>1.9127191390849702E-2</v>
      </c>
      <c r="N4" s="135">
        <v>1.4518223682810701E-2</v>
      </c>
      <c r="O4" s="135">
        <v>1.76564882996007E-2</v>
      </c>
      <c r="P4" s="135">
        <v>1.8592463057635102E-2</v>
      </c>
      <c r="Q4" s="135">
        <v>3.24301747070058E-2</v>
      </c>
      <c r="R4" s="135">
        <v>4.3128203976526003E-2</v>
      </c>
      <c r="S4" s="135">
        <v>2.69788952025477E-2</v>
      </c>
      <c r="T4" s="135">
        <v>2.2854185507576001E-2</v>
      </c>
      <c r="U4" s="135">
        <v>3.3687796007744901E-2</v>
      </c>
      <c r="V4" s="135">
        <v>0.10210507053517701</v>
      </c>
      <c r="W4" s="135">
        <v>0.21037007247832301</v>
      </c>
      <c r="X4" s="135">
        <v>0.143392092108133</v>
      </c>
      <c r="Y4" s="135">
        <v>0.105945178630046</v>
      </c>
      <c r="Z4" s="135">
        <v>4.3153639840515401E-2</v>
      </c>
      <c r="AA4" s="135">
        <v>2.0191081133463702E-2</v>
      </c>
      <c r="AB4" s="135">
        <v>6.2857526481636698E-3</v>
      </c>
      <c r="AC4" s="135">
        <v>4.7886458989848503E-3</v>
      </c>
      <c r="AD4" s="135">
        <v>3.7827962862338502E-3</v>
      </c>
      <c r="AF4" s="243">
        <f t="shared" si="1"/>
        <v>0.47155439841490043</v>
      </c>
      <c r="AG4" s="275">
        <f t="shared" si="2"/>
        <v>0.44254965823495152</v>
      </c>
      <c r="AH4" s="391">
        <f t="shared" si="3"/>
        <v>0.44529329808390006</v>
      </c>
      <c r="AI4" s="135">
        <f t="shared" si="4"/>
        <v>0.88784295631885157</v>
      </c>
    </row>
    <row r="5" spans="1:35" ht="15.75" customHeight="1">
      <c r="A5" s="10" t="s">
        <v>186</v>
      </c>
      <c r="B5" s="10">
        <v>4</v>
      </c>
      <c r="C5" s="10" t="s">
        <v>1512</v>
      </c>
      <c r="D5" s="388">
        <v>44930</v>
      </c>
      <c r="E5" s="389">
        <v>44930</v>
      </c>
      <c r="F5" s="390" t="str">
        <f t="shared" si="0"/>
        <v>Cooking</v>
      </c>
      <c r="G5" s="135">
        <v>2.0932003871910899E-3</v>
      </c>
      <c r="H5" s="135">
        <v>2.2618496290306802E-3</v>
      </c>
      <c r="I5" s="135">
        <v>2.0176407199901701E-3</v>
      </c>
      <c r="J5" s="135">
        <v>2.1276617659541199E-3</v>
      </c>
      <c r="K5" s="135">
        <v>2.60674023000843E-3</v>
      </c>
      <c r="L5" s="135">
        <v>7.7479121953398502E-3</v>
      </c>
      <c r="M5" s="135">
        <v>1.9127191390849702E-2</v>
      </c>
      <c r="N5" s="135">
        <v>1.4518223682810701E-2</v>
      </c>
      <c r="O5" s="135">
        <v>1.76564882996007E-2</v>
      </c>
      <c r="P5" s="135">
        <v>1.8592463057635102E-2</v>
      </c>
      <c r="Q5" s="135">
        <v>3.24301747070058E-2</v>
      </c>
      <c r="R5" s="135">
        <v>4.3128203976526003E-2</v>
      </c>
      <c r="S5" s="135">
        <v>2.69788952025477E-2</v>
      </c>
      <c r="T5" s="135">
        <v>2.2854185507576001E-2</v>
      </c>
      <c r="U5" s="135">
        <v>3.3687796007744901E-2</v>
      </c>
      <c r="V5" s="135">
        <v>0.10210507053517701</v>
      </c>
      <c r="W5" s="135">
        <v>0.21037007247832301</v>
      </c>
      <c r="X5" s="135">
        <v>0.143392092108133</v>
      </c>
      <c r="Y5" s="135">
        <v>0.105945178630046</v>
      </c>
      <c r="Z5" s="135">
        <v>4.3153639840515401E-2</v>
      </c>
      <c r="AA5" s="135">
        <v>2.0191081133463702E-2</v>
      </c>
      <c r="AB5" s="135">
        <v>6.2857526481636698E-3</v>
      </c>
      <c r="AC5" s="135">
        <v>4.7886458989848503E-3</v>
      </c>
      <c r="AD5" s="135">
        <v>3.7827962862338502E-3</v>
      </c>
      <c r="AF5" s="243">
        <f t="shared" si="1"/>
        <v>0.47155439841490043</v>
      </c>
      <c r="AG5" s="275">
        <f t="shared" si="2"/>
        <v>0.44254965823495152</v>
      </c>
      <c r="AH5" s="391">
        <f t="shared" si="3"/>
        <v>0.44529329808390006</v>
      </c>
      <c r="AI5" s="135">
        <f t="shared" si="4"/>
        <v>0.88784295631885157</v>
      </c>
    </row>
    <row r="6" spans="1:35" ht="15.75" customHeight="1">
      <c r="A6" s="10" t="s">
        <v>186</v>
      </c>
      <c r="B6" s="10">
        <v>5</v>
      </c>
      <c r="C6" s="10" t="s">
        <v>1512</v>
      </c>
      <c r="D6" s="388">
        <v>44931</v>
      </c>
      <c r="E6" s="389">
        <v>44931</v>
      </c>
      <c r="F6" s="390" t="str">
        <f t="shared" si="0"/>
        <v>Cooking</v>
      </c>
      <c r="G6" s="135">
        <v>2.0932003871910899E-3</v>
      </c>
      <c r="H6" s="135">
        <v>2.2618496290306802E-3</v>
      </c>
      <c r="I6" s="135">
        <v>2.0176407199901701E-3</v>
      </c>
      <c r="J6" s="135">
        <v>2.1276617659541199E-3</v>
      </c>
      <c r="K6" s="135">
        <v>2.60674023000843E-3</v>
      </c>
      <c r="L6" s="135">
        <v>7.7479121953398502E-3</v>
      </c>
      <c r="M6" s="135">
        <v>1.9127191390849702E-2</v>
      </c>
      <c r="N6" s="135">
        <v>1.4518223682810701E-2</v>
      </c>
      <c r="O6" s="135">
        <v>1.76564882996007E-2</v>
      </c>
      <c r="P6" s="135">
        <v>1.8592463057635102E-2</v>
      </c>
      <c r="Q6" s="135">
        <v>3.24301747070058E-2</v>
      </c>
      <c r="R6" s="135">
        <v>4.3128203976526003E-2</v>
      </c>
      <c r="S6" s="135">
        <v>2.69788952025477E-2</v>
      </c>
      <c r="T6" s="135">
        <v>2.2854185507576001E-2</v>
      </c>
      <c r="U6" s="135">
        <v>3.3687796007744901E-2</v>
      </c>
      <c r="V6" s="135">
        <v>0.10210507053517701</v>
      </c>
      <c r="W6" s="135">
        <v>0.21037007247832301</v>
      </c>
      <c r="X6" s="135">
        <v>0.143392092108133</v>
      </c>
      <c r="Y6" s="135">
        <v>0.105945178630046</v>
      </c>
      <c r="Z6" s="135">
        <v>4.3153639840515401E-2</v>
      </c>
      <c r="AA6" s="135">
        <v>2.0191081133463702E-2</v>
      </c>
      <c r="AB6" s="135">
        <v>6.2857526481636698E-3</v>
      </c>
      <c r="AC6" s="135">
        <v>4.7886458989848503E-3</v>
      </c>
      <c r="AD6" s="135">
        <v>3.7827962862338502E-3</v>
      </c>
      <c r="AF6" s="243">
        <f t="shared" si="1"/>
        <v>0.47155439841490043</v>
      </c>
      <c r="AG6" s="275">
        <f t="shared" si="2"/>
        <v>0.44254965823495152</v>
      </c>
      <c r="AH6" s="391">
        <f t="shared" si="3"/>
        <v>0.44529329808390006</v>
      </c>
      <c r="AI6" s="135">
        <f t="shared" si="4"/>
        <v>0.88784295631885157</v>
      </c>
    </row>
    <row r="7" spans="1:35" ht="15.75" customHeight="1">
      <c r="A7" s="10" t="s">
        <v>186</v>
      </c>
      <c r="B7" s="10">
        <v>6</v>
      </c>
      <c r="C7" s="10" t="s">
        <v>1512</v>
      </c>
      <c r="D7" s="388">
        <v>44932</v>
      </c>
      <c r="E7" s="389">
        <v>44932</v>
      </c>
      <c r="F7" s="390" t="str">
        <f t="shared" si="0"/>
        <v>Cooking</v>
      </c>
      <c r="G7" s="135">
        <v>2.0932003871910899E-3</v>
      </c>
      <c r="H7" s="135">
        <v>2.2618496290306802E-3</v>
      </c>
      <c r="I7" s="135">
        <v>2.0176407199901701E-3</v>
      </c>
      <c r="J7" s="135">
        <v>2.1276617659541199E-3</v>
      </c>
      <c r="K7" s="135">
        <v>2.60674023000843E-3</v>
      </c>
      <c r="L7" s="135">
        <v>7.7479121953398502E-3</v>
      </c>
      <c r="M7" s="135">
        <v>1.9127191390849702E-2</v>
      </c>
      <c r="N7" s="135">
        <v>1.4518223682810701E-2</v>
      </c>
      <c r="O7" s="135">
        <v>1.76564882996007E-2</v>
      </c>
      <c r="P7" s="135">
        <v>1.8592463057635102E-2</v>
      </c>
      <c r="Q7" s="135">
        <v>3.24301747070058E-2</v>
      </c>
      <c r="R7" s="135">
        <v>4.3128203976526003E-2</v>
      </c>
      <c r="S7" s="135">
        <v>2.69788952025477E-2</v>
      </c>
      <c r="T7" s="135">
        <v>2.2854185507576001E-2</v>
      </c>
      <c r="U7" s="135">
        <v>3.3687796007744901E-2</v>
      </c>
      <c r="V7" s="135">
        <v>0.10210507053517701</v>
      </c>
      <c r="W7" s="135">
        <v>0.21037007247832301</v>
      </c>
      <c r="X7" s="135">
        <v>0.143392092108133</v>
      </c>
      <c r="Y7" s="135">
        <v>0.105945178630046</v>
      </c>
      <c r="Z7" s="135">
        <v>4.3153639840515401E-2</v>
      </c>
      <c r="AA7" s="135">
        <v>2.0191081133463702E-2</v>
      </c>
      <c r="AB7" s="135">
        <v>6.2857526481636698E-3</v>
      </c>
      <c r="AC7" s="135">
        <v>4.7886458989848503E-3</v>
      </c>
      <c r="AD7" s="135">
        <v>3.7827962862338502E-3</v>
      </c>
      <c r="AF7" s="243">
        <f t="shared" si="1"/>
        <v>0.47155439841490043</v>
      </c>
      <c r="AG7" s="275">
        <f t="shared" si="2"/>
        <v>0.44254965823495152</v>
      </c>
      <c r="AH7" s="391">
        <f t="shared" si="3"/>
        <v>0.44529329808390006</v>
      </c>
      <c r="AI7" s="135">
        <f t="shared" si="4"/>
        <v>0.88784295631885157</v>
      </c>
    </row>
    <row r="8" spans="1:35" ht="15.75" customHeight="1">
      <c r="A8" s="10" t="s">
        <v>186</v>
      </c>
      <c r="B8" s="10">
        <v>7</v>
      </c>
      <c r="C8" s="10" t="s">
        <v>1512</v>
      </c>
      <c r="D8" s="388">
        <v>44933</v>
      </c>
      <c r="E8" s="389">
        <v>44933</v>
      </c>
      <c r="F8" s="390" t="str">
        <f t="shared" si="0"/>
        <v>Cooking</v>
      </c>
      <c r="G8" s="135">
        <v>1.74400830213755E-3</v>
      </c>
      <c r="H8" s="135">
        <v>2.14107876536978E-3</v>
      </c>
      <c r="I8" s="135">
        <v>2.2116760729407499E-3</v>
      </c>
      <c r="J8" s="135">
        <v>2.13705315979724E-3</v>
      </c>
      <c r="K8" s="135">
        <v>2.8735451221860498E-3</v>
      </c>
      <c r="L8" s="135">
        <v>8.4009082595883008E-3</v>
      </c>
      <c r="M8" s="135">
        <v>2.0526673480187399E-2</v>
      </c>
      <c r="N8" s="135">
        <v>3.2898854494523802E-2</v>
      </c>
      <c r="O8" s="135">
        <v>3.52735598668278E-2</v>
      </c>
      <c r="P8" s="135">
        <v>3.9777219891279601E-2</v>
      </c>
      <c r="Q8" s="135">
        <v>4.81865921371726E-2</v>
      </c>
      <c r="R8" s="135">
        <v>5.8062938727434399E-2</v>
      </c>
      <c r="S8" s="135">
        <v>4.1881092729344899E-2</v>
      </c>
      <c r="T8" s="135">
        <v>4.4799329329721603E-2</v>
      </c>
      <c r="U8" s="135">
        <v>4.3164940779069197E-2</v>
      </c>
      <c r="V8" s="135">
        <v>7.5964078527142598E-2</v>
      </c>
      <c r="W8" s="135">
        <v>0.175105949846284</v>
      </c>
      <c r="X8" s="135">
        <v>0.101824990391504</v>
      </c>
      <c r="Y8" s="135">
        <v>7.7200999155179001E-2</v>
      </c>
      <c r="Z8" s="135">
        <v>3.7657486401596003E-2</v>
      </c>
      <c r="AA8" s="135">
        <v>1.5784183235553799E-2</v>
      </c>
      <c r="AB8" s="135">
        <v>6.5260846468256804E-3</v>
      </c>
      <c r="AC8" s="135">
        <v>4.1060587215597903E-3</v>
      </c>
      <c r="AD8" s="135">
        <v>2.8232181240905002E-3</v>
      </c>
      <c r="AF8" s="243">
        <f t="shared" si="1"/>
        <v>0.48716492207616935</v>
      </c>
      <c r="AG8" s="275">
        <f t="shared" si="2"/>
        <v>0.42787961121941953</v>
      </c>
      <c r="AH8" s="391">
        <f t="shared" si="3"/>
        <v>0.45319290894789666</v>
      </c>
      <c r="AI8" s="135">
        <f t="shared" si="4"/>
        <v>0.88107252016731619</v>
      </c>
    </row>
    <row r="9" spans="1:35" ht="15.75" customHeight="1">
      <c r="A9" s="10" t="s">
        <v>186</v>
      </c>
      <c r="B9" s="10">
        <v>8</v>
      </c>
      <c r="C9" s="10" t="s">
        <v>1512</v>
      </c>
      <c r="D9" s="388">
        <v>44934</v>
      </c>
      <c r="E9" s="389">
        <v>44934</v>
      </c>
      <c r="F9" s="390" t="str">
        <f t="shared" si="0"/>
        <v>Cooking</v>
      </c>
      <c r="G9" s="135">
        <v>1.74400830213755E-3</v>
      </c>
      <c r="H9" s="135">
        <v>2.14107876536978E-3</v>
      </c>
      <c r="I9" s="135">
        <v>2.2116760729407499E-3</v>
      </c>
      <c r="J9" s="135">
        <v>2.13705315979724E-3</v>
      </c>
      <c r="K9" s="135">
        <v>2.8735451221860498E-3</v>
      </c>
      <c r="L9" s="135">
        <v>8.4009082595883008E-3</v>
      </c>
      <c r="M9" s="135">
        <v>2.0526673480187399E-2</v>
      </c>
      <c r="N9" s="135">
        <v>3.2898854494523802E-2</v>
      </c>
      <c r="O9" s="135">
        <v>3.52735598668278E-2</v>
      </c>
      <c r="P9" s="135">
        <v>3.9777219891279601E-2</v>
      </c>
      <c r="Q9" s="135">
        <v>4.81865921371726E-2</v>
      </c>
      <c r="R9" s="135">
        <v>5.8062938727434399E-2</v>
      </c>
      <c r="S9" s="135">
        <v>4.1881092729344899E-2</v>
      </c>
      <c r="T9" s="135">
        <v>4.4799329329721603E-2</v>
      </c>
      <c r="U9" s="135">
        <v>4.3164940779069197E-2</v>
      </c>
      <c r="V9" s="135">
        <v>7.5964078527142598E-2</v>
      </c>
      <c r="W9" s="135">
        <v>0.175105949846284</v>
      </c>
      <c r="X9" s="135">
        <v>0.101824990391504</v>
      </c>
      <c r="Y9" s="135">
        <v>7.7200999155179001E-2</v>
      </c>
      <c r="Z9" s="135">
        <v>3.7657486401596003E-2</v>
      </c>
      <c r="AA9" s="135">
        <v>1.5784183235553799E-2</v>
      </c>
      <c r="AB9" s="135">
        <v>6.5260846468256804E-3</v>
      </c>
      <c r="AC9" s="135">
        <v>4.1060587215597903E-3</v>
      </c>
      <c r="AD9" s="135">
        <v>2.8232181240905002E-3</v>
      </c>
      <c r="AF9" s="243">
        <f t="shared" si="1"/>
        <v>0.48716492207616935</v>
      </c>
      <c r="AG9" s="275">
        <f t="shared" si="2"/>
        <v>0.42787961121941953</v>
      </c>
      <c r="AH9" s="391">
        <f t="shared" si="3"/>
        <v>0.45319290894789666</v>
      </c>
      <c r="AI9" s="135">
        <f t="shared" si="4"/>
        <v>0.88107252016731619</v>
      </c>
    </row>
    <row r="10" spans="1:35" ht="15.75" customHeight="1">
      <c r="A10" s="10" t="s">
        <v>186</v>
      </c>
      <c r="B10" s="10">
        <v>9</v>
      </c>
      <c r="C10" s="10" t="s">
        <v>1512</v>
      </c>
      <c r="D10" s="388">
        <v>44935</v>
      </c>
      <c r="E10" s="389">
        <v>44935</v>
      </c>
      <c r="F10" s="390" t="str">
        <f t="shared" si="0"/>
        <v>Cooking</v>
      </c>
      <c r="G10" s="135">
        <v>2.0932003871910899E-3</v>
      </c>
      <c r="H10" s="135">
        <v>2.2618496290306802E-3</v>
      </c>
      <c r="I10" s="135">
        <v>2.0176407199901701E-3</v>
      </c>
      <c r="J10" s="135">
        <v>2.1276617659541199E-3</v>
      </c>
      <c r="K10" s="135">
        <v>2.60674023000843E-3</v>
      </c>
      <c r="L10" s="135">
        <v>7.7479121953398502E-3</v>
      </c>
      <c r="M10" s="135">
        <v>1.9127191390849702E-2</v>
      </c>
      <c r="N10" s="135">
        <v>1.4518223682810701E-2</v>
      </c>
      <c r="O10" s="135">
        <v>1.76564882996007E-2</v>
      </c>
      <c r="P10" s="135">
        <v>1.8592463057635102E-2</v>
      </c>
      <c r="Q10" s="135">
        <v>3.24301747070058E-2</v>
      </c>
      <c r="R10" s="135">
        <v>4.3128203976526003E-2</v>
      </c>
      <c r="S10" s="135">
        <v>2.69788952025477E-2</v>
      </c>
      <c r="T10" s="135">
        <v>2.2854185507576001E-2</v>
      </c>
      <c r="U10" s="135">
        <v>3.3687796007744901E-2</v>
      </c>
      <c r="V10" s="135">
        <v>0.10210507053517701</v>
      </c>
      <c r="W10" s="135">
        <v>0.21037007247832301</v>
      </c>
      <c r="X10" s="135">
        <v>0.143392092108133</v>
      </c>
      <c r="Y10" s="135">
        <v>0.105945178630046</v>
      </c>
      <c r="Z10" s="135">
        <v>4.3153639840515401E-2</v>
      </c>
      <c r="AA10" s="135">
        <v>2.0191081133463702E-2</v>
      </c>
      <c r="AB10" s="135">
        <v>6.2857526481636698E-3</v>
      </c>
      <c r="AC10" s="135">
        <v>4.7886458989848503E-3</v>
      </c>
      <c r="AD10" s="135">
        <v>3.7827962862338502E-3</v>
      </c>
      <c r="AF10" s="243">
        <f t="shared" si="1"/>
        <v>0.47155439841490043</v>
      </c>
      <c r="AG10" s="275">
        <f t="shared" si="2"/>
        <v>0.44254965823495152</v>
      </c>
      <c r="AH10" s="391">
        <f t="shared" si="3"/>
        <v>0.44529329808390006</v>
      </c>
      <c r="AI10" s="135">
        <f t="shared" si="4"/>
        <v>0.88784295631885157</v>
      </c>
    </row>
    <row r="11" spans="1:35" ht="15.75" customHeight="1">
      <c r="A11" s="10" t="s">
        <v>186</v>
      </c>
      <c r="B11" s="10">
        <v>10</v>
      </c>
      <c r="C11" s="10" t="s">
        <v>1512</v>
      </c>
      <c r="D11" s="388">
        <v>44936</v>
      </c>
      <c r="E11" s="389">
        <v>44936</v>
      </c>
      <c r="F11" s="390" t="str">
        <f t="shared" si="0"/>
        <v>Cooking</v>
      </c>
      <c r="G11" s="135">
        <v>2.0932003871910899E-3</v>
      </c>
      <c r="H11" s="135">
        <v>2.2618496290306802E-3</v>
      </c>
      <c r="I11" s="135">
        <v>2.0176407199901701E-3</v>
      </c>
      <c r="J11" s="135">
        <v>2.1276617659541199E-3</v>
      </c>
      <c r="K11" s="135">
        <v>2.60674023000843E-3</v>
      </c>
      <c r="L11" s="135">
        <v>7.7479121953398502E-3</v>
      </c>
      <c r="M11" s="135">
        <v>1.9127191390849702E-2</v>
      </c>
      <c r="N11" s="135">
        <v>1.4518223682810701E-2</v>
      </c>
      <c r="O11" s="135">
        <v>1.76564882996007E-2</v>
      </c>
      <c r="P11" s="135">
        <v>1.8592463057635102E-2</v>
      </c>
      <c r="Q11" s="135">
        <v>3.24301747070058E-2</v>
      </c>
      <c r="R11" s="135">
        <v>4.3128203976526003E-2</v>
      </c>
      <c r="S11" s="135">
        <v>2.69788952025477E-2</v>
      </c>
      <c r="T11" s="135">
        <v>2.2854185507576001E-2</v>
      </c>
      <c r="U11" s="135">
        <v>3.3687796007744901E-2</v>
      </c>
      <c r="V11" s="135">
        <v>0.10210507053517701</v>
      </c>
      <c r="W11" s="135">
        <v>0.21037007247832301</v>
      </c>
      <c r="X11" s="135">
        <v>0.143392092108133</v>
      </c>
      <c r="Y11" s="135">
        <v>0.105945178630046</v>
      </c>
      <c r="Z11" s="135">
        <v>4.3153639840515401E-2</v>
      </c>
      <c r="AA11" s="135">
        <v>2.0191081133463702E-2</v>
      </c>
      <c r="AB11" s="135">
        <v>6.2857526481636698E-3</v>
      </c>
      <c r="AC11" s="135">
        <v>4.7886458989848503E-3</v>
      </c>
      <c r="AD11" s="135">
        <v>3.7827962862338502E-3</v>
      </c>
      <c r="AF11" s="243">
        <f t="shared" si="1"/>
        <v>0.47155439841490043</v>
      </c>
      <c r="AG11" s="275">
        <f t="shared" si="2"/>
        <v>0.44254965823495152</v>
      </c>
      <c r="AH11" s="391">
        <f t="shared" si="3"/>
        <v>0.44529329808390006</v>
      </c>
      <c r="AI11" s="135">
        <f t="shared" si="4"/>
        <v>0.88784295631885157</v>
      </c>
    </row>
    <row r="12" spans="1:35" ht="15.75" customHeight="1">
      <c r="A12" s="10" t="s">
        <v>186</v>
      </c>
      <c r="B12" s="10">
        <v>11</v>
      </c>
      <c r="C12" s="10" t="s">
        <v>1512</v>
      </c>
      <c r="D12" s="388">
        <v>44937</v>
      </c>
      <c r="E12" s="389">
        <v>44937</v>
      </c>
      <c r="F12" s="390" t="str">
        <f t="shared" si="0"/>
        <v>Cooking</v>
      </c>
      <c r="G12" s="135">
        <v>2.0932003871910899E-3</v>
      </c>
      <c r="H12" s="135">
        <v>2.2618496290306802E-3</v>
      </c>
      <c r="I12" s="135">
        <v>2.0176407199901701E-3</v>
      </c>
      <c r="J12" s="135">
        <v>2.1276617659541199E-3</v>
      </c>
      <c r="K12" s="135">
        <v>2.60674023000843E-3</v>
      </c>
      <c r="L12" s="135">
        <v>7.7479121953398502E-3</v>
      </c>
      <c r="M12" s="135">
        <v>1.9127191390849702E-2</v>
      </c>
      <c r="N12" s="135">
        <v>1.4518223682810701E-2</v>
      </c>
      <c r="O12" s="135">
        <v>1.76564882996007E-2</v>
      </c>
      <c r="P12" s="135">
        <v>1.8592463057635102E-2</v>
      </c>
      <c r="Q12" s="135">
        <v>3.24301747070058E-2</v>
      </c>
      <c r="R12" s="135">
        <v>4.3128203976526003E-2</v>
      </c>
      <c r="S12" s="135">
        <v>2.69788952025477E-2</v>
      </c>
      <c r="T12" s="135">
        <v>2.2854185507576001E-2</v>
      </c>
      <c r="U12" s="135">
        <v>3.3687796007744901E-2</v>
      </c>
      <c r="V12" s="135">
        <v>0.10210507053517701</v>
      </c>
      <c r="W12" s="135">
        <v>0.21037007247832301</v>
      </c>
      <c r="X12" s="135">
        <v>0.143392092108133</v>
      </c>
      <c r="Y12" s="135">
        <v>0.105945178630046</v>
      </c>
      <c r="Z12" s="135">
        <v>4.3153639840515401E-2</v>
      </c>
      <c r="AA12" s="135">
        <v>2.0191081133463702E-2</v>
      </c>
      <c r="AB12" s="135">
        <v>6.2857526481636698E-3</v>
      </c>
      <c r="AC12" s="135">
        <v>4.7886458989848503E-3</v>
      </c>
      <c r="AD12" s="135">
        <v>3.7827962862338502E-3</v>
      </c>
      <c r="AF12" s="243">
        <f t="shared" si="1"/>
        <v>0.47155439841490043</v>
      </c>
      <c r="AG12" s="275">
        <f t="shared" si="2"/>
        <v>0.44254965823495152</v>
      </c>
      <c r="AH12" s="391">
        <f t="shared" si="3"/>
        <v>0.44529329808390006</v>
      </c>
      <c r="AI12" s="135">
        <f t="shared" si="4"/>
        <v>0.88784295631885157</v>
      </c>
    </row>
    <row r="13" spans="1:35" ht="15.75" customHeight="1">
      <c r="A13" s="10" t="s">
        <v>186</v>
      </c>
      <c r="B13" s="10">
        <v>12</v>
      </c>
      <c r="C13" s="10" t="s">
        <v>1512</v>
      </c>
      <c r="D13" s="388">
        <v>44938</v>
      </c>
      <c r="E13" s="389">
        <v>44938</v>
      </c>
      <c r="F13" s="390" t="str">
        <f t="shared" si="0"/>
        <v>Cooking</v>
      </c>
      <c r="G13" s="135">
        <v>2.0932003871910899E-3</v>
      </c>
      <c r="H13" s="135">
        <v>2.2618496290306802E-3</v>
      </c>
      <c r="I13" s="135">
        <v>2.0176407199901701E-3</v>
      </c>
      <c r="J13" s="135">
        <v>2.1276617659541199E-3</v>
      </c>
      <c r="K13" s="135">
        <v>2.60674023000843E-3</v>
      </c>
      <c r="L13" s="135">
        <v>7.7479121953398502E-3</v>
      </c>
      <c r="M13" s="135">
        <v>1.9127191390849702E-2</v>
      </c>
      <c r="N13" s="135">
        <v>1.4518223682810701E-2</v>
      </c>
      <c r="O13" s="135">
        <v>1.76564882996007E-2</v>
      </c>
      <c r="P13" s="135">
        <v>1.8592463057635102E-2</v>
      </c>
      <c r="Q13" s="135">
        <v>3.24301747070058E-2</v>
      </c>
      <c r="R13" s="135">
        <v>4.3128203976526003E-2</v>
      </c>
      <c r="S13" s="135">
        <v>2.69788952025477E-2</v>
      </c>
      <c r="T13" s="135">
        <v>2.2854185507576001E-2</v>
      </c>
      <c r="U13" s="135">
        <v>3.3687796007744901E-2</v>
      </c>
      <c r="V13" s="135">
        <v>0.10210507053517701</v>
      </c>
      <c r="W13" s="135">
        <v>0.21037007247832301</v>
      </c>
      <c r="X13" s="135">
        <v>0.143392092108133</v>
      </c>
      <c r="Y13" s="135">
        <v>0.105945178630046</v>
      </c>
      <c r="Z13" s="135">
        <v>4.3153639840515401E-2</v>
      </c>
      <c r="AA13" s="135">
        <v>2.0191081133463702E-2</v>
      </c>
      <c r="AB13" s="135">
        <v>6.2857526481636698E-3</v>
      </c>
      <c r="AC13" s="135">
        <v>4.7886458989848503E-3</v>
      </c>
      <c r="AD13" s="135">
        <v>3.7827962862338502E-3</v>
      </c>
      <c r="AF13" s="243">
        <f t="shared" si="1"/>
        <v>0.47155439841490043</v>
      </c>
      <c r="AG13" s="275">
        <f t="shared" si="2"/>
        <v>0.44254965823495152</v>
      </c>
      <c r="AH13" s="391">
        <f t="shared" si="3"/>
        <v>0.44529329808390006</v>
      </c>
      <c r="AI13" s="135">
        <f t="shared" si="4"/>
        <v>0.88784295631885157</v>
      </c>
    </row>
    <row r="14" spans="1:35" ht="15.75" customHeight="1">
      <c r="A14" s="10" t="s">
        <v>186</v>
      </c>
      <c r="B14" s="10">
        <v>13</v>
      </c>
      <c r="C14" s="10" t="s">
        <v>1512</v>
      </c>
      <c r="D14" s="388">
        <v>44939</v>
      </c>
      <c r="E14" s="389">
        <v>44939</v>
      </c>
      <c r="F14" s="390" t="str">
        <f t="shared" si="0"/>
        <v>Cooking</v>
      </c>
      <c r="G14" s="135">
        <v>2.0932003871910899E-3</v>
      </c>
      <c r="H14" s="135">
        <v>2.2618496290306802E-3</v>
      </c>
      <c r="I14" s="135">
        <v>2.0176407199901701E-3</v>
      </c>
      <c r="J14" s="135">
        <v>2.1276617659541199E-3</v>
      </c>
      <c r="K14" s="135">
        <v>2.60674023000843E-3</v>
      </c>
      <c r="L14" s="135">
        <v>7.7479121953398502E-3</v>
      </c>
      <c r="M14" s="135">
        <v>1.9127191390849702E-2</v>
      </c>
      <c r="N14" s="135">
        <v>1.4518223682810701E-2</v>
      </c>
      <c r="O14" s="135">
        <v>1.76564882996007E-2</v>
      </c>
      <c r="P14" s="135">
        <v>1.8592463057635102E-2</v>
      </c>
      <c r="Q14" s="135">
        <v>3.24301747070058E-2</v>
      </c>
      <c r="R14" s="135">
        <v>4.3128203976526003E-2</v>
      </c>
      <c r="S14" s="135">
        <v>2.69788952025477E-2</v>
      </c>
      <c r="T14" s="135">
        <v>2.2854185507576001E-2</v>
      </c>
      <c r="U14" s="135">
        <v>3.3687796007744901E-2</v>
      </c>
      <c r="V14" s="135">
        <v>0.10210507053517701</v>
      </c>
      <c r="W14" s="135">
        <v>0.21037007247832301</v>
      </c>
      <c r="X14" s="135">
        <v>0.143392092108133</v>
      </c>
      <c r="Y14" s="135">
        <v>0.105945178630046</v>
      </c>
      <c r="Z14" s="135">
        <v>4.3153639840515401E-2</v>
      </c>
      <c r="AA14" s="135">
        <v>2.0191081133463702E-2</v>
      </c>
      <c r="AB14" s="135">
        <v>6.2857526481636698E-3</v>
      </c>
      <c r="AC14" s="135">
        <v>4.7886458989848503E-3</v>
      </c>
      <c r="AD14" s="135">
        <v>3.7827962862338502E-3</v>
      </c>
      <c r="AF14" s="243">
        <f t="shared" si="1"/>
        <v>0.47155439841490043</v>
      </c>
      <c r="AG14" s="275">
        <f t="shared" si="2"/>
        <v>0.44254965823495152</v>
      </c>
      <c r="AH14" s="391">
        <f t="shared" si="3"/>
        <v>0.44529329808390006</v>
      </c>
      <c r="AI14" s="135">
        <f t="shared" si="4"/>
        <v>0.88784295631885157</v>
      </c>
    </row>
    <row r="15" spans="1:35" ht="15.75" customHeight="1">
      <c r="A15" s="10" t="s">
        <v>186</v>
      </c>
      <c r="B15" s="10">
        <v>14</v>
      </c>
      <c r="C15" s="10" t="s">
        <v>1512</v>
      </c>
      <c r="D15" s="388">
        <v>44940</v>
      </c>
      <c r="E15" s="389">
        <v>44940</v>
      </c>
      <c r="F15" s="390" t="str">
        <f t="shared" si="0"/>
        <v>Cooking</v>
      </c>
      <c r="G15" s="135">
        <v>1.74400830213755E-3</v>
      </c>
      <c r="H15" s="135">
        <v>2.14107876536978E-3</v>
      </c>
      <c r="I15" s="135">
        <v>2.2116760729407499E-3</v>
      </c>
      <c r="J15" s="135">
        <v>2.13705315979724E-3</v>
      </c>
      <c r="K15" s="135">
        <v>2.8735451221860498E-3</v>
      </c>
      <c r="L15" s="135">
        <v>8.4009082595883008E-3</v>
      </c>
      <c r="M15" s="135">
        <v>2.0526673480187399E-2</v>
      </c>
      <c r="N15" s="135">
        <v>3.2898854494523802E-2</v>
      </c>
      <c r="O15" s="135">
        <v>3.52735598668278E-2</v>
      </c>
      <c r="P15" s="135">
        <v>3.9777219891279601E-2</v>
      </c>
      <c r="Q15" s="135">
        <v>4.81865921371726E-2</v>
      </c>
      <c r="R15" s="135">
        <v>5.8062938727434399E-2</v>
      </c>
      <c r="S15" s="135">
        <v>4.1881092729344899E-2</v>
      </c>
      <c r="T15" s="135">
        <v>4.4799329329721603E-2</v>
      </c>
      <c r="U15" s="135">
        <v>4.3164940779069197E-2</v>
      </c>
      <c r="V15" s="135">
        <v>7.5964078527142598E-2</v>
      </c>
      <c r="W15" s="135">
        <v>0.175105949846284</v>
      </c>
      <c r="X15" s="135">
        <v>0.101824990391504</v>
      </c>
      <c r="Y15" s="135">
        <v>7.7200999155179001E-2</v>
      </c>
      <c r="Z15" s="135">
        <v>3.7657486401596003E-2</v>
      </c>
      <c r="AA15" s="135">
        <v>1.5784183235553799E-2</v>
      </c>
      <c r="AB15" s="135">
        <v>6.5260846468256804E-3</v>
      </c>
      <c r="AC15" s="135">
        <v>4.1060587215597903E-3</v>
      </c>
      <c r="AD15" s="135">
        <v>2.8232181240905002E-3</v>
      </c>
      <c r="AF15" s="243">
        <f t="shared" si="1"/>
        <v>0.48716492207616935</v>
      </c>
      <c r="AG15" s="275">
        <f t="shared" si="2"/>
        <v>0.42787961121941953</v>
      </c>
      <c r="AH15" s="391">
        <f t="shared" si="3"/>
        <v>0.45319290894789666</v>
      </c>
      <c r="AI15" s="135">
        <f t="shared" si="4"/>
        <v>0.88107252016731619</v>
      </c>
    </row>
    <row r="16" spans="1:35" ht="15.75" customHeight="1">
      <c r="A16" s="10" t="s">
        <v>186</v>
      </c>
      <c r="B16" s="10">
        <v>15</v>
      </c>
      <c r="C16" s="10" t="s">
        <v>1512</v>
      </c>
      <c r="D16" s="388">
        <v>44941</v>
      </c>
      <c r="E16" s="389">
        <v>44941</v>
      </c>
      <c r="F16" s="390" t="str">
        <f t="shared" si="0"/>
        <v>Cooking</v>
      </c>
      <c r="G16" s="135">
        <v>1.74400830213755E-3</v>
      </c>
      <c r="H16" s="135">
        <v>2.14107876536978E-3</v>
      </c>
      <c r="I16" s="135">
        <v>2.2116760729407499E-3</v>
      </c>
      <c r="J16" s="135">
        <v>2.13705315979724E-3</v>
      </c>
      <c r="K16" s="135">
        <v>2.8735451221860498E-3</v>
      </c>
      <c r="L16" s="135">
        <v>8.4009082595883008E-3</v>
      </c>
      <c r="M16" s="135">
        <v>2.0526673480187399E-2</v>
      </c>
      <c r="N16" s="135">
        <v>3.2898854494523802E-2</v>
      </c>
      <c r="O16" s="135">
        <v>3.52735598668278E-2</v>
      </c>
      <c r="P16" s="135">
        <v>3.9777219891279601E-2</v>
      </c>
      <c r="Q16" s="135">
        <v>4.81865921371726E-2</v>
      </c>
      <c r="R16" s="135">
        <v>5.8062938727434399E-2</v>
      </c>
      <c r="S16" s="135">
        <v>4.1881092729344899E-2</v>
      </c>
      <c r="T16" s="135">
        <v>4.4799329329721603E-2</v>
      </c>
      <c r="U16" s="135">
        <v>4.3164940779069197E-2</v>
      </c>
      <c r="V16" s="135">
        <v>7.5964078527142598E-2</v>
      </c>
      <c r="W16" s="135">
        <v>0.175105949846284</v>
      </c>
      <c r="X16" s="135">
        <v>0.101824990391504</v>
      </c>
      <c r="Y16" s="135">
        <v>7.7200999155179001E-2</v>
      </c>
      <c r="Z16" s="135">
        <v>3.7657486401596003E-2</v>
      </c>
      <c r="AA16" s="135">
        <v>1.5784183235553799E-2</v>
      </c>
      <c r="AB16" s="135">
        <v>6.5260846468256804E-3</v>
      </c>
      <c r="AC16" s="135">
        <v>4.1060587215597903E-3</v>
      </c>
      <c r="AD16" s="135">
        <v>2.8232181240905002E-3</v>
      </c>
      <c r="AF16" s="243">
        <f t="shared" si="1"/>
        <v>0.48716492207616935</v>
      </c>
      <c r="AG16" s="275">
        <f t="shared" si="2"/>
        <v>0.42787961121941953</v>
      </c>
      <c r="AH16" s="391">
        <f t="shared" si="3"/>
        <v>0.45319290894789666</v>
      </c>
      <c r="AI16" s="135">
        <f t="shared" si="4"/>
        <v>0.88107252016731619</v>
      </c>
    </row>
    <row r="17" spans="1:35" ht="15.75" customHeight="1">
      <c r="A17" s="10" t="s">
        <v>186</v>
      </c>
      <c r="B17" s="10">
        <v>16</v>
      </c>
      <c r="C17" s="10" t="s">
        <v>1512</v>
      </c>
      <c r="D17" s="388">
        <v>44942</v>
      </c>
      <c r="E17" s="389">
        <v>44942</v>
      </c>
      <c r="F17" s="390" t="str">
        <f t="shared" si="0"/>
        <v>Cooking</v>
      </c>
      <c r="G17" s="135">
        <v>2.0932003871910899E-3</v>
      </c>
      <c r="H17" s="135">
        <v>2.2618496290306802E-3</v>
      </c>
      <c r="I17" s="135">
        <v>2.0176407199901701E-3</v>
      </c>
      <c r="J17" s="135">
        <v>2.1276617659541199E-3</v>
      </c>
      <c r="K17" s="135">
        <v>2.60674023000843E-3</v>
      </c>
      <c r="L17" s="135">
        <v>7.7479121953398502E-3</v>
      </c>
      <c r="M17" s="135">
        <v>1.9127191390849702E-2</v>
      </c>
      <c r="N17" s="135">
        <v>1.4518223682810701E-2</v>
      </c>
      <c r="O17" s="135">
        <v>1.76564882996007E-2</v>
      </c>
      <c r="P17" s="135">
        <v>1.8592463057635102E-2</v>
      </c>
      <c r="Q17" s="135">
        <v>3.24301747070058E-2</v>
      </c>
      <c r="R17" s="135">
        <v>4.3128203976526003E-2</v>
      </c>
      <c r="S17" s="135">
        <v>2.69788952025477E-2</v>
      </c>
      <c r="T17" s="135">
        <v>2.2854185507576001E-2</v>
      </c>
      <c r="U17" s="135">
        <v>3.3687796007744901E-2</v>
      </c>
      <c r="V17" s="135">
        <v>0.10210507053517701</v>
      </c>
      <c r="W17" s="135">
        <v>0.21037007247832301</v>
      </c>
      <c r="X17" s="135">
        <v>0.143392092108133</v>
      </c>
      <c r="Y17" s="135">
        <v>0.105945178630046</v>
      </c>
      <c r="Z17" s="135">
        <v>4.3153639840515401E-2</v>
      </c>
      <c r="AA17" s="135">
        <v>2.0191081133463702E-2</v>
      </c>
      <c r="AB17" s="135">
        <v>6.2857526481636698E-3</v>
      </c>
      <c r="AC17" s="135">
        <v>4.7886458989848503E-3</v>
      </c>
      <c r="AD17" s="135">
        <v>3.7827962862338502E-3</v>
      </c>
      <c r="AF17" s="243">
        <f t="shared" si="1"/>
        <v>0.47155439841490043</v>
      </c>
      <c r="AG17" s="275">
        <f t="shared" si="2"/>
        <v>0.44254965823495152</v>
      </c>
      <c r="AH17" s="391">
        <f t="shared" si="3"/>
        <v>0.44529329808390006</v>
      </c>
      <c r="AI17" s="135">
        <f t="shared" si="4"/>
        <v>0.88784295631885157</v>
      </c>
    </row>
    <row r="18" spans="1:35" ht="15.75" customHeight="1">
      <c r="A18" s="10" t="s">
        <v>186</v>
      </c>
      <c r="B18" s="10">
        <v>17</v>
      </c>
      <c r="C18" s="10" t="s">
        <v>1512</v>
      </c>
      <c r="D18" s="388">
        <v>44943</v>
      </c>
      <c r="E18" s="389">
        <v>44943</v>
      </c>
      <c r="F18" s="390" t="str">
        <f t="shared" si="0"/>
        <v>Cooking</v>
      </c>
      <c r="G18" s="135">
        <v>2.0932003871910899E-3</v>
      </c>
      <c r="H18" s="135">
        <v>2.2618496290306802E-3</v>
      </c>
      <c r="I18" s="135">
        <v>2.0176407199901701E-3</v>
      </c>
      <c r="J18" s="135">
        <v>2.1276617659541199E-3</v>
      </c>
      <c r="K18" s="135">
        <v>2.60674023000843E-3</v>
      </c>
      <c r="L18" s="135">
        <v>7.7479121953398502E-3</v>
      </c>
      <c r="M18" s="135">
        <v>1.9127191390849702E-2</v>
      </c>
      <c r="N18" s="135">
        <v>1.4518223682810701E-2</v>
      </c>
      <c r="O18" s="135">
        <v>1.76564882996007E-2</v>
      </c>
      <c r="P18" s="135">
        <v>1.8592463057635102E-2</v>
      </c>
      <c r="Q18" s="135">
        <v>3.24301747070058E-2</v>
      </c>
      <c r="R18" s="135">
        <v>4.3128203976526003E-2</v>
      </c>
      <c r="S18" s="135">
        <v>2.69788952025477E-2</v>
      </c>
      <c r="T18" s="135">
        <v>2.2854185507576001E-2</v>
      </c>
      <c r="U18" s="135">
        <v>3.3687796007744901E-2</v>
      </c>
      <c r="V18" s="135">
        <v>0.10210507053517701</v>
      </c>
      <c r="W18" s="135">
        <v>0.21037007247832301</v>
      </c>
      <c r="X18" s="135">
        <v>0.143392092108133</v>
      </c>
      <c r="Y18" s="135">
        <v>0.105945178630046</v>
      </c>
      <c r="Z18" s="135">
        <v>4.3153639840515401E-2</v>
      </c>
      <c r="AA18" s="135">
        <v>2.0191081133463702E-2</v>
      </c>
      <c r="AB18" s="135">
        <v>6.2857526481636698E-3</v>
      </c>
      <c r="AC18" s="135">
        <v>4.7886458989848503E-3</v>
      </c>
      <c r="AD18" s="135">
        <v>3.7827962862338502E-3</v>
      </c>
      <c r="AF18" s="243">
        <f t="shared" si="1"/>
        <v>0.47155439841490043</v>
      </c>
      <c r="AG18" s="275">
        <f t="shared" si="2"/>
        <v>0.44254965823495152</v>
      </c>
      <c r="AH18" s="391">
        <f t="shared" si="3"/>
        <v>0.44529329808390006</v>
      </c>
      <c r="AI18" s="135">
        <f t="shared" si="4"/>
        <v>0.88784295631885157</v>
      </c>
    </row>
    <row r="19" spans="1:35" ht="15.75" customHeight="1">
      <c r="A19" s="10" t="s">
        <v>186</v>
      </c>
      <c r="B19" s="10">
        <v>18</v>
      </c>
      <c r="C19" s="10" t="s">
        <v>1512</v>
      </c>
      <c r="D19" s="388">
        <v>44944</v>
      </c>
      <c r="E19" s="389">
        <v>44944</v>
      </c>
      <c r="F19" s="390" t="str">
        <f t="shared" si="0"/>
        <v>Cooking</v>
      </c>
      <c r="G19" s="135">
        <v>2.0932003871910899E-3</v>
      </c>
      <c r="H19" s="135">
        <v>2.2618496290306802E-3</v>
      </c>
      <c r="I19" s="135">
        <v>2.0176407199901701E-3</v>
      </c>
      <c r="J19" s="135">
        <v>2.1276617659541199E-3</v>
      </c>
      <c r="K19" s="135">
        <v>2.60674023000843E-3</v>
      </c>
      <c r="L19" s="135">
        <v>7.7479121953398502E-3</v>
      </c>
      <c r="M19" s="135">
        <v>1.9127191390849702E-2</v>
      </c>
      <c r="N19" s="135">
        <v>1.4518223682810701E-2</v>
      </c>
      <c r="O19" s="135">
        <v>1.76564882996007E-2</v>
      </c>
      <c r="P19" s="135">
        <v>1.8592463057635102E-2</v>
      </c>
      <c r="Q19" s="135">
        <v>3.24301747070058E-2</v>
      </c>
      <c r="R19" s="135">
        <v>4.3128203976526003E-2</v>
      </c>
      <c r="S19" s="135">
        <v>2.69788952025477E-2</v>
      </c>
      <c r="T19" s="135">
        <v>2.2854185507576001E-2</v>
      </c>
      <c r="U19" s="135">
        <v>3.3687796007744901E-2</v>
      </c>
      <c r="V19" s="135">
        <v>0.10210507053517701</v>
      </c>
      <c r="W19" s="135">
        <v>0.21037007247832301</v>
      </c>
      <c r="X19" s="135">
        <v>0.143392092108133</v>
      </c>
      <c r="Y19" s="135">
        <v>0.105945178630046</v>
      </c>
      <c r="Z19" s="135">
        <v>4.3153639840515401E-2</v>
      </c>
      <c r="AA19" s="135">
        <v>2.0191081133463702E-2</v>
      </c>
      <c r="AB19" s="135">
        <v>6.2857526481636698E-3</v>
      </c>
      <c r="AC19" s="135">
        <v>4.7886458989848503E-3</v>
      </c>
      <c r="AD19" s="135">
        <v>3.7827962862338502E-3</v>
      </c>
      <c r="AF19" s="243">
        <f t="shared" si="1"/>
        <v>0.47155439841490043</v>
      </c>
      <c r="AG19" s="275">
        <f t="shared" si="2"/>
        <v>0.44254965823495152</v>
      </c>
      <c r="AH19" s="391">
        <f t="shared" si="3"/>
        <v>0.44529329808390006</v>
      </c>
      <c r="AI19" s="135">
        <f t="shared" si="4"/>
        <v>0.88784295631885157</v>
      </c>
    </row>
    <row r="20" spans="1:35" ht="15.75" customHeight="1">
      <c r="A20" s="10" t="s">
        <v>186</v>
      </c>
      <c r="B20" s="10">
        <v>19</v>
      </c>
      <c r="C20" s="10" t="s">
        <v>1512</v>
      </c>
      <c r="D20" s="388">
        <v>44945</v>
      </c>
      <c r="E20" s="389">
        <v>44945</v>
      </c>
      <c r="F20" s="390" t="str">
        <f t="shared" si="0"/>
        <v>Cooking</v>
      </c>
      <c r="G20" s="135">
        <v>2.0932003871910899E-3</v>
      </c>
      <c r="H20" s="135">
        <v>2.2618496290306802E-3</v>
      </c>
      <c r="I20" s="135">
        <v>2.0176407199901701E-3</v>
      </c>
      <c r="J20" s="135">
        <v>2.1276617659541199E-3</v>
      </c>
      <c r="K20" s="135">
        <v>2.60674023000843E-3</v>
      </c>
      <c r="L20" s="135">
        <v>7.7479121953398502E-3</v>
      </c>
      <c r="M20" s="135">
        <v>1.9127191390849702E-2</v>
      </c>
      <c r="N20" s="135">
        <v>1.4518223682810701E-2</v>
      </c>
      <c r="O20" s="135">
        <v>1.76564882996007E-2</v>
      </c>
      <c r="P20" s="135">
        <v>1.8592463057635102E-2</v>
      </c>
      <c r="Q20" s="135">
        <v>3.24301747070058E-2</v>
      </c>
      <c r="R20" s="135">
        <v>4.3128203976526003E-2</v>
      </c>
      <c r="S20" s="135">
        <v>2.69788952025477E-2</v>
      </c>
      <c r="T20" s="135">
        <v>2.2854185507576001E-2</v>
      </c>
      <c r="U20" s="135">
        <v>3.3687796007744901E-2</v>
      </c>
      <c r="V20" s="135">
        <v>0.10210507053517701</v>
      </c>
      <c r="W20" s="135">
        <v>0.21037007247832301</v>
      </c>
      <c r="X20" s="135">
        <v>0.143392092108133</v>
      </c>
      <c r="Y20" s="135">
        <v>0.105945178630046</v>
      </c>
      <c r="Z20" s="135">
        <v>4.3153639840515401E-2</v>
      </c>
      <c r="AA20" s="135">
        <v>2.0191081133463702E-2</v>
      </c>
      <c r="AB20" s="135">
        <v>6.2857526481636698E-3</v>
      </c>
      <c r="AC20" s="135">
        <v>4.7886458989848503E-3</v>
      </c>
      <c r="AD20" s="135">
        <v>3.7827962862338502E-3</v>
      </c>
      <c r="AF20" s="243">
        <f t="shared" si="1"/>
        <v>0.47155439841490043</v>
      </c>
      <c r="AG20" s="275">
        <f t="shared" si="2"/>
        <v>0.44254965823495152</v>
      </c>
      <c r="AH20" s="391">
        <f t="shared" si="3"/>
        <v>0.44529329808390006</v>
      </c>
      <c r="AI20" s="135">
        <f t="shared" si="4"/>
        <v>0.88784295631885157</v>
      </c>
    </row>
    <row r="21" spans="1:35" ht="15.75" customHeight="1">
      <c r="A21" s="10" t="s">
        <v>186</v>
      </c>
      <c r="B21" s="10">
        <v>20</v>
      </c>
      <c r="C21" s="10" t="s">
        <v>1512</v>
      </c>
      <c r="D21" s="388">
        <v>44946</v>
      </c>
      <c r="E21" s="389">
        <v>44946</v>
      </c>
      <c r="F21" s="390" t="str">
        <f t="shared" si="0"/>
        <v>Cooking</v>
      </c>
      <c r="G21" s="135">
        <v>2.0932003871910899E-3</v>
      </c>
      <c r="H21" s="135">
        <v>2.2618496290306802E-3</v>
      </c>
      <c r="I21" s="135">
        <v>2.0176407199901701E-3</v>
      </c>
      <c r="J21" s="135">
        <v>2.1276617659541199E-3</v>
      </c>
      <c r="K21" s="135">
        <v>2.60674023000843E-3</v>
      </c>
      <c r="L21" s="135">
        <v>7.7479121953398502E-3</v>
      </c>
      <c r="M21" s="135">
        <v>1.9127191390849702E-2</v>
      </c>
      <c r="N21" s="135">
        <v>1.4518223682810701E-2</v>
      </c>
      <c r="O21" s="135">
        <v>1.76564882996007E-2</v>
      </c>
      <c r="P21" s="135">
        <v>1.8592463057635102E-2</v>
      </c>
      <c r="Q21" s="135">
        <v>3.24301747070058E-2</v>
      </c>
      <c r="R21" s="135">
        <v>4.3128203976526003E-2</v>
      </c>
      <c r="S21" s="135">
        <v>2.69788952025477E-2</v>
      </c>
      <c r="T21" s="135">
        <v>2.2854185507576001E-2</v>
      </c>
      <c r="U21" s="135">
        <v>3.3687796007744901E-2</v>
      </c>
      <c r="V21" s="135">
        <v>0.10210507053517701</v>
      </c>
      <c r="W21" s="135">
        <v>0.21037007247832301</v>
      </c>
      <c r="X21" s="135">
        <v>0.143392092108133</v>
      </c>
      <c r="Y21" s="135">
        <v>0.105945178630046</v>
      </c>
      <c r="Z21" s="135">
        <v>4.3153639840515401E-2</v>
      </c>
      <c r="AA21" s="135">
        <v>2.0191081133463702E-2</v>
      </c>
      <c r="AB21" s="135">
        <v>6.2857526481636698E-3</v>
      </c>
      <c r="AC21" s="135">
        <v>4.7886458989848503E-3</v>
      </c>
      <c r="AD21" s="135">
        <v>3.7827962862338502E-3</v>
      </c>
      <c r="AF21" s="243">
        <f t="shared" si="1"/>
        <v>0.47155439841490043</v>
      </c>
      <c r="AG21" s="275">
        <f t="shared" si="2"/>
        <v>0.44254965823495152</v>
      </c>
      <c r="AH21" s="391">
        <f t="shared" si="3"/>
        <v>0.44529329808390006</v>
      </c>
      <c r="AI21" s="135">
        <f t="shared" si="4"/>
        <v>0.88784295631885157</v>
      </c>
    </row>
    <row r="22" spans="1:35" ht="15.75" customHeight="1">
      <c r="A22" s="10" t="s">
        <v>186</v>
      </c>
      <c r="B22" s="10">
        <v>21</v>
      </c>
      <c r="C22" s="10" t="s">
        <v>1512</v>
      </c>
      <c r="D22" s="388">
        <v>44947</v>
      </c>
      <c r="E22" s="389">
        <v>44947</v>
      </c>
      <c r="F22" s="390" t="str">
        <f t="shared" si="0"/>
        <v>Cooking</v>
      </c>
      <c r="G22" s="135">
        <v>1.74400830213755E-3</v>
      </c>
      <c r="H22" s="135">
        <v>2.14107876536978E-3</v>
      </c>
      <c r="I22" s="135">
        <v>2.2116760729407499E-3</v>
      </c>
      <c r="J22" s="135">
        <v>2.13705315979724E-3</v>
      </c>
      <c r="K22" s="135">
        <v>2.8735451221860498E-3</v>
      </c>
      <c r="L22" s="135">
        <v>8.4009082595883008E-3</v>
      </c>
      <c r="M22" s="135">
        <v>2.0526673480187399E-2</v>
      </c>
      <c r="N22" s="135">
        <v>3.2898854494523802E-2</v>
      </c>
      <c r="O22" s="135">
        <v>3.52735598668278E-2</v>
      </c>
      <c r="P22" s="135">
        <v>3.9777219891279601E-2</v>
      </c>
      <c r="Q22" s="135">
        <v>4.81865921371726E-2</v>
      </c>
      <c r="R22" s="135">
        <v>5.8062938727434399E-2</v>
      </c>
      <c r="S22" s="135">
        <v>4.1881092729344899E-2</v>
      </c>
      <c r="T22" s="135">
        <v>4.4799329329721603E-2</v>
      </c>
      <c r="U22" s="135">
        <v>4.3164940779069197E-2</v>
      </c>
      <c r="V22" s="135">
        <v>7.5964078527142598E-2</v>
      </c>
      <c r="W22" s="135">
        <v>0.175105949846284</v>
      </c>
      <c r="X22" s="135">
        <v>0.101824990391504</v>
      </c>
      <c r="Y22" s="135">
        <v>7.7200999155179001E-2</v>
      </c>
      <c r="Z22" s="135">
        <v>3.7657486401596003E-2</v>
      </c>
      <c r="AA22" s="135">
        <v>1.5784183235553799E-2</v>
      </c>
      <c r="AB22" s="135">
        <v>6.5260846468256804E-3</v>
      </c>
      <c r="AC22" s="135">
        <v>4.1060587215597903E-3</v>
      </c>
      <c r="AD22" s="135">
        <v>2.8232181240905002E-3</v>
      </c>
      <c r="AF22" s="243">
        <f t="shared" si="1"/>
        <v>0.48716492207616935</v>
      </c>
      <c r="AG22" s="275">
        <f t="shared" si="2"/>
        <v>0.42787961121941953</v>
      </c>
      <c r="AH22" s="391">
        <f t="shared" si="3"/>
        <v>0.45319290894789666</v>
      </c>
      <c r="AI22" s="135">
        <f t="shared" si="4"/>
        <v>0.88107252016731619</v>
      </c>
    </row>
    <row r="23" spans="1:35" ht="15.75" customHeight="1">
      <c r="A23" s="10" t="s">
        <v>186</v>
      </c>
      <c r="B23" s="10">
        <v>22</v>
      </c>
      <c r="C23" s="10" t="s">
        <v>1512</v>
      </c>
      <c r="D23" s="388">
        <v>44948</v>
      </c>
      <c r="E23" s="389">
        <v>44948</v>
      </c>
      <c r="F23" s="390" t="str">
        <f t="shared" si="0"/>
        <v>Cooking</v>
      </c>
      <c r="G23" s="135">
        <v>1.74400830213755E-3</v>
      </c>
      <c r="H23" s="135">
        <v>2.14107876536978E-3</v>
      </c>
      <c r="I23" s="135">
        <v>2.2116760729407499E-3</v>
      </c>
      <c r="J23" s="135">
        <v>2.13705315979724E-3</v>
      </c>
      <c r="K23" s="135">
        <v>2.8735451221860498E-3</v>
      </c>
      <c r="L23" s="135">
        <v>8.4009082595883008E-3</v>
      </c>
      <c r="M23" s="135">
        <v>2.0526673480187399E-2</v>
      </c>
      <c r="N23" s="135">
        <v>3.2898854494523802E-2</v>
      </c>
      <c r="O23" s="135">
        <v>3.52735598668278E-2</v>
      </c>
      <c r="P23" s="135">
        <v>3.9777219891279601E-2</v>
      </c>
      <c r="Q23" s="135">
        <v>4.81865921371726E-2</v>
      </c>
      <c r="R23" s="135">
        <v>5.8062938727434399E-2</v>
      </c>
      <c r="S23" s="135">
        <v>4.1881092729344899E-2</v>
      </c>
      <c r="T23" s="135">
        <v>4.4799329329721603E-2</v>
      </c>
      <c r="U23" s="135">
        <v>4.3164940779069197E-2</v>
      </c>
      <c r="V23" s="135">
        <v>7.5964078527142598E-2</v>
      </c>
      <c r="W23" s="135">
        <v>0.175105949846284</v>
      </c>
      <c r="X23" s="135">
        <v>0.101824990391504</v>
      </c>
      <c r="Y23" s="135">
        <v>7.7200999155179001E-2</v>
      </c>
      <c r="Z23" s="135">
        <v>3.7657486401596003E-2</v>
      </c>
      <c r="AA23" s="135">
        <v>1.5784183235553799E-2</v>
      </c>
      <c r="AB23" s="135">
        <v>6.5260846468256804E-3</v>
      </c>
      <c r="AC23" s="135">
        <v>4.1060587215597903E-3</v>
      </c>
      <c r="AD23" s="135">
        <v>2.8232181240905002E-3</v>
      </c>
      <c r="AF23" s="243">
        <f t="shared" si="1"/>
        <v>0.48716492207616935</v>
      </c>
      <c r="AG23" s="275">
        <f t="shared" si="2"/>
        <v>0.42787961121941953</v>
      </c>
      <c r="AH23" s="391">
        <f t="shared" si="3"/>
        <v>0.45319290894789666</v>
      </c>
      <c r="AI23" s="135">
        <f t="shared" si="4"/>
        <v>0.88107252016731619</v>
      </c>
    </row>
    <row r="24" spans="1:35" ht="15.75" customHeight="1">
      <c r="A24" s="10" t="s">
        <v>186</v>
      </c>
      <c r="B24" s="10">
        <v>23</v>
      </c>
      <c r="C24" s="10" t="s">
        <v>1512</v>
      </c>
      <c r="D24" s="388">
        <v>44949</v>
      </c>
      <c r="E24" s="389">
        <v>44949</v>
      </c>
      <c r="F24" s="390" t="str">
        <f t="shared" si="0"/>
        <v>Cooking</v>
      </c>
      <c r="G24" s="135">
        <v>2.0932003871910899E-3</v>
      </c>
      <c r="H24" s="135">
        <v>2.2618496290306802E-3</v>
      </c>
      <c r="I24" s="135">
        <v>2.0176407199901701E-3</v>
      </c>
      <c r="J24" s="135">
        <v>2.1276617659541199E-3</v>
      </c>
      <c r="K24" s="135">
        <v>2.60674023000843E-3</v>
      </c>
      <c r="L24" s="135">
        <v>7.7479121953398502E-3</v>
      </c>
      <c r="M24" s="135">
        <v>1.9127191390849702E-2</v>
      </c>
      <c r="N24" s="135">
        <v>1.4518223682810701E-2</v>
      </c>
      <c r="O24" s="135">
        <v>1.76564882996007E-2</v>
      </c>
      <c r="P24" s="135">
        <v>1.8592463057635102E-2</v>
      </c>
      <c r="Q24" s="135">
        <v>3.24301747070058E-2</v>
      </c>
      <c r="R24" s="135">
        <v>4.3128203976526003E-2</v>
      </c>
      <c r="S24" s="135">
        <v>2.69788952025477E-2</v>
      </c>
      <c r="T24" s="135">
        <v>2.2854185507576001E-2</v>
      </c>
      <c r="U24" s="135">
        <v>3.3687796007744901E-2</v>
      </c>
      <c r="V24" s="135">
        <v>0.10210507053517701</v>
      </c>
      <c r="W24" s="135">
        <v>0.21037007247832301</v>
      </c>
      <c r="X24" s="135">
        <v>0.143392092108133</v>
      </c>
      <c r="Y24" s="135">
        <v>0.105945178630046</v>
      </c>
      <c r="Z24" s="135">
        <v>4.3153639840515401E-2</v>
      </c>
      <c r="AA24" s="135">
        <v>2.0191081133463702E-2</v>
      </c>
      <c r="AB24" s="135">
        <v>6.2857526481636698E-3</v>
      </c>
      <c r="AC24" s="135">
        <v>4.7886458989848503E-3</v>
      </c>
      <c r="AD24" s="135">
        <v>3.7827962862338502E-3</v>
      </c>
      <c r="AF24" s="243">
        <f t="shared" si="1"/>
        <v>0.47155439841490043</v>
      </c>
      <c r="AG24" s="275">
        <f t="shared" si="2"/>
        <v>0.44254965823495152</v>
      </c>
      <c r="AH24" s="391">
        <f t="shared" si="3"/>
        <v>0.44529329808390006</v>
      </c>
      <c r="AI24" s="135">
        <f t="shared" si="4"/>
        <v>0.88784295631885157</v>
      </c>
    </row>
    <row r="25" spans="1:35" ht="15.75" customHeight="1">
      <c r="A25" s="10" t="s">
        <v>186</v>
      </c>
      <c r="B25" s="10">
        <v>24</v>
      </c>
      <c r="C25" s="10" t="s">
        <v>1512</v>
      </c>
      <c r="D25" s="388">
        <v>44950</v>
      </c>
      <c r="E25" s="389">
        <v>44950</v>
      </c>
      <c r="F25" s="390" t="str">
        <f t="shared" si="0"/>
        <v>Cooking</v>
      </c>
      <c r="G25" s="135">
        <v>2.0932003871910899E-3</v>
      </c>
      <c r="H25" s="135">
        <v>2.2618496290306802E-3</v>
      </c>
      <c r="I25" s="135">
        <v>2.0176407199901701E-3</v>
      </c>
      <c r="J25" s="135">
        <v>2.1276617659541199E-3</v>
      </c>
      <c r="K25" s="135">
        <v>2.60674023000843E-3</v>
      </c>
      <c r="L25" s="135">
        <v>7.7479121953398502E-3</v>
      </c>
      <c r="M25" s="135">
        <v>1.9127191390849702E-2</v>
      </c>
      <c r="N25" s="135">
        <v>1.4518223682810701E-2</v>
      </c>
      <c r="O25" s="135">
        <v>1.76564882996007E-2</v>
      </c>
      <c r="P25" s="135">
        <v>1.8592463057635102E-2</v>
      </c>
      <c r="Q25" s="135">
        <v>3.24301747070058E-2</v>
      </c>
      <c r="R25" s="135">
        <v>4.3128203976526003E-2</v>
      </c>
      <c r="S25" s="135">
        <v>2.69788952025477E-2</v>
      </c>
      <c r="T25" s="135">
        <v>2.2854185507576001E-2</v>
      </c>
      <c r="U25" s="135">
        <v>3.3687796007744901E-2</v>
      </c>
      <c r="V25" s="135">
        <v>0.10210507053517701</v>
      </c>
      <c r="W25" s="135">
        <v>0.21037007247832301</v>
      </c>
      <c r="X25" s="135">
        <v>0.143392092108133</v>
      </c>
      <c r="Y25" s="135">
        <v>0.105945178630046</v>
      </c>
      <c r="Z25" s="135">
        <v>4.3153639840515401E-2</v>
      </c>
      <c r="AA25" s="135">
        <v>2.0191081133463702E-2</v>
      </c>
      <c r="AB25" s="135">
        <v>6.2857526481636698E-3</v>
      </c>
      <c r="AC25" s="135">
        <v>4.7886458989848503E-3</v>
      </c>
      <c r="AD25" s="135">
        <v>3.7827962862338502E-3</v>
      </c>
      <c r="AF25" s="243">
        <f t="shared" si="1"/>
        <v>0.47155439841490043</v>
      </c>
      <c r="AG25" s="275">
        <f t="shared" si="2"/>
        <v>0.44254965823495152</v>
      </c>
      <c r="AH25" s="391">
        <f t="shared" si="3"/>
        <v>0.44529329808390006</v>
      </c>
      <c r="AI25" s="135">
        <f t="shared" si="4"/>
        <v>0.88784295631885157</v>
      </c>
    </row>
    <row r="26" spans="1:35" ht="15.75" customHeight="1">
      <c r="A26" s="10" t="s">
        <v>186</v>
      </c>
      <c r="B26" s="10">
        <v>25</v>
      </c>
      <c r="C26" s="10" t="s">
        <v>1512</v>
      </c>
      <c r="D26" s="388">
        <v>44951</v>
      </c>
      <c r="E26" s="389">
        <v>44951</v>
      </c>
      <c r="F26" s="390" t="str">
        <f t="shared" si="0"/>
        <v>Cooking</v>
      </c>
      <c r="G26" s="135">
        <v>2.0932003871910899E-3</v>
      </c>
      <c r="H26" s="135">
        <v>2.2618496290306802E-3</v>
      </c>
      <c r="I26" s="135">
        <v>2.0176407199901701E-3</v>
      </c>
      <c r="J26" s="135">
        <v>2.1276617659541199E-3</v>
      </c>
      <c r="K26" s="135">
        <v>2.60674023000843E-3</v>
      </c>
      <c r="L26" s="135">
        <v>7.7479121953398502E-3</v>
      </c>
      <c r="M26" s="135">
        <v>1.9127191390849702E-2</v>
      </c>
      <c r="N26" s="135">
        <v>1.4518223682810701E-2</v>
      </c>
      <c r="O26" s="135">
        <v>1.76564882996007E-2</v>
      </c>
      <c r="P26" s="135">
        <v>1.8592463057635102E-2</v>
      </c>
      <c r="Q26" s="135">
        <v>3.24301747070058E-2</v>
      </c>
      <c r="R26" s="135">
        <v>4.3128203976526003E-2</v>
      </c>
      <c r="S26" s="135">
        <v>2.69788952025477E-2</v>
      </c>
      <c r="T26" s="135">
        <v>2.2854185507576001E-2</v>
      </c>
      <c r="U26" s="135">
        <v>3.3687796007744901E-2</v>
      </c>
      <c r="V26" s="135">
        <v>0.10210507053517701</v>
      </c>
      <c r="W26" s="135">
        <v>0.21037007247832301</v>
      </c>
      <c r="X26" s="135">
        <v>0.143392092108133</v>
      </c>
      <c r="Y26" s="135">
        <v>0.105945178630046</v>
      </c>
      <c r="Z26" s="135">
        <v>4.3153639840515401E-2</v>
      </c>
      <c r="AA26" s="135">
        <v>2.0191081133463702E-2</v>
      </c>
      <c r="AB26" s="135">
        <v>6.2857526481636698E-3</v>
      </c>
      <c r="AC26" s="135">
        <v>4.7886458989848503E-3</v>
      </c>
      <c r="AD26" s="135">
        <v>3.7827962862338502E-3</v>
      </c>
      <c r="AF26" s="243">
        <f t="shared" si="1"/>
        <v>0.47155439841490043</v>
      </c>
      <c r="AG26" s="275">
        <f t="shared" si="2"/>
        <v>0.44254965823495152</v>
      </c>
      <c r="AH26" s="391">
        <f t="shared" si="3"/>
        <v>0.44529329808390006</v>
      </c>
      <c r="AI26" s="135">
        <f t="shared" si="4"/>
        <v>0.88784295631885157</v>
      </c>
    </row>
    <row r="27" spans="1:35" ht="15.75" customHeight="1">
      <c r="A27" s="10" t="s">
        <v>186</v>
      </c>
      <c r="B27" s="10">
        <v>26</v>
      </c>
      <c r="C27" s="10" t="s">
        <v>1512</v>
      </c>
      <c r="D27" s="388">
        <v>44952</v>
      </c>
      <c r="E27" s="389">
        <v>44952</v>
      </c>
      <c r="F27" s="390" t="str">
        <f t="shared" si="0"/>
        <v>Cooking</v>
      </c>
      <c r="G27" s="135">
        <v>2.0932003871910899E-3</v>
      </c>
      <c r="H27" s="135">
        <v>2.2618496290306802E-3</v>
      </c>
      <c r="I27" s="135">
        <v>2.0176407199901701E-3</v>
      </c>
      <c r="J27" s="135">
        <v>2.1276617659541199E-3</v>
      </c>
      <c r="K27" s="135">
        <v>2.60674023000843E-3</v>
      </c>
      <c r="L27" s="135">
        <v>7.7479121953398502E-3</v>
      </c>
      <c r="M27" s="135">
        <v>1.9127191390849702E-2</v>
      </c>
      <c r="N27" s="135">
        <v>1.4518223682810701E-2</v>
      </c>
      <c r="O27" s="135">
        <v>1.76564882996007E-2</v>
      </c>
      <c r="P27" s="135">
        <v>1.8592463057635102E-2</v>
      </c>
      <c r="Q27" s="135">
        <v>3.24301747070058E-2</v>
      </c>
      <c r="R27" s="135">
        <v>4.3128203976526003E-2</v>
      </c>
      <c r="S27" s="135">
        <v>2.69788952025477E-2</v>
      </c>
      <c r="T27" s="135">
        <v>2.2854185507576001E-2</v>
      </c>
      <c r="U27" s="135">
        <v>3.3687796007744901E-2</v>
      </c>
      <c r="V27" s="135">
        <v>0.10210507053517701</v>
      </c>
      <c r="W27" s="135">
        <v>0.21037007247832301</v>
      </c>
      <c r="X27" s="135">
        <v>0.143392092108133</v>
      </c>
      <c r="Y27" s="135">
        <v>0.105945178630046</v>
      </c>
      <c r="Z27" s="135">
        <v>4.3153639840515401E-2</v>
      </c>
      <c r="AA27" s="135">
        <v>2.0191081133463702E-2</v>
      </c>
      <c r="AB27" s="135">
        <v>6.2857526481636698E-3</v>
      </c>
      <c r="AC27" s="135">
        <v>4.7886458989848503E-3</v>
      </c>
      <c r="AD27" s="135">
        <v>3.7827962862338502E-3</v>
      </c>
      <c r="AF27" s="243">
        <f t="shared" si="1"/>
        <v>0.47155439841490043</v>
      </c>
      <c r="AG27" s="275">
        <f t="shared" si="2"/>
        <v>0.44254965823495152</v>
      </c>
      <c r="AH27" s="391">
        <f t="shared" si="3"/>
        <v>0.44529329808390006</v>
      </c>
      <c r="AI27" s="135">
        <f t="shared" si="4"/>
        <v>0.88784295631885157</v>
      </c>
    </row>
    <row r="28" spans="1:35" ht="15.75" customHeight="1">
      <c r="A28" s="10" t="s">
        <v>186</v>
      </c>
      <c r="B28" s="10">
        <v>27</v>
      </c>
      <c r="C28" s="10" t="s">
        <v>1512</v>
      </c>
      <c r="D28" s="388">
        <v>44953</v>
      </c>
      <c r="E28" s="389">
        <v>44953</v>
      </c>
      <c r="F28" s="390" t="str">
        <f t="shared" si="0"/>
        <v>Cooking</v>
      </c>
      <c r="G28" s="135">
        <v>2.0932003871910899E-3</v>
      </c>
      <c r="H28" s="135">
        <v>2.2618496290306802E-3</v>
      </c>
      <c r="I28" s="135">
        <v>2.0176407199901701E-3</v>
      </c>
      <c r="J28" s="135">
        <v>2.1276617659541199E-3</v>
      </c>
      <c r="K28" s="135">
        <v>2.60674023000843E-3</v>
      </c>
      <c r="L28" s="135">
        <v>7.7479121953398502E-3</v>
      </c>
      <c r="M28" s="135">
        <v>1.9127191390849702E-2</v>
      </c>
      <c r="N28" s="135">
        <v>1.4518223682810701E-2</v>
      </c>
      <c r="O28" s="135">
        <v>1.76564882996007E-2</v>
      </c>
      <c r="P28" s="135">
        <v>1.8592463057635102E-2</v>
      </c>
      <c r="Q28" s="135">
        <v>3.24301747070058E-2</v>
      </c>
      <c r="R28" s="135">
        <v>4.3128203976526003E-2</v>
      </c>
      <c r="S28" s="135">
        <v>2.69788952025477E-2</v>
      </c>
      <c r="T28" s="135">
        <v>2.2854185507576001E-2</v>
      </c>
      <c r="U28" s="135">
        <v>3.3687796007744901E-2</v>
      </c>
      <c r="V28" s="135">
        <v>0.10210507053517701</v>
      </c>
      <c r="W28" s="135">
        <v>0.21037007247832301</v>
      </c>
      <c r="X28" s="135">
        <v>0.143392092108133</v>
      </c>
      <c r="Y28" s="135">
        <v>0.105945178630046</v>
      </c>
      <c r="Z28" s="135">
        <v>4.3153639840515401E-2</v>
      </c>
      <c r="AA28" s="135">
        <v>2.0191081133463702E-2</v>
      </c>
      <c r="AB28" s="135">
        <v>6.2857526481636698E-3</v>
      </c>
      <c r="AC28" s="135">
        <v>4.7886458989848503E-3</v>
      </c>
      <c r="AD28" s="135">
        <v>3.7827962862338502E-3</v>
      </c>
      <c r="AF28" s="243">
        <f t="shared" si="1"/>
        <v>0.47155439841490043</v>
      </c>
      <c r="AG28" s="275">
        <f t="shared" si="2"/>
        <v>0.44254965823495152</v>
      </c>
      <c r="AH28" s="391">
        <f t="shared" si="3"/>
        <v>0.44529329808390006</v>
      </c>
      <c r="AI28" s="135">
        <f t="shared" si="4"/>
        <v>0.88784295631885157</v>
      </c>
    </row>
    <row r="29" spans="1:35" ht="15.75" customHeight="1">
      <c r="A29" s="10" t="s">
        <v>186</v>
      </c>
      <c r="B29" s="10">
        <v>28</v>
      </c>
      <c r="C29" s="10" t="s">
        <v>1512</v>
      </c>
      <c r="D29" s="388">
        <v>44954</v>
      </c>
      <c r="E29" s="389">
        <v>44954</v>
      </c>
      <c r="F29" s="390" t="str">
        <f t="shared" si="0"/>
        <v>Cooking</v>
      </c>
      <c r="G29" s="135">
        <v>1.74400830213755E-3</v>
      </c>
      <c r="H29" s="135">
        <v>2.14107876536978E-3</v>
      </c>
      <c r="I29" s="135">
        <v>2.2116760729407499E-3</v>
      </c>
      <c r="J29" s="135">
        <v>2.13705315979724E-3</v>
      </c>
      <c r="K29" s="135">
        <v>2.8735451221860498E-3</v>
      </c>
      <c r="L29" s="135">
        <v>8.4009082595883008E-3</v>
      </c>
      <c r="M29" s="135">
        <v>2.0526673480187399E-2</v>
      </c>
      <c r="N29" s="135">
        <v>3.2898854494523802E-2</v>
      </c>
      <c r="O29" s="135">
        <v>3.52735598668278E-2</v>
      </c>
      <c r="P29" s="135">
        <v>3.9777219891279601E-2</v>
      </c>
      <c r="Q29" s="135">
        <v>4.81865921371726E-2</v>
      </c>
      <c r="R29" s="135">
        <v>5.8062938727434399E-2</v>
      </c>
      <c r="S29" s="135">
        <v>4.1881092729344899E-2</v>
      </c>
      <c r="T29" s="135">
        <v>4.4799329329721603E-2</v>
      </c>
      <c r="U29" s="135">
        <v>4.3164940779069197E-2</v>
      </c>
      <c r="V29" s="135">
        <v>7.5964078527142598E-2</v>
      </c>
      <c r="W29" s="135">
        <v>0.175105949846284</v>
      </c>
      <c r="X29" s="135">
        <v>0.101824990391504</v>
      </c>
      <c r="Y29" s="135">
        <v>7.7200999155179001E-2</v>
      </c>
      <c r="Z29" s="135">
        <v>3.7657486401596003E-2</v>
      </c>
      <c r="AA29" s="135">
        <v>1.5784183235553799E-2</v>
      </c>
      <c r="AB29" s="135">
        <v>6.5260846468256804E-3</v>
      </c>
      <c r="AC29" s="135">
        <v>4.1060587215597903E-3</v>
      </c>
      <c r="AD29" s="135">
        <v>2.8232181240905002E-3</v>
      </c>
      <c r="AF29" s="243">
        <f t="shared" si="1"/>
        <v>0.48716492207616935</v>
      </c>
      <c r="AG29" s="275">
        <f t="shared" si="2"/>
        <v>0.42787961121941953</v>
      </c>
      <c r="AH29" s="391">
        <f t="shared" si="3"/>
        <v>0.45319290894789666</v>
      </c>
      <c r="AI29" s="135">
        <f t="shared" si="4"/>
        <v>0.88107252016731619</v>
      </c>
    </row>
    <row r="30" spans="1:35" ht="15.75" customHeight="1">
      <c r="A30" s="10" t="s">
        <v>186</v>
      </c>
      <c r="B30" s="10">
        <v>29</v>
      </c>
      <c r="C30" s="10" t="s">
        <v>1512</v>
      </c>
      <c r="D30" s="388">
        <v>44955</v>
      </c>
      <c r="E30" s="389">
        <v>44955</v>
      </c>
      <c r="F30" s="390" t="str">
        <f t="shared" si="0"/>
        <v>Cooking</v>
      </c>
      <c r="G30" s="135">
        <v>1.74400830213755E-3</v>
      </c>
      <c r="H30" s="135">
        <v>2.14107876536978E-3</v>
      </c>
      <c r="I30" s="135">
        <v>2.2116760729407499E-3</v>
      </c>
      <c r="J30" s="135">
        <v>2.13705315979724E-3</v>
      </c>
      <c r="K30" s="135">
        <v>2.8735451221860498E-3</v>
      </c>
      <c r="L30" s="135">
        <v>8.4009082595883008E-3</v>
      </c>
      <c r="M30" s="135">
        <v>2.0526673480187399E-2</v>
      </c>
      <c r="N30" s="135">
        <v>3.2898854494523802E-2</v>
      </c>
      <c r="O30" s="135">
        <v>3.52735598668278E-2</v>
      </c>
      <c r="P30" s="135">
        <v>3.9777219891279601E-2</v>
      </c>
      <c r="Q30" s="135">
        <v>4.81865921371726E-2</v>
      </c>
      <c r="R30" s="135">
        <v>5.8062938727434399E-2</v>
      </c>
      <c r="S30" s="135">
        <v>4.1881092729344899E-2</v>
      </c>
      <c r="T30" s="135">
        <v>4.4799329329721603E-2</v>
      </c>
      <c r="U30" s="135">
        <v>4.3164940779069197E-2</v>
      </c>
      <c r="V30" s="135">
        <v>7.5964078527142598E-2</v>
      </c>
      <c r="W30" s="135">
        <v>0.175105949846284</v>
      </c>
      <c r="X30" s="135">
        <v>0.101824990391504</v>
      </c>
      <c r="Y30" s="135">
        <v>7.7200999155179001E-2</v>
      </c>
      <c r="Z30" s="135">
        <v>3.7657486401596003E-2</v>
      </c>
      <c r="AA30" s="135">
        <v>1.5784183235553799E-2</v>
      </c>
      <c r="AB30" s="135">
        <v>6.5260846468256804E-3</v>
      </c>
      <c r="AC30" s="135">
        <v>4.1060587215597903E-3</v>
      </c>
      <c r="AD30" s="135">
        <v>2.8232181240905002E-3</v>
      </c>
      <c r="AF30" s="243">
        <f t="shared" si="1"/>
        <v>0.48716492207616935</v>
      </c>
      <c r="AG30" s="275">
        <f t="shared" si="2"/>
        <v>0.42787961121941953</v>
      </c>
      <c r="AH30" s="391">
        <f t="shared" si="3"/>
        <v>0.45319290894789666</v>
      </c>
      <c r="AI30" s="135">
        <f t="shared" si="4"/>
        <v>0.88107252016731619</v>
      </c>
    </row>
    <row r="31" spans="1:35" ht="15.75" customHeight="1">
      <c r="A31" s="10" t="s">
        <v>186</v>
      </c>
      <c r="B31" s="10">
        <v>30</v>
      </c>
      <c r="C31" s="10" t="s">
        <v>1512</v>
      </c>
      <c r="D31" s="388">
        <v>44956</v>
      </c>
      <c r="E31" s="389">
        <v>44956</v>
      </c>
      <c r="F31" s="390" t="str">
        <f t="shared" si="0"/>
        <v>Cooking</v>
      </c>
      <c r="G31" s="135">
        <v>2.0932003871910899E-3</v>
      </c>
      <c r="H31" s="135">
        <v>2.2618496290306802E-3</v>
      </c>
      <c r="I31" s="135">
        <v>2.0176407199901701E-3</v>
      </c>
      <c r="J31" s="135">
        <v>2.1276617659541199E-3</v>
      </c>
      <c r="K31" s="135">
        <v>2.60674023000843E-3</v>
      </c>
      <c r="L31" s="135">
        <v>7.7479121953398502E-3</v>
      </c>
      <c r="M31" s="135">
        <v>1.9127191390849702E-2</v>
      </c>
      <c r="N31" s="135">
        <v>1.4518223682810701E-2</v>
      </c>
      <c r="O31" s="135">
        <v>1.76564882996007E-2</v>
      </c>
      <c r="P31" s="135">
        <v>1.8592463057635102E-2</v>
      </c>
      <c r="Q31" s="135">
        <v>3.24301747070058E-2</v>
      </c>
      <c r="R31" s="135">
        <v>4.3128203976526003E-2</v>
      </c>
      <c r="S31" s="135">
        <v>2.69788952025477E-2</v>
      </c>
      <c r="T31" s="135">
        <v>2.2854185507576001E-2</v>
      </c>
      <c r="U31" s="135">
        <v>3.3687796007744901E-2</v>
      </c>
      <c r="V31" s="135">
        <v>0.10210507053517701</v>
      </c>
      <c r="W31" s="135">
        <v>0.21037007247832301</v>
      </c>
      <c r="X31" s="135">
        <v>0.143392092108133</v>
      </c>
      <c r="Y31" s="135">
        <v>0.105945178630046</v>
      </c>
      <c r="Z31" s="135">
        <v>4.3153639840515401E-2</v>
      </c>
      <c r="AA31" s="135">
        <v>2.0191081133463702E-2</v>
      </c>
      <c r="AB31" s="135">
        <v>6.2857526481636698E-3</v>
      </c>
      <c r="AC31" s="135">
        <v>4.7886458989848503E-3</v>
      </c>
      <c r="AD31" s="135">
        <v>3.7827962862338502E-3</v>
      </c>
      <c r="AF31" s="243">
        <f t="shared" si="1"/>
        <v>0.47155439841490043</v>
      </c>
      <c r="AG31" s="275">
        <f t="shared" si="2"/>
        <v>0.44254965823495152</v>
      </c>
      <c r="AH31" s="391">
        <f t="shared" si="3"/>
        <v>0.44529329808390006</v>
      </c>
      <c r="AI31" s="135">
        <f t="shared" si="4"/>
        <v>0.88784295631885157</v>
      </c>
    </row>
    <row r="32" spans="1:35" ht="15.75" customHeight="1">
      <c r="A32" s="10" t="s">
        <v>186</v>
      </c>
      <c r="B32" s="10">
        <v>31</v>
      </c>
      <c r="C32" s="10" t="s">
        <v>1512</v>
      </c>
      <c r="D32" s="388">
        <v>44957</v>
      </c>
      <c r="E32" s="389">
        <v>44957</v>
      </c>
      <c r="F32" s="390" t="str">
        <f t="shared" si="0"/>
        <v>Cooking</v>
      </c>
      <c r="G32" s="135">
        <v>2.0932003871910899E-3</v>
      </c>
      <c r="H32" s="135">
        <v>2.2618496290306802E-3</v>
      </c>
      <c r="I32" s="135">
        <v>2.0176407199901701E-3</v>
      </c>
      <c r="J32" s="135">
        <v>2.1276617659541199E-3</v>
      </c>
      <c r="K32" s="135">
        <v>2.60674023000843E-3</v>
      </c>
      <c r="L32" s="135">
        <v>7.7479121953398502E-3</v>
      </c>
      <c r="M32" s="135">
        <v>1.9127191390849702E-2</v>
      </c>
      <c r="N32" s="135">
        <v>1.4518223682810701E-2</v>
      </c>
      <c r="O32" s="135">
        <v>1.76564882996007E-2</v>
      </c>
      <c r="P32" s="135">
        <v>1.8592463057635102E-2</v>
      </c>
      <c r="Q32" s="135">
        <v>3.24301747070058E-2</v>
      </c>
      <c r="R32" s="135">
        <v>4.3128203976526003E-2</v>
      </c>
      <c r="S32" s="135">
        <v>2.69788952025477E-2</v>
      </c>
      <c r="T32" s="135">
        <v>2.2854185507576001E-2</v>
      </c>
      <c r="U32" s="135">
        <v>3.3687796007744901E-2</v>
      </c>
      <c r="V32" s="135">
        <v>0.10210507053517701</v>
      </c>
      <c r="W32" s="135">
        <v>0.21037007247832301</v>
      </c>
      <c r="X32" s="135">
        <v>0.143392092108133</v>
      </c>
      <c r="Y32" s="135">
        <v>0.105945178630046</v>
      </c>
      <c r="Z32" s="135">
        <v>4.3153639840515401E-2</v>
      </c>
      <c r="AA32" s="135">
        <v>2.0191081133463702E-2</v>
      </c>
      <c r="AB32" s="135">
        <v>6.2857526481636698E-3</v>
      </c>
      <c r="AC32" s="135">
        <v>4.7886458989848503E-3</v>
      </c>
      <c r="AD32" s="135">
        <v>3.7827962862338502E-3</v>
      </c>
      <c r="AF32" s="243">
        <f t="shared" si="1"/>
        <v>0.47155439841490043</v>
      </c>
      <c r="AG32" s="275">
        <f t="shared" si="2"/>
        <v>0.44254965823495152</v>
      </c>
      <c r="AH32" s="391">
        <f t="shared" si="3"/>
        <v>0.44529329808390006</v>
      </c>
      <c r="AI32" s="135">
        <f t="shared" si="4"/>
        <v>0.88784295631885157</v>
      </c>
    </row>
    <row r="33" spans="1:35" ht="15.75" customHeight="1">
      <c r="A33" s="10" t="s">
        <v>186</v>
      </c>
      <c r="B33" s="10">
        <v>32</v>
      </c>
      <c r="C33" s="10" t="s">
        <v>1512</v>
      </c>
      <c r="D33" s="388">
        <v>44958</v>
      </c>
      <c r="E33" s="389">
        <v>44958</v>
      </c>
      <c r="F33" s="390" t="str">
        <f t="shared" si="0"/>
        <v>Cooking</v>
      </c>
      <c r="G33" s="135">
        <v>2.0932003871910899E-3</v>
      </c>
      <c r="H33" s="135">
        <v>2.2618496290306802E-3</v>
      </c>
      <c r="I33" s="135">
        <v>2.0176407199901701E-3</v>
      </c>
      <c r="J33" s="135">
        <v>2.1276617659541199E-3</v>
      </c>
      <c r="K33" s="135">
        <v>2.60674023000843E-3</v>
      </c>
      <c r="L33" s="135">
        <v>7.7479121953398502E-3</v>
      </c>
      <c r="M33" s="135">
        <v>1.9127191390849702E-2</v>
      </c>
      <c r="N33" s="135">
        <v>1.4518223682810701E-2</v>
      </c>
      <c r="O33" s="135">
        <v>1.76564882996007E-2</v>
      </c>
      <c r="P33" s="135">
        <v>1.8592463057635102E-2</v>
      </c>
      <c r="Q33" s="135">
        <v>3.24301747070058E-2</v>
      </c>
      <c r="R33" s="135">
        <v>4.3128203976526003E-2</v>
      </c>
      <c r="S33" s="135">
        <v>2.69788952025477E-2</v>
      </c>
      <c r="T33" s="135">
        <v>2.2854185507576001E-2</v>
      </c>
      <c r="U33" s="135">
        <v>3.3687796007744901E-2</v>
      </c>
      <c r="V33" s="135">
        <v>0.10210507053517701</v>
      </c>
      <c r="W33" s="135">
        <v>0.21037007247832301</v>
      </c>
      <c r="X33" s="135">
        <v>0.143392092108133</v>
      </c>
      <c r="Y33" s="135">
        <v>0.105945178630046</v>
      </c>
      <c r="Z33" s="135">
        <v>4.3153639840515401E-2</v>
      </c>
      <c r="AA33" s="135">
        <v>2.0191081133463702E-2</v>
      </c>
      <c r="AB33" s="135">
        <v>6.2857526481636698E-3</v>
      </c>
      <c r="AC33" s="135">
        <v>4.7886458989848503E-3</v>
      </c>
      <c r="AD33" s="135">
        <v>3.7827962862338502E-3</v>
      </c>
      <c r="AF33" s="243">
        <f t="shared" si="1"/>
        <v>0.47155439841490043</v>
      </c>
      <c r="AG33" s="275">
        <f t="shared" si="2"/>
        <v>0.44254965823495152</v>
      </c>
      <c r="AH33" s="391">
        <f t="shared" si="3"/>
        <v>0.44529329808390006</v>
      </c>
      <c r="AI33" s="135">
        <f t="shared" si="4"/>
        <v>0.88784295631885157</v>
      </c>
    </row>
    <row r="34" spans="1:35" ht="15.75" customHeight="1">
      <c r="A34" s="10" t="s">
        <v>186</v>
      </c>
      <c r="B34" s="10">
        <v>33</v>
      </c>
      <c r="C34" s="10" t="s">
        <v>1512</v>
      </c>
      <c r="D34" s="388">
        <v>44959</v>
      </c>
      <c r="E34" s="389">
        <v>44959</v>
      </c>
      <c r="F34" s="390" t="str">
        <f t="shared" si="0"/>
        <v>Cooking</v>
      </c>
      <c r="G34" s="135">
        <v>2.0932003871910899E-3</v>
      </c>
      <c r="H34" s="135">
        <v>2.2618496290306802E-3</v>
      </c>
      <c r="I34" s="135">
        <v>2.0176407199901701E-3</v>
      </c>
      <c r="J34" s="135">
        <v>2.1276617659541199E-3</v>
      </c>
      <c r="K34" s="135">
        <v>2.60674023000843E-3</v>
      </c>
      <c r="L34" s="135">
        <v>7.7479121953398502E-3</v>
      </c>
      <c r="M34" s="135">
        <v>1.9127191390849702E-2</v>
      </c>
      <c r="N34" s="135">
        <v>1.4518223682810701E-2</v>
      </c>
      <c r="O34" s="135">
        <v>1.76564882996007E-2</v>
      </c>
      <c r="P34" s="135">
        <v>1.8592463057635102E-2</v>
      </c>
      <c r="Q34" s="135">
        <v>3.24301747070058E-2</v>
      </c>
      <c r="R34" s="135">
        <v>4.3128203976526003E-2</v>
      </c>
      <c r="S34" s="135">
        <v>2.69788952025477E-2</v>
      </c>
      <c r="T34" s="135">
        <v>2.2854185507576001E-2</v>
      </c>
      <c r="U34" s="135">
        <v>3.3687796007744901E-2</v>
      </c>
      <c r="V34" s="135">
        <v>0.10210507053517701</v>
      </c>
      <c r="W34" s="135">
        <v>0.21037007247832301</v>
      </c>
      <c r="X34" s="135">
        <v>0.143392092108133</v>
      </c>
      <c r="Y34" s="135">
        <v>0.105945178630046</v>
      </c>
      <c r="Z34" s="135">
        <v>4.3153639840515401E-2</v>
      </c>
      <c r="AA34" s="135">
        <v>2.0191081133463702E-2</v>
      </c>
      <c r="AB34" s="135">
        <v>6.2857526481636698E-3</v>
      </c>
      <c r="AC34" s="135">
        <v>4.7886458989848503E-3</v>
      </c>
      <c r="AD34" s="135">
        <v>3.7827962862338502E-3</v>
      </c>
      <c r="AF34" s="243">
        <f t="shared" si="1"/>
        <v>0.47155439841490043</v>
      </c>
      <c r="AG34" s="275">
        <f t="shared" si="2"/>
        <v>0.44254965823495152</v>
      </c>
      <c r="AH34" s="391">
        <f t="shared" si="3"/>
        <v>0.44529329808390006</v>
      </c>
      <c r="AI34" s="135">
        <f t="shared" si="4"/>
        <v>0.88784295631885157</v>
      </c>
    </row>
    <row r="35" spans="1:35" ht="15.75" customHeight="1">
      <c r="A35" s="10" t="s">
        <v>186</v>
      </c>
      <c r="B35" s="10">
        <v>34</v>
      </c>
      <c r="C35" s="10" t="s">
        <v>1512</v>
      </c>
      <c r="D35" s="388">
        <v>44960</v>
      </c>
      <c r="E35" s="389">
        <v>44960</v>
      </c>
      <c r="F35" s="390" t="str">
        <f t="shared" si="0"/>
        <v>Cooking</v>
      </c>
      <c r="G35" s="135">
        <v>2.0932003871910899E-3</v>
      </c>
      <c r="H35" s="135">
        <v>2.2618496290306802E-3</v>
      </c>
      <c r="I35" s="135">
        <v>2.0176407199901701E-3</v>
      </c>
      <c r="J35" s="135">
        <v>2.1276617659541199E-3</v>
      </c>
      <c r="K35" s="135">
        <v>2.60674023000843E-3</v>
      </c>
      <c r="L35" s="135">
        <v>7.7479121953398502E-3</v>
      </c>
      <c r="M35" s="135">
        <v>1.9127191390849702E-2</v>
      </c>
      <c r="N35" s="135">
        <v>1.4518223682810701E-2</v>
      </c>
      <c r="O35" s="135">
        <v>1.76564882996007E-2</v>
      </c>
      <c r="P35" s="135">
        <v>1.8592463057635102E-2</v>
      </c>
      <c r="Q35" s="135">
        <v>3.24301747070058E-2</v>
      </c>
      <c r="R35" s="135">
        <v>4.3128203976526003E-2</v>
      </c>
      <c r="S35" s="135">
        <v>2.69788952025477E-2</v>
      </c>
      <c r="T35" s="135">
        <v>2.2854185507576001E-2</v>
      </c>
      <c r="U35" s="135">
        <v>3.3687796007744901E-2</v>
      </c>
      <c r="V35" s="135">
        <v>0.10210507053517701</v>
      </c>
      <c r="W35" s="135">
        <v>0.21037007247832301</v>
      </c>
      <c r="X35" s="135">
        <v>0.143392092108133</v>
      </c>
      <c r="Y35" s="135">
        <v>0.105945178630046</v>
      </c>
      <c r="Z35" s="135">
        <v>4.3153639840515401E-2</v>
      </c>
      <c r="AA35" s="135">
        <v>2.0191081133463702E-2</v>
      </c>
      <c r="AB35" s="135">
        <v>6.2857526481636698E-3</v>
      </c>
      <c r="AC35" s="135">
        <v>4.7886458989848503E-3</v>
      </c>
      <c r="AD35" s="135">
        <v>3.7827962862338502E-3</v>
      </c>
      <c r="AF35" s="243">
        <f t="shared" si="1"/>
        <v>0.47155439841490043</v>
      </c>
      <c r="AG35" s="275">
        <f t="shared" si="2"/>
        <v>0.44254965823495152</v>
      </c>
      <c r="AH35" s="391">
        <f t="shared" si="3"/>
        <v>0.44529329808390006</v>
      </c>
      <c r="AI35" s="135">
        <f t="shared" si="4"/>
        <v>0.88784295631885157</v>
      </c>
    </row>
    <row r="36" spans="1:35" ht="15.75" customHeight="1">
      <c r="A36" s="10" t="s">
        <v>186</v>
      </c>
      <c r="B36" s="10">
        <v>35</v>
      </c>
      <c r="C36" s="10" t="s">
        <v>1512</v>
      </c>
      <c r="D36" s="388">
        <v>44961</v>
      </c>
      <c r="E36" s="389">
        <v>44961</v>
      </c>
      <c r="F36" s="390" t="str">
        <f t="shared" si="0"/>
        <v>Cooking</v>
      </c>
      <c r="G36" s="135">
        <v>1.74400830213755E-3</v>
      </c>
      <c r="H36" s="135">
        <v>2.14107876536978E-3</v>
      </c>
      <c r="I36" s="135">
        <v>2.2116760729407499E-3</v>
      </c>
      <c r="J36" s="135">
        <v>2.13705315979724E-3</v>
      </c>
      <c r="K36" s="135">
        <v>2.8735451221860498E-3</v>
      </c>
      <c r="L36" s="135">
        <v>8.4009082595883008E-3</v>
      </c>
      <c r="M36" s="135">
        <v>2.0526673480187399E-2</v>
      </c>
      <c r="N36" s="135">
        <v>3.2898854494523802E-2</v>
      </c>
      <c r="O36" s="135">
        <v>3.52735598668278E-2</v>
      </c>
      <c r="P36" s="135">
        <v>3.9777219891279601E-2</v>
      </c>
      <c r="Q36" s="135">
        <v>4.81865921371726E-2</v>
      </c>
      <c r="R36" s="135">
        <v>5.8062938727434399E-2</v>
      </c>
      <c r="S36" s="135">
        <v>4.1881092729344899E-2</v>
      </c>
      <c r="T36" s="135">
        <v>4.4799329329721603E-2</v>
      </c>
      <c r="U36" s="135">
        <v>4.3164940779069197E-2</v>
      </c>
      <c r="V36" s="135">
        <v>7.5964078527142598E-2</v>
      </c>
      <c r="W36" s="135">
        <v>0.175105949846284</v>
      </c>
      <c r="X36" s="135">
        <v>0.101824990391504</v>
      </c>
      <c r="Y36" s="135">
        <v>7.7200999155179001E-2</v>
      </c>
      <c r="Z36" s="135">
        <v>3.7657486401596003E-2</v>
      </c>
      <c r="AA36" s="135">
        <v>1.5784183235553799E-2</v>
      </c>
      <c r="AB36" s="135">
        <v>6.5260846468256804E-3</v>
      </c>
      <c r="AC36" s="135">
        <v>4.1060587215597903E-3</v>
      </c>
      <c r="AD36" s="135">
        <v>2.8232181240905002E-3</v>
      </c>
      <c r="AF36" s="243">
        <f t="shared" si="1"/>
        <v>0.48716492207616935</v>
      </c>
      <c r="AG36" s="275">
        <f t="shared" si="2"/>
        <v>0.42787961121941953</v>
      </c>
      <c r="AH36" s="391">
        <f t="shared" si="3"/>
        <v>0.45319290894789666</v>
      </c>
      <c r="AI36" s="135">
        <f t="shared" si="4"/>
        <v>0.88107252016731619</v>
      </c>
    </row>
    <row r="37" spans="1:35" ht="15.75" customHeight="1">
      <c r="A37" s="10" t="s">
        <v>186</v>
      </c>
      <c r="B37" s="10">
        <v>36</v>
      </c>
      <c r="C37" s="10" t="s">
        <v>1512</v>
      </c>
      <c r="D37" s="388">
        <v>44962</v>
      </c>
      <c r="E37" s="389">
        <v>44962</v>
      </c>
      <c r="F37" s="390" t="str">
        <f t="shared" si="0"/>
        <v>Cooking</v>
      </c>
      <c r="G37" s="135">
        <v>1.74400830213755E-3</v>
      </c>
      <c r="H37" s="135">
        <v>2.14107876536978E-3</v>
      </c>
      <c r="I37" s="135">
        <v>2.2116760729407499E-3</v>
      </c>
      <c r="J37" s="135">
        <v>2.13705315979724E-3</v>
      </c>
      <c r="K37" s="135">
        <v>2.8735451221860498E-3</v>
      </c>
      <c r="L37" s="135">
        <v>8.4009082595883008E-3</v>
      </c>
      <c r="M37" s="135">
        <v>2.0526673480187399E-2</v>
      </c>
      <c r="N37" s="135">
        <v>3.2898854494523802E-2</v>
      </c>
      <c r="O37" s="135">
        <v>3.52735598668278E-2</v>
      </c>
      <c r="P37" s="135">
        <v>3.9777219891279601E-2</v>
      </c>
      <c r="Q37" s="135">
        <v>4.81865921371726E-2</v>
      </c>
      <c r="R37" s="135">
        <v>5.8062938727434399E-2</v>
      </c>
      <c r="S37" s="135">
        <v>4.1881092729344899E-2</v>
      </c>
      <c r="T37" s="135">
        <v>4.4799329329721603E-2</v>
      </c>
      <c r="U37" s="135">
        <v>4.3164940779069197E-2</v>
      </c>
      <c r="V37" s="135">
        <v>7.5964078527142598E-2</v>
      </c>
      <c r="W37" s="135">
        <v>0.175105949846284</v>
      </c>
      <c r="X37" s="135">
        <v>0.101824990391504</v>
      </c>
      <c r="Y37" s="135">
        <v>7.7200999155179001E-2</v>
      </c>
      <c r="Z37" s="135">
        <v>3.7657486401596003E-2</v>
      </c>
      <c r="AA37" s="135">
        <v>1.5784183235553799E-2</v>
      </c>
      <c r="AB37" s="135">
        <v>6.5260846468256804E-3</v>
      </c>
      <c r="AC37" s="135">
        <v>4.1060587215597903E-3</v>
      </c>
      <c r="AD37" s="135">
        <v>2.8232181240905002E-3</v>
      </c>
      <c r="AF37" s="243">
        <f t="shared" si="1"/>
        <v>0.48716492207616935</v>
      </c>
      <c r="AG37" s="275">
        <f t="shared" si="2"/>
        <v>0.42787961121941953</v>
      </c>
      <c r="AH37" s="391">
        <f t="shared" si="3"/>
        <v>0.45319290894789666</v>
      </c>
      <c r="AI37" s="135">
        <f t="shared" si="4"/>
        <v>0.88107252016731619</v>
      </c>
    </row>
    <row r="38" spans="1:35" ht="15.75" customHeight="1">
      <c r="A38" s="10" t="s">
        <v>186</v>
      </c>
      <c r="B38" s="10">
        <v>37</v>
      </c>
      <c r="C38" s="10" t="s">
        <v>1512</v>
      </c>
      <c r="D38" s="388">
        <v>44963</v>
      </c>
      <c r="E38" s="389">
        <v>44963</v>
      </c>
      <c r="F38" s="390" t="str">
        <f t="shared" si="0"/>
        <v>Cooking</v>
      </c>
      <c r="G38" s="135">
        <v>2.0932003871910899E-3</v>
      </c>
      <c r="H38" s="135">
        <v>2.2618496290306802E-3</v>
      </c>
      <c r="I38" s="135">
        <v>2.0176407199901701E-3</v>
      </c>
      <c r="J38" s="135">
        <v>2.1276617659541199E-3</v>
      </c>
      <c r="K38" s="135">
        <v>2.60674023000843E-3</v>
      </c>
      <c r="L38" s="135">
        <v>7.7479121953398502E-3</v>
      </c>
      <c r="M38" s="135">
        <v>1.9127191390849702E-2</v>
      </c>
      <c r="N38" s="135">
        <v>1.4518223682810701E-2</v>
      </c>
      <c r="O38" s="135">
        <v>1.76564882996007E-2</v>
      </c>
      <c r="P38" s="135">
        <v>1.8592463057635102E-2</v>
      </c>
      <c r="Q38" s="135">
        <v>3.24301747070058E-2</v>
      </c>
      <c r="R38" s="135">
        <v>4.3128203976526003E-2</v>
      </c>
      <c r="S38" s="135">
        <v>2.69788952025477E-2</v>
      </c>
      <c r="T38" s="135">
        <v>2.2854185507576001E-2</v>
      </c>
      <c r="U38" s="135">
        <v>3.3687796007744901E-2</v>
      </c>
      <c r="V38" s="135">
        <v>0.10210507053517701</v>
      </c>
      <c r="W38" s="135">
        <v>0.21037007247832301</v>
      </c>
      <c r="X38" s="135">
        <v>0.143392092108133</v>
      </c>
      <c r="Y38" s="135">
        <v>0.105945178630046</v>
      </c>
      <c r="Z38" s="135">
        <v>4.3153639840515401E-2</v>
      </c>
      <c r="AA38" s="135">
        <v>2.0191081133463702E-2</v>
      </c>
      <c r="AB38" s="135">
        <v>6.2857526481636698E-3</v>
      </c>
      <c r="AC38" s="135">
        <v>4.7886458989848503E-3</v>
      </c>
      <c r="AD38" s="135">
        <v>3.7827962862338502E-3</v>
      </c>
      <c r="AF38" s="243">
        <f t="shared" si="1"/>
        <v>0.47155439841490043</v>
      </c>
      <c r="AG38" s="275">
        <f t="shared" si="2"/>
        <v>0.44254965823495152</v>
      </c>
      <c r="AH38" s="391">
        <f t="shared" si="3"/>
        <v>0.44529329808390006</v>
      </c>
      <c r="AI38" s="135">
        <f t="shared" si="4"/>
        <v>0.88784295631885157</v>
      </c>
    </row>
    <row r="39" spans="1:35" ht="15.75" customHeight="1">
      <c r="A39" s="10" t="s">
        <v>186</v>
      </c>
      <c r="B39" s="10">
        <v>38</v>
      </c>
      <c r="C39" s="10" t="s">
        <v>1512</v>
      </c>
      <c r="D39" s="388">
        <v>44964</v>
      </c>
      <c r="E39" s="389">
        <v>44964</v>
      </c>
      <c r="F39" s="390" t="str">
        <f t="shared" si="0"/>
        <v>Cooking</v>
      </c>
      <c r="G39" s="135">
        <v>2.0932003871910899E-3</v>
      </c>
      <c r="H39" s="135">
        <v>2.2618496290306802E-3</v>
      </c>
      <c r="I39" s="135">
        <v>2.0176407199901701E-3</v>
      </c>
      <c r="J39" s="135">
        <v>2.1276617659541199E-3</v>
      </c>
      <c r="K39" s="135">
        <v>2.60674023000843E-3</v>
      </c>
      <c r="L39" s="135">
        <v>7.7479121953398502E-3</v>
      </c>
      <c r="M39" s="135">
        <v>1.9127191390849702E-2</v>
      </c>
      <c r="N39" s="135">
        <v>1.4518223682810701E-2</v>
      </c>
      <c r="O39" s="135">
        <v>1.76564882996007E-2</v>
      </c>
      <c r="P39" s="135">
        <v>1.8592463057635102E-2</v>
      </c>
      <c r="Q39" s="135">
        <v>3.24301747070058E-2</v>
      </c>
      <c r="R39" s="135">
        <v>4.3128203976526003E-2</v>
      </c>
      <c r="S39" s="135">
        <v>2.69788952025477E-2</v>
      </c>
      <c r="T39" s="135">
        <v>2.2854185507576001E-2</v>
      </c>
      <c r="U39" s="135">
        <v>3.3687796007744901E-2</v>
      </c>
      <c r="V39" s="135">
        <v>0.10210507053517701</v>
      </c>
      <c r="W39" s="135">
        <v>0.21037007247832301</v>
      </c>
      <c r="X39" s="135">
        <v>0.143392092108133</v>
      </c>
      <c r="Y39" s="135">
        <v>0.105945178630046</v>
      </c>
      <c r="Z39" s="135">
        <v>4.3153639840515401E-2</v>
      </c>
      <c r="AA39" s="135">
        <v>2.0191081133463702E-2</v>
      </c>
      <c r="AB39" s="135">
        <v>6.2857526481636698E-3</v>
      </c>
      <c r="AC39" s="135">
        <v>4.7886458989848503E-3</v>
      </c>
      <c r="AD39" s="135">
        <v>3.7827962862338502E-3</v>
      </c>
      <c r="AF39" s="243">
        <f t="shared" si="1"/>
        <v>0.47155439841490043</v>
      </c>
      <c r="AG39" s="275">
        <f t="shared" si="2"/>
        <v>0.44254965823495152</v>
      </c>
      <c r="AH39" s="391">
        <f t="shared" si="3"/>
        <v>0.44529329808390006</v>
      </c>
      <c r="AI39" s="135">
        <f t="shared" si="4"/>
        <v>0.88784295631885157</v>
      </c>
    </row>
    <row r="40" spans="1:35" ht="15.75" customHeight="1">
      <c r="A40" s="10" t="s">
        <v>186</v>
      </c>
      <c r="B40" s="10">
        <v>39</v>
      </c>
      <c r="C40" s="10" t="s">
        <v>1512</v>
      </c>
      <c r="D40" s="388">
        <v>44965</v>
      </c>
      <c r="E40" s="389">
        <v>44965</v>
      </c>
      <c r="F40" s="390" t="str">
        <f t="shared" si="0"/>
        <v>Cooking</v>
      </c>
      <c r="G40" s="135">
        <v>2.0932003871910899E-3</v>
      </c>
      <c r="H40" s="135">
        <v>2.2618496290306802E-3</v>
      </c>
      <c r="I40" s="135">
        <v>2.0176407199901701E-3</v>
      </c>
      <c r="J40" s="135">
        <v>2.1276617659541199E-3</v>
      </c>
      <c r="K40" s="135">
        <v>2.60674023000843E-3</v>
      </c>
      <c r="L40" s="135">
        <v>7.7479121953398502E-3</v>
      </c>
      <c r="M40" s="135">
        <v>1.9127191390849702E-2</v>
      </c>
      <c r="N40" s="135">
        <v>1.4518223682810701E-2</v>
      </c>
      <c r="O40" s="135">
        <v>1.76564882996007E-2</v>
      </c>
      <c r="P40" s="135">
        <v>1.8592463057635102E-2</v>
      </c>
      <c r="Q40" s="135">
        <v>3.24301747070058E-2</v>
      </c>
      <c r="R40" s="135">
        <v>4.3128203976526003E-2</v>
      </c>
      <c r="S40" s="135">
        <v>2.69788952025477E-2</v>
      </c>
      <c r="T40" s="135">
        <v>2.2854185507576001E-2</v>
      </c>
      <c r="U40" s="135">
        <v>3.3687796007744901E-2</v>
      </c>
      <c r="V40" s="135">
        <v>0.10210507053517701</v>
      </c>
      <c r="W40" s="135">
        <v>0.21037007247832301</v>
      </c>
      <c r="X40" s="135">
        <v>0.143392092108133</v>
      </c>
      <c r="Y40" s="135">
        <v>0.105945178630046</v>
      </c>
      <c r="Z40" s="135">
        <v>4.3153639840515401E-2</v>
      </c>
      <c r="AA40" s="135">
        <v>2.0191081133463702E-2</v>
      </c>
      <c r="AB40" s="135">
        <v>6.2857526481636698E-3</v>
      </c>
      <c r="AC40" s="135">
        <v>4.7886458989848503E-3</v>
      </c>
      <c r="AD40" s="135">
        <v>3.7827962862338502E-3</v>
      </c>
      <c r="AF40" s="243">
        <f t="shared" si="1"/>
        <v>0.47155439841490043</v>
      </c>
      <c r="AG40" s="275">
        <f t="shared" si="2"/>
        <v>0.44254965823495152</v>
      </c>
      <c r="AH40" s="391">
        <f t="shared" si="3"/>
        <v>0.44529329808390006</v>
      </c>
      <c r="AI40" s="135">
        <f t="shared" si="4"/>
        <v>0.88784295631885157</v>
      </c>
    </row>
    <row r="41" spans="1:35" ht="15.75" customHeight="1">
      <c r="A41" s="10" t="s">
        <v>186</v>
      </c>
      <c r="B41" s="10">
        <v>40</v>
      </c>
      <c r="C41" s="10" t="s">
        <v>1512</v>
      </c>
      <c r="D41" s="388">
        <v>44966</v>
      </c>
      <c r="E41" s="389">
        <v>44966</v>
      </c>
      <c r="F41" s="390" t="str">
        <f t="shared" si="0"/>
        <v>Cooking</v>
      </c>
      <c r="G41" s="135">
        <v>2.0932003871910899E-3</v>
      </c>
      <c r="H41" s="135">
        <v>2.2618496290306802E-3</v>
      </c>
      <c r="I41" s="135">
        <v>2.0176407199901701E-3</v>
      </c>
      <c r="J41" s="135">
        <v>2.1276617659541199E-3</v>
      </c>
      <c r="K41" s="135">
        <v>2.60674023000843E-3</v>
      </c>
      <c r="L41" s="135">
        <v>7.7479121953398502E-3</v>
      </c>
      <c r="M41" s="135">
        <v>1.9127191390849702E-2</v>
      </c>
      <c r="N41" s="135">
        <v>1.4518223682810701E-2</v>
      </c>
      <c r="O41" s="135">
        <v>1.76564882996007E-2</v>
      </c>
      <c r="P41" s="135">
        <v>1.8592463057635102E-2</v>
      </c>
      <c r="Q41" s="135">
        <v>3.24301747070058E-2</v>
      </c>
      <c r="R41" s="135">
        <v>4.3128203976526003E-2</v>
      </c>
      <c r="S41" s="135">
        <v>2.69788952025477E-2</v>
      </c>
      <c r="T41" s="135">
        <v>2.2854185507576001E-2</v>
      </c>
      <c r="U41" s="135">
        <v>3.3687796007744901E-2</v>
      </c>
      <c r="V41" s="135">
        <v>0.10210507053517701</v>
      </c>
      <c r="W41" s="135">
        <v>0.21037007247832301</v>
      </c>
      <c r="X41" s="135">
        <v>0.143392092108133</v>
      </c>
      <c r="Y41" s="135">
        <v>0.105945178630046</v>
      </c>
      <c r="Z41" s="135">
        <v>4.3153639840515401E-2</v>
      </c>
      <c r="AA41" s="135">
        <v>2.0191081133463702E-2</v>
      </c>
      <c r="AB41" s="135">
        <v>6.2857526481636698E-3</v>
      </c>
      <c r="AC41" s="135">
        <v>4.7886458989848503E-3</v>
      </c>
      <c r="AD41" s="135">
        <v>3.7827962862338502E-3</v>
      </c>
      <c r="AF41" s="243">
        <f t="shared" si="1"/>
        <v>0.47155439841490043</v>
      </c>
      <c r="AG41" s="275">
        <f t="shared" si="2"/>
        <v>0.44254965823495152</v>
      </c>
      <c r="AH41" s="391">
        <f t="shared" si="3"/>
        <v>0.44529329808390006</v>
      </c>
      <c r="AI41" s="135">
        <f t="shared" si="4"/>
        <v>0.88784295631885157</v>
      </c>
    </row>
    <row r="42" spans="1:35" ht="12.6">
      <c r="A42" s="10" t="s">
        <v>186</v>
      </c>
      <c r="B42" s="10">
        <v>41</v>
      </c>
      <c r="C42" s="10" t="s">
        <v>1512</v>
      </c>
      <c r="D42" s="388">
        <v>44967</v>
      </c>
      <c r="E42" s="389">
        <v>44967</v>
      </c>
      <c r="F42" s="390" t="str">
        <f t="shared" si="0"/>
        <v>Cooking</v>
      </c>
      <c r="G42" s="135">
        <v>2.0932003871910899E-3</v>
      </c>
      <c r="H42" s="135">
        <v>2.2618496290306802E-3</v>
      </c>
      <c r="I42" s="135">
        <v>2.0176407199901701E-3</v>
      </c>
      <c r="J42" s="135">
        <v>2.1276617659541199E-3</v>
      </c>
      <c r="K42" s="135">
        <v>2.60674023000843E-3</v>
      </c>
      <c r="L42" s="135">
        <v>7.7479121953398502E-3</v>
      </c>
      <c r="M42" s="135">
        <v>1.9127191390849702E-2</v>
      </c>
      <c r="N42" s="135">
        <v>1.4518223682810701E-2</v>
      </c>
      <c r="O42" s="135">
        <v>1.76564882996007E-2</v>
      </c>
      <c r="P42" s="135">
        <v>1.8592463057635102E-2</v>
      </c>
      <c r="Q42" s="135">
        <v>3.24301747070058E-2</v>
      </c>
      <c r="R42" s="135">
        <v>4.3128203976526003E-2</v>
      </c>
      <c r="S42" s="135">
        <v>2.69788952025477E-2</v>
      </c>
      <c r="T42" s="135">
        <v>2.2854185507576001E-2</v>
      </c>
      <c r="U42" s="135">
        <v>3.3687796007744901E-2</v>
      </c>
      <c r="V42" s="135">
        <v>0.10210507053517701</v>
      </c>
      <c r="W42" s="135">
        <v>0.21037007247832301</v>
      </c>
      <c r="X42" s="135">
        <v>0.143392092108133</v>
      </c>
      <c r="Y42" s="135">
        <v>0.105945178630046</v>
      </c>
      <c r="Z42" s="135">
        <v>4.3153639840515401E-2</v>
      </c>
      <c r="AA42" s="135">
        <v>2.0191081133463702E-2</v>
      </c>
      <c r="AB42" s="135">
        <v>6.2857526481636698E-3</v>
      </c>
      <c r="AC42" s="135">
        <v>4.7886458989848503E-3</v>
      </c>
      <c r="AD42" s="135">
        <v>3.7827962862338502E-3</v>
      </c>
      <c r="AF42" s="243">
        <f t="shared" si="1"/>
        <v>0.47155439841490043</v>
      </c>
      <c r="AG42" s="275">
        <f t="shared" si="2"/>
        <v>0.44254965823495152</v>
      </c>
      <c r="AH42" s="391">
        <f t="shared" si="3"/>
        <v>0.44529329808390006</v>
      </c>
      <c r="AI42" s="135">
        <f t="shared" si="4"/>
        <v>0.88784295631885157</v>
      </c>
    </row>
    <row r="43" spans="1:35" ht="12.6">
      <c r="A43" s="10" t="s">
        <v>186</v>
      </c>
      <c r="B43" s="10">
        <v>42</v>
      </c>
      <c r="C43" s="10" t="s">
        <v>1512</v>
      </c>
      <c r="D43" s="388">
        <v>44968</v>
      </c>
      <c r="E43" s="389">
        <v>44968</v>
      </c>
      <c r="F43" s="390" t="str">
        <f t="shared" si="0"/>
        <v>Cooking</v>
      </c>
      <c r="G43" s="135">
        <v>1.74400830213755E-3</v>
      </c>
      <c r="H43" s="135">
        <v>2.14107876536978E-3</v>
      </c>
      <c r="I43" s="135">
        <v>2.2116760729407499E-3</v>
      </c>
      <c r="J43" s="135">
        <v>2.13705315979724E-3</v>
      </c>
      <c r="K43" s="135">
        <v>2.8735451221860498E-3</v>
      </c>
      <c r="L43" s="135">
        <v>8.4009082595883008E-3</v>
      </c>
      <c r="M43" s="135">
        <v>2.0526673480187399E-2</v>
      </c>
      <c r="N43" s="135">
        <v>3.2898854494523802E-2</v>
      </c>
      <c r="O43" s="135">
        <v>3.52735598668278E-2</v>
      </c>
      <c r="P43" s="135">
        <v>3.9777219891279601E-2</v>
      </c>
      <c r="Q43" s="135">
        <v>4.81865921371726E-2</v>
      </c>
      <c r="R43" s="135">
        <v>5.8062938727434399E-2</v>
      </c>
      <c r="S43" s="135">
        <v>4.1881092729344899E-2</v>
      </c>
      <c r="T43" s="135">
        <v>4.4799329329721603E-2</v>
      </c>
      <c r="U43" s="135">
        <v>4.3164940779069197E-2</v>
      </c>
      <c r="V43" s="135">
        <v>7.5964078527142598E-2</v>
      </c>
      <c r="W43" s="135">
        <v>0.175105949846284</v>
      </c>
      <c r="X43" s="135">
        <v>0.101824990391504</v>
      </c>
      <c r="Y43" s="135">
        <v>7.7200999155179001E-2</v>
      </c>
      <c r="Z43" s="135">
        <v>3.7657486401596003E-2</v>
      </c>
      <c r="AA43" s="135">
        <v>1.5784183235553799E-2</v>
      </c>
      <c r="AB43" s="135">
        <v>6.5260846468256804E-3</v>
      </c>
      <c r="AC43" s="135">
        <v>4.1060587215597903E-3</v>
      </c>
      <c r="AD43" s="135">
        <v>2.8232181240905002E-3</v>
      </c>
      <c r="AF43" s="243">
        <f t="shared" si="1"/>
        <v>0.48716492207616935</v>
      </c>
      <c r="AG43" s="275">
        <f t="shared" si="2"/>
        <v>0.42787961121941953</v>
      </c>
      <c r="AH43" s="391">
        <f t="shared" si="3"/>
        <v>0.45319290894789666</v>
      </c>
      <c r="AI43" s="135">
        <f t="shared" si="4"/>
        <v>0.88107252016731619</v>
      </c>
    </row>
    <row r="44" spans="1:35" ht="12.6">
      <c r="A44" s="10" t="s">
        <v>186</v>
      </c>
      <c r="B44" s="10">
        <v>43</v>
      </c>
      <c r="C44" s="10" t="s">
        <v>1512</v>
      </c>
      <c r="D44" s="388">
        <v>44969</v>
      </c>
      <c r="E44" s="389">
        <v>44969</v>
      </c>
      <c r="F44" s="390" t="str">
        <f t="shared" si="0"/>
        <v>Cooking</v>
      </c>
      <c r="G44" s="135">
        <v>1.74400830213755E-3</v>
      </c>
      <c r="H44" s="135">
        <v>2.14107876536978E-3</v>
      </c>
      <c r="I44" s="135">
        <v>2.2116760729407499E-3</v>
      </c>
      <c r="J44" s="135">
        <v>2.13705315979724E-3</v>
      </c>
      <c r="K44" s="135">
        <v>2.8735451221860498E-3</v>
      </c>
      <c r="L44" s="135">
        <v>8.4009082595883008E-3</v>
      </c>
      <c r="M44" s="135">
        <v>2.0526673480187399E-2</v>
      </c>
      <c r="N44" s="135">
        <v>3.2898854494523802E-2</v>
      </c>
      <c r="O44" s="135">
        <v>3.52735598668278E-2</v>
      </c>
      <c r="P44" s="135">
        <v>3.9777219891279601E-2</v>
      </c>
      <c r="Q44" s="135">
        <v>4.81865921371726E-2</v>
      </c>
      <c r="R44" s="135">
        <v>5.8062938727434399E-2</v>
      </c>
      <c r="S44" s="135">
        <v>4.1881092729344899E-2</v>
      </c>
      <c r="T44" s="135">
        <v>4.4799329329721603E-2</v>
      </c>
      <c r="U44" s="135">
        <v>4.3164940779069197E-2</v>
      </c>
      <c r="V44" s="135">
        <v>7.5964078527142598E-2</v>
      </c>
      <c r="W44" s="135">
        <v>0.175105949846284</v>
      </c>
      <c r="X44" s="135">
        <v>0.101824990391504</v>
      </c>
      <c r="Y44" s="135">
        <v>7.7200999155179001E-2</v>
      </c>
      <c r="Z44" s="135">
        <v>3.7657486401596003E-2</v>
      </c>
      <c r="AA44" s="135">
        <v>1.5784183235553799E-2</v>
      </c>
      <c r="AB44" s="135">
        <v>6.5260846468256804E-3</v>
      </c>
      <c r="AC44" s="135">
        <v>4.1060587215597903E-3</v>
      </c>
      <c r="AD44" s="135">
        <v>2.8232181240905002E-3</v>
      </c>
      <c r="AF44" s="243">
        <f t="shared" si="1"/>
        <v>0.48716492207616935</v>
      </c>
      <c r="AG44" s="275">
        <f t="shared" si="2"/>
        <v>0.42787961121941953</v>
      </c>
      <c r="AH44" s="391">
        <f t="shared" si="3"/>
        <v>0.45319290894789666</v>
      </c>
      <c r="AI44" s="135">
        <f t="shared" si="4"/>
        <v>0.88107252016731619</v>
      </c>
    </row>
    <row r="45" spans="1:35" ht="12.6">
      <c r="A45" s="10" t="s">
        <v>186</v>
      </c>
      <c r="B45" s="10">
        <v>44</v>
      </c>
      <c r="C45" s="10" t="s">
        <v>1512</v>
      </c>
      <c r="D45" s="388">
        <v>44970</v>
      </c>
      <c r="E45" s="389">
        <v>44970</v>
      </c>
      <c r="F45" s="390" t="str">
        <f t="shared" si="0"/>
        <v>Cooking</v>
      </c>
      <c r="G45" s="135">
        <v>2.0932003871910899E-3</v>
      </c>
      <c r="H45" s="135">
        <v>2.2618496290306802E-3</v>
      </c>
      <c r="I45" s="135">
        <v>2.0176407199901701E-3</v>
      </c>
      <c r="J45" s="135">
        <v>2.1276617659541199E-3</v>
      </c>
      <c r="K45" s="135">
        <v>2.60674023000843E-3</v>
      </c>
      <c r="L45" s="135">
        <v>7.7479121953398502E-3</v>
      </c>
      <c r="M45" s="135">
        <v>1.9127191390849702E-2</v>
      </c>
      <c r="N45" s="135">
        <v>1.4518223682810701E-2</v>
      </c>
      <c r="O45" s="135">
        <v>1.76564882996007E-2</v>
      </c>
      <c r="P45" s="135">
        <v>1.8592463057635102E-2</v>
      </c>
      <c r="Q45" s="135">
        <v>3.24301747070058E-2</v>
      </c>
      <c r="R45" s="135">
        <v>4.3128203976526003E-2</v>
      </c>
      <c r="S45" s="135">
        <v>2.69788952025477E-2</v>
      </c>
      <c r="T45" s="135">
        <v>2.2854185507576001E-2</v>
      </c>
      <c r="U45" s="135">
        <v>3.3687796007744901E-2</v>
      </c>
      <c r="V45" s="135">
        <v>0.10210507053517701</v>
      </c>
      <c r="W45" s="135">
        <v>0.21037007247832301</v>
      </c>
      <c r="X45" s="135">
        <v>0.143392092108133</v>
      </c>
      <c r="Y45" s="135">
        <v>0.105945178630046</v>
      </c>
      <c r="Z45" s="135">
        <v>4.3153639840515401E-2</v>
      </c>
      <c r="AA45" s="135">
        <v>2.0191081133463702E-2</v>
      </c>
      <c r="AB45" s="135">
        <v>6.2857526481636698E-3</v>
      </c>
      <c r="AC45" s="135">
        <v>4.7886458989848503E-3</v>
      </c>
      <c r="AD45" s="135">
        <v>3.7827962862338502E-3</v>
      </c>
      <c r="AF45" s="243">
        <f t="shared" si="1"/>
        <v>0.47155439841490043</v>
      </c>
      <c r="AG45" s="275">
        <f t="shared" si="2"/>
        <v>0.44254965823495152</v>
      </c>
      <c r="AH45" s="391">
        <f t="shared" si="3"/>
        <v>0.44529329808390006</v>
      </c>
      <c r="AI45" s="135">
        <f t="shared" si="4"/>
        <v>0.88784295631885157</v>
      </c>
    </row>
    <row r="46" spans="1:35" ht="12.6">
      <c r="A46" s="10" t="s">
        <v>186</v>
      </c>
      <c r="B46" s="10">
        <v>45</v>
      </c>
      <c r="C46" s="10" t="s">
        <v>1512</v>
      </c>
      <c r="D46" s="388">
        <v>44971</v>
      </c>
      <c r="E46" s="389">
        <v>44971</v>
      </c>
      <c r="F46" s="390" t="str">
        <f t="shared" si="0"/>
        <v>Cooking</v>
      </c>
      <c r="G46" s="135">
        <v>2.0932003871910899E-3</v>
      </c>
      <c r="H46" s="135">
        <v>2.2618496290306802E-3</v>
      </c>
      <c r="I46" s="135">
        <v>2.0176407199901701E-3</v>
      </c>
      <c r="J46" s="135">
        <v>2.1276617659541199E-3</v>
      </c>
      <c r="K46" s="135">
        <v>2.60674023000843E-3</v>
      </c>
      <c r="L46" s="135">
        <v>7.7479121953398502E-3</v>
      </c>
      <c r="M46" s="135">
        <v>1.9127191390849702E-2</v>
      </c>
      <c r="N46" s="135">
        <v>1.4518223682810701E-2</v>
      </c>
      <c r="O46" s="135">
        <v>1.76564882996007E-2</v>
      </c>
      <c r="P46" s="135">
        <v>1.8592463057635102E-2</v>
      </c>
      <c r="Q46" s="135">
        <v>3.24301747070058E-2</v>
      </c>
      <c r="R46" s="135">
        <v>4.3128203976526003E-2</v>
      </c>
      <c r="S46" s="135">
        <v>2.69788952025477E-2</v>
      </c>
      <c r="T46" s="135">
        <v>2.2854185507576001E-2</v>
      </c>
      <c r="U46" s="135">
        <v>3.3687796007744901E-2</v>
      </c>
      <c r="V46" s="135">
        <v>0.10210507053517701</v>
      </c>
      <c r="W46" s="135">
        <v>0.21037007247832301</v>
      </c>
      <c r="X46" s="135">
        <v>0.143392092108133</v>
      </c>
      <c r="Y46" s="135">
        <v>0.105945178630046</v>
      </c>
      <c r="Z46" s="135">
        <v>4.3153639840515401E-2</v>
      </c>
      <c r="AA46" s="135">
        <v>2.0191081133463702E-2</v>
      </c>
      <c r="AB46" s="135">
        <v>6.2857526481636698E-3</v>
      </c>
      <c r="AC46" s="135">
        <v>4.7886458989848503E-3</v>
      </c>
      <c r="AD46" s="135">
        <v>3.7827962862338502E-3</v>
      </c>
      <c r="AF46" s="243">
        <f t="shared" si="1"/>
        <v>0.47155439841490043</v>
      </c>
      <c r="AG46" s="275">
        <f t="shared" si="2"/>
        <v>0.44254965823495152</v>
      </c>
      <c r="AH46" s="391">
        <f t="shared" si="3"/>
        <v>0.44529329808390006</v>
      </c>
      <c r="AI46" s="135">
        <f t="shared" si="4"/>
        <v>0.88784295631885157</v>
      </c>
    </row>
    <row r="47" spans="1:35" ht="12.6">
      <c r="A47" s="10" t="s">
        <v>186</v>
      </c>
      <c r="B47" s="10">
        <v>46</v>
      </c>
      <c r="C47" s="10" t="s">
        <v>1512</v>
      </c>
      <c r="D47" s="388">
        <v>44972</v>
      </c>
      <c r="E47" s="389">
        <v>44972</v>
      </c>
      <c r="F47" s="390" t="str">
        <f t="shared" si="0"/>
        <v>Cooking</v>
      </c>
      <c r="G47" s="135">
        <v>2.0932003871910899E-3</v>
      </c>
      <c r="H47" s="135">
        <v>2.2618496290306802E-3</v>
      </c>
      <c r="I47" s="135">
        <v>2.0176407199901701E-3</v>
      </c>
      <c r="J47" s="135">
        <v>2.1276617659541199E-3</v>
      </c>
      <c r="K47" s="135">
        <v>2.60674023000843E-3</v>
      </c>
      <c r="L47" s="135">
        <v>7.7479121953398502E-3</v>
      </c>
      <c r="M47" s="135">
        <v>1.9127191390849702E-2</v>
      </c>
      <c r="N47" s="135">
        <v>1.4518223682810701E-2</v>
      </c>
      <c r="O47" s="135">
        <v>1.76564882996007E-2</v>
      </c>
      <c r="P47" s="135">
        <v>1.8592463057635102E-2</v>
      </c>
      <c r="Q47" s="135">
        <v>3.24301747070058E-2</v>
      </c>
      <c r="R47" s="135">
        <v>4.3128203976526003E-2</v>
      </c>
      <c r="S47" s="135">
        <v>2.69788952025477E-2</v>
      </c>
      <c r="T47" s="135">
        <v>2.2854185507576001E-2</v>
      </c>
      <c r="U47" s="135">
        <v>3.3687796007744901E-2</v>
      </c>
      <c r="V47" s="135">
        <v>0.10210507053517701</v>
      </c>
      <c r="W47" s="135">
        <v>0.21037007247832301</v>
      </c>
      <c r="X47" s="135">
        <v>0.143392092108133</v>
      </c>
      <c r="Y47" s="135">
        <v>0.105945178630046</v>
      </c>
      <c r="Z47" s="135">
        <v>4.3153639840515401E-2</v>
      </c>
      <c r="AA47" s="135">
        <v>2.0191081133463702E-2</v>
      </c>
      <c r="AB47" s="135">
        <v>6.2857526481636698E-3</v>
      </c>
      <c r="AC47" s="135">
        <v>4.7886458989848503E-3</v>
      </c>
      <c r="AD47" s="135">
        <v>3.7827962862338502E-3</v>
      </c>
      <c r="AF47" s="243">
        <f t="shared" si="1"/>
        <v>0.47155439841490043</v>
      </c>
      <c r="AG47" s="275">
        <f t="shared" si="2"/>
        <v>0.44254965823495152</v>
      </c>
      <c r="AH47" s="391">
        <f t="shared" si="3"/>
        <v>0.44529329808390006</v>
      </c>
      <c r="AI47" s="135">
        <f t="shared" si="4"/>
        <v>0.88784295631885157</v>
      </c>
    </row>
    <row r="48" spans="1:35" ht="12.6">
      <c r="A48" s="10" t="s">
        <v>186</v>
      </c>
      <c r="B48" s="10">
        <v>47</v>
      </c>
      <c r="C48" s="10" t="s">
        <v>1512</v>
      </c>
      <c r="D48" s="388">
        <v>44973</v>
      </c>
      <c r="E48" s="389">
        <v>44973</v>
      </c>
      <c r="F48" s="390" t="str">
        <f t="shared" si="0"/>
        <v>Cooking</v>
      </c>
      <c r="G48" s="135">
        <v>2.0932003871910899E-3</v>
      </c>
      <c r="H48" s="135">
        <v>2.2618496290306802E-3</v>
      </c>
      <c r="I48" s="135">
        <v>2.0176407199901701E-3</v>
      </c>
      <c r="J48" s="135">
        <v>2.1276617659541199E-3</v>
      </c>
      <c r="K48" s="135">
        <v>2.60674023000843E-3</v>
      </c>
      <c r="L48" s="135">
        <v>7.7479121953398502E-3</v>
      </c>
      <c r="M48" s="135">
        <v>1.9127191390849702E-2</v>
      </c>
      <c r="N48" s="135">
        <v>1.4518223682810701E-2</v>
      </c>
      <c r="O48" s="135">
        <v>1.76564882996007E-2</v>
      </c>
      <c r="P48" s="135">
        <v>1.8592463057635102E-2</v>
      </c>
      <c r="Q48" s="135">
        <v>3.24301747070058E-2</v>
      </c>
      <c r="R48" s="135">
        <v>4.3128203976526003E-2</v>
      </c>
      <c r="S48" s="135">
        <v>2.69788952025477E-2</v>
      </c>
      <c r="T48" s="135">
        <v>2.2854185507576001E-2</v>
      </c>
      <c r="U48" s="135">
        <v>3.3687796007744901E-2</v>
      </c>
      <c r="V48" s="135">
        <v>0.10210507053517701</v>
      </c>
      <c r="W48" s="135">
        <v>0.21037007247832301</v>
      </c>
      <c r="X48" s="135">
        <v>0.143392092108133</v>
      </c>
      <c r="Y48" s="135">
        <v>0.105945178630046</v>
      </c>
      <c r="Z48" s="135">
        <v>4.3153639840515401E-2</v>
      </c>
      <c r="AA48" s="135">
        <v>2.0191081133463702E-2</v>
      </c>
      <c r="AB48" s="135">
        <v>6.2857526481636698E-3</v>
      </c>
      <c r="AC48" s="135">
        <v>4.7886458989848503E-3</v>
      </c>
      <c r="AD48" s="135">
        <v>3.7827962862338502E-3</v>
      </c>
      <c r="AF48" s="243">
        <f t="shared" si="1"/>
        <v>0.47155439841490043</v>
      </c>
      <c r="AG48" s="275">
        <f t="shared" si="2"/>
        <v>0.44254965823495152</v>
      </c>
      <c r="AH48" s="391">
        <f t="shared" si="3"/>
        <v>0.44529329808390006</v>
      </c>
      <c r="AI48" s="135">
        <f t="shared" si="4"/>
        <v>0.88784295631885157</v>
      </c>
    </row>
    <row r="49" spans="1:35" ht="12.6">
      <c r="A49" s="10" t="s">
        <v>186</v>
      </c>
      <c r="B49" s="10">
        <v>48</v>
      </c>
      <c r="C49" s="10" t="s">
        <v>1512</v>
      </c>
      <c r="D49" s="388">
        <v>44974</v>
      </c>
      <c r="E49" s="389">
        <v>44974</v>
      </c>
      <c r="F49" s="390" t="str">
        <f t="shared" si="0"/>
        <v>Cooking</v>
      </c>
      <c r="G49" s="135">
        <v>2.0932003871910899E-3</v>
      </c>
      <c r="H49" s="135">
        <v>2.2618496290306802E-3</v>
      </c>
      <c r="I49" s="135">
        <v>2.0176407199901701E-3</v>
      </c>
      <c r="J49" s="135">
        <v>2.1276617659541199E-3</v>
      </c>
      <c r="K49" s="135">
        <v>2.60674023000843E-3</v>
      </c>
      <c r="L49" s="135">
        <v>7.7479121953398502E-3</v>
      </c>
      <c r="M49" s="135">
        <v>1.9127191390849702E-2</v>
      </c>
      <c r="N49" s="135">
        <v>1.4518223682810701E-2</v>
      </c>
      <c r="O49" s="135">
        <v>1.76564882996007E-2</v>
      </c>
      <c r="P49" s="135">
        <v>1.8592463057635102E-2</v>
      </c>
      <c r="Q49" s="135">
        <v>3.24301747070058E-2</v>
      </c>
      <c r="R49" s="135">
        <v>4.3128203976526003E-2</v>
      </c>
      <c r="S49" s="135">
        <v>2.69788952025477E-2</v>
      </c>
      <c r="T49" s="135">
        <v>2.2854185507576001E-2</v>
      </c>
      <c r="U49" s="135">
        <v>3.3687796007744901E-2</v>
      </c>
      <c r="V49" s="135">
        <v>0.10210507053517701</v>
      </c>
      <c r="W49" s="135">
        <v>0.21037007247832301</v>
      </c>
      <c r="X49" s="135">
        <v>0.143392092108133</v>
      </c>
      <c r="Y49" s="135">
        <v>0.105945178630046</v>
      </c>
      <c r="Z49" s="135">
        <v>4.3153639840515401E-2</v>
      </c>
      <c r="AA49" s="135">
        <v>2.0191081133463702E-2</v>
      </c>
      <c r="AB49" s="135">
        <v>6.2857526481636698E-3</v>
      </c>
      <c r="AC49" s="135">
        <v>4.7886458989848503E-3</v>
      </c>
      <c r="AD49" s="135">
        <v>3.7827962862338502E-3</v>
      </c>
      <c r="AF49" s="243">
        <f t="shared" si="1"/>
        <v>0.47155439841490043</v>
      </c>
      <c r="AG49" s="275">
        <f t="shared" si="2"/>
        <v>0.44254965823495152</v>
      </c>
      <c r="AH49" s="391">
        <f t="shared" si="3"/>
        <v>0.44529329808390006</v>
      </c>
      <c r="AI49" s="135">
        <f t="shared" si="4"/>
        <v>0.88784295631885157</v>
      </c>
    </row>
    <row r="50" spans="1:35" ht="12.6">
      <c r="A50" s="10" t="s">
        <v>186</v>
      </c>
      <c r="B50" s="10">
        <v>49</v>
      </c>
      <c r="C50" s="10" t="s">
        <v>1512</v>
      </c>
      <c r="D50" s="388">
        <v>44975</v>
      </c>
      <c r="E50" s="389">
        <v>44975</v>
      </c>
      <c r="F50" s="390" t="str">
        <f t="shared" si="0"/>
        <v>Cooking</v>
      </c>
      <c r="G50" s="135">
        <v>1.74400830213755E-3</v>
      </c>
      <c r="H50" s="135">
        <v>2.14107876536978E-3</v>
      </c>
      <c r="I50" s="135">
        <v>2.2116760729407499E-3</v>
      </c>
      <c r="J50" s="135">
        <v>2.13705315979724E-3</v>
      </c>
      <c r="K50" s="135">
        <v>2.8735451221860498E-3</v>
      </c>
      <c r="L50" s="135">
        <v>8.4009082595883008E-3</v>
      </c>
      <c r="M50" s="135">
        <v>2.0526673480187399E-2</v>
      </c>
      <c r="N50" s="135">
        <v>3.2898854494523802E-2</v>
      </c>
      <c r="O50" s="135">
        <v>3.52735598668278E-2</v>
      </c>
      <c r="P50" s="135">
        <v>3.9777219891279601E-2</v>
      </c>
      <c r="Q50" s="135">
        <v>4.81865921371726E-2</v>
      </c>
      <c r="R50" s="135">
        <v>5.8062938727434399E-2</v>
      </c>
      <c r="S50" s="135">
        <v>4.1881092729344899E-2</v>
      </c>
      <c r="T50" s="135">
        <v>4.4799329329721603E-2</v>
      </c>
      <c r="U50" s="135">
        <v>4.3164940779069197E-2</v>
      </c>
      <c r="V50" s="135">
        <v>7.5964078527142598E-2</v>
      </c>
      <c r="W50" s="135">
        <v>0.175105949846284</v>
      </c>
      <c r="X50" s="135">
        <v>0.101824990391504</v>
      </c>
      <c r="Y50" s="135">
        <v>7.7200999155179001E-2</v>
      </c>
      <c r="Z50" s="135">
        <v>3.7657486401596003E-2</v>
      </c>
      <c r="AA50" s="135">
        <v>1.5784183235553799E-2</v>
      </c>
      <c r="AB50" s="135">
        <v>6.5260846468256804E-3</v>
      </c>
      <c r="AC50" s="135">
        <v>4.1060587215597903E-3</v>
      </c>
      <c r="AD50" s="135">
        <v>2.8232181240905002E-3</v>
      </c>
      <c r="AF50" s="243">
        <f t="shared" si="1"/>
        <v>0.48716492207616935</v>
      </c>
      <c r="AG50" s="275">
        <f t="shared" si="2"/>
        <v>0.42787961121941953</v>
      </c>
      <c r="AH50" s="391">
        <f t="shared" si="3"/>
        <v>0.45319290894789666</v>
      </c>
      <c r="AI50" s="135">
        <f t="shared" si="4"/>
        <v>0.88107252016731619</v>
      </c>
    </row>
    <row r="51" spans="1:35" ht="12.6">
      <c r="A51" s="10" t="s">
        <v>186</v>
      </c>
      <c r="B51" s="10">
        <v>50</v>
      </c>
      <c r="C51" s="10" t="s">
        <v>1512</v>
      </c>
      <c r="D51" s="388">
        <v>44976</v>
      </c>
      <c r="E51" s="389">
        <v>44976</v>
      </c>
      <c r="F51" s="390" t="str">
        <f t="shared" si="0"/>
        <v>Cooking</v>
      </c>
      <c r="G51" s="135">
        <v>1.74400830213755E-3</v>
      </c>
      <c r="H51" s="135">
        <v>2.14107876536978E-3</v>
      </c>
      <c r="I51" s="135">
        <v>2.2116760729407499E-3</v>
      </c>
      <c r="J51" s="135">
        <v>2.13705315979724E-3</v>
      </c>
      <c r="K51" s="135">
        <v>2.8735451221860498E-3</v>
      </c>
      <c r="L51" s="135">
        <v>8.4009082595883008E-3</v>
      </c>
      <c r="M51" s="135">
        <v>2.0526673480187399E-2</v>
      </c>
      <c r="N51" s="135">
        <v>3.2898854494523802E-2</v>
      </c>
      <c r="O51" s="135">
        <v>3.52735598668278E-2</v>
      </c>
      <c r="P51" s="135">
        <v>3.9777219891279601E-2</v>
      </c>
      <c r="Q51" s="135">
        <v>4.81865921371726E-2</v>
      </c>
      <c r="R51" s="135">
        <v>5.8062938727434399E-2</v>
      </c>
      <c r="S51" s="135">
        <v>4.1881092729344899E-2</v>
      </c>
      <c r="T51" s="135">
        <v>4.4799329329721603E-2</v>
      </c>
      <c r="U51" s="135">
        <v>4.3164940779069197E-2</v>
      </c>
      <c r="V51" s="135">
        <v>7.5964078527142598E-2</v>
      </c>
      <c r="W51" s="135">
        <v>0.175105949846284</v>
      </c>
      <c r="X51" s="135">
        <v>0.101824990391504</v>
      </c>
      <c r="Y51" s="135">
        <v>7.7200999155179001E-2</v>
      </c>
      <c r="Z51" s="135">
        <v>3.7657486401596003E-2</v>
      </c>
      <c r="AA51" s="135">
        <v>1.5784183235553799E-2</v>
      </c>
      <c r="AB51" s="135">
        <v>6.5260846468256804E-3</v>
      </c>
      <c r="AC51" s="135">
        <v>4.1060587215597903E-3</v>
      </c>
      <c r="AD51" s="135">
        <v>2.8232181240905002E-3</v>
      </c>
      <c r="AF51" s="243">
        <f t="shared" si="1"/>
        <v>0.48716492207616935</v>
      </c>
      <c r="AG51" s="275">
        <f t="shared" si="2"/>
        <v>0.42787961121941953</v>
      </c>
      <c r="AH51" s="391">
        <f t="shared" si="3"/>
        <v>0.45319290894789666</v>
      </c>
      <c r="AI51" s="135">
        <f t="shared" si="4"/>
        <v>0.88107252016731619</v>
      </c>
    </row>
    <row r="52" spans="1:35" ht="12.6">
      <c r="A52" s="10" t="s">
        <v>186</v>
      </c>
      <c r="B52" s="10">
        <v>51</v>
      </c>
      <c r="C52" s="10" t="s">
        <v>1512</v>
      </c>
      <c r="D52" s="388">
        <v>44977</v>
      </c>
      <c r="E52" s="389">
        <v>44977</v>
      </c>
      <c r="F52" s="390" t="str">
        <f t="shared" si="0"/>
        <v>Cooking</v>
      </c>
      <c r="G52" s="135">
        <v>2.0932003871910899E-3</v>
      </c>
      <c r="H52" s="135">
        <v>2.2618496290306802E-3</v>
      </c>
      <c r="I52" s="135">
        <v>2.0176407199901701E-3</v>
      </c>
      <c r="J52" s="135">
        <v>2.1276617659541199E-3</v>
      </c>
      <c r="K52" s="135">
        <v>2.60674023000843E-3</v>
      </c>
      <c r="L52" s="135">
        <v>7.7479121953398502E-3</v>
      </c>
      <c r="M52" s="135">
        <v>1.9127191390849702E-2</v>
      </c>
      <c r="N52" s="135">
        <v>1.4518223682810701E-2</v>
      </c>
      <c r="O52" s="135">
        <v>1.76564882996007E-2</v>
      </c>
      <c r="P52" s="135">
        <v>1.8592463057635102E-2</v>
      </c>
      <c r="Q52" s="135">
        <v>3.24301747070058E-2</v>
      </c>
      <c r="R52" s="135">
        <v>4.3128203976526003E-2</v>
      </c>
      <c r="S52" s="135">
        <v>2.69788952025477E-2</v>
      </c>
      <c r="T52" s="135">
        <v>2.2854185507576001E-2</v>
      </c>
      <c r="U52" s="135">
        <v>3.3687796007744901E-2</v>
      </c>
      <c r="V52" s="135">
        <v>0.10210507053517701</v>
      </c>
      <c r="W52" s="135">
        <v>0.21037007247832301</v>
      </c>
      <c r="X52" s="135">
        <v>0.143392092108133</v>
      </c>
      <c r="Y52" s="135">
        <v>0.105945178630046</v>
      </c>
      <c r="Z52" s="135">
        <v>4.3153639840515401E-2</v>
      </c>
      <c r="AA52" s="135">
        <v>2.0191081133463702E-2</v>
      </c>
      <c r="AB52" s="135">
        <v>6.2857526481636698E-3</v>
      </c>
      <c r="AC52" s="135">
        <v>4.7886458989848503E-3</v>
      </c>
      <c r="AD52" s="135">
        <v>3.7827962862338502E-3</v>
      </c>
      <c r="AF52" s="243">
        <f t="shared" si="1"/>
        <v>0.47155439841490043</v>
      </c>
      <c r="AG52" s="275">
        <f t="shared" si="2"/>
        <v>0.44254965823495152</v>
      </c>
      <c r="AH52" s="391">
        <f t="shared" si="3"/>
        <v>0.44529329808390006</v>
      </c>
      <c r="AI52" s="135">
        <f t="shared" si="4"/>
        <v>0.88784295631885157</v>
      </c>
    </row>
    <row r="53" spans="1:35" ht="12.6">
      <c r="A53" s="10" t="s">
        <v>186</v>
      </c>
      <c r="B53" s="10">
        <v>52</v>
      </c>
      <c r="C53" s="10" t="s">
        <v>1512</v>
      </c>
      <c r="D53" s="388">
        <v>44978</v>
      </c>
      <c r="E53" s="389">
        <v>44978</v>
      </c>
      <c r="F53" s="390" t="str">
        <f t="shared" si="0"/>
        <v>Cooking</v>
      </c>
      <c r="G53" s="135">
        <v>2.0932003871910899E-3</v>
      </c>
      <c r="H53" s="135">
        <v>2.2618496290306802E-3</v>
      </c>
      <c r="I53" s="135">
        <v>2.0176407199901701E-3</v>
      </c>
      <c r="J53" s="135">
        <v>2.1276617659541199E-3</v>
      </c>
      <c r="K53" s="135">
        <v>2.60674023000843E-3</v>
      </c>
      <c r="L53" s="135">
        <v>7.7479121953398502E-3</v>
      </c>
      <c r="M53" s="135">
        <v>1.9127191390849702E-2</v>
      </c>
      <c r="N53" s="135">
        <v>1.4518223682810701E-2</v>
      </c>
      <c r="O53" s="135">
        <v>1.76564882996007E-2</v>
      </c>
      <c r="P53" s="135">
        <v>1.8592463057635102E-2</v>
      </c>
      <c r="Q53" s="135">
        <v>3.24301747070058E-2</v>
      </c>
      <c r="R53" s="135">
        <v>4.3128203976526003E-2</v>
      </c>
      <c r="S53" s="135">
        <v>2.69788952025477E-2</v>
      </c>
      <c r="T53" s="135">
        <v>2.2854185507576001E-2</v>
      </c>
      <c r="U53" s="135">
        <v>3.3687796007744901E-2</v>
      </c>
      <c r="V53" s="135">
        <v>0.10210507053517701</v>
      </c>
      <c r="W53" s="135">
        <v>0.21037007247832301</v>
      </c>
      <c r="X53" s="135">
        <v>0.143392092108133</v>
      </c>
      <c r="Y53" s="135">
        <v>0.105945178630046</v>
      </c>
      <c r="Z53" s="135">
        <v>4.3153639840515401E-2</v>
      </c>
      <c r="AA53" s="135">
        <v>2.0191081133463702E-2</v>
      </c>
      <c r="AB53" s="135">
        <v>6.2857526481636698E-3</v>
      </c>
      <c r="AC53" s="135">
        <v>4.7886458989848503E-3</v>
      </c>
      <c r="AD53" s="135">
        <v>3.7827962862338502E-3</v>
      </c>
      <c r="AF53" s="243">
        <f t="shared" si="1"/>
        <v>0.47155439841490043</v>
      </c>
      <c r="AG53" s="275">
        <f t="shared" si="2"/>
        <v>0.44254965823495152</v>
      </c>
      <c r="AH53" s="391">
        <f t="shared" si="3"/>
        <v>0.44529329808390006</v>
      </c>
      <c r="AI53" s="135">
        <f t="shared" si="4"/>
        <v>0.88784295631885157</v>
      </c>
    </row>
    <row r="54" spans="1:35" ht="12.6">
      <c r="A54" s="10" t="s">
        <v>186</v>
      </c>
      <c r="B54" s="10">
        <v>53</v>
      </c>
      <c r="C54" s="10" t="s">
        <v>1512</v>
      </c>
      <c r="D54" s="388">
        <v>44979</v>
      </c>
      <c r="E54" s="389">
        <v>44979</v>
      </c>
      <c r="F54" s="390" t="str">
        <f t="shared" si="0"/>
        <v>Cooking</v>
      </c>
      <c r="G54" s="135">
        <v>2.0932003871910899E-3</v>
      </c>
      <c r="H54" s="135">
        <v>2.2618496290306802E-3</v>
      </c>
      <c r="I54" s="135">
        <v>2.0176407199901701E-3</v>
      </c>
      <c r="J54" s="135">
        <v>2.1276617659541199E-3</v>
      </c>
      <c r="K54" s="135">
        <v>2.60674023000843E-3</v>
      </c>
      <c r="L54" s="135">
        <v>7.7479121953398502E-3</v>
      </c>
      <c r="M54" s="135">
        <v>1.9127191390849702E-2</v>
      </c>
      <c r="N54" s="135">
        <v>1.4518223682810701E-2</v>
      </c>
      <c r="O54" s="135">
        <v>1.76564882996007E-2</v>
      </c>
      <c r="P54" s="135">
        <v>1.8592463057635102E-2</v>
      </c>
      <c r="Q54" s="135">
        <v>3.24301747070058E-2</v>
      </c>
      <c r="R54" s="135">
        <v>4.3128203976526003E-2</v>
      </c>
      <c r="S54" s="135">
        <v>2.69788952025477E-2</v>
      </c>
      <c r="T54" s="135">
        <v>2.2854185507576001E-2</v>
      </c>
      <c r="U54" s="135">
        <v>3.3687796007744901E-2</v>
      </c>
      <c r="V54" s="135">
        <v>0.10210507053517701</v>
      </c>
      <c r="W54" s="135">
        <v>0.21037007247832301</v>
      </c>
      <c r="X54" s="135">
        <v>0.143392092108133</v>
      </c>
      <c r="Y54" s="135">
        <v>0.105945178630046</v>
      </c>
      <c r="Z54" s="135">
        <v>4.3153639840515401E-2</v>
      </c>
      <c r="AA54" s="135">
        <v>2.0191081133463702E-2</v>
      </c>
      <c r="AB54" s="135">
        <v>6.2857526481636698E-3</v>
      </c>
      <c r="AC54" s="135">
        <v>4.7886458989848503E-3</v>
      </c>
      <c r="AD54" s="135">
        <v>3.7827962862338502E-3</v>
      </c>
      <c r="AF54" s="243">
        <f t="shared" si="1"/>
        <v>0.47155439841490043</v>
      </c>
      <c r="AG54" s="275">
        <f t="shared" si="2"/>
        <v>0.44254965823495152</v>
      </c>
      <c r="AH54" s="391">
        <f t="shared" si="3"/>
        <v>0.44529329808390006</v>
      </c>
      <c r="AI54" s="135">
        <f t="shared" si="4"/>
        <v>0.88784295631885157</v>
      </c>
    </row>
    <row r="55" spans="1:35" ht="12.6">
      <c r="A55" s="10" t="s">
        <v>186</v>
      </c>
      <c r="B55" s="10">
        <v>54</v>
      </c>
      <c r="C55" s="10" t="s">
        <v>1512</v>
      </c>
      <c r="D55" s="388">
        <v>44980</v>
      </c>
      <c r="E55" s="389">
        <v>44980</v>
      </c>
      <c r="F55" s="390" t="str">
        <f t="shared" si="0"/>
        <v>Cooking</v>
      </c>
      <c r="G55" s="135">
        <v>2.0932003871910899E-3</v>
      </c>
      <c r="H55" s="135">
        <v>2.2618496290306802E-3</v>
      </c>
      <c r="I55" s="135">
        <v>2.0176407199901701E-3</v>
      </c>
      <c r="J55" s="135">
        <v>2.1276617659541199E-3</v>
      </c>
      <c r="K55" s="135">
        <v>2.60674023000843E-3</v>
      </c>
      <c r="L55" s="135">
        <v>7.7479121953398502E-3</v>
      </c>
      <c r="M55" s="135">
        <v>1.9127191390849702E-2</v>
      </c>
      <c r="N55" s="135">
        <v>1.4518223682810701E-2</v>
      </c>
      <c r="O55" s="135">
        <v>1.76564882996007E-2</v>
      </c>
      <c r="P55" s="135">
        <v>1.8592463057635102E-2</v>
      </c>
      <c r="Q55" s="135">
        <v>3.24301747070058E-2</v>
      </c>
      <c r="R55" s="135">
        <v>4.3128203976526003E-2</v>
      </c>
      <c r="S55" s="135">
        <v>2.69788952025477E-2</v>
      </c>
      <c r="T55" s="135">
        <v>2.2854185507576001E-2</v>
      </c>
      <c r="U55" s="135">
        <v>3.3687796007744901E-2</v>
      </c>
      <c r="V55" s="135">
        <v>0.10210507053517701</v>
      </c>
      <c r="W55" s="135">
        <v>0.21037007247832301</v>
      </c>
      <c r="X55" s="135">
        <v>0.143392092108133</v>
      </c>
      <c r="Y55" s="135">
        <v>0.105945178630046</v>
      </c>
      <c r="Z55" s="135">
        <v>4.3153639840515401E-2</v>
      </c>
      <c r="AA55" s="135">
        <v>2.0191081133463702E-2</v>
      </c>
      <c r="AB55" s="135">
        <v>6.2857526481636698E-3</v>
      </c>
      <c r="AC55" s="135">
        <v>4.7886458989848503E-3</v>
      </c>
      <c r="AD55" s="135">
        <v>3.7827962862338502E-3</v>
      </c>
      <c r="AF55" s="243">
        <f t="shared" si="1"/>
        <v>0.47155439841490043</v>
      </c>
      <c r="AG55" s="275">
        <f t="shared" si="2"/>
        <v>0.44254965823495152</v>
      </c>
      <c r="AH55" s="391">
        <f t="shared" si="3"/>
        <v>0.44529329808390006</v>
      </c>
      <c r="AI55" s="135">
        <f t="shared" si="4"/>
        <v>0.88784295631885157</v>
      </c>
    </row>
    <row r="56" spans="1:35" ht="12.6">
      <c r="A56" s="10" t="s">
        <v>186</v>
      </c>
      <c r="B56" s="10">
        <v>55</v>
      </c>
      <c r="C56" s="10" t="s">
        <v>1512</v>
      </c>
      <c r="D56" s="388">
        <v>44981</v>
      </c>
      <c r="E56" s="389">
        <v>44981</v>
      </c>
      <c r="F56" s="390" t="str">
        <f t="shared" si="0"/>
        <v>Cooking</v>
      </c>
      <c r="G56" s="135">
        <v>2.0932003871910899E-3</v>
      </c>
      <c r="H56" s="135">
        <v>2.2618496290306802E-3</v>
      </c>
      <c r="I56" s="135">
        <v>2.0176407199901701E-3</v>
      </c>
      <c r="J56" s="135">
        <v>2.1276617659541199E-3</v>
      </c>
      <c r="K56" s="135">
        <v>2.60674023000843E-3</v>
      </c>
      <c r="L56" s="135">
        <v>7.7479121953398502E-3</v>
      </c>
      <c r="M56" s="135">
        <v>1.9127191390849702E-2</v>
      </c>
      <c r="N56" s="135">
        <v>1.4518223682810701E-2</v>
      </c>
      <c r="O56" s="135">
        <v>1.76564882996007E-2</v>
      </c>
      <c r="P56" s="135">
        <v>1.8592463057635102E-2</v>
      </c>
      <c r="Q56" s="135">
        <v>3.24301747070058E-2</v>
      </c>
      <c r="R56" s="135">
        <v>4.3128203976526003E-2</v>
      </c>
      <c r="S56" s="135">
        <v>2.69788952025477E-2</v>
      </c>
      <c r="T56" s="135">
        <v>2.2854185507576001E-2</v>
      </c>
      <c r="U56" s="135">
        <v>3.3687796007744901E-2</v>
      </c>
      <c r="V56" s="135">
        <v>0.10210507053517701</v>
      </c>
      <c r="W56" s="135">
        <v>0.21037007247832301</v>
      </c>
      <c r="X56" s="135">
        <v>0.143392092108133</v>
      </c>
      <c r="Y56" s="135">
        <v>0.105945178630046</v>
      </c>
      <c r="Z56" s="135">
        <v>4.3153639840515401E-2</v>
      </c>
      <c r="AA56" s="135">
        <v>2.0191081133463702E-2</v>
      </c>
      <c r="AB56" s="135">
        <v>6.2857526481636698E-3</v>
      </c>
      <c r="AC56" s="135">
        <v>4.7886458989848503E-3</v>
      </c>
      <c r="AD56" s="135">
        <v>3.7827962862338502E-3</v>
      </c>
      <c r="AF56" s="243">
        <f t="shared" si="1"/>
        <v>0.47155439841490043</v>
      </c>
      <c r="AG56" s="275">
        <f t="shared" si="2"/>
        <v>0.44254965823495152</v>
      </c>
      <c r="AH56" s="391">
        <f t="shared" si="3"/>
        <v>0.44529329808390006</v>
      </c>
      <c r="AI56" s="135">
        <f t="shared" si="4"/>
        <v>0.88784295631885157</v>
      </c>
    </row>
    <row r="57" spans="1:35" ht="12.6">
      <c r="A57" s="10" t="s">
        <v>186</v>
      </c>
      <c r="B57" s="10">
        <v>56</v>
      </c>
      <c r="C57" s="10" t="s">
        <v>1512</v>
      </c>
      <c r="D57" s="388">
        <v>44982</v>
      </c>
      <c r="E57" s="389">
        <v>44982</v>
      </c>
      <c r="F57" s="390" t="str">
        <f t="shared" si="0"/>
        <v>Cooking</v>
      </c>
      <c r="G57" s="135">
        <v>1.74400830213755E-3</v>
      </c>
      <c r="H57" s="135">
        <v>2.14107876536978E-3</v>
      </c>
      <c r="I57" s="135">
        <v>2.2116760729407499E-3</v>
      </c>
      <c r="J57" s="135">
        <v>2.13705315979724E-3</v>
      </c>
      <c r="K57" s="135">
        <v>2.8735451221860498E-3</v>
      </c>
      <c r="L57" s="135">
        <v>8.4009082595883008E-3</v>
      </c>
      <c r="M57" s="135">
        <v>2.0526673480187399E-2</v>
      </c>
      <c r="N57" s="135">
        <v>3.2898854494523802E-2</v>
      </c>
      <c r="O57" s="135">
        <v>3.52735598668278E-2</v>
      </c>
      <c r="P57" s="135">
        <v>3.9777219891279601E-2</v>
      </c>
      <c r="Q57" s="135">
        <v>4.81865921371726E-2</v>
      </c>
      <c r="R57" s="135">
        <v>5.8062938727434399E-2</v>
      </c>
      <c r="S57" s="135">
        <v>4.1881092729344899E-2</v>
      </c>
      <c r="T57" s="135">
        <v>4.4799329329721603E-2</v>
      </c>
      <c r="U57" s="135">
        <v>4.3164940779069197E-2</v>
      </c>
      <c r="V57" s="135">
        <v>7.5964078527142598E-2</v>
      </c>
      <c r="W57" s="135">
        <v>0.175105949846284</v>
      </c>
      <c r="X57" s="135">
        <v>0.101824990391504</v>
      </c>
      <c r="Y57" s="135">
        <v>7.7200999155179001E-2</v>
      </c>
      <c r="Z57" s="135">
        <v>3.7657486401596003E-2</v>
      </c>
      <c r="AA57" s="135">
        <v>1.5784183235553799E-2</v>
      </c>
      <c r="AB57" s="135">
        <v>6.5260846468256804E-3</v>
      </c>
      <c r="AC57" s="135">
        <v>4.1060587215597903E-3</v>
      </c>
      <c r="AD57" s="135">
        <v>2.8232181240905002E-3</v>
      </c>
      <c r="AF57" s="243">
        <f t="shared" si="1"/>
        <v>0.48716492207616935</v>
      </c>
      <c r="AG57" s="275">
        <f t="shared" si="2"/>
        <v>0.42787961121941953</v>
      </c>
      <c r="AH57" s="391">
        <f t="shared" si="3"/>
        <v>0.45319290894789666</v>
      </c>
      <c r="AI57" s="135">
        <f t="shared" si="4"/>
        <v>0.88107252016731619</v>
      </c>
    </row>
    <row r="58" spans="1:35" ht="12.6">
      <c r="A58" s="10" t="s">
        <v>186</v>
      </c>
      <c r="B58" s="10">
        <v>57</v>
      </c>
      <c r="C58" s="10" t="s">
        <v>1512</v>
      </c>
      <c r="D58" s="388">
        <v>44983</v>
      </c>
      <c r="E58" s="389">
        <v>44983</v>
      </c>
      <c r="F58" s="390" t="str">
        <f t="shared" si="0"/>
        <v>Cooking</v>
      </c>
      <c r="G58" s="135">
        <v>1.74400830213755E-3</v>
      </c>
      <c r="H58" s="135">
        <v>2.14107876536978E-3</v>
      </c>
      <c r="I58" s="135">
        <v>2.2116760729407499E-3</v>
      </c>
      <c r="J58" s="135">
        <v>2.13705315979724E-3</v>
      </c>
      <c r="K58" s="135">
        <v>2.8735451221860498E-3</v>
      </c>
      <c r="L58" s="135">
        <v>8.4009082595883008E-3</v>
      </c>
      <c r="M58" s="135">
        <v>2.0526673480187399E-2</v>
      </c>
      <c r="N58" s="135">
        <v>3.2898854494523802E-2</v>
      </c>
      <c r="O58" s="135">
        <v>3.52735598668278E-2</v>
      </c>
      <c r="P58" s="135">
        <v>3.9777219891279601E-2</v>
      </c>
      <c r="Q58" s="135">
        <v>4.81865921371726E-2</v>
      </c>
      <c r="R58" s="135">
        <v>5.8062938727434399E-2</v>
      </c>
      <c r="S58" s="135">
        <v>4.1881092729344899E-2</v>
      </c>
      <c r="T58" s="135">
        <v>4.4799329329721603E-2</v>
      </c>
      <c r="U58" s="135">
        <v>4.3164940779069197E-2</v>
      </c>
      <c r="V58" s="135">
        <v>7.5964078527142598E-2</v>
      </c>
      <c r="W58" s="135">
        <v>0.175105949846284</v>
      </c>
      <c r="X58" s="135">
        <v>0.101824990391504</v>
      </c>
      <c r="Y58" s="135">
        <v>7.7200999155179001E-2</v>
      </c>
      <c r="Z58" s="135">
        <v>3.7657486401596003E-2</v>
      </c>
      <c r="AA58" s="135">
        <v>1.5784183235553799E-2</v>
      </c>
      <c r="AB58" s="135">
        <v>6.5260846468256804E-3</v>
      </c>
      <c r="AC58" s="135">
        <v>4.1060587215597903E-3</v>
      </c>
      <c r="AD58" s="135">
        <v>2.8232181240905002E-3</v>
      </c>
      <c r="AF58" s="243">
        <f t="shared" si="1"/>
        <v>0.48716492207616935</v>
      </c>
      <c r="AG58" s="275">
        <f t="shared" si="2"/>
        <v>0.42787961121941953</v>
      </c>
      <c r="AH58" s="391">
        <f t="shared" si="3"/>
        <v>0.45319290894789666</v>
      </c>
      <c r="AI58" s="135">
        <f t="shared" si="4"/>
        <v>0.88107252016731619</v>
      </c>
    </row>
    <row r="59" spans="1:35" ht="12.6">
      <c r="A59" s="10" t="s">
        <v>186</v>
      </c>
      <c r="B59" s="10">
        <v>58</v>
      </c>
      <c r="C59" s="10" t="s">
        <v>1512</v>
      </c>
      <c r="D59" s="388">
        <v>44984</v>
      </c>
      <c r="E59" s="389">
        <v>44984</v>
      </c>
      <c r="F59" s="390" t="str">
        <f t="shared" si="0"/>
        <v>Cooking</v>
      </c>
      <c r="G59" s="135">
        <v>2.0932003871910899E-3</v>
      </c>
      <c r="H59" s="135">
        <v>2.2618496290306802E-3</v>
      </c>
      <c r="I59" s="135">
        <v>2.0176407199901701E-3</v>
      </c>
      <c r="J59" s="135">
        <v>2.1276617659541199E-3</v>
      </c>
      <c r="K59" s="135">
        <v>2.60674023000843E-3</v>
      </c>
      <c r="L59" s="135">
        <v>7.7479121953398502E-3</v>
      </c>
      <c r="M59" s="135">
        <v>1.9127191390849702E-2</v>
      </c>
      <c r="N59" s="135">
        <v>1.4518223682810701E-2</v>
      </c>
      <c r="O59" s="135">
        <v>1.76564882996007E-2</v>
      </c>
      <c r="P59" s="135">
        <v>1.8592463057635102E-2</v>
      </c>
      <c r="Q59" s="135">
        <v>3.24301747070058E-2</v>
      </c>
      <c r="R59" s="135">
        <v>4.3128203976526003E-2</v>
      </c>
      <c r="S59" s="135">
        <v>2.69788952025477E-2</v>
      </c>
      <c r="T59" s="135">
        <v>2.2854185507576001E-2</v>
      </c>
      <c r="U59" s="135">
        <v>3.3687796007744901E-2</v>
      </c>
      <c r="V59" s="135">
        <v>0.10210507053517701</v>
      </c>
      <c r="W59" s="135">
        <v>0.21037007247832301</v>
      </c>
      <c r="X59" s="135">
        <v>0.143392092108133</v>
      </c>
      <c r="Y59" s="135">
        <v>0.105945178630046</v>
      </c>
      <c r="Z59" s="135">
        <v>4.3153639840515401E-2</v>
      </c>
      <c r="AA59" s="135">
        <v>2.0191081133463702E-2</v>
      </c>
      <c r="AB59" s="135">
        <v>6.2857526481636698E-3</v>
      </c>
      <c r="AC59" s="135">
        <v>4.7886458989848503E-3</v>
      </c>
      <c r="AD59" s="135">
        <v>3.7827962862338502E-3</v>
      </c>
      <c r="AF59" s="243">
        <f t="shared" si="1"/>
        <v>0.47155439841490043</v>
      </c>
      <c r="AG59" s="275">
        <f t="shared" si="2"/>
        <v>0.44254965823495152</v>
      </c>
      <c r="AH59" s="391">
        <f t="shared" si="3"/>
        <v>0.44529329808390006</v>
      </c>
      <c r="AI59" s="135">
        <f t="shared" si="4"/>
        <v>0.88784295631885157</v>
      </c>
    </row>
    <row r="60" spans="1:35" ht="12.6">
      <c r="A60" s="10" t="s">
        <v>186</v>
      </c>
      <c r="B60" s="10">
        <v>59</v>
      </c>
      <c r="C60" s="10" t="s">
        <v>1512</v>
      </c>
      <c r="D60" s="388">
        <v>44985</v>
      </c>
      <c r="E60" s="389">
        <v>44985</v>
      </c>
      <c r="F60" s="390" t="str">
        <f t="shared" si="0"/>
        <v>Cooking</v>
      </c>
      <c r="G60" s="135">
        <v>2.0932003871910899E-3</v>
      </c>
      <c r="H60" s="135">
        <v>2.2618496290306802E-3</v>
      </c>
      <c r="I60" s="135">
        <v>2.0176407199901701E-3</v>
      </c>
      <c r="J60" s="135">
        <v>2.1276617659541199E-3</v>
      </c>
      <c r="K60" s="135">
        <v>2.60674023000843E-3</v>
      </c>
      <c r="L60" s="135">
        <v>7.7479121953398502E-3</v>
      </c>
      <c r="M60" s="135">
        <v>1.9127191390849702E-2</v>
      </c>
      <c r="N60" s="135">
        <v>1.4518223682810701E-2</v>
      </c>
      <c r="O60" s="135">
        <v>1.76564882996007E-2</v>
      </c>
      <c r="P60" s="135">
        <v>1.8592463057635102E-2</v>
      </c>
      <c r="Q60" s="135">
        <v>3.24301747070058E-2</v>
      </c>
      <c r="R60" s="135">
        <v>4.3128203976526003E-2</v>
      </c>
      <c r="S60" s="135">
        <v>2.69788952025477E-2</v>
      </c>
      <c r="T60" s="135">
        <v>2.2854185507576001E-2</v>
      </c>
      <c r="U60" s="135">
        <v>3.3687796007744901E-2</v>
      </c>
      <c r="V60" s="135">
        <v>0.10210507053517701</v>
      </c>
      <c r="W60" s="135">
        <v>0.21037007247832301</v>
      </c>
      <c r="X60" s="135">
        <v>0.143392092108133</v>
      </c>
      <c r="Y60" s="135">
        <v>0.105945178630046</v>
      </c>
      <c r="Z60" s="135">
        <v>4.3153639840515401E-2</v>
      </c>
      <c r="AA60" s="135">
        <v>2.0191081133463702E-2</v>
      </c>
      <c r="AB60" s="135">
        <v>6.2857526481636698E-3</v>
      </c>
      <c r="AC60" s="135">
        <v>4.7886458989848503E-3</v>
      </c>
      <c r="AD60" s="135">
        <v>3.7827962862338502E-3</v>
      </c>
      <c r="AF60" s="243">
        <f t="shared" si="1"/>
        <v>0.47155439841490043</v>
      </c>
      <c r="AG60" s="275">
        <f t="shared" si="2"/>
        <v>0.44254965823495152</v>
      </c>
      <c r="AH60" s="391">
        <f t="shared" si="3"/>
        <v>0.44529329808390006</v>
      </c>
      <c r="AI60" s="135">
        <f t="shared" si="4"/>
        <v>0.88784295631885157</v>
      </c>
    </row>
    <row r="61" spans="1:35" ht="12.6">
      <c r="A61" s="10" t="s">
        <v>186</v>
      </c>
      <c r="B61" s="10">
        <v>60</v>
      </c>
      <c r="C61" s="10" t="s">
        <v>1513</v>
      </c>
      <c r="D61" s="388">
        <v>44986</v>
      </c>
      <c r="E61" s="389">
        <v>44986</v>
      </c>
      <c r="F61" s="390" t="str">
        <f t="shared" si="0"/>
        <v>Cooking</v>
      </c>
      <c r="G61" s="135">
        <v>2.81429519375791E-3</v>
      </c>
      <c r="H61" s="135">
        <v>2.5551119843618001E-3</v>
      </c>
      <c r="I61" s="135">
        <v>2.4154391167669799E-3</v>
      </c>
      <c r="J61" s="135">
        <v>2.31340609363158E-3</v>
      </c>
      <c r="K61" s="135">
        <v>2.8959228043603799E-3</v>
      </c>
      <c r="L61" s="135">
        <v>5.5365061204638499E-3</v>
      </c>
      <c r="M61" s="135">
        <v>1.51446179401643E-2</v>
      </c>
      <c r="N61" s="135">
        <v>1.6360270406179801E-2</v>
      </c>
      <c r="O61" s="135">
        <v>1.0832614995978301E-2</v>
      </c>
      <c r="P61" s="135">
        <v>1.3693985645891801E-2</v>
      </c>
      <c r="Q61" s="135">
        <v>2.00225266170602E-2</v>
      </c>
      <c r="R61" s="135">
        <v>2.5461090176451699E-2</v>
      </c>
      <c r="S61" s="135">
        <v>2.9022210746081498E-2</v>
      </c>
      <c r="T61" s="135">
        <v>1.81519739729297E-2</v>
      </c>
      <c r="U61" s="135">
        <v>2.3508914074682301E-2</v>
      </c>
      <c r="V61" s="135">
        <v>6.5277862793324301E-2</v>
      </c>
      <c r="W61" s="135">
        <v>0.17558927875345701</v>
      </c>
      <c r="X61" s="135">
        <v>0.24653755263577201</v>
      </c>
      <c r="Y61" s="135">
        <v>0.17799226602999599</v>
      </c>
      <c r="Z61" s="135">
        <v>9.4745676205406595E-2</v>
      </c>
      <c r="AA61" s="135">
        <v>3.3708674852722401E-2</v>
      </c>
      <c r="AB61" s="135">
        <v>1.6105943585181502E-2</v>
      </c>
      <c r="AC61" s="135">
        <v>6.9799147748093896E-3</v>
      </c>
      <c r="AD61" s="135">
        <v>3.7267590645568898E-3</v>
      </c>
      <c r="AF61" s="243">
        <f t="shared" si="1"/>
        <v>0.35703385713398672</v>
      </c>
      <c r="AG61" s="275">
        <f t="shared" si="2"/>
        <v>0.3559322134333478</v>
      </c>
      <c r="AH61" s="391">
        <f t="shared" si="3"/>
        <v>0.65546060115064031</v>
      </c>
      <c r="AI61" s="135">
        <f t="shared" si="4"/>
        <v>1.0113928145839881</v>
      </c>
    </row>
    <row r="62" spans="1:35" ht="12.6">
      <c r="A62" s="10" t="s">
        <v>186</v>
      </c>
      <c r="B62" s="10">
        <v>61</v>
      </c>
      <c r="C62" s="10" t="s">
        <v>1513</v>
      </c>
      <c r="D62" s="388">
        <v>44987</v>
      </c>
      <c r="E62" s="389">
        <v>44987</v>
      </c>
      <c r="F62" s="390" t="str">
        <f t="shared" si="0"/>
        <v>Cooking</v>
      </c>
      <c r="G62" s="135">
        <v>2.81429519375791E-3</v>
      </c>
      <c r="H62" s="135">
        <v>2.5551119843618001E-3</v>
      </c>
      <c r="I62" s="135">
        <v>2.4154391167669799E-3</v>
      </c>
      <c r="J62" s="135">
        <v>2.31340609363158E-3</v>
      </c>
      <c r="K62" s="135">
        <v>2.8959228043603799E-3</v>
      </c>
      <c r="L62" s="135">
        <v>5.5365061204638499E-3</v>
      </c>
      <c r="M62" s="135">
        <v>1.51446179401643E-2</v>
      </c>
      <c r="N62" s="135">
        <v>1.6360270406179801E-2</v>
      </c>
      <c r="O62" s="135">
        <v>1.0832614995978301E-2</v>
      </c>
      <c r="P62" s="135">
        <v>1.3693985645891801E-2</v>
      </c>
      <c r="Q62" s="135">
        <v>2.00225266170602E-2</v>
      </c>
      <c r="R62" s="135">
        <v>2.5461090176451699E-2</v>
      </c>
      <c r="S62" s="135">
        <v>2.9022210746081498E-2</v>
      </c>
      <c r="T62" s="135">
        <v>1.81519739729297E-2</v>
      </c>
      <c r="U62" s="135">
        <v>2.3508914074682301E-2</v>
      </c>
      <c r="V62" s="135">
        <v>6.5277862793324301E-2</v>
      </c>
      <c r="W62" s="135">
        <v>0.17558927875345701</v>
      </c>
      <c r="X62" s="135">
        <v>0.24653755263577201</v>
      </c>
      <c r="Y62" s="135">
        <v>0.17799226602999599</v>
      </c>
      <c r="Z62" s="135">
        <v>9.4745676205406595E-2</v>
      </c>
      <c r="AA62" s="135">
        <v>3.3708674852722401E-2</v>
      </c>
      <c r="AB62" s="135">
        <v>1.6105943585181502E-2</v>
      </c>
      <c r="AC62" s="135">
        <v>6.9799147748093896E-3</v>
      </c>
      <c r="AD62" s="135">
        <v>3.7267590645568898E-3</v>
      </c>
      <c r="AF62" s="243">
        <f t="shared" si="1"/>
        <v>0.35703385713398672</v>
      </c>
      <c r="AG62" s="275">
        <f t="shared" si="2"/>
        <v>0.3559322134333478</v>
      </c>
      <c r="AH62" s="391">
        <f t="shared" si="3"/>
        <v>0.65546060115064031</v>
      </c>
      <c r="AI62" s="135">
        <f t="shared" si="4"/>
        <v>1.0113928145839881</v>
      </c>
    </row>
    <row r="63" spans="1:35" ht="12.6">
      <c r="A63" s="10" t="s">
        <v>186</v>
      </c>
      <c r="B63" s="10">
        <v>62</v>
      </c>
      <c r="C63" s="10" t="s">
        <v>1513</v>
      </c>
      <c r="D63" s="388">
        <v>44988</v>
      </c>
      <c r="E63" s="389">
        <v>44988</v>
      </c>
      <c r="F63" s="390" t="str">
        <f t="shared" si="0"/>
        <v>Cooking</v>
      </c>
      <c r="G63" s="135">
        <v>2.81429519375791E-3</v>
      </c>
      <c r="H63" s="135">
        <v>2.5551119843618001E-3</v>
      </c>
      <c r="I63" s="135">
        <v>2.4154391167669799E-3</v>
      </c>
      <c r="J63" s="135">
        <v>2.31340609363158E-3</v>
      </c>
      <c r="K63" s="135">
        <v>2.8959228043603799E-3</v>
      </c>
      <c r="L63" s="135">
        <v>5.5365061204638499E-3</v>
      </c>
      <c r="M63" s="135">
        <v>1.51446179401643E-2</v>
      </c>
      <c r="N63" s="135">
        <v>1.6360270406179801E-2</v>
      </c>
      <c r="O63" s="135">
        <v>1.0832614995978301E-2</v>
      </c>
      <c r="P63" s="135">
        <v>1.3693985645891801E-2</v>
      </c>
      <c r="Q63" s="135">
        <v>2.00225266170602E-2</v>
      </c>
      <c r="R63" s="135">
        <v>2.5461090176451699E-2</v>
      </c>
      <c r="S63" s="135">
        <v>2.9022210746081498E-2</v>
      </c>
      <c r="T63" s="135">
        <v>1.81519739729297E-2</v>
      </c>
      <c r="U63" s="135">
        <v>2.3508914074682301E-2</v>
      </c>
      <c r="V63" s="135">
        <v>6.5277862793324301E-2</v>
      </c>
      <c r="W63" s="135">
        <v>0.17558927875345701</v>
      </c>
      <c r="X63" s="135">
        <v>0.24653755263577201</v>
      </c>
      <c r="Y63" s="135">
        <v>0.17799226602999599</v>
      </c>
      <c r="Z63" s="135">
        <v>9.4745676205406595E-2</v>
      </c>
      <c r="AA63" s="135">
        <v>3.3708674852722401E-2</v>
      </c>
      <c r="AB63" s="135">
        <v>1.6105943585181502E-2</v>
      </c>
      <c r="AC63" s="135">
        <v>6.9799147748093896E-3</v>
      </c>
      <c r="AD63" s="135">
        <v>3.7267590645568898E-3</v>
      </c>
      <c r="AF63" s="243">
        <f t="shared" si="1"/>
        <v>0.35703385713398672</v>
      </c>
      <c r="AG63" s="275">
        <f t="shared" si="2"/>
        <v>0.3559322134333478</v>
      </c>
      <c r="AH63" s="391">
        <f t="shared" si="3"/>
        <v>0.65546060115064031</v>
      </c>
      <c r="AI63" s="135">
        <f t="shared" si="4"/>
        <v>1.0113928145839881</v>
      </c>
    </row>
    <row r="64" spans="1:35" ht="12.6">
      <c r="A64" s="10" t="s">
        <v>186</v>
      </c>
      <c r="B64" s="10">
        <v>63</v>
      </c>
      <c r="C64" s="10" t="s">
        <v>1513</v>
      </c>
      <c r="D64" s="388">
        <v>44989</v>
      </c>
      <c r="E64" s="389">
        <v>44989</v>
      </c>
      <c r="F64" s="390" t="str">
        <f t="shared" si="0"/>
        <v>Cooking</v>
      </c>
      <c r="G64" s="135">
        <v>3.6656307091365498E-3</v>
      </c>
      <c r="H64" s="135">
        <v>2.33142342649036E-3</v>
      </c>
      <c r="I64" s="135">
        <v>2.2763960627801799E-3</v>
      </c>
      <c r="J64" s="135">
        <v>2.3023229059703802E-3</v>
      </c>
      <c r="K64" s="135">
        <v>2.57846622909385E-3</v>
      </c>
      <c r="L64" s="135">
        <v>4.57948267488331E-3</v>
      </c>
      <c r="M64" s="135">
        <v>9.0312841800590793E-3</v>
      </c>
      <c r="N64" s="135">
        <v>2.2340750077030701E-2</v>
      </c>
      <c r="O64" s="135">
        <v>3.4885142248158703E-2</v>
      </c>
      <c r="P64" s="135">
        <v>3.8939132625652503E-2</v>
      </c>
      <c r="Q64" s="135">
        <v>4.5458835458915402E-2</v>
      </c>
      <c r="R64" s="135">
        <v>5.3262940138182502E-2</v>
      </c>
      <c r="S64" s="135">
        <v>4.9190929243740598E-2</v>
      </c>
      <c r="T64" s="135">
        <v>4.81727877888894E-2</v>
      </c>
      <c r="U64" s="135">
        <v>4.0569351465478701E-2</v>
      </c>
      <c r="V64" s="135">
        <v>6.5540462975852296E-2</v>
      </c>
      <c r="W64" s="135">
        <v>0.14411883389587299</v>
      </c>
      <c r="X64" s="135">
        <v>0.18428363548191101</v>
      </c>
      <c r="Y64" s="135">
        <v>0.12797645587140899</v>
      </c>
      <c r="Z64" s="135">
        <v>6.0388189040027698E-2</v>
      </c>
      <c r="AA64" s="135">
        <v>2.3289512205446401E-2</v>
      </c>
      <c r="AB64" s="135">
        <v>9.5474673981147291E-3</v>
      </c>
      <c r="AC64" s="135">
        <v>5.8839909641591496E-3</v>
      </c>
      <c r="AD64" s="135">
        <v>5.2694264709170898E-3</v>
      </c>
      <c r="AF64" s="243">
        <f t="shared" si="1"/>
        <v>0.44631414096693189</v>
      </c>
      <c r="AG64" s="275">
        <f t="shared" si="2"/>
        <v>0.38551078899332381</v>
      </c>
      <c r="AH64" s="391">
        <f t="shared" si="3"/>
        <v>0.60037206054484871</v>
      </c>
      <c r="AI64" s="135">
        <f t="shared" si="4"/>
        <v>0.98588284953817251</v>
      </c>
    </row>
    <row r="65" spans="1:35" ht="12.6">
      <c r="A65" s="10" t="s">
        <v>186</v>
      </c>
      <c r="B65" s="10">
        <v>64</v>
      </c>
      <c r="C65" s="10" t="s">
        <v>1513</v>
      </c>
      <c r="D65" s="388">
        <v>44990</v>
      </c>
      <c r="E65" s="389">
        <v>44990</v>
      </c>
      <c r="F65" s="390" t="str">
        <f t="shared" si="0"/>
        <v>Cooking</v>
      </c>
      <c r="G65" s="135">
        <v>3.6656307091365498E-3</v>
      </c>
      <c r="H65" s="135">
        <v>2.33142342649036E-3</v>
      </c>
      <c r="I65" s="135">
        <v>2.2763960627801799E-3</v>
      </c>
      <c r="J65" s="135">
        <v>2.3023229059703802E-3</v>
      </c>
      <c r="K65" s="135">
        <v>2.57846622909385E-3</v>
      </c>
      <c r="L65" s="135">
        <v>4.57948267488331E-3</v>
      </c>
      <c r="M65" s="135">
        <v>9.0312841800590793E-3</v>
      </c>
      <c r="N65" s="135">
        <v>2.2340750077030701E-2</v>
      </c>
      <c r="O65" s="135">
        <v>3.4885142248158703E-2</v>
      </c>
      <c r="P65" s="135">
        <v>3.8939132625652503E-2</v>
      </c>
      <c r="Q65" s="135">
        <v>4.5458835458915402E-2</v>
      </c>
      <c r="R65" s="135">
        <v>5.3262940138182502E-2</v>
      </c>
      <c r="S65" s="135">
        <v>4.9190929243740598E-2</v>
      </c>
      <c r="T65" s="135">
        <v>4.81727877888894E-2</v>
      </c>
      <c r="U65" s="135">
        <v>4.0569351465478701E-2</v>
      </c>
      <c r="V65" s="135">
        <v>6.5540462975852296E-2</v>
      </c>
      <c r="W65" s="135">
        <v>0.14411883389587299</v>
      </c>
      <c r="X65" s="135">
        <v>0.18428363548191101</v>
      </c>
      <c r="Y65" s="135">
        <v>0.12797645587140899</v>
      </c>
      <c r="Z65" s="135">
        <v>6.0388189040027698E-2</v>
      </c>
      <c r="AA65" s="135">
        <v>2.3289512205446401E-2</v>
      </c>
      <c r="AB65" s="135">
        <v>9.5474673981147291E-3</v>
      </c>
      <c r="AC65" s="135">
        <v>5.8839909641591496E-3</v>
      </c>
      <c r="AD65" s="135">
        <v>5.2694264709170898E-3</v>
      </c>
      <c r="AF65" s="243">
        <f t="shared" si="1"/>
        <v>0.44631414096693189</v>
      </c>
      <c r="AG65" s="275">
        <f t="shared" si="2"/>
        <v>0.38551078899332381</v>
      </c>
      <c r="AH65" s="391">
        <f t="shared" si="3"/>
        <v>0.60037206054484871</v>
      </c>
      <c r="AI65" s="135">
        <f t="shared" si="4"/>
        <v>0.98588284953817251</v>
      </c>
    </row>
    <row r="66" spans="1:35" ht="12.6">
      <c r="A66" s="10" t="s">
        <v>186</v>
      </c>
      <c r="B66" s="10">
        <v>65</v>
      </c>
      <c r="C66" s="10" t="s">
        <v>1513</v>
      </c>
      <c r="D66" s="388">
        <v>44991</v>
      </c>
      <c r="E66" s="389">
        <v>44991</v>
      </c>
      <c r="F66" s="390" t="str">
        <f t="shared" si="0"/>
        <v>Cooking</v>
      </c>
      <c r="G66" s="135">
        <v>2.81429519375791E-3</v>
      </c>
      <c r="H66" s="135">
        <v>2.5551119843618001E-3</v>
      </c>
      <c r="I66" s="135">
        <v>2.4154391167669799E-3</v>
      </c>
      <c r="J66" s="135">
        <v>2.31340609363158E-3</v>
      </c>
      <c r="K66" s="135">
        <v>2.8959228043603799E-3</v>
      </c>
      <c r="L66" s="135">
        <v>5.5365061204638499E-3</v>
      </c>
      <c r="M66" s="135">
        <v>1.51446179401643E-2</v>
      </c>
      <c r="N66" s="135">
        <v>1.6360270406179801E-2</v>
      </c>
      <c r="O66" s="135">
        <v>1.0832614995978301E-2</v>
      </c>
      <c r="P66" s="135">
        <v>1.3693985645891801E-2</v>
      </c>
      <c r="Q66" s="135">
        <v>2.00225266170602E-2</v>
      </c>
      <c r="R66" s="135">
        <v>2.5461090176451699E-2</v>
      </c>
      <c r="S66" s="135">
        <v>2.9022210746081498E-2</v>
      </c>
      <c r="T66" s="135">
        <v>1.81519739729297E-2</v>
      </c>
      <c r="U66" s="135">
        <v>2.3508914074682301E-2</v>
      </c>
      <c r="V66" s="135">
        <v>6.5277862793324301E-2</v>
      </c>
      <c r="W66" s="135">
        <v>0.17558927875345701</v>
      </c>
      <c r="X66" s="135">
        <v>0.24653755263577201</v>
      </c>
      <c r="Y66" s="135">
        <v>0.17799226602999599</v>
      </c>
      <c r="Z66" s="135">
        <v>9.4745676205406595E-2</v>
      </c>
      <c r="AA66" s="135">
        <v>3.3708674852722401E-2</v>
      </c>
      <c r="AB66" s="135">
        <v>1.6105943585181502E-2</v>
      </c>
      <c r="AC66" s="135">
        <v>6.9799147748093896E-3</v>
      </c>
      <c r="AD66" s="135">
        <v>3.7267590645568898E-3</v>
      </c>
      <c r="AF66" s="243">
        <f t="shared" si="1"/>
        <v>0.35703385713398672</v>
      </c>
      <c r="AG66" s="275">
        <f t="shared" si="2"/>
        <v>0.3559322134333478</v>
      </c>
      <c r="AH66" s="391">
        <f t="shared" si="3"/>
        <v>0.65546060115064031</v>
      </c>
      <c r="AI66" s="135">
        <f t="shared" si="4"/>
        <v>1.0113928145839881</v>
      </c>
    </row>
    <row r="67" spans="1:35" ht="12.6">
      <c r="A67" s="10" t="s">
        <v>186</v>
      </c>
      <c r="B67" s="10">
        <v>66</v>
      </c>
      <c r="C67" s="10" t="s">
        <v>1513</v>
      </c>
      <c r="D67" s="388">
        <v>44992</v>
      </c>
      <c r="E67" s="389">
        <v>44992</v>
      </c>
      <c r="F67" s="390" t="str">
        <f t="shared" si="0"/>
        <v>Cooking</v>
      </c>
      <c r="G67" s="135">
        <v>2.81429519375791E-3</v>
      </c>
      <c r="H67" s="135">
        <v>2.5551119843618001E-3</v>
      </c>
      <c r="I67" s="135">
        <v>2.4154391167669799E-3</v>
      </c>
      <c r="J67" s="135">
        <v>2.31340609363158E-3</v>
      </c>
      <c r="K67" s="135">
        <v>2.8959228043603799E-3</v>
      </c>
      <c r="L67" s="135">
        <v>5.5365061204638499E-3</v>
      </c>
      <c r="M67" s="135">
        <v>1.51446179401643E-2</v>
      </c>
      <c r="N67" s="135">
        <v>1.6360270406179801E-2</v>
      </c>
      <c r="O67" s="135">
        <v>1.0832614995978301E-2</v>
      </c>
      <c r="P67" s="135">
        <v>1.3693985645891801E-2</v>
      </c>
      <c r="Q67" s="135">
        <v>2.00225266170602E-2</v>
      </c>
      <c r="R67" s="135">
        <v>2.5461090176451699E-2</v>
      </c>
      <c r="S67" s="135">
        <v>2.9022210746081498E-2</v>
      </c>
      <c r="T67" s="135">
        <v>1.81519739729297E-2</v>
      </c>
      <c r="U67" s="135">
        <v>2.3508914074682301E-2</v>
      </c>
      <c r="V67" s="135">
        <v>6.5277862793324301E-2</v>
      </c>
      <c r="W67" s="135">
        <v>0.17558927875345701</v>
      </c>
      <c r="X67" s="135">
        <v>0.24653755263577201</v>
      </c>
      <c r="Y67" s="135">
        <v>0.17799226602999599</v>
      </c>
      <c r="Z67" s="135">
        <v>9.4745676205406595E-2</v>
      </c>
      <c r="AA67" s="135">
        <v>3.3708674852722401E-2</v>
      </c>
      <c r="AB67" s="135">
        <v>1.6105943585181502E-2</v>
      </c>
      <c r="AC67" s="135">
        <v>6.9799147748093896E-3</v>
      </c>
      <c r="AD67" s="135">
        <v>3.7267590645568898E-3</v>
      </c>
      <c r="AF67" s="243">
        <f t="shared" si="1"/>
        <v>0.35703385713398672</v>
      </c>
      <c r="AG67" s="275">
        <f t="shared" si="2"/>
        <v>0.3559322134333478</v>
      </c>
      <c r="AH67" s="391">
        <f t="shared" si="3"/>
        <v>0.65546060115064031</v>
      </c>
      <c r="AI67" s="135">
        <f t="shared" si="4"/>
        <v>1.0113928145839881</v>
      </c>
    </row>
    <row r="68" spans="1:35" ht="12.6">
      <c r="A68" s="10" t="s">
        <v>186</v>
      </c>
      <c r="B68" s="10">
        <v>67</v>
      </c>
      <c r="C68" s="10" t="s">
        <v>1513</v>
      </c>
      <c r="D68" s="388">
        <v>44993</v>
      </c>
      <c r="E68" s="389">
        <v>44993</v>
      </c>
      <c r="F68" s="390" t="str">
        <f t="shared" si="0"/>
        <v>Cooking</v>
      </c>
      <c r="G68" s="135">
        <v>2.81429519375791E-3</v>
      </c>
      <c r="H68" s="135">
        <v>2.5551119843618001E-3</v>
      </c>
      <c r="I68" s="135">
        <v>2.4154391167669799E-3</v>
      </c>
      <c r="J68" s="135">
        <v>2.31340609363158E-3</v>
      </c>
      <c r="K68" s="135">
        <v>2.8959228043603799E-3</v>
      </c>
      <c r="L68" s="135">
        <v>5.5365061204638499E-3</v>
      </c>
      <c r="M68" s="135">
        <v>1.51446179401643E-2</v>
      </c>
      <c r="N68" s="135">
        <v>1.6360270406179801E-2</v>
      </c>
      <c r="O68" s="135">
        <v>1.0832614995978301E-2</v>
      </c>
      <c r="P68" s="135">
        <v>1.3693985645891801E-2</v>
      </c>
      <c r="Q68" s="135">
        <v>2.00225266170602E-2</v>
      </c>
      <c r="R68" s="135">
        <v>2.5461090176451699E-2</v>
      </c>
      <c r="S68" s="135">
        <v>2.9022210746081498E-2</v>
      </c>
      <c r="T68" s="135">
        <v>1.81519739729297E-2</v>
      </c>
      <c r="U68" s="135">
        <v>2.3508914074682301E-2</v>
      </c>
      <c r="V68" s="135">
        <v>6.5277862793324301E-2</v>
      </c>
      <c r="W68" s="135">
        <v>0.17558927875345701</v>
      </c>
      <c r="X68" s="135">
        <v>0.24653755263577201</v>
      </c>
      <c r="Y68" s="135">
        <v>0.17799226602999599</v>
      </c>
      <c r="Z68" s="135">
        <v>9.4745676205406595E-2</v>
      </c>
      <c r="AA68" s="135">
        <v>3.3708674852722401E-2</v>
      </c>
      <c r="AB68" s="135">
        <v>1.6105943585181502E-2</v>
      </c>
      <c r="AC68" s="135">
        <v>6.9799147748093896E-3</v>
      </c>
      <c r="AD68" s="135">
        <v>3.7267590645568898E-3</v>
      </c>
      <c r="AF68" s="243">
        <f t="shared" si="1"/>
        <v>0.35703385713398672</v>
      </c>
      <c r="AG68" s="275">
        <f t="shared" si="2"/>
        <v>0.3559322134333478</v>
      </c>
      <c r="AH68" s="391">
        <f t="shared" si="3"/>
        <v>0.65546060115064031</v>
      </c>
      <c r="AI68" s="135">
        <f t="shared" si="4"/>
        <v>1.0113928145839881</v>
      </c>
    </row>
    <row r="69" spans="1:35" ht="12.6">
      <c r="A69" s="10" t="s">
        <v>186</v>
      </c>
      <c r="B69" s="10">
        <v>68</v>
      </c>
      <c r="C69" s="10" t="s">
        <v>1513</v>
      </c>
      <c r="D69" s="388">
        <v>44994</v>
      </c>
      <c r="E69" s="389">
        <v>44994</v>
      </c>
      <c r="F69" s="390" t="str">
        <f t="shared" si="0"/>
        <v>Cooking</v>
      </c>
      <c r="G69" s="135">
        <v>2.81429519375791E-3</v>
      </c>
      <c r="H69" s="135">
        <v>2.5551119843618001E-3</v>
      </c>
      <c r="I69" s="135">
        <v>2.4154391167669799E-3</v>
      </c>
      <c r="J69" s="135">
        <v>2.31340609363158E-3</v>
      </c>
      <c r="K69" s="135">
        <v>2.8959228043603799E-3</v>
      </c>
      <c r="L69" s="135">
        <v>5.5365061204638499E-3</v>
      </c>
      <c r="M69" s="135">
        <v>1.51446179401643E-2</v>
      </c>
      <c r="N69" s="135">
        <v>1.6360270406179801E-2</v>
      </c>
      <c r="O69" s="135">
        <v>1.0832614995978301E-2</v>
      </c>
      <c r="P69" s="135">
        <v>1.3693985645891801E-2</v>
      </c>
      <c r="Q69" s="135">
        <v>2.00225266170602E-2</v>
      </c>
      <c r="R69" s="135">
        <v>2.5461090176451699E-2</v>
      </c>
      <c r="S69" s="135">
        <v>2.9022210746081498E-2</v>
      </c>
      <c r="T69" s="135">
        <v>1.81519739729297E-2</v>
      </c>
      <c r="U69" s="135">
        <v>2.3508914074682301E-2</v>
      </c>
      <c r="V69" s="135">
        <v>6.5277862793324301E-2</v>
      </c>
      <c r="W69" s="135">
        <v>0.17558927875345701</v>
      </c>
      <c r="X69" s="135">
        <v>0.24653755263577201</v>
      </c>
      <c r="Y69" s="135">
        <v>0.17799226602999599</v>
      </c>
      <c r="Z69" s="135">
        <v>9.4745676205406595E-2</v>
      </c>
      <c r="AA69" s="135">
        <v>3.3708674852722401E-2</v>
      </c>
      <c r="AB69" s="135">
        <v>1.6105943585181502E-2</v>
      </c>
      <c r="AC69" s="135">
        <v>6.9799147748093896E-3</v>
      </c>
      <c r="AD69" s="135">
        <v>3.7267590645568898E-3</v>
      </c>
      <c r="AF69" s="243">
        <f t="shared" si="1"/>
        <v>0.35703385713398672</v>
      </c>
      <c r="AG69" s="275">
        <f t="shared" si="2"/>
        <v>0.3559322134333478</v>
      </c>
      <c r="AH69" s="391">
        <f t="shared" si="3"/>
        <v>0.65546060115064031</v>
      </c>
      <c r="AI69" s="135">
        <f t="shared" si="4"/>
        <v>1.0113928145839881</v>
      </c>
    </row>
    <row r="70" spans="1:35" ht="12.6">
      <c r="A70" s="10" t="s">
        <v>186</v>
      </c>
      <c r="B70" s="10">
        <v>69</v>
      </c>
      <c r="C70" s="10" t="s">
        <v>1513</v>
      </c>
      <c r="D70" s="388">
        <v>44995</v>
      </c>
      <c r="E70" s="389">
        <v>44995</v>
      </c>
      <c r="F70" s="390" t="str">
        <f t="shared" si="0"/>
        <v>Cooking</v>
      </c>
      <c r="G70" s="135">
        <v>2.81429519375791E-3</v>
      </c>
      <c r="H70" s="135">
        <v>2.5551119843618001E-3</v>
      </c>
      <c r="I70" s="135">
        <v>2.4154391167669799E-3</v>
      </c>
      <c r="J70" s="135">
        <v>2.31340609363158E-3</v>
      </c>
      <c r="K70" s="135">
        <v>2.8959228043603799E-3</v>
      </c>
      <c r="L70" s="135">
        <v>5.5365061204638499E-3</v>
      </c>
      <c r="M70" s="135">
        <v>1.51446179401643E-2</v>
      </c>
      <c r="N70" s="135">
        <v>1.6360270406179801E-2</v>
      </c>
      <c r="O70" s="135">
        <v>1.0832614995978301E-2</v>
      </c>
      <c r="P70" s="135">
        <v>1.3693985645891801E-2</v>
      </c>
      <c r="Q70" s="135">
        <v>2.00225266170602E-2</v>
      </c>
      <c r="R70" s="135">
        <v>2.5461090176451699E-2</v>
      </c>
      <c r="S70" s="135">
        <v>2.9022210746081498E-2</v>
      </c>
      <c r="T70" s="135">
        <v>1.81519739729297E-2</v>
      </c>
      <c r="U70" s="135">
        <v>2.3508914074682301E-2</v>
      </c>
      <c r="V70" s="135">
        <v>6.5277862793324301E-2</v>
      </c>
      <c r="W70" s="135">
        <v>0.17558927875345701</v>
      </c>
      <c r="X70" s="135">
        <v>0.24653755263577201</v>
      </c>
      <c r="Y70" s="135">
        <v>0.17799226602999599</v>
      </c>
      <c r="Z70" s="135">
        <v>9.4745676205406595E-2</v>
      </c>
      <c r="AA70" s="135">
        <v>3.3708674852722401E-2</v>
      </c>
      <c r="AB70" s="135">
        <v>1.6105943585181502E-2</v>
      </c>
      <c r="AC70" s="135">
        <v>6.9799147748093896E-3</v>
      </c>
      <c r="AD70" s="135">
        <v>3.7267590645568898E-3</v>
      </c>
      <c r="AF70" s="243">
        <f t="shared" si="1"/>
        <v>0.35703385713398672</v>
      </c>
      <c r="AG70" s="275">
        <f t="shared" si="2"/>
        <v>0.3559322134333478</v>
      </c>
      <c r="AH70" s="391">
        <f t="shared" si="3"/>
        <v>0.65546060115064031</v>
      </c>
      <c r="AI70" s="135">
        <f t="shared" si="4"/>
        <v>1.0113928145839881</v>
      </c>
    </row>
    <row r="71" spans="1:35" ht="12.6">
      <c r="A71" s="10" t="s">
        <v>186</v>
      </c>
      <c r="B71" s="10">
        <v>70</v>
      </c>
      <c r="C71" s="10" t="s">
        <v>1513</v>
      </c>
      <c r="D71" s="388">
        <v>44996</v>
      </c>
      <c r="E71" s="389">
        <v>44996</v>
      </c>
      <c r="F71" s="390" t="str">
        <f t="shared" si="0"/>
        <v>Cooking</v>
      </c>
      <c r="G71" s="135">
        <v>3.6656307091365498E-3</v>
      </c>
      <c r="H71" s="135">
        <v>2.33142342649036E-3</v>
      </c>
      <c r="I71" s="135">
        <v>2.2763960627801799E-3</v>
      </c>
      <c r="J71" s="135">
        <v>2.3023229059703802E-3</v>
      </c>
      <c r="K71" s="135">
        <v>2.57846622909385E-3</v>
      </c>
      <c r="L71" s="135">
        <v>4.57948267488331E-3</v>
      </c>
      <c r="M71" s="135">
        <v>9.0312841800590793E-3</v>
      </c>
      <c r="N71" s="135">
        <v>2.2340750077030701E-2</v>
      </c>
      <c r="O71" s="135">
        <v>3.4885142248158703E-2</v>
      </c>
      <c r="P71" s="135">
        <v>3.8939132625652503E-2</v>
      </c>
      <c r="Q71" s="135">
        <v>4.5458835458915402E-2</v>
      </c>
      <c r="R71" s="135">
        <v>5.3262940138182502E-2</v>
      </c>
      <c r="S71" s="135">
        <v>4.9190929243740598E-2</v>
      </c>
      <c r="T71" s="135">
        <v>4.81727877888894E-2</v>
      </c>
      <c r="U71" s="135">
        <v>4.0569351465478701E-2</v>
      </c>
      <c r="V71" s="135">
        <v>6.5540462975852296E-2</v>
      </c>
      <c r="W71" s="135">
        <v>0.14411883389587299</v>
      </c>
      <c r="X71" s="135">
        <v>0.18428363548191101</v>
      </c>
      <c r="Y71" s="135">
        <v>0.12797645587140899</v>
      </c>
      <c r="Z71" s="135">
        <v>6.0388189040027698E-2</v>
      </c>
      <c r="AA71" s="135">
        <v>2.3289512205446401E-2</v>
      </c>
      <c r="AB71" s="135">
        <v>9.5474673981147291E-3</v>
      </c>
      <c r="AC71" s="135">
        <v>5.8839909641591496E-3</v>
      </c>
      <c r="AD71" s="135">
        <v>5.2694264709170898E-3</v>
      </c>
      <c r="AF71" s="243">
        <f t="shared" si="1"/>
        <v>0.44631414096693189</v>
      </c>
      <c r="AG71" s="275">
        <f t="shared" si="2"/>
        <v>0.38551078899332381</v>
      </c>
      <c r="AH71" s="391">
        <f t="shared" si="3"/>
        <v>0.60037206054484871</v>
      </c>
      <c r="AI71" s="135">
        <f t="shared" si="4"/>
        <v>0.98588284953817251</v>
      </c>
    </row>
    <row r="72" spans="1:35" ht="12.6">
      <c r="A72" s="10" t="s">
        <v>186</v>
      </c>
      <c r="B72" s="10">
        <v>71</v>
      </c>
      <c r="C72" s="10" t="s">
        <v>1513</v>
      </c>
      <c r="D72" s="388">
        <v>44997</v>
      </c>
      <c r="E72" s="389">
        <v>44997</v>
      </c>
      <c r="F72" s="390" t="str">
        <f t="shared" si="0"/>
        <v>Cooking</v>
      </c>
      <c r="G72" s="135">
        <v>3.6656307091365498E-3</v>
      </c>
      <c r="H72" s="135">
        <v>2.33142342649036E-3</v>
      </c>
      <c r="I72" s="135">
        <v>2.2763960627801799E-3</v>
      </c>
      <c r="J72" s="135">
        <v>2.3023229059703802E-3</v>
      </c>
      <c r="K72" s="135">
        <v>2.57846622909385E-3</v>
      </c>
      <c r="L72" s="135">
        <v>4.57948267488331E-3</v>
      </c>
      <c r="M72" s="135">
        <v>9.0312841800590793E-3</v>
      </c>
      <c r="N72" s="135">
        <v>2.2340750077030701E-2</v>
      </c>
      <c r="O72" s="135">
        <v>3.4885142248158703E-2</v>
      </c>
      <c r="P72" s="135">
        <v>3.8939132625652503E-2</v>
      </c>
      <c r="Q72" s="135">
        <v>4.5458835458915402E-2</v>
      </c>
      <c r="R72" s="135">
        <v>5.3262940138182502E-2</v>
      </c>
      <c r="S72" s="135">
        <v>4.9190929243740598E-2</v>
      </c>
      <c r="T72" s="135">
        <v>4.81727877888894E-2</v>
      </c>
      <c r="U72" s="135">
        <v>4.0569351465478701E-2</v>
      </c>
      <c r="V72" s="135">
        <v>6.5540462975852296E-2</v>
      </c>
      <c r="W72" s="135">
        <v>0.14411883389587299</v>
      </c>
      <c r="X72" s="135">
        <v>0.18428363548191101</v>
      </c>
      <c r="Y72" s="135">
        <v>0.12797645587140899</v>
      </c>
      <c r="Z72" s="135">
        <v>6.0388189040027698E-2</v>
      </c>
      <c r="AA72" s="135">
        <v>2.3289512205446401E-2</v>
      </c>
      <c r="AB72" s="135">
        <v>9.5474673981147291E-3</v>
      </c>
      <c r="AC72" s="135">
        <v>5.8839909641591496E-3</v>
      </c>
      <c r="AD72" s="135">
        <v>5.2694264709170898E-3</v>
      </c>
      <c r="AF72" s="243">
        <f t="shared" si="1"/>
        <v>0.44631414096693189</v>
      </c>
      <c r="AG72" s="275">
        <f t="shared" si="2"/>
        <v>0.38551078899332381</v>
      </c>
      <c r="AH72" s="391">
        <f t="shared" si="3"/>
        <v>0.60037206054484871</v>
      </c>
      <c r="AI72" s="135">
        <f t="shared" si="4"/>
        <v>0.98588284953817251</v>
      </c>
    </row>
    <row r="73" spans="1:35" ht="12.6">
      <c r="A73" s="10" t="s">
        <v>186</v>
      </c>
      <c r="B73" s="10">
        <v>72</v>
      </c>
      <c r="C73" s="10" t="s">
        <v>1513</v>
      </c>
      <c r="D73" s="388">
        <v>44998</v>
      </c>
      <c r="E73" s="389">
        <v>44998</v>
      </c>
      <c r="F73" s="390" t="str">
        <f t="shared" si="0"/>
        <v>Cooking</v>
      </c>
      <c r="G73" s="135">
        <v>2.81429519375791E-3</v>
      </c>
      <c r="H73" s="135">
        <v>2.5551119843618001E-3</v>
      </c>
      <c r="I73" s="135">
        <v>2.4154391167669799E-3</v>
      </c>
      <c r="J73" s="135">
        <v>2.31340609363158E-3</v>
      </c>
      <c r="K73" s="135">
        <v>2.8959228043603799E-3</v>
      </c>
      <c r="L73" s="135">
        <v>5.5365061204638499E-3</v>
      </c>
      <c r="M73" s="135">
        <v>1.51446179401643E-2</v>
      </c>
      <c r="N73" s="135">
        <v>1.6360270406179801E-2</v>
      </c>
      <c r="O73" s="135">
        <v>1.0832614995978301E-2</v>
      </c>
      <c r="P73" s="135">
        <v>1.3693985645891801E-2</v>
      </c>
      <c r="Q73" s="135">
        <v>2.00225266170602E-2</v>
      </c>
      <c r="R73" s="135">
        <v>2.5461090176451699E-2</v>
      </c>
      <c r="S73" s="135">
        <v>2.9022210746081498E-2</v>
      </c>
      <c r="T73" s="135">
        <v>1.81519739729297E-2</v>
      </c>
      <c r="U73" s="135">
        <v>2.3508914074682301E-2</v>
      </c>
      <c r="V73" s="135">
        <v>6.5277862793324301E-2</v>
      </c>
      <c r="W73" s="135">
        <v>0.17558927875345701</v>
      </c>
      <c r="X73" s="135">
        <v>0.24653755263577201</v>
      </c>
      <c r="Y73" s="135">
        <v>0.17799226602999599</v>
      </c>
      <c r="Z73" s="135">
        <v>9.4745676205406595E-2</v>
      </c>
      <c r="AA73" s="135">
        <v>3.3708674852722401E-2</v>
      </c>
      <c r="AB73" s="135">
        <v>1.6105943585181502E-2</v>
      </c>
      <c r="AC73" s="135">
        <v>6.9799147748093896E-3</v>
      </c>
      <c r="AD73" s="135">
        <v>3.7267590645568898E-3</v>
      </c>
      <c r="AF73" s="243">
        <f t="shared" si="1"/>
        <v>0.35703385713398672</v>
      </c>
      <c r="AG73" s="275">
        <f t="shared" si="2"/>
        <v>0.3559322134333478</v>
      </c>
      <c r="AH73" s="391">
        <f t="shared" si="3"/>
        <v>0.65546060115064031</v>
      </c>
      <c r="AI73" s="135">
        <f t="shared" si="4"/>
        <v>1.0113928145839881</v>
      </c>
    </row>
    <row r="74" spans="1:35" ht="12.6">
      <c r="A74" s="10" t="s">
        <v>186</v>
      </c>
      <c r="B74" s="10">
        <v>73</v>
      </c>
      <c r="C74" s="10" t="s">
        <v>1513</v>
      </c>
      <c r="D74" s="388">
        <v>44999</v>
      </c>
      <c r="E74" s="389">
        <v>44999</v>
      </c>
      <c r="F74" s="390" t="str">
        <f t="shared" si="0"/>
        <v>Cooking</v>
      </c>
      <c r="G74" s="135">
        <v>2.81429519375791E-3</v>
      </c>
      <c r="H74" s="135">
        <v>2.5551119843618001E-3</v>
      </c>
      <c r="I74" s="135">
        <v>2.4154391167669799E-3</v>
      </c>
      <c r="J74" s="135">
        <v>2.31340609363158E-3</v>
      </c>
      <c r="K74" s="135">
        <v>2.8959228043603799E-3</v>
      </c>
      <c r="L74" s="135">
        <v>5.5365061204638499E-3</v>
      </c>
      <c r="M74" s="135">
        <v>1.51446179401643E-2</v>
      </c>
      <c r="N74" s="135">
        <v>1.6360270406179801E-2</v>
      </c>
      <c r="O74" s="135">
        <v>1.0832614995978301E-2</v>
      </c>
      <c r="P74" s="135">
        <v>1.3693985645891801E-2</v>
      </c>
      <c r="Q74" s="135">
        <v>2.00225266170602E-2</v>
      </c>
      <c r="R74" s="135">
        <v>2.5461090176451699E-2</v>
      </c>
      <c r="S74" s="135">
        <v>2.9022210746081498E-2</v>
      </c>
      <c r="T74" s="135">
        <v>1.81519739729297E-2</v>
      </c>
      <c r="U74" s="135">
        <v>2.3508914074682301E-2</v>
      </c>
      <c r="V74" s="135">
        <v>6.5277862793324301E-2</v>
      </c>
      <c r="W74" s="135">
        <v>0.17558927875345701</v>
      </c>
      <c r="X74" s="135">
        <v>0.24653755263577201</v>
      </c>
      <c r="Y74" s="135">
        <v>0.17799226602999599</v>
      </c>
      <c r="Z74" s="135">
        <v>9.4745676205406595E-2</v>
      </c>
      <c r="AA74" s="135">
        <v>3.3708674852722401E-2</v>
      </c>
      <c r="AB74" s="135">
        <v>1.6105943585181502E-2</v>
      </c>
      <c r="AC74" s="135">
        <v>6.9799147748093896E-3</v>
      </c>
      <c r="AD74" s="135">
        <v>3.7267590645568898E-3</v>
      </c>
      <c r="AF74" s="243">
        <f t="shared" si="1"/>
        <v>0.35703385713398672</v>
      </c>
      <c r="AG74" s="275">
        <f t="shared" si="2"/>
        <v>0.3559322134333478</v>
      </c>
      <c r="AH74" s="391">
        <f t="shared" si="3"/>
        <v>0.65546060115064031</v>
      </c>
      <c r="AI74" s="135">
        <f t="shared" si="4"/>
        <v>1.0113928145839881</v>
      </c>
    </row>
    <row r="75" spans="1:35" ht="12.6">
      <c r="A75" s="10" t="s">
        <v>186</v>
      </c>
      <c r="B75" s="10">
        <v>74</v>
      </c>
      <c r="C75" s="10" t="s">
        <v>1513</v>
      </c>
      <c r="D75" s="388">
        <v>45000</v>
      </c>
      <c r="E75" s="389">
        <v>45000</v>
      </c>
      <c r="F75" s="390" t="str">
        <f t="shared" si="0"/>
        <v>Cooking</v>
      </c>
      <c r="G75" s="135">
        <v>2.81429519375791E-3</v>
      </c>
      <c r="H75" s="135">
        <v>2.5551119843618001E-3</v>
      </c>
      <c r="I75" s="135">
        <v>2.4154391167669799E-3</v>
      </c>
      <c r="J75" s="135">
        <v>2.31340609363158E-3</v>
      </c>
      <c r="K75" s="135">
        <v>2.8959228043603799E-3</v>
      </c>
      <c r="L75" s="135">
        <v>5.5365061204638499E-3</v>
      </c>
      <c r="M75" s="135">
        <v>1.51446179401643E-2</v>
      </c>
      <c r="N75" s="135">
        <v>1.6360270406179801E-2</v>
      </c>
      <c r="O75" s="135">
        <v>1.0832614995978301E-2</v>
      </c>
      <c r="P75" s="135">
        <v>1.3693985645891801E-2</v>
      </c>
      <c r="Q75" s="135">
        <v>2.00225266170602E-2</v>
      </c>
      <c r="R75" s="135">
        <v>2.5461090176451699E-2</v>
      </c>
      <c r="S75" s="135">
        <v>2.9022210746081498E-2</v>
      </c>
      <c r="T75" s="135">
        <v>1.81519739729297E-2</v>
      </c>
      <c r="U75" s="135">
        <v>2.3508914074682301E-2</v>
      </c>
      <c r="V75" s="135">
        <v>6.5277862793324301E-2</v>
      </c>
      <c r="W75" s="135">
        <v>0.17558927875345701</v>
      </c>
      <c r="X75" s="135">
        <v>0.24653755263577201</v>
      </c>
      <c r="Y75" s="135">
        <v>0.17799226602999599</v>
      </c>
      <c r="Z75" s="135">
        <v>9.4745676205406595E-2</v>
      </c>
      <c r="AA75" s="135">
        <v>3.3708674852722401E-2</v>
      </c>
      <c r="AB75" s="135">
        <v>1.6105943585181502E-2</v>
      </c>
      <c r="AC75" s="135">
        <v>6.9799147748093896E-3</v>
      </c>
      <c r="AD75" s="135">
        <v>3.7267590645568898E-3</v>
      </c>
      <c r="AF75" s="243">
        <f t="shared" si="1"/>
        <v>0.35703385713398672</v>
      </c>
      <c r="AG75" s="275">
        <f t="shared" si="2"/>
        <v>0.3559322134333478</v>
      </c>
      <c r="AH75" s="391">
        <f t="shared" si="3"/>
        <v>0.65546060115064031</v>
      </c>
      <c r="AI75" s="135">
        <f t="shared" si="4"/>
        <v>1.0113928145839881</v>
      </c>
    </row>
    <row r="76" spans="1:35" ht="12.6">
      <c r="A76" s="10" t="s">
        <v>186</v>
      </c>
      <c r="B76" s="10">
        <v>75</v>
      </c>
      <c r="C76" s="10" t="s">
        <v>1513</v>
      </c>
      <c r="D76" s="388">
        <v>45001</v>
      </c>
      <c r="E76" s="389">
        <v>45001</v>
      </c>
      <c r="F76" s="390" t="str">
        <f t="shared" si="0"/>
        <v>Cooking</v>
      </c>
      <c r="G76" s="135">
        <v>2.81429519375791E-3</v>
      </c>
      <c r="H76" s="135">
        <v>2.5551119843618001E-3</v>
      </c>
      <c r="I76" s="135">
        <v>2.4154391167669799E-3</v>
      </c>
      <c r="J76" s="135">
        <v>2.31340609363158E-3</v>
      </c>
      <c r="K76" s="135">
        <v>2.8959228043603799E-3</v>
      </c>
      <c r="L76" s="135">
        <v>5.5365061204638499E-3</v>
      </c>
      <c r="M76" s="135">
        <v>1.51446179401643E-2</v>
      </c>
      <c r="N76" s="135">
        <v>1.6360270406179801E-2</v>
      </c>
      <c r="O76" s="135">
        <v>1.0832614995978301E-2</v>
      </c>
      <c r="P76" s="135">
        <v>1.3693985645891801E-2</v>
      </c>
      <c r="Q76" s="135">
        <v>2.00225266170602E-2</v>
      </c>
      <c r="R76" s="135">
        <v>2.5461090176451699E-2</v>
      </c>
      <c r="S76" s="135">
        <v>2.9022210746081498E-2</v>
      </c>
      <c r="T76" s="135">
        <v>1.81519739729297E-2</v>
      </c>
      <c r="U76" s="135">
        <v>2.3508914074682301E-2</v>
      </c>
      <c r="V76" s="135">
        <v>6.5277862793324301E-2</v>
      </c>
      <c r="W76" s="135">
        <v>0.17558927875345701</v>
      </c>
      <c r="X76" s="135">
        <v>0.24653755263577201</v>
      </c>
      <c r="Y76" s="135">
        <v>0.17799226602999599</v>
      </c>
      <c r="Z76" s="135">
        <v>9.4745676205406595E-2</v>
      </c>
      <c r="AA76" s="135">
        <v>3.3708674852722401E-2</v>
      </c>
      <c r="AB76" s="135">
        <v>1.6105943585181502E-2</v>
      </c>
      <c r="AC76" s="135">
        <v>6.9799147748093896E-3</v>
      </c>
      <c r="AD76" s="135">
        <v>3.7267590645568898E-3</v>
      </c>
      <c r="AF76" s="243">
        <f t="shared" si="1"/>
        <v>0.35703385713398672</v>
      </c>
      <c r="AG76" s="275">
        <f t="shared" si="2"/>
        <v>0.3559322134333478</v>
      </c>
      <c r="AH76" s="391">
        <f t="shared" si="3"/>
        <v>0.65546060115064031</v>
      </c>
      <c r="AI76" s="135">
        <f t="shared" si="4"/>
        <v>1.0113928145839881</v>
      </c>
    </row>
    <row r="77" spans="1:35" ht="12.6">
      <c r="A77" s="10" t="s">
        <v>186</v>
      </c>
      <c r="B77" s="10">
        <v>76</v>
      </c>
      <c r="C77" s="10" t="s">
        <v>1513</v>
      </c>
      <c r="D77" s="388">
        <v>45002</v>
      </c>
      <c r="E77" s="389">
        <v>45002</v>
      </c>
      <c r="F77" s="390" t="str">
        <f t="shared" si="0"/>
        <v>Cooking</v>
      </c>
      <c r="G77" s="135">
        <v>2.81429519375791E-3</v>
      </c>
      <c r="H77" s="135">
        <v>2.5551119843618001E-3</v>
      </c>
      <c r="I77" s="135">
        <v>2.4154391167669799E-3</v>
      </c>
      <c r="J77" s="135">
        <v>2.31340609363158E-3</v>
      </c>
      <c r="K77" s="135">
        <v>2.8959228043603799E-3</v>
      </c>
      <c r="L77" s="135">
        <v>5.5365061204638499E-3</v>
      </c>
      <c r="M77" s="135">
        <v>1.51446179401643E-2</v>
      </c>
      <c r="N77" s="135">
        <v>1.6360270406179801E-2</v>
      </c>
      <c r="O77" s="135">
        <v>1.0832614995978301E-2</v>
      </c>
      <c r="P77" s="135">
        <v>1.3693985645891801E-2</v>
      </c>
      <c r="Q77" s="135">
        <v>2.00225266170602E-2</v>
      </c>
      <c r="R77" s="135">
        <v>2.5461090176451699E-2</v>
      </c>
      <c r="S77" s="135">
        <v>2.9022210746081498E-2</v>
      </c>
      <c r="T77" s="135">
        <v>1.81519739729297E-2</v>
      </c>
      <c r="U77" s="135">
        <v>2.3508914074682301E-2</v>
      </c>
      <c r="V77" s="135">
        <v>6.5277862793324301E-2</v>
      </c>
      <c r="W77" s="135">
        <v>0.17558927875345701</v>
      </c>
      <c r="X77" s="135">
        <v>0.24653755263577201</v>
      </c>
      <c r="Y77" s="135">
        <v>0.17799226602999599</v>
      </c>
      <c r="Z77" s="135">
        <v>9.4745676205406595E-2</v>
      </c>
      <c r="AA77" s="135">
        <v>3.3708674852722401E-2</v>
      </c>
      <c r="AB77" s="135">
        <v>1.6105943585181502E-2</v>
      </c>
      <c r="AC77" s="135">
        <v>6.9799147748093896E-3</v>
      </c>
      <c r="AD77" s="135">
        <v>3.7267590645568898E-3</v>
      </c>
      <c r="AF77" s="243">
        <f t="shared" si="1"/>
        <v>0.35703385713398672</v>
      </c>
      <c r="AG77" s="275">
        <f t="shared" si="2"/>
        <v>0.3559322134333478</v>
      </c>
      <c r="AH77" s="391">
        <f t="shared" si="3"/>
        <v>0.65546060115064031</v>
      </c>
      <c r="AI77" s="135">
        <f t="shared" si="4"/>
        <v>1.0113928145839881</v>
      </c>
    </row>
    <row r="78" spans="1:35" ht="12.6">
      <c r="A78" s="10" t="s">
        <v>186</v>
      </c>
      <c r="B78" s="10">
        <v>77</v>
      </c>
      <c r="C78" s="10" t="s">
        <v>1513</v>
      </c>
      <c r="D78" s="388">
        <v>45003</v>
      </c>
      <c r="E78" s="389">
        <v>45003</v>
      </c>
      <c r="F78" s="390" t="str">
        <f t="shared" si="0"/>
        <v>Cooking</v>
      </c>
      <c r="G78" s="135">
        <v>3.6656307091365498E-3</v>
      </c>
      <c r="H78" s="135">
        <v>2.33142342649036E-3</v>
      </c>
      <c r="I78" s="135">
        <v>2.2763960627801799E-3</v>
      </c>
      <c r="J78" s="135">
        <v>2.3023229059703802E-3</v>
      </c>
      <c r="K78" s="135">
        <v>2.57846622909385E-3</v>
      </c>
      <c r="L78" s="135">
        <v>4.57948267488331E-3</v>
      </c>
      <c r="M78" s="135">
        <v>9.0312841800590793E-3</v>
      </c>
      <c r="N78" s="135">
        <v>2.2340750077030701E-2</v>
      </c>
      <c r="O78" s="135">
        <v>3.4885142248158703E-2</v>
      </c>
      <c r="P78" s="135">
        <v>3.8939132625652503E-2</v>
      </c>
      <c r="Q78" s="135">
        <v>4.5458835458915402E-2</v>
      </c>
      <c r="R78" s="135">
        <v>5.3262940138182502E-2</v>
      </c>
      <c r="S78" s="135">
        <v>4.9190929243740598E-2</v>
      </c>
      <c r="T78" s="135">
        <v>4.81727877888894E-2</v>
      </c>
      <c r="U78" s="135">
        <v>4.0569351465478701E-2</v>
      </c>
      <c r="V78" s="135">
        <v>6.5540462975852296E-2</v>
      </c>
      <c r="W78" s="135">
        <v>0.14411883389587299</v>
      </c>
      <c r="X78" s="135">
        <v>0.18428363548191101</v>
      </c>
      <c r="Y78" s="135">
        <v>0.12797645587140899</v>
      </c>
      <c r="Z78" s="135">
        <v>6.0388189040027698E-2</v>
      </c>
      <c r="AA78" s="135">
        <v>2.3289512205446401E-2</v>
      </c>
      <c r="AB78" s="135">
        <v>9.5474673981147291E-3</v>
      </c>
      <c r="AC78" s="135">
        <v>5.8839909641591496E-3</v>
      </c>
      <c r="AD78" s="135">
        <v>5.2694264709170898E-3</v>
      </c>
      <c r="AF78" s="243">
        <f t="shared" si="1"/>
        <v>0.44631414096693189</v>
      </c>
      <c r="AG78" s="275">
        <f t="shared" si="2"/>
        <v>0.38551078899332381</v>
      </c>
      <c r="AH78" s="391">
        <f t="shared" si="3"/>
        <v>0.60037206054484871</v>
      </c>
      <c r="AI78" s="135">
        <f t="shared" si="4"/>
        <v>0.98588284953817251</v>
      </c>
    </row>
    <row r="79" spans="1:35" ht="12.6">
      <c r="A79" s="10" t="s">
        <v>186</v>
      </c>
      <c r="B79" s="10">
        <v>78</v>
      </c>
      <c r="C79" s="10" t="s">
        <v>1513</v>
      </c>
      <c r="D79" s="388">
        <v>45004</v>
      </c>
      <c r="E79" s="389">
        <v>45004</v>
      </c>
      <c r="F79" s="390" t="str">
        <f t="shared" si="0"/>
        <v>Cooking</v>
      </c>
      <c r="G79" s="135">
        <v>3.6656307091365498E-3</v>
      </c>
      <c r="H79" s="135">
        <v>2.33142342649036E-3</v>
      </c>
      <c r="I79" s="135">
        <v>2.2763960627801799E-3</v>
      </c>
      <c r="J79" s="135">
        <v>2.3023229059703802E-3</v>
      </c>
      <c r="K79" s="135">
        <v>2.57846622909385E-3</v>
      </c>
      <c r="L79" s="135">
        <v>4.57948267488331E-3</v>
      </c>
      <c r="M79" s="135">
        <v>9.0312841800590793E-3</v>
      </c>
      <c r="N79" s="135">
        <v>2.2340750077030701E-2</v>
      </c>
      <c r="O79" s="135">
        <v>3.4885142248158703E-2</v>
      </c>
      <c r="P79" s="135">
        <v>3.8939132625652503E-2</v>
      </c>
      <c r="Q79" s="135">
        <v>4.5458835458915402E-2</v>
      </c>
      <c r="R79" s="135">
        <v>5.3262940138182502E-2</v>
      </c>
      <c r="S79" s="135">
        <v>4.9190929243740598E-2</v>
      </c>
      <c r="T79" s="135">
        <v>4.81727877888894E-2</v>
      </c>
      <c r="U79" s="135">
        <v>4.0569351465478701E-2</v>
      </c>
      <c r="V79" s="135">
        <v>6.5540462975852296E-2</v>
      </c>
      <c r="W79" s="135">
        <v>0.14411883389587299</v>
      </c>
      <c r="X79" s="135">
        <v>0.18428363548191101</v>
      </c>
      <c r="Y79" s="135">
        <v>0.12797645587140899</v>
      </c>
      <c r="Z79" s="135">
        <v>6.0388189040027698E-2</v>
      </c>
      <c r="AA79" s="135">
        <v>2.3289512205446401E-2</v>
      </c>
      <c r="AB79" s="135">
        <v>9.5474673981147291E-3</v>
      </c>
      <c r="AC79" s="135">
        <v>5.8839909641591496E-3</v>
      </c>
      <c r="AD79" s="135">
        <v>5.2694264709170898E-3</v>
      </c>
      <c r="AF79" s="243">
        <f t="shared" si="1"/>
        <v>0.44631414096693189</v>
      </c>
      <c r="AG79" s="275">
        <f t="shared" si="2"/>
        <v>0.38551078899332381</v>
      </c>
      <c r="AH79" s="391">
        <f t="shared" si="3"/>
        <v>0.60037206054484871</v>
      </c>
      <c r="AI79" s="135">
        <f t="shared" si="4"/>
        <v>0.98588284953817251</v>
      </c>
    </row>
    <row r="80" spans="1:35" ht="12.6">
      <c r="A80" s="10" t="s">
        <v>186</v>
      </c>
      <c r="B80" s="10">
        <v>79</v>
      </c>
      <c r="C80" s="10" t="s">
        <v>1513</v>
      </c>
      <c r="D80" s="388">
        <v>45005</v>
      </c>
      <c r="E80" s="389">
        <v>45005</v>
      </c>
      <c r="F80" s="390" t="str">
        <f t="shared" si="0"/>
        <v>Cooking</v>
      </c>
      <c r="G80" s="135">
        <v>2.81429519375791E-3</v>
      </c>
      <c r="H80" s="135">
        <v>2.5551119843618001E-3</v>
      </c>
      <c r="I80" s="135">
        <v>2.4154391167669799E-3</v>
      </c>
      <c r="J80" s="135">
        <v>2.31340609363158E-3</v>
      </c>
      <c r="K80" s="135">
        <v>2.8959228043603799E-3</v>
      </c>
      <c r="L80" s="135">
        <v>5.5365061204638499E-3</v>
      </c>
      <c r="M80" s="135">
        <v>1.51446179401643E-2</v>
      </c>
      <c r="N80" s="135">
        <v>1.6360270406179801E-2</v>
      </c>
      <c r="O80" s="135">
        <v>1.0832614995978301E-2</v>
      </c>
      <c r="P80" s="135">
        <v>1.3693985645891801E-2</v>
      </c>
      <c r="Q80" s="135">
        <v>2.00225266170602E-2</v>
      </c>
      <c r="R80" s="135">
        <v>2.5461090176451699E-2</v>
      </c>
      <c r="S80" s="135">
        <v>2.9022210746081498E-2</v>
      </c>
      <c r="T80" s="135">
        <v>1.81519739729297E-2</v>
      </c>
      <c r="U80" s="135">
        <v>2.3508914074682301E-2</v>
      </c>
      <c r="V80" s="135">
        <v>6.5277862793324301E-2</v>
      </c>
      <c r="W80" s="135">
        <v>0.17558927875345701</v>
      </c>
      <c r="X80" s="135">
        <v>0.24653755263577201</v>
      </c>
      <c r="Y80" s="135">
        <v>0.17799226602999599</v>
      </c>
      <c r="Z80" s="135">
        <v>9.4745676205406595E-2</v>
      </c>
      <c r="AA80" s="135">
        <v>3.3708674852722401E-2</v>
      </c>
      <c r="AB80" s="135">
        <v>1.6105943585181502E-2</v>
      </c>
      <c r="AC80" s="135">
        <v>6.9799147748093896E-3</v>
      </c>
      <c r="AD80" s="135">
        <v>3.7267590645568898E-3</v>
      </c>
      <c r="AF80" s="243">
        <f t="shared" si="1"/>
        <v>0.35703385713398672</v>
      </c>
      <c r="AG80" s="275">
        <f t="shared" si="2"/>
        <v>0.3559322134333478</v>
      </c>
      <c r="AH80" s="391">
        <f t="shared" si="3"/>
        <v>0.65546060115064031</v>
      </c>
      <c r="AI80" s="135">
        <f t="shared" si="4"/>
        <v>1.0113928145839881</v>
      </c>
    </row>
    <row r="81" spans="1:35" ht="12.6">
      <c r="A81" s="10" t="s">
        <v>186</v>
      </c>
      <c r="B81" s="10">
        <v>80</v>
      </c>
      <c r="C81" s="10" t="s">
        <v>1513</v>
      </c>
      <c r="D81" s="388">
        <v>45006</v>
      </c>
      <c r="E81" s="389">
        <v>45006</v>
      </c>
      <c r="F81" s="390" t="str">
        <f t="shared" si="0"/>
        <v>Cooking</v>
      </c>
      <c r="G81" s="135">
        <v>2.81429519375791E-3</v>
      </c>
      <c r="H81" s="135">
        <v>2.5551119843618001E-3</v>
      </c>
      <c r="I81" s="135">
        <v>2.4154391167669799E-3</v>
      </c>
      <c r="J81" s="135">
        <v>2.31340609363158E-3</v>
      </c>
      <c r="K81" s="135">
        <v>2.8959228043603799E-3</v>
      </c>
      <c r="L81" s="135">
        <v>5.5365061204638499E-3</v>
      </c>
      <c r="M81" s="135">
        <v>1.51446179401643E-2</v>
      </c>
      <c r="N81" s="135">
        <v>1.6360270406179801E-2</v>
      </c>
      <c r="O81" s="135">
        <v>1.0832614995978301E-2</v>
      </c>
      <c r="P81" s="135">
        <v>1.3693985645891801E-2</v>
      </c>
      <c r="Q81" s="135">
        <v>2.00225266170602E-2</v>
      </c>
      <c r="R81" s="135">
        <v>2.5461090176451699E-2</v>
      </c>
      <c r="S81" s="135">
        <v>2.9022210746081498E-2</v>
      </c>
      <c r="T81" s="135">
        <v>1.81519739729297E-2</v>
      </c>
      <c r="U81" s="135">
        <v>2.3508914074682301E-2</v>
      </c>
      <c r="V81" s="135">
        <v>6.5277862793324301E-2</v>
      </c>
      <c r="W81" s="135">
        <v>0.17558927875345701</v>
      </c>
      <c r="X81" s="135">
        <v>0.24653755263577201</v>
      </c>
      <c r="Y81" s="135">
        <v>0.17799226602999599</v>
      </c>
      <c r="Z81" s="135">
        <v>9.4745676205406595E-2</v>
      </c>
      <c r="AA81" s="135">
        <v>3.3708674852722401E-2</v>
      </c>
      <c r="AB81" s="135">
        <v>1.6105943585181502E-2</v>
      </c>
      <c r="AC81" s="135">
        <v>6.9799147748093896E-3</v>
      </c>
      <c r="AD81" s="135">
        <v>3.7267590645568898E-3</v>
      </c>
      <c r="AF81" s="243">
        <f t="shared" si="1"/>
        <v>0.35703385713398672</v>
      </c>
      <c r="AG81" s="275">
        <f t="shared" si="2"/>
        <v>0.3559322134333478</v>
      </c>
      <c r="AH81" s="391">
        <f t="shared" si="3"/>
        <v>0.65546060115064031</v>
      </c>
      <c r="AI81" s="135">
        <f t="shared" si="4"/>
        <v>1.0113928145839881</v>
      </c>
    </row>
    <row r="82" spans="1:35" ht="12.6">
      <c r="A82" s="10" t="s">
        <v>186</v>
      </c>
      <c r="B82" s="10">
        <v>81</v>
      </c>
      <c r="C82" s="10" t="s">
        <v>1513</v>
      </c>
      <c r="D82" s="388">
        <v>45007</v>
      </c>
      <c r="E82" s="389">
        <v>45007</v>
      </c>
      <c r="F82" s="390" t="str">
        <f t="shared" si="0"/>
        <v>Cooking</v>
      </c>
      <c r="G82" s="135">
        <v>2.81429519375791E-3</v>
      </c>
      <c r="H82" s="135">
        <v>2.5551119843618001E-3</v>
      </c>
      <c r="I82" s="135">
        <v>2.4154391167669799E-3</v>
      </c>
      <c r="J82" s="135">
        <v>2.31340609363158E-3</v>
      </c>
      <c r="K82" s="135">
        <v>2.8959228043603799E-3</v>
      </c>
      <c r="L82" s="135">
        <v>5.5365061204638499E-3</v>
      </c>
      <c r="M82" s="135">
        <v>1.51446179401643E-2</v>
      </c>
      <c r="N82" s="135">
        <v>1.6360270406179801E-2</v>
      </c>
      <c r="O82" s="135">
        <v>1.0832614995978301E-2</v>
      </c>
      <c r="P82" s="135">
        <v>1.3693985645891801E-2</v>
      </c>
      <c r="Q82" s="135">
        <v>2.00225266170602E-2</v>
      </c>
      <c r="R82" s="135">
        <v>2.5461090176451699E-2</v>
      </c>
      <c r="S82" s="135">
        <v>2.9022210746081498E-2</v>
      </c>
      <c r="T82" s="135">
        <v>1.81519739729297E-2</v>
      </c>
      <c r="U82" s="135">
        <v>2.3508914074682301E-2</v>
      </c>
      <c r="V82" s="135">
        <v>6.5277862793324301E-2</v>
      </c>
      <c r="W82" s="135">
        <v>0.17558927875345701</v>
      </c>
      <c r="X82" s="135">
        <v>0.24653755263577201</v>
      </c>
      <c r="Y82" s="135">
        <v>0.17799226602999599</v>
      </c>
      <c r="Z82" s="135">
        <v>9.4745676205406595E-2</v>
      </c>
      <c r="AA82" s="135">
        <v>3.3708674852722401E-2</v>
      </c>
      <c r="AB82" s="135">
        <v>1.6105943585181502E-2</v>
      </c>
      <c r="AC82" s="135">
        <v>6.9799147748093896E-3</v>
      </c>
      <c r="AD82" s="135">
        <v>3.7267590645568898E-3</v>
      </c>
      <c r="AF82" s="243">
        <f t="shared" si="1"/>
        <v>0.35703385713398672</v>
      </c>
      <c r="AG82" s="275">
        <f t="shared" si="2"/>
        <v>0.3559322134333478</v>
      </c>
      <c r="AH82" s="391">
        <f t="shared" si="3"/>
        <v>0.65546060115064031</v>
      </c>
      <c r="AI82" s="135">
        <f t="shared" si="4"/>
        <v>1.0113928145839881</v>
      </c>
    </row>
    <row r="83" spans="1:35" ht="12.6">
      <c r="A83" s="10" t="s">
        <v>186</v>
      </c>
      <c r="B83" s="10">
        <v>82</v>
      </c>
      <c r="C83" s="10" t="s">
        <v>1513</v>
      </c>
      <c r="D83" s="388">
        <v>45008</v>
      </c>
      <c r="E83" s="389">
        <v>45008</v>
      </c>
      <c r="F83" s="390" t="str">
        <f t="shared" si="0"/>
        <v>Cooking</v>
      </c>
      <c r="G83" s="135">
        <v>2.81429519375791E-3</v>
      </c>
      <c r="H83" s="135">
        <v>2.5551119843618001E-3</v>
      </c>
      <c r="I83" s="135">
        <v>2.4154391167669799E-3</v>
      </c>
      <c r="J83" s="135">
        <v>2.31340609363158E-3</v>
      </c>
      <c r="K83" s="135">
        <v>2.8959228043603799E-3</v>
      </c>
      <c r="L83" s="135">
        <v>5.5365061204638499E-3</v>
      </c>
      <c r="M83" s="135">
        <v>1.51446179401643E-2</v>
      </c>
      <c r="N83" s="135">
        <v>1.6360270406179801E-2</v>
      </c>
      <c r="O83" s="135">
        <v>1.0832614995978301E-2</v>
      </c>
      <c r="P83" s="135">
        <v>1.3693985645891801E-2</v>
      </c>
      <c r="Q83" s="135">
        <v>2.00225266170602E-2</v>
      </c>
      <c r="R83" s="135">
        <v>2.5461090176451699E-2</v>
      </c>
      <c r="S83" s="135">
        <v>2.9022210746081498E-2</v>
      </c>
      <c r="T83" s="135">
        <v>1.81519739729297E-2</v>
      </c>
      <c r="U83" s="135">
        <v>2.3508914074682301E-2</v>
      </c>
      <c r="V83" s="135">
        <v>6.5277862793324301E-2</v>
      </c>
      <c r="W83" s="135">
        <v>0.17558927875345701</v>
      </c>
      <c r="X83" s="135">
        <v>0.24653755263577201</v>
      </c>
      <c r="Y83" s="135">
        <v>0.17799226602999599</v>
      </c>
      <c r="Z83" s="135">
        <v>9.4745676205406595E-2</v>
      </c>
      <c r="AA83" s="135">
        <v>3.3708674852722401E-2</v>
      </c>
      <c r="AB83" s="135">
        <v>1.6105943585181502E-2</v>
      </c>
      <c r="AC83" s="135">
        <v>6.9799147748093896E-3</v>
      </c>
      <c r="AD83" s="135">
        <v>3.7267590645568898E-3</v>
      </c>
      <c r="AF83" s="243">
        <f t="shared" si="1"/>
        <v>0.35703385713398672</v>
      </c>
      <c r="AG83" s="275">
        <f t="shared" si="2"/>
        <v>0.3559322134333478</v>
      </c>
      <c r="AH83" s="391">
        <f t="shared" si="3"/>
        <v>0.65546060115064031</v>
      </c>
      <c r="AI83" s="135">
        <f t="shared" si="4"/>
        <v>1.0113928145839881</v>
      </c>
    </row>
    <row r="84" spans="1:35" ht="12.6">
      <c r="A84" s="10" t="s">
        <v>186</v>
      </c>
      <c r="B84" s="10">
        <v>83</v>
      </c>
      <c r="C84" s="10" t="s">
        <v>1513</v>
      </c>
      <c r="D84" s="388">
        <v>45009</v>
      </c>
      <c r="E84" s="389">
        <v>45009</v>
      </c>
      <c r="F84" s="390" t="str">
        <f t="shared" si="0"/>
        <v>Cooking</v>
      </c>
      <c r="G84" s="135">
        <v>2.81429519375791E-3</v>
      </c>
      <c r="H84" s="135">
        <v>2.5551119843618001E-3</v>
      </c>
      <c r="I84" s="135">
        <v>2.4154391167669799E-3</v>
      </c>
      <c r="J84" s="135">
        <v>2.31340609363158E-3</v>
      </c>
      <c r="K84" s="135">
        <v>2.8959228043603799E-3</v>
      </c>
      <c r="L84" s="135">
        <v>5.5365061204638499E-3</v>
      </c>
      <c r="M84" s="135">
        <v>1.51446179401643E-2</v>
      </c>
      <c r="N84" s="135">
        <v>1.6360270406179801E-2</v>
      </c>
      <c r="O84" s="135">
        <v>1.0832614995978301E-2</v>
      </c>
      <c r="P84" s="135">
        <v>1.3693985645891801E-2</v>
      </c>
      <c r="Q84" s="135">
        <v>2.00225266170602E-2</v>
      </c>
      <c r="R84" s="135">
        <v>2.5461090176451699E-2</v>
      </c>
      <c r="S84" s="135">
        <v>2.9022210746081498E-2</v>
      </c>
      <c r="T84" s="135">
        <v>1.81519739729297E-2</v>
      </c>
      <c r="U84" s="135">
        <v>2.3508914074682301E-2</v>
      </c>
      <c r="V84" s="135">
        <v>6.5277862793324301E-2</v>
      </c>
      <c r="W84" s="135">
        <v>0.17558927875345701</v>
      </c>
      <c r="X84" s="135">
        <v>0.24653755263577201</v>
      </c>
      <c r="Y84" s="135">
        <v>0.17799226602999599</v>
      </c>
      <c r="Z84" s="135">
        <v>9.4745676205406595E-2</v>
      </c>
      <c r="AA84" s="135">
        <v>3.3708674852722401E-2</v>
      </c>
      <c r="AB84" s="135">
        <v>1.6105943585181502E-2</v>
      </c>
      <c r="AC84" s="135">
        <v>6.9799147748093896E-3</v>
      </c>
      <c r="AD84" s="135">
        <v>3.7267590645568898E-3</v>
      </c>
      <c r="AF84" s="243">
        <f t="shared" si="1"/>
        <v>0.35703385713398672</v>
      </c>
      <c r="AG84" s="275">
        <f t="shared" si="2"/>
        <v>0.3559322134333478</v>
      </c>
      <c r="AH84" s="391">
        <f t="shared" si="3"/>
        <v>0.65546060115064031</v>
      </c>
      <c r="AI84" s="135">
        <f t="shared" si="4"/>
        <v>1.0113928145839881</v>
      </c>
    </row>
    <row r="85" spans="1:35" ht="12.6">
      <c r="A85" s="10" t="s">
        <v>186</v>
      </c>
      <c r="B85" s="10">
        <v>84</v>
      </c>
      <c r="C85" s="10" t="s">
        <v>1513</v>
      </c>
      <c r="D85" s="388">
        <v>45010</v>
      </c>
      <c r="E85" s="389">
        <v>45010</v>
      </c>
      <c r="F85" s="390" t="str">
        <f t="shared" si="0"/>
        <v>Cooking</v>
      </c>
      <c r="G85" s="135">
        <v>3.6656307091365498E-3</v>
      </c>
      <c r="H85" s="135">
        <v>2.33142342649036E-3</v>
      </c>
      <c r="I85" s="135">
        <v>2.2763960627801799E-3</v>
      </c>
      <c r="J85" s="135">
        <v>2.3023229059703802E-3</v>
      </c>
      <c r="K85" s="135">
        <v>2.57846622909385E-3</v>
      </c>
      <c r="L85" s="135">
        <v>4.57948267488331E-3</v>
      </c>
      <c r="M85" s="135">
        <v>9.0312841800590793E-3</v>
      </c>
      <c r="N85" s="135">
        <v>2.2340750077030701E-2</v>
      </c>
      <c r="O85" s="135">
        <v>3.4885142248158703E-2</v>
      </c>
      <c r="P85" s="135">
        <v>3.8939132625652503E-2</v>
      </c>
      <c r="Q85" s="135">
        <v>4.5458835458915402E-2</v>
      </c>
      <c r="R85" s="135">
        <v>5.3262940138182502E-2</v>
      </c>
      <c r="S85" s="135">
        <v>4.9190929243740598E-2</v>
      </c>
      <c r="T85" s="135">
        <v>4.81727877888894E-2</v>
      </c>
      <c r="U85" s="135">
        <v>4.0569351465478701E-2</v>
      </c>
      <c r="V85" s="135">
        <v>6.5540462975852296E-2</v>
      </c>
      <c r="W85" s="135">
        <v>0.14411883389587299</v>
      </c>
      <c r="X85" s="135">
        <v>0.18428363548191101</v>
      </c>
      <c r="Y85" s="135">
        <v>0.12797645587140899</v>
      </c>
      <c r="Z85" s="135">
        <v>6.0388189040027698E-2</v>
      </c>
      <c r="AA85" s="135">
        <v>2.3289512205446401E-2</v>
      </c>
      <c r="AB85" s="135">
        <v>9.5474673981147291E-3</v>
      </c>
      <c r="AC85" s="135">
        <v>5.8839909641591496E-3</v>
      </c>
      <c r="AD85" s="135">
        <v>5.2694264709170898E-3</v>
      </c>
      <c r="AF85" s="243">
        <f t="shared" si="1"/>
        <v>0.44631414096693189</v>
      </c>
      <c r="AG85" s="275">
        <f t="shared" si="2"/>
        <v>0.38551078899332381</v>
      </c>
      <c r="AH85" s="391">
        <f t="shared" si="3"/>
        <v>0.60037206054484871</v>
      </c>
      <c r="AI85" s="135">
        <f t="shared" si="4"/>
        <v>0.98588284953817251</v>
      </c>
    </row>
    <row r="86" spans="1:35" ht="12.6">
      <c r="A86" s="10" t="s">
        <v>186</v>
      </c>
      <c r="B86" s="10">
        <v>85</v>
      </c>
      <c r="C86" s="10" t="s">
        <v>1513</v>
      </c>
      <c r="D86" s="388">
        <v>45011</v>
      </c>
      <c r="E86" s="389">
        <v>45011</v>
      </c>
      <c r="F86" s="390" t="str">
        <f t="shared" si="0"/>
        <v>Cooking</v>
      </c>
      <c r="G86" s="135">
        <v>3.6656307091365498E-3</v>
      </c>
      <c r="H86" s="135">
        <v>2.33142342649036E-3</v>
      </c>
      <c r="I86" s="135">
        <v>2.2763960627801799E-3</v>
      </c>
      <c r="J86" s="135">
        <v>2.3023229059703802E-3</v>
      </c>
      <c r="K86" s="135">
        <v>2.57846622909385E-3</v>
      </c>
      <c r="L86" s="135">
        <v>4.57948267488331E-3</v>
      </c>
      <c r="M86" s="135">
        <v>9.0312841800590793E-3</v>
      </c>
      <c r="N86" s="135">
        <v>2.2340750077030701E-2</v>
      </c>
      <c r="O86" s="135">
        <v>3.4885142248158703E-2</v>
      </c>
      <c r="P86" s="135">
        <v>3.8939132625652503E-2</v>
      </c>
      <c r="Q86" s="135">
        <v>4.5458835458915402E-2</v>
      </c>
      <c r="R86" s="135">
        <v>5.3262940138182502E-2</v>
      </c>
      <c r="S86" s="135">
        <v>4.9190929243740598E-2</v>
      </c>
      <c r="T86" s="135">
        <v>4.81727877888894E-2</v>
      </c>
      <c r="U86" s="135">
        <v>4.0569351465478701E-2</v>
      </c>
      <c r="V86" s="135">
        <v>6.5540462975852296E-2</v>
      </c>
      <c r="W86" s="135">
        <v>0.14411883389587299</v>
      </c>
      <c r="X86" s="135">
        <v>0.18428363548191101</v>
      </c>
      <c r="Y86" s="135">
        <v>0.12797645587140899</v>
      </c>
      <c r="Z86" s="135">
        <v>6.0388189040027698E-2</v>
      </c>
      <c r="AA86" s="135">
        <v>2.3289512205446401E-2</v>
      </c>
      <c r="AB86" s="135">
        <v>9.5474673981147291E-3</v>
      </c>
      <c r="AC86" s="135">
        <v>5.8839909641591496E-3</v>
      </c>
      <c r="AD86" s="135">
        <v>5.2694264709170898E-3</v>
      </c>
      <c r="AF86" s="243">
        <f t="shared" si="1"/>
        <v>0.44631414096693189</v>
      </c>
      <c r="AG86" s="275">
        <f t="shared" si="2"/>
        <v>0.38551078899332381</v>
      </c>
      <c r="AH86" s="391">
        <f t="shared" si="3"/>
        <v>0.60037206054484871</v>
      </c>
      <c r="AI86" s="135">
        <f t="shared" si="4"/>
        <v>0.98588284953817251</v>
      </c>
    </row>
    <row r="87" spans="1:35" ht="12.6">
      <c r="A87" s="10" t="s">
        <v>186</v>
      </c>
      <c r="B87" s="10">
        <v>86</v>
      </c>
      <c r="C87" s="10" t="s">
        <v>1513</v>
      </c>
      <c r="D87" s="388">
        <v>45012</v>
      </c>
      <c r="E87" s="389">
        <v>45012</v>
      </c>
      <c r="F87" s="390" t="str">
        <f t="shared" si="0"/>
        <v>Cooking</v>
      </c>
      <c r="G87" s="135">
        <v>2.81429519375791E-3</v>
      </c>
      <c r="H87" s="135">
        <v>2.5551119843618001E-3</v>
      </c>
      <c r="I87" s="135">
        <v>2.4154391167669799E-3</v>
      </c>
      <c r="J87" s="135">
        <v>2.31340609363158E-3</v>
      </c>
      <c r="K87" s="135">
        <v>2.8959228043603799E-3</v>
      </c>
      <c r="L87" s="135">
        <v>5.5365061204638499E-3</v>
      </c>
      <c r="M87" s="135">
        <v>1.51446179401643E-2</v>
      </c>
      <c r="N87" s="135">
        <v>1.6360270406179801E-2</v>
      </c>
      <c r="O87" s="135">
        <v>1.0832614995978301E-2</v>
      </c>
      <c r="P87" s="135">
        <v>1.3693985645891801E-2</v>
      </c>
      <c r="Q87" s="135">
        <v>2.00225266170602E-2</v>
      </c>
      <c r="R87" s="135">
        <v>2.5461090176451699E-2</v>
      </c>
      <c r="S87" s="135">
        <v>2.9022210746081498E-2</v>
      </c>
      <c r="T87" s="135">
        <v>1.81519739729297E-2</v>
      </c>
      <c r="U87" s="135">
        <v>2.3508914074682301E-2</v>
      </c>
      <c r="V87" s="135">
        <v>6.5277862793324301E-2</v>
      </c>
      <c r="W87" s="135">
        <v>0.17558927875345701</v>
      </c>
      <c r="X87" s="135">
        <v>0.24653755263577201</v>
      </c>
      <c r="Y87" s="135">
        <v>0.17799226602999599</v>
      </c>
      <c r="Z87" s="135">
        <v>9.4745676205406595E-2</v>
      </c>
      <c r="AA87" s="135">
        <v>3.3708674852722401E-2</v>
      </c>
      <c r="AB87" s="135">
        <v>1.6105943585181502E-2</v>
      </c>
      <c r="AC87" s="135">
        <v>6.9799147748093896E-3</v>
      </c>
      <c r="AD87" s="135">
        <v>3.7267590645568898E-3</v>
      </c>
      <c r="AF87" s="243">
        <f t="shared" si="1"/>
        <v>0.35703385713398672</v>
      </c>
      <c r="AG87" s="275">
        <f t="shared" si="2"/>
        <v>0.3559322134333478</v>
      </c>
      <c r="AH87" s="391">
        <f t="shared" si="3"/>
        <v>0.65546060115064031</v>
      </c>
      <c r="AI87" s="135">
        <f t="shared" si="4"/>
        <v>1.0113928145839881</v>
      </c>
    </row>
    <row r="88" spans="1:35" ht="12.6">
      <c r="A88" s="10" t="s">
        <v>186</v>
      </c>
      <c r="B88" s="10">
        <v>87</v>
      </c>
      <c r="C88" s="10" t="s">
        <v>1513</v>
      </c>
      <c r="D88" s="388">
        <v>45013</v>
      </c>
      <c r="E88" s="389">
        <v>45013</v>
      </c>
      <c r="F88" s="390" t="str">
        <f t="shared" si="0"/>
        <v>Cooking</v>
      </c>
      <c r="G88" s="135">
        <v>2.81429519375791E-3</v>
      </c>
      <c r="H88" s="135">
        <v>2.5551119843618001E-3</v>
      </c>
      <c r="I88" s="135">
        <v>2.4154391167669799E-3</v>
      </c>
      <c r="J88" s="135">
        <v>2.31340609363158E-3</v>
      </c>
      <c r="K88" s="135">
        <v>2.8959228043603799E-3</v>
      </c>
      <c r="L88" s="135">
        <v>5.5365061204638499E-3</v>
      </c>
      <c r="M88" s="135">
        <v>1.51446179401643E-2</v>
      </c>
      <c r="N88" s="135">
        <v>1.6360270406179801E-2</v>
      </c>
      <c r="O88" s="135">
        <v>1.0832614995978301E-2</v>
      </c>
      <c r="P88" s="135">
        <v>1.3693985645891801E-2</v>
      </c>
      <c r="Q88" s="135">
        <v>2.00225266170602E-2</v>
      </c>
      <c r="R88" s="135">
        <v>2.5461090176451699E-2</v>
      </c>
      <c r="S88" s="135">
        <v>2.9022210746081498E-2</v>
      </c>
      <c r="T88" s="135">
        <v>1.81519739729297E-2</v>
      </c>
      <c r="U88" s="135">
        <v>2.3508914074682301E-2</v>
      </c>
      <c r="V88" s="135">
        <v>6.5277862793324301E-2</v>
      </c>
      <c r="W88" s="135">
        <v>0.17558927875345701</v>
      </c>
      <c r="X88" s="135">
        <v>0.24653755263577201</v>
      </c>
      <c r="Y88" s="135">
        <v>0.17799226602999599</v>
      </c>
      <c r="Z88" s="135">
        <v>9.4745676205406595E-2</v>
      </c>
      <c r="AA88" s="135">
        <v>3.3708674852722401E-2</v>
      </c>
      <c r="AB88" s="135">
        <v>1.6105943585181502E-2</v>
      </c>
      <c r="AC88" s="135">
        <v>6.9799147748093896E-3</v>
      </c>
      <c r="AD88" s="135">
        <v>3.7267590645568898E-3</v>
      </c>
      <c r="AF88" s="243">
        <f t="shared" si="1"/>
        <v>0.35703385713398672</v>
      </c>
      <c r="AG88" s="275">
        <f t="shared" si="2"/>
        <v>0.3559322134333478</v>
      </c>
      <c r="AH88" s="391">
        <f t="shared" si="3"/>
        <v>0.65546060115064031</v>
      </c>
      <c r="AI88" s="135">
        <f t="shared" si="4"/>
        <v>1.0113928145839881</v>
      </c>
    </row>
    <row r="89" spans="1:35" ht="12.6">
      <c r="A89" s="10" t="s">
        <v>186</v>
      </c>
      <c r="B89" s="10">
        <v>88</v>
      </c>
      <c r="C89" s="10" t="s">
        <v>1513</v>
      </c>
      <c r="D89" s="388">
        <v>45014</v>
      </c>
      <c r="E89" s="389">
        <v>45014</v>
      </c>
      <c r="F89" s="390" t="str">
        <f t="shared" si="0"/>
        <v>Cooking</v>
      </c>
      <c r="G89" s="135">
        <v>2.81429519375791E-3</v>
      </c>
      <c r="H89" s="135">
        <v>2.5551119843618001E-3</v>
      </c>
      <c r="I89" s="135">
        <v>2.4154391167669799E-3</v>
      </c>
      <c r="J89" s="135">
        <v>2.31340609363158E-3</v>
      </c>
      <c r="K89" s="135">
        <v>2.8959228043603799E-3</v>
      </c>
      <c r="L89" s="135">
        <v>5.5365061204638499E-3</v>
      </c>
      <c r="M89" s="135">
        <v>1.51446179401643E-2</v>
      </c>
      <c r="N89" s="135">
        <v>1.6360270406179801E-2</v>
      </c>
      <c r="O89" s="135">
        <v>1.0832614995978301E-2</v>
      </c>
      <c r="P89" s="135">
        <v>1.3693985645891801E-2</v>
      </c>
      <c r="Q89" s="135">
        <v>2.00225266170602E-2</v>
      </c>
      <c r="R89" s="135">
        <v>2.5461090176451699E-2</v>
      </c>
      <c r="S89" s="135">
        <v>2.9022210746081498E-2</v>
      </c>
      <c r="T89" s="135">
        <v>1.81519739729297E-2</v>
      </c>
      <c r="U89" s="135">
        <v>2.3508914074682301E-2</v>
      </c>
      <c r="V89" s="135">
        <v>6.5277862793324301E-2</v>
      </c>
      <c r="W89" s="135">
        <v>0.17558927875345701</v>
      </c>
      <c r="X89" s="135">
        <v>0.24653755263577201</v>
      </c>
      <c r="Y89" s="135">
        <v>0.17799226602999599</v>
      </c>
      <c r="Z89" s="135">
        <v>9.4745676205406595E-2</v>
      </c>
      <c r="AA89" s="135">
        <v>3.3708674852722401E-2</v>
      </c>
      <c r="AB89" s="135">
        <v>1.6105943585181502E-2</v>
      </c>
      <c r="AC89" s="135">
        <v>6.9799147748093896E-3</v>
      </c>
      <c r="AD89" s="135">
        <v>3.7267590645568898E-3</v>
      </c>
      <c r="AF89" s="243">
        <f t="shared" si="1"/>
        <v>0.35703385713398672</v>
      </c>
      <c r="AG89" s="275">
        <f t="shared" si="2"/>
        <v>0.3559322134333478</v>
      </c>
      <c r="AH89" s="391">
        <f t="shared" si="3"/>
        <v>0.65546060115064031</v>
      </c>
      <c r="AI89" s="135">
        <f t="shared" si="4"/>
        <v>1.0113928145839881</v>
      </c>
    </row>
    <row r="90" spans="1:35" ht="12.6">
      <c r="A90" s="10" t="s">
        <v>186</v>
      </c>
      <c r="B90" s="10">
        <v>89</v>
      </c>
      <c r="C90" s="10" t="s">
        <v>1513</v>
      </c>
      <c r="D90" s="388">
        <v>45015</v>
      </c>
      <c r="E90" s="389">
        <v>45015</v>
      </c>
      <c r="F90" s="390" t="str">
        <f t="shared" si="0"/>
        <v>Cooking</v>
      </c>
      <c r="G90" s="135">
        <v>2.81429519375791E-3</v>
      </c>
      <c r="H90" s="135">
        <v>2.5551119843618001E-3</v>
      </c>
      <c r="I90" s="135">
        <v>2.4154391167669799E-3</v>
      </c>
      <c r="J90" s="135">
        <v>2.31340609363158E-3</v>
      </c>
      <c r="K90" s="135">
        <v>2.8959228043603799E-3</v>
      </c>
      <c r="L90" s="135">
        <v>5.5365061204638499E-3</v>
      </c>
      <c r="M90" s="135">
        <v>1.51446179401643E-2</v>
      </c>
      <c r="N90" s="135">
        <v>1.6360270406179801E-2</v>
      </c>
      <c r="O90" s="135">
        <v>1.0832614995978301E-2</v>
      </c>
      <c r="P90" s="135">
        <v>1.3693985645891801E-2</v>
      </c>
      <c r="Q90" s="135">
        <v>2.00225266170602E-2</v>
      </c>
      <c r="R90" s="135">
        <v>2.5461090176451699E-2</v>
      </c>
      <c r="S90" s="135">
        <v>2.9022210746081498E-2</v>
      </c>
      <c r="T90" s="135">
        <v>1.81519739729297E-2</v>
      </c>
      <c r="U90" s="135">
        <v>2.3508914074682301E-2</v>
      </c>
      <c r="V90" s="135">
        <v>6.5277862793324301E-2</v>
      </c>
      <c r="W90" s="135">
        <v>0.17558927875345701</v>
      </c>
      <c r="X90" s="135">
        <v>0.24653755263577201</v>
      </c>
      <c r="Y90" s="135">
        <v>0.17799226602999599</v>
      </c>
      <c r="Z90" s="135">
        <v>9.4745676205406595E-2</v>
      </c>
      <c r="AA90" s="135">
        <v>3.3708674852722401E-2</v>
      </c>
      <c r="AB90" s="135">
        <v>1.6105943585181502E-2</v>
      </c>
      <c r="AC90" s="135">
        <v>6.9799147748093896E-3</v>
      </c>
      <c r="AD90" s="135">
        <v>3.7267590645568898E-3</v>
      </c>
      <c r="AF90" s="243">
        <f t="shared" si="1"/>
        <v>0.35703385713398672</v>
      </c>
      <c r="AG90" s="275">
        <f t="shared" si="2"/>
        <v>0.3559322134333478</v>
      </c>
      <c r="AH90" s="391">
        <f t="shared" si="3"/>
        <v>0.65546060115064031</v>
      </c>
      <c r="AI90" s="135">
        <f t="shared" si="4"/>
        <v>1.0113928145839881</v>
      </c>
    </row>
    <row r="91" spans="1:35" ht="12.6">
      <c r="A91" s="10" t="s">
        <v>186</v>
      </c>
      <c r="B91" s="10">
        <v>90</v>
      </c>
      <c r="C91" s="10" t="s">
        <v>1513</v>
      </c>
      <c r="D91" s="388">
        <v>45016</v>
      </c>
      <c r="E91" s="389">
        <v>45016</v>
      </c>
      <c r="F91" s="390" t="str">
        <f t="shared" si="0"/>
        <v>Cooking</v>
      </c>
      <c r="G91" s="135">
        <v>2.81429519375791E-3</v>
      </c>
      <c r="H91" s="135">
        <v>2.5551119843618001E-3</v>
      </c>
      <c r="I91" s="135">
        <v>2.4154391167669799E-3</v>
      </c>
      <c r="J91" s="135">
        <v>2.31340609363158E-3</v>
      </c>
      <c r="K91" s="135">
        <v>2.8959228043603799E-3</v>
      </c>
      <c r="L91" s="135">
        <v>5.5365061204638499E-3</v>
      </c>
      <c r="M91" s="135">
        <v>1.51446179401643E-2</v>
      </c>
      <c r="N91" s="135">
        <v>1.6360270406179801E-2</v>
      </c>
      <c r="O91" s="135">
        <v>1.0832614995978301E-2</v>
      </c>
      <c r="P91" s="135">
        <v>1.3693985645891801E-2</v>
      </c>
      <c r="Q91" s="135">
        <v>2.00225266170602E-2</v>
      </c>
      <c r="R91" s="135">
        <v>2.5461090176451699E-2</v>
      </c>
      <c r="S91" s="135">
        <v>2.9022210746081498E-2</v>
      </c>
      <c r="T91" s="135">
        <v>1.81519739729297E-2</v>
      </c>
      <c r="U91" s="135">
        <v>2.3508914074682301E-2</v>
      </c>
      <c r="V91" s="135">
        <v>6.5277862793324301E-2</v>
      </c>
      <c r="W91" s="135">
        <v>0.17558927875345701</v>
      </c>
      <c r="X91" s="135">
        <v>0.24653755263577201</v>
      </c>
      <c r="Y91" s="135">
        <v>0.17799226602999599</v>
      </c>
      <c r="Z91" s="135">
        <v>9.4745676205406595E-2</v>
      </c>
      <c r="AA91" s="135">
        <v>3.3708674852722401E-2</v>
      </c>
      <c r="AB91" s="135">
        <v>1.6105943585181502E-2</v>
      </c>
      <c r="AC91" s="135">
        <v>6.9799147748093896E-3</v>
      </c>
      <c r="AD91" s="135">
        <v>3.7267590645568898E-3</v>
      </c>
      <c r="AF91" s="243">
        <f t="shared" si="1"/>
        <v>0.35703385713398672</v>
      </c>
      <c r="AG91" s="275">
        <f t="shared" si="2"/>
        <v>0.3559322134333478</v>
      </c>
      <c r="AH91" s="391">
        <f t="shared" si="3"/>
        <v>0.65546060115064031</v>
      </c>
      <c r="AI91" s="135">
        <f t="shared" si="4"/>
        <v>1.0113928145839881</v>
      </c>
    </row>
    <row r="92" spans="1:35" ht="12.6">
      <c r="A92" s="10" t="s">
        <v>186</v>
      </c>
      <c r="B92" s="10">
        <v>91</v>
      </c>
      <c r="C92" s="10" t="s">
        <v>1513</v>
      </c>
      <c r="D92" s="388">
        <v>45017</v>
      </c>
      <c r="E92" s="389">
        <v>45017</v>
      </c>
      <c r="F92" s="390" t="str">
        <f t="shared" si="0"/>
        <v>Cooking</v>
      </c>
      <c r="G92" s="135">
        <v>3.6656307091365498E-3</v>
      </c>
      <c r="H92" s="135">
        <v>2.33142342649036E-3</v>
      </c>
      <c r="I92" s="135">
        <v>2.2763960627801799E-3</v>
      </c>
      <c r="J92" s="135">
        <v>2.3023229059703802E-3</v>
      </c>
      <c r="K92" s="135">
        <v>2.57846622909385E-3</v>
      </c>
      <c r="L92" s="135">
        <v>4.57948267488331E-3</v>
      </c>
      <c r="M92" s="135">
        <v>9.0312841800590793E-3</v>
      </c>
      <c r="N92" s="135">
        <v>2.2340750077030701E-2</v>
      </c>
      <c r="O92" s="135">
        <v>3.4885142248158703E-2</v>
      </c>
      <c r="P92" s="135">
        <v>3.8939132625652503E-2</v>
      </c>
      <c r="Q92" s="135">
        <v>4.5458835458915402E-2</v>
      </c>
      <c r="R92" s="135">
        <v>5.3262940138182502E-2</v>
      </c>
      <c r="S92" s="135">
        <v>4.9190929243740598E-2</v>
      </c>
      <c r="T92" s="135">
        <v>4.81727877888894E-2</v>
      </c>
      <c r="U92" s="135">
        <v>4.0569351465478701E-2</v>
      </c>
      <c r="V92" s="135">
        <v>6.5540462975852296E-2</v>
      </c>
      <c r="W92" s="135">
        <v>0.14411883389587299</v>
      </c>
      <c r="X92" s="135">
        <v>0.18428363548191101</v>
      </c>
      <c r="Y92" s="135">
        <v>0.12797645587140899</v>
      </c>
      <c r="Z92" s="135">
        <v>6.0388189040027698E-2</v>
      </c>
      <c r="AA92" s="135">
        <v>2.3289512205446401E-2</v>
      </c>
      <c r="AB92" s="135">
        <v>9.5474673981147291E-3</v>
      </c>
      <c r="AC92" s="135">
        <v>5.8839909641591496E-3</v>
      </c>
      <c r="AD92" s="135">
        <v>5.2694264709170898E-3</v>
      </c>
      <c r="AF92" s="243">
        <f t="shared" si="1"/>
        <v>0.44631414096693189</v>
      </c>
      <c r="AG92" s="275">
        <f t="shared" si="2"/>
        <v>0.38551078899332381</v>
      </c>
      <c r="AH92" s="391">
        <f t="shared" si="3"/>
        <v>0.60037206054484871</v>
      </c>
      <c r="AI92" s="135">
        <f t="shared" si="4"/>
        <v>0.98588284953817251</v>
      </c>
    </row>
    <row r="93" spans="1:35" ht="12.6">
      <c r="A93" s="10" t="s">
        <v>186</v>
      </c>
      <c r="B93" s="10">
        <v>92</v>
      </c>
      <c r="C93" s="10" t="s">
        <v>1513</v>
      </c>
      <c r="D93" s="388">
        <v>45018</v>
      </c>
      <c r="E93" s="389">
        <v>45018</v>
      </c>
      <c r="F93" s="390" t="str">
        <f t="shared" si="0"/>
        <v>Cooking</v>
      </c>
      <c r="G93" s="135">
        <v>3.6656307091365498E-3</v>
      </c>
      <c r="H93" s="135">
        <v>2.33142342649036E-3</v>
      </c>
      <c r="I93" s="135">
        <v>2.2763960627801799E-3</v>
      </c>
      <c r="J93" s="135">
        <v>2.3023229059703802E-3</v>
      </c>
      <c r="K93" s="135">
        <v>2.57846622909385E-3</v>
      </c>
      <c r="L93" s="135">
        <v>4.57948267488331E-3</v>
      </c>
      <c r="M93" s="135">
        <v>9.0312841800590793E-3</v>
      </c>
      <c r="N93" s="135">
        <v>2.2340750077030701E-2</v>
      </c>
      <c r="O93" s="135">
        <v>3.4885142248158703E-2</v>
      </c>
      <c r="P93" s="135">
        <v>3.8939132625652503E-2</v>
      </c>
      <c r="Q93" s="135">
        <v>4.5458835458915402E-2</v>
      </c>
      <c r="R93" s="135">
        <v>5.3262940138182502E-2</v>
      </c>
      <c r="S93" s="135">
        <v>4.9190929243740598E-2</v>
      </c>
      <c r="T93" s="135">
        <v>4.81727877888894E-2</v>
      </c>
      <c r="U93" s="135">
        <v>4.0569351465478701E-2</v>
      </c>
      <c r="V93" s="135">
        <v>6.5540462975852296E-2</v>
      </c>
      <c r="W93" s="135">
        <v>0.14411883389587299</v>
      </c>
      <c r="X93" s="135">
        <v>0.18428363548191101</v>
      </c>
      <c r="Y93" s="135">
        <v>0.12797645587140899</v>
      </c>
      <c r="Z93" s="135">
        <v>6.0388189040027698E-2</v>
      </c>
      <c r="AA93" s="135">
        <v>2.3289512205446401E-2</v>
      </c>
      <c r="AB93" s="135">
        <v>9.5474673981147291E-3</v>
      </c>
      <c r="AC93" s="135">
        <v>5.8839909641591496E-3</v>
      </c>
      <c r="AD93" s="135">
        <v>5.2694264709170898E-3</v>
      </c>
      <c r="AF93" s="243">
        <f t="shared" si="1"/>
        <v>0.44631414096693189</v>
      </c>
      <c r="AG93" s="275">
        <f t="shared" si="2"/>
        <v>0.38551078899332381</v>
      </c>
      <c r="AH93" s="391">
        <f t="shared" si="3"/>
        <v>0.60037206054484871</v>
      </c>
      <c r="AI93" s="135">
        <f t="shared" si="4"/>
        <v>0.98588284953817251</v>
      </c>
    </row>
    <row r="94" spans="1:35" ht="12.6">
      <c r="A94" s="10" t="s">
        <v>186</v>
      </c>
      <c r="B94" s="10">
        <v>93</v>
      </c>
      <c r="C94" s="10" t="s">
        <v>1513</v>
      </c>
      <c r="D94" s="388">
        <v>45019</v>
      </c>
      <c r="E94" s="389">
        <v>45019</v>
      </c>
      <c r="F94" s="390" t="str">
        <f t="shared" si="0"/>
        <v>Cooking</v>
      </c>
      <c r="G94" s="135">
        <v>2.81429519375791E-3</v>
      </c>
      <c r="H94" s="135">
        <v>2.5551119843618001E-3</v>
      </c>
      <c r="I94" s="135">
        <v>2.4154391167669799E-3</v>
      </c>
      <c r="J94" s="135">
        <v>2.31340609363158E-3</v>
      </c>
      <c r="K94" s="135">
        <v>2.8959228043603799E-3</v>
      </c>
      <c r="L94" s="135">
        <v>5.5365061204638499E-3</v>
      </c>
      <c r="M94" s="135">
        <v>1.51446179401643E-2</v>
      </c>
      <c r="N94" s="135">
        <v>1.6360270406179801E-2</v>
      </c>
      <c r="O94" s="135">
        <v>1.0832614995978301E-2</v>
      </c>
      <c r="P94" s="135">
        <v>1.3693985645891801E-2</v>
      </c>
      <c r="Q94" s="135">
        <v>2.00225266170602E-2</v>
      </c>
      <c r="R94" s="135">
        <v>2.5461090176451699E-2</v>
      </c>
      <c r="S94" s="135">
        <v>2.9022210746081498E-2</v>
      </c>
      <c r="T94" s="135">
        <v>1.81519739729297E-2</v>
      </c>
      <c r="U94" s="135">
        <v>2.3508914074682301E-2</v>
      </c>
      <c r="V94" s="135">
        <v>6.5277862793324301E-2</v>
      </c>
      <c r="W94" s="135">
        <v>0.17558927875345701</v>
      </c>
      <c r="X94" s="135">
        <v>0.24653755263577201</v>
      </c>
      <c r="Y94" s="135">
        <v>0.17799226602999599</v>
      </c>
      <c r="Z94" s="135">
        <v>9.4745676205406595E-2</v>
      </c>
      <c r="AA94" s="135">
        <v>3.3708674852722401E-2</v>
      </c>
      <c r="AB94" s="135">
        <v>1.6105943585181502E-2</v>
      </c>
      <c r="AC94" s="135">
        <v>6.9799147748093896E-3</v>
      </c>
      <c r="AD94" s="135">
        <v>3.7267590645568898E-3</v>
      </c>
      <c r="AF94" s="243">
        <f t="shared" si="1"/>
        <v>0.35703385713398672</v>
      </c>
      <c r="AG94" s="275">
        <f t="shared" si="2"/>
        <v>0.3559322134333478</v>
      </c>
      <c r="AH94" s="391">
        <f t="shared" si="3"/>
        <v>0.65546060115064031</v>
      </c>
      <c r="AI94" s="135">
        <f t="shared" si="4"/>
        <v>1.0113928145839881</v>
      </c>
    </row>
    <row r="95" spans="1:35" ht="12.6">
      <c r="A95" s="10" t="s">
        <v>186</v>
      </c>
      <c r="B95" s="10">
        <v>94</v>
      </c>
      <c r="C95" s="10" t="s">
        <v>1513</v>
      </c>
      <c r="D95" s="388">
        <v>45020</v>
      </c>
      <c r="E95" s="389">
        <v>45020</v>
      </c>
      <c r="F95" s="390" t="str">
        <f t="shared" si="0"/>
        <v>Cooking</v>
      </c>
      <c r="G95" s="135">
        <v>2.81429519375791E-3</v>
      </c>
      <c r="H95" s="135">
        <v>2.5551119843618001E-3</v>
      </c>
      <c r="I95" s="135">
        <v>2.4154391167669799E-3</v>
      </c>
      <c r="J95" s="135">
        <v>2.31340609363158E-3</v>
      </c>
      <c r="K95" s="135">
        <v>2.8959228043603799E-3</v>
      </c>
      <c r="L95" s="135">
        <v>5.5365061204638499E-3</v>
      </c>
      <c r="M95" s="135">
        <v>1.51446179401643E-2</v>
      </c>
      <c r="N95" s="135">
        <v>1.6360270406179801E-2</v>
      </c>
      <c r="O95" s="135">
        <v>1.0832614995978301E-2</v>
      </c>
      <c r="P95" s="135">
        <v>1.3693985645891801E-2</v>
      </c>
      <c r="Q95" s="135">
        <v>2.00225266170602E-2</v>
      </c>
      <c r="R95" s="135">
        <v>2.5461090176451699E-2</v>
      </c>
      <c r="S95" s="135">
        <v>2.9022210746081498E-2</v>
      </c>
      <c r="T95" s="135">
        <v>1.81519739729297E-2</v>
      </c>
      <c r="U95" s="135">
        <v>2.3508914074682301E-2</v>
      </c>
      <c r="V95" s="135">
        <v>6.5277862793324301E-2</v>
      </c>
      <c r="W95" s="135">
        <v>0.17558927875345701</v>
      </c>
      <c r="X95" s="135">
        <v>0.24653755263577201</v>
      </c>
      <c r="Y95" s="135">
        <v>0.17799226602999599</v>
      </c>
      <c r="Z95" s="135">
        <v>9.4745676205406595E-2</v>
      </c>
      <c r="AA95" s="135">
        <v>3.3708674852722401E-2</v>
      </c>
      <c r="AB95" s="135">
        <v>1.6105943585181502E-2</v>
      </c>
      <c r="AC95" s="135">
        <v>6.9799147748093896E-3</v>
      </c>
      <c r="AD95" s="135">
        <v>3.7267590645568898E-3</v>
      </c>
      <c r="AF95" s="243">
        <f t="shared" si="1"/>
        <v>0.35703385713398672</v>
      </c>
      <c r="AG95" s="275">
        <f t="shared" si="2"/>
        <v>0.3559322134333478</v>
      </c>
      <c r="AH95" s="391">
        <f t="shared" si="3"/>
        <v>0.65546060115064031</v>
      </c>
      <c r="AI95" s="135">
        <f t="shared" si="4"/>
        <v>1.0113928145839881</v>
      </c>
    </row>
    <row r="96" spans="1:35" ht="12.6">
      <c r="A96" s="10" t="s">
        <v>186</v>
      </c>
      <c r="B96" s="10">
        <v>95</v>
      </c>
      <c r="C96" s="10" t="s">
        <v>1513</v>
      </c>
      <c r="D96" s="388">
        <v>45021</v>
      </c>
      <c r="E96" s="389">
        <v>45021</v>
      </c>
      <c r="F96" s="390" t="str">
        <f t="shared" si="0"/>
        <v>Cooking</v>
      </c>
      <c r="G96" s="135">
        <v>2.81429519375791E-3</v>
      </c>
      <c r="H96" s="135">
        <v>2.5551119843618001E-3</v>
      </c>
      <c r="I96" s="135">
        <v>2.4154391167669799E-3</v>
      </c>
      <c r="J96" s="135">
        <v>2.31340609363158E-3</v>
      </c>
      <c r="K96" s="135">
        <v>2.8959228043603799E-3</v>
      </c>
      <c r="L96" s="135">
        <v>5.5365061204638499E-3</v>
      </c>
      <c r="M96" s="135">
        <v>1.51446179401643E-2</v>
      </c>
      <c r="N96" s="135">
        <v>1.6360270406179801E-2</v>
      </c>
      <c r="O96" s="135">
        <v>1.0832614995978301E-2</v>
      </c>
      <c r="P96" s="135">
        <v>1.3693985645891801E-2</v>
      </c>
      <c r="Q96" s="135">
        <v>2.00225266170602E-2</v>
      </c>
      <c r="R96" s="135">
        <v>2.5461090176451699E-2</v>
      </c>
      <c r="S96" s="135">
        <v>2.9022210746081498E-2</v>
      </c>
      <c r="T96" s="135">
        <v>1.81519739729297E-2</v>
      </c>
      <c r="U96" s="135">
        <v>2.3508914074682301E-2</v>
      </c>
      <c r="V96" s="135">
        <v>6.5277862793324301E-2</v>
      </c>
      <c r="W96" s="135">
        <v>0.17558927875345701</v>
      </c>
      <c r="X96" s="135">
        <v>0.24653755263577201</v>
      </c>
      <c r="Y96" s="135">
        <v>0.17799226602999599</v>
      </c>
      <c r="Z96" s="135">
        <v>9.4745676205406595E-2</v>
      </c>
      <c r="AA96" s="135">
        <v>3.3708674852722401E-2</v>
      </c>
      <c r="AB96" s="135">
        <v>1.6105943585181502E-2</v>
      </c>
      <c r="AC96" s="135">
        <v>6.9799147748093896E-3</v>
      </c>
      <c r="AD96" s="135">
        <v>3.7267590645568898E-3</v>
      </c>
      <c r="AF96" s="243">
        <f t="shared" si="1"/>
        <v>0.35703385713398672</v>
      </c>
      <c r="AG96" s="275">
        <f t="shared" si="2"/>
        <v>0.3559322134333478</v>
      </c>
      <c r="AH96" s="391">
        <f t="shared" si="3"/>
        <v>0.65546060115064031</v>
      </c>
      <c r="AI96" s="135">
        <f t="shared" si="4"/>
        <v>1.0113928145839881</v>
      </c>
    </row>
    <row r="97" spans="1:35" ht="12.6">
      <c r="A97" s="10" t="s">
        <v>186</v>
      </c>
      <c r="B97" s="10">
        <v>96</v>
      </c>
      <c r="C97" s="10" t="s">
        <v>1513</v>
      </c>
      <c r="D97" s="388">
        <v>45022</v>
      </c>
      <c r="E97" s="389">
        <v>45022</v>
      </c>
      <c r="F97" s="390" t="str">
        <f t="shared" si="0"/>
        <v>Cooking</v>
      </c>
      <c r="G97" s="135">
        <v>2.81429519375791E-3</v>
      </c>
      <c r="H97" s="135">
        <v>2.5551119843618001E-3</v>
      </c>
      <c r="I97" s="135">
        <v>2.4154391167669799E-3</v>
      </c>
      <c r="J97" s="135">
        <v>2.31340609363158E-3</v>
      </c>
      <c r="K97" s="135">
        <v>2.8959228043603799E-3</v>
      </c>
      <c r="L97" s="135">
        <v>5.5365061204638499E-3</v>
      </c>
      <c r="M97" s="135">
        <v>1.51446179401643E-2</v>
      </c>
      <c r="N97" s="135">
        <v>1.6360270406179801E-2</v>
      </c>
      <c r="O97" s="135">
        <v>1.0832614995978301E-2</v>
      </c>
      <c r="P97" s="135">
        <v>1.3693985645891801E-2</v>
      </c>
      <c r="Q97" s="135">
        <v>2.00225266170602E-2</v>
      </c>
      <c r="R97" s="135">
        <v>2.5461090176451699E-2</v>
      </c>
      <c r="S97" s="135">
        <v>2.9022210746081498E-2</v>
      </c>
      <c r="T97" s="135">
        <v>1.81519739729297E-2</v>
      </c>
      <c r="U97" s="135">
        <v>2.3508914074682301E-2</v>
      </c>
      <c r="V97" s="135">
        <v>6.5277862793324301E-2</v>
      </c>
      <c r="W97" s="135">
        <v>0.17558927875345701</v>
      </c>
      <c r="X97" s="135">
        <v>0.24653755263577201</v>
      </c>
      <c r="Y97" s="135">
        <v>0.17799226602999599</v>
      </c>
      <c r="Z97" s="135">
        <v>9.4745676205406595E-2</v>
      </c>
      <c r="AA97" s="135">
        <v>3.3708674852722401E-2</v>
      </c>
      <c r="AB97" s="135">
        <v>1.6105943585181502E-2</v>
      </c>
      <c r="AC97" s="135">
        <v>6.9799147748093896E-3</v>
      </c>
      <c r="AD97" s="135">
        <v>3.7267590645568898E-3</v>
      </c>
      <c r="AF97" s="243">
        <f t="shared" si="1"/>
        <v>0.35703385713398672</v>
      </c>
      <c r="AG97" s="275">
        <f t="shared" si="2"/>
        <v>0.3559322134333478</v>
      </c>
      <c r="AH97" s="391">
        <f t="shared" si="3"/>
        <v>0.65546060115064031</v>
      </c>
      <c r="AI97" s="135">
        <f t="shared" si="4"/>
        <v>1.0113928145839881</v>
      </c>
    </row>
    <row r="98" spans="1:35" ht="12.6">
      <c r="A98" s="10" t="s">
        <v>186</v>
      </c>
      <c r="B98" s="10">
        <v>97</v>
      </c>
      <c r="C98" s="10" t="s">
        <v>1513</v>
      </c>
      <c r="D98" s="388">
        <v>45023</v>
      </c>
      <c r="E98" s="389">
        <v>45023</v>
      </c>
      <c r="F98" s="390" t="str">
        <f t="shared" si="0"/>
        <v>Cooking</v>
      </c>
      <c r="G98" s="135">
        <v>2.81429519375791E-3</v>
      </c>
      <c r="H98" s="135">
        <v>2.5551119843618001E-3</v>
      </c>
      <c r="I98" s="135">
        <v>2.4154391167669799E-3</v>
      </c>
      <c r="J98" s="135">
        <v>2.31340609363158E-3</v>
      </c>
      <c r="K98" s="135">
        <v>2.8959228043603799E-3</v>
      </c>
      <c r="L98" s="135">
        <v>5.5365061204638499E-3</v>
      </c>
      <c r="M98" s="135">
        <v>1.51446179401643E-2</v>
      </c>
      <c r="N98" s="135">
        <v>1.6360270406179801E-2</v>
      </c>
      <c r="O98" s="135">
        <v>1.0832614995978301E-2</v>
      </c>
      <c r="P98" s="135">
        <v>1.3693985645891801E-2</v>
      </c>
      <c r="Q98" s="135">
        <v>2.00225266170602E-2</v>
      </c>
      <c r="R98" s="135">
        <v>2.5461090176451699E-2</v>
      </c>
      <c r="S98" s="135">
        <v>2.9022210746081498E-2</v>
      </c>
      <c r="T98" s="135">
        <v>1.81519739729297E-2</v>
      </c>
      <c r="U98" s="135">
        <v>2.3508914074682301E-2</v>
      </c>
      <c r="V98" s="135">
        <v>6.5277862793324301E-2</v>
      </c>
      <c r="W98" s="135">
        <v>0.17558927875345701</v>
      </c>
      <c r="X98" s="135">
        <v>0.24653755263577201</v>
      </c>
      <c r="Y98" s="135">
        <v>0.17799226602999599</v>
      </c>
      <c r="Z98" s="135">
        <v>9.4745676205406595E-2</v>
      </c>
      <c r="AA98" s="135">
        <v>3.3708674852722401E-2</v>
      </c>
      <c r="AB98" s="135">
        <v>1.6105943585181502E-2</v>
      </c>
      <c r="AC98" s="135">
        <v>6.9799147748093896E-3</v>
      </c>
      <c r="AD98" s="135">
        <v>3.7267590645568898E-3</v>
      </c>
      <c r="AF98" s="243">
        <f t="shared" si="1"/>
        <v>0.35703385713398672</v>
      </c>
      <c r="AG98" s="275">
        <f t="shared" si="2"/>
        <v>0.3559322134333478</v>
      </c>
      <c r="AH98" s="391">
        <f t="shared" si="3"/>
        <v>0.65546060115064031</v>
      </c>
      <c r="AI98" s="135">
        <f t="shared" si="4"/>
        <v>1.0113928145839881</v>
      </c>
    </row>
    <row r="99" spans="1:35" ht="12.6">
      <c r="A99" s="10" t="s">
        <v>186</v>
      </c>
      <c r="B99" s="10">
        <v>98</v>
      </c>
      <c r="C99" s="10" t="s">
        <v>1513</v>
      </c>
      <c r="D99" s="388">
        <v>45024</v>
      </c>
      <c r="E99" s="389">
        <v>45024</v>
      </c>
      <c r="F99" s="390" t="str">
        <f t="shared" si="0"/>
        <v>Cooking</v>
      </c>
      <c r="G99" s="135">
        <v>3.6656307091365498E-3</v>
      </c>
      <c r="H99" s="135">
        <v>2.33142342649036E-3</v>
      </c>
      <c r="I99" s="135">
        <v>2.2763960627801799E-3</v>
      </c>
      <c r="J99" s="135">
        <v>2.3023229059703802E-3</v>
      </c>
      <c r="K99" s="135">
        <v>2.57846622909385E-3</v>
      </c>
      <c r="L99" s="135">
        <v>4.57948267488331E-3</v>
      </c>
      <c r="M99" s="135">
        <v>9.0312841800590793E-3</v>
      </c>
      <c r="N99" s="135">
        <v>2.2340750077030701E-2</v>
      </c>
      <c r="O99" s="135">
        <v>3.4885142248158703E-2</v>
      </c>
      <c r="P99" s="135">
        <v>3.8939132625652503E-2</v>
      </c>
      <c r="Q99" s="135">
        <v>4.5458835458915402E-2</v>
      </c>
      <c r="R99" s="135">
        <v>5.3262940138182502E-2</v>
      </c>
      <c r="S99" s="135">
        <v>4.9190929243740598E-2</v>
      </c>
      <c r="T99" s="135">
        <v>4.81727877888894E-2</v>
      </c>
      <c r="U99" s="135">
        <v>4.0569351465478701E-2</v>
      </c>
      <c r="V99" s="135">
        <v>6.5540462975852296E-2</v>
      </c>
      <c r="W99" s="135">
        <v>0.14411883389587299</v>
      </c>
      <c r="X99" s="135">
        <v>0.18428363548191101</v>
      </c>
      <c r="Y99" s="135">
        <v>0.12797645587140899</v>
      </c>
      <c r="Z99" s="135">
        <v>6.0388189040027698E-2</v>
      </c>
      <c r="AA99" s="135">
        <v>2.3289512205446401E-2</v>
      </c>
      <c r="AB99" s="135">
        <v>9.5474673981147291E-3</v>
      </c>
      <c r="AC99" s="135">
        <v>5.8839909641591496E-3</v>
      </c>
      <c r="AD99" s="135">
        <v>5.2694264709170898E-3</v>
      </c>
      <c r="AF99" s="243">
        <f t="shared" si="1"/>
        <v>0.44631414096693189</v>
      </c>
      <c r="AG99" s="275">
        <f t="shared" si="2"/>
        <v>0.38551078899332381</v>
      </c>
      <c r="AH99" s="391">
        <f t="shared" si="3"/>
        <v>0.60037206054484871</v>
      </c>
      <c r="AI99" s="135">
        <f t="shared" si="4"/>
        <v>0.98588284953817251</v>
      </c>
    </row>
    <row r="100" spans="1:35" ht="12.6">
      <c r="A100" s="10" t="s">
        <v>186</v>
      </c>
      <c r="B100" s="10">
        <v>99</v>
      </c>
      <c r="C100" s="10" t="s">
        <v>1513</v>
      </c>
      <c r="D100" s="388">
        <v>45025</v>
      </c>
      <c r="E100" s="389">
        <v>45025</v>
      </c>
      <c r="F100" s="390" t="str">
        <f t="shared" si="0"/>
        <v>Cooking</v>
      </c>
      <c r="G100" s="135">
        <v>3.6656307091365498E-3</v>
      </c>
      <c r="H100" s="135">
        <v>2.33142342649036E-3</v>
      </c>
      <c r="I100" s="135">
        <v>2.2763960627801799E-3</v>
      </c>
      <c r="J100" s="135">
        <v>2.3023229059703802E-3</v>
      </c>
      <c r="K100" s="135">
        <v>2.57846622909385E-3</v>
      </c>
      <c r="L100" s="135">
        <v>4.57948267488331E-3</v>
      </c>
      <c r="M100" s="135">
        <v>9.0312841800590793E-3</v>
      </c>
      <c r="N100" s="135">
        <v>2.2340750077030701E-2</v>
      </c>
      <c r="O100" s="135">
        <v>3.4885142248158703E-2</v>
      </c>
      <c r="P100" s="135">
        <v>3.8939132625652503E-2</v>
      </c>
      <c r="Q100" s="135">
        <v>4.5458835458915402E-2</v>
      </c>
      <c r="R100" s="135">
        <v>5.3262940138182502E-2</v>
      </c>
      <c r="S100" s="135">
        <v>4.9190929243740598E-2</v>
      </c>
      <c r="T100" s="135">
        <v>4.81727877888894E-2</v>
      </c>
      <c r="U100" s="135">
        <v>4.0569351465478701E-2</v>
      </c>
      <c r="V100" s="135">
        <v>6.5540462975852296E-2</v>
      </c>
      <c r="W100" s="135">
        <v>0.14411883389587299</v>
      </c>
      <c r="X100" s="135">
        <v>0.18428363548191101</v>
      </c>
      <c r="Y100" s="135">
        <v>0.12797645587140899</v>
      </c>
      <c r="Z100" s="135">
        <v>6.0388189040027698E-2</v>
      </c>
      <c r="AA100" s="135">
        <v>2.3289512205446401E-2</v>
      </c>
      <c r="AB100" s="135">
        <v>9.5474673981147291E-3</v>
      </c>
      <c r="AC100" s="135">
        <v>5.8839909641591496E-3</v>
      </c>
      <c r="AD100" s="135">
        <v>5.2694264709170898E-3</v>
      </c>
      <c r="AF100" s="243">
        <f t="shared" si="1"/>
        <v>0.44631414096693189</v>
      </c>
      <c r="AG100" s="275">
        <f t="shared" si="2"/>
        <v>0.38551078899332381</v>
      </c>
      <c r="AH100" s="391">
        <f t="shared" si="3"/>
        <v>0.60037206054484871</v>
      </c>
      <c r="AI100" s="135">
        <f t="shared" si="4"/>
        <v>0.98588284953817251</v>
      </c>
    </row>
    <row r="101" spans="1:35" ht="12.6">
      <c r="A101" s="10" t="s">
        <v>186</v>
      </c>
      <c r="B101" s="10">
        <v>100</v>
      </c>
      <c r="C101" s="10" t="s">
        <v>1513</v>
      </c>
      <c r="D101" s="388">
        <v>45026</v>
      </c>
      <c r="E101" s="389">
        <v>45026</v>
      </c>
      <c r="F101" s="390" t="str">
        <f t="shared" si="0"/>
        <v>Cooking</v>
      </c>
      <c r="G101" s="135">
        <v>2.81429519375791E-3</v>
      </c>
      <c r="H101" s="135">
        <v>2.5551119843618001E-3</v>
      </c>
      <c r="I101" s="135">
        <v>2.4154391167669799E-3</v>
      </c>
      <c r="J101" s="135">
        <v>2.31340609363158E-3</v>
      </c>
      <c r="K101" s="135">
        <v>2.8959228043603799E-3</v>
      </c>
      <c r="L101" s="135">
        <v>5.5365061204638499E-3</v>
      </c>
      <c r="M101" s="135">
        <v>1.51446179401643E-2</v>
      </c>
      <c r="N101" s="135">
        <v>1.6360270406179801E-2</v>
      </c>
      <c r="O101" s="135">
        <v>1.0832614995978301E-2</v>
      </c>
      <c r="P101" s="135">
        <v>1.3693985645891801E-2</v>
      </c>
      <c r="Q101" s="135">
        <v>2.00225266170602E-2</v>
      </c>
      <c r="R101" s="135">
        <v>2.5461090176451699E-2</v>
      </c>
      <c r="S101" s="135">
        <v>2.9022210746081498E-2</v>
      </c>
      <c r="T101" s="135">
        <v>1.81519739729297E-2</v>
      </c>
      <c r="U101" s="135">
        <v>2.3508914074682301E-2</v>
      </c>
      <c r="V101" s="135">
        <v>6.5277862793324301E-2</v>
      </c>
      <c r="W101" s="135">
        <v>0.17558927875345701</v>
      </c>
      <c r="X101" s="135">
        <v>0.24653755263577201</v>
      </c>
      <c r="Y101" s="135">
        <v>0.17799226602999599</v>
      </c>
      <c r="Z101" s="135">
        <v>9.4745676205406595E-2</v>
      </c>
      <c r="AA101" s="135">
        <v>3.3708674852722401E-2</v>
      </c>
      <c r="AB101" s="135">
        <v>1.6105943585181502E-2</v>
      </c>
      <c r="AC101" s="135">
        <v>6.9799147748093896E-3</v>
      </c>
      <c r="AD101" s="135">
        <v>3.7267590645568898E-3</v>
      </c>
      <c r="AF101" s="243">
        <f t="shared" si="1"/>
        <v>0.35703385713398672</v>
      </c>
      <c r="AG101" s="275">
        <f t="shared" si="2"/>
        <v>0.3559322134333478</v>
      </c>
      <c r="AH101" s="391">
        <f t="shared" si="3"/>
        <v>0.65546060115064031</v>
      </c>
      <c r="AI101" s="135">
        <f t="shared" si="4"/>
        <v>1.0113928145839881</v>
      </c>
    </row>
    <row r="102" spans="1:35" ht="12.6">
      <c r="A102" s="10" t="s">
        <v>186</v>
      </c>
      <c r="B102" s="10">
        <v>101</v>
      </c>
      <c r="C102" s="10" t="s">
        <v>1513</v>
      </c>
      <c r="D102" s="388">
        <v>45027</v>
      </c>
      <c r="E102" s="389">
        <v>45027</v>
      </c>
      <c r="F102" s="390" t="str">
        <f t="shared" si="0"/>
        <v>Cooking</v>
      </c>
      <c r="G102" s="135">
        <v>2.81429519375791E-3</v>
      </c>
      <c r="H102" s="135">
        <v>2.5551119843618001E-3</v>
      </c>
      <c r="I102" s="135">
        <v>2.4154391167669799E-3</v>
      </c>
      <c r="J102" s="135">
        <v>2.31340609363158E-3</v>
      </c>
      <c r="K102" s="135">
        <v>2.8959228043603799E-3</v>
      </c>
      <c r="L102" s="135">
        <v>5.5365061204638499E-3</v>
      </c>
      <c r="M102" s="135">
        <v>1.51446179401643E-2</v>
      </c>
      <c r="N102" s="135">
        <v>1.6360270406179801E-2</v>
      </c>
      <c r="O102" s="135">
        <v>1.0832614995978301E-2</v>
      </c>
      <c r="P102" s="135">
        <v>1.3693985645891801E-2</v>
      </c>
      <c r="Q102" s="135">
        <v>2.00225266170602E-2</v>
      </c>
      <c r="R102" s="135">
        <v>2.5461090176451699E-2</v>
      </c>
      <c r="S102" s="135">
        <v>2.9022210746081498E-2</v>
      </c>
      <c r="T102" s="135">
        <v>1.81519739729297E-2</v>
      </c>
      <c r="U102" s="135">
        <v>2.3508914074682301E-2</v>
      </c>
      <c r="V102" s="135">
        <v>6.5277862793324301E-2</v>
      </c>
      <c r="W102" s="135">
        <v>0.17558927875345701</v>
      </c>
      <c r="X102" s="135">
        <v>0.24653755263577201</v>
      </c>
      <c r="Y102" s="135">
        <v>0.17799226602999599</v>
      </c>
      <c r="Z102" s="135">
        <v>9.4745676205406595E-2</v>
      </c>
      <c r="AA102" s="135">
        <v>3.3708674852722401E-2</v>
      </c>
      <c r="AB102" s="135">
        <v>1.6105943585181502E-2</v>
      </c>
      <c r="AC102" s="135">
        <v>6.9799147748093896E-3</v>
      </c>
      <c r="AD102" s="135">
        <v>3.7267590645568898E-3</v>
      </c>
      <c r="AF102" s="243">
        <f t="shared" si="1"/>
        <v>0.35703385713398672</v>
      </c>
      <c r="AG102" s="275">
        <f t="shared" si="2"/>
        <v>0.3559322134333478</v>
      </c>
      <c r="AH102" s="391">
        <f t="shared" si="3"/>
        <v>0.65546060115064031</v>
      </c>
      <c r="AI102" s="135">
        <f t="shared" si="4"/>
        <v>1.0113928145839881</v>
      </c>
    </row>
    <row r="103" spans="1:35" ht="12.6">
      <c r="A103" s="10" t="s">
        <v>186</v>
      </c>
      <c r="B103" s="10">
        <v>102</v>
      </c>
      <c r="C103" s="10" t="s">
        <v>1513</v>
      </c>
      <c r="D103" s="388">
        <v>45028</v>
      </c>
      <c r="E103" s="389">
        <v>45028</v>
      </c>
      <c r="F103" s="390" t="str">
        <f t="shared" si="0"/>
        <v>Cooking</v>
      </c>
      <c r="G103" s="135">
        <v>2.81429519375791E-3</v>
      </c>
      <c r="H103" s="135">
        <v>2.5551119843618001E-3</v>
      </c>
      <c r="I103" s="135">
        <v>2.4154391167669799E-3</v>
      </c>
      <c r="J103" s="135">
        <v>2.31340609363158E-3</v>
      </c>
      <c r="K103" s="135">
        <v>2.8959228043603799E-3</v>
      </c>
      <c r="L103" s="135">
        <v>5.5365061204638499E-3</v>
      </c>
      <c r="M103" s="135">
        <v>1.51446179401643E-2</v>
      </c>
      <c r="N103" s="135">
        <v>1.6360270406179801E-2</v>
      </c>
      <c r="O103" s="135">
        <v>1.0832614995978301E-2</v>
      </c>
      <c r="P103" s="135">
        <v>1.3693985645891801E-2</v>
      </c>
      <c r="Q103" s="135">
        <v>2.00225266170602E-2</v>
      </c>
      <c r="R103" s="135">
        <v>2.5461090176451699E-2</v>
      </c>
      <c r="S103" s="135">
        <v>2.9022210746081498E-2</v>
      </c>
      <c r="T103" s="135">
        <v>1.81519739729297E-2</v>
      </c>
      <c r="U103" s="135">
        <v>2.3508914074682301E-2</v>
      </c>
      <c r="V103" s="135">
        <v>6.5277862793324301E-2</v>
      </c>
      <c r="W103" s="135">
        <v>0.17558927875345701</v>
      </c>
      <c r="X103" s="135">
        <v>0.24653755263577201</v>
      </c>
      <c r="Y103" s="135">
        <v>0.17799226602999599</v>
      </c>
      <c r="Z103" s="135">
        <v>9.4745676205406595E-2</v>
      </c>
      <c r="AA103" s="135">
        <v>3.3708674852722401E-2</v>
      </c>
      <c r="AB103" s="135">
        <v>1.6105943585181502E-2</v>
      </c>
      <c r="AC103" s="135">
        <v>6.9799147748093896E-3</v>
      </c>
      <c r="AD103" s="135">
        <v>3.7267590645568898E-3</v>
      </c>
      <c r="AF103" s="243">
        <f t="shared" si="1"/>
        <v>0.35703385713398672</v>
      </c>
      <c r="AG103" s="275">
        <f t="shared" si="2"/>
        <v>0.3559322134333478</v>
      </c>
      <c r="AH103" s="391">
        <f t="shared" si="3"/>
        <v>0.65546060115064031</v>
      </c>
      <c r="AI103" s="135">
        <f t="shared" si="4"/>
        <v>1.0113928145839881</v>
      </c>
    </row>
    <row r="104" spans="1:35" ht="12.6">
      <c r="A104" s="10" t="s">
        <v>186</v>
      </c>
      <c r="B104" s="10">
        <v>103</v>
      </c>
      <c r="C104" s="10" t="s">
        <v>1513</v>
      </c>
      <c r="D104" s="388">
        <v>45029</v>
      </c>
      <c r="E104" s="389">
        <v>45029</v>
      </c>
      <c r="F104" s="390" t="str">
        <f t="shared" si="0"/>
        <v>Cooking</v>
      </c>
      <c r="G104" s="135">
        <v>2.81429519375791E-3</v>
      </c>
      <c r="H104" s="135">
        <v>2.5551119843618001E-3</v>
      </c>
      <c r="I104" s="135">
        <v>2.4154391167669799E-3</v>
      </c>
      <c r="J104" s="135">
        <v>2.31340609363158E-3</v>
      </c>
      <c r="K104" s="135">
        <v>2.8959228043603799E-3</v>
      </c>
      <c r="L104" s="135">
        <v>5.5365061204638499E-3</v>
      </c>
      <c r="M104" s="135">
        <v>1.51446179401643E-2</v>
      </c>
      <c r="N104" s="135">
        <v>1.6360270406179801E-2</v>
      </c>
      <c r="O104" s="135">
        <v>1.0832614995978301E-2</v>
      </c>
      <c r="P104" s="135">
        <v>1.3693985645891801E-2</v>
      </c>
      <c r="Q104" s="135">
        <v>2.00225266170602E-2</v>
      </c>
      <c r="R104" s="135">
        <v>2.5461090176451699E-2</v>
      </c>
      <c r="S104" s="135">
        <v>2.9022210746081498E-2</v>
      </c>
      <c r="T104" s="135">
        <v>1.81519739729297E-2</v>
      </c>
      <c r="U104" s="135">
        <v>2.3508914074682301E-2</v>
      </c>
      <c r="V104" s="135">
        <v>6.5277862793324301E-2</v>
      </c>
      <c r="W104" s="135">
        <v>0.17558927875345701</v>
      </c>
      <c r="X104" s="135">
        <v>0.24653755263577201</v>
      </c>
      <c r="Y104" s="135">
        <v>0.17799226602999599</v>
      </c>
      <c r="Z104" s="135">
        <v>9.4745676205406595E-2</v>
      </c>
      <c r="AA104" s="135">
        <v>3.3708674852722401E-2</v>
      </c>
      <c r="AB104" s="135">
        <v>1.6105943585181502E-2</v>
      </c>
      <c r="AC104" s="135">
        <v>6.9799147748093896E-3</v>
      </c>
      <c r="AD104" s="135">
        <v>3.7267590645568898E-3</v>
      </c>
      <c r="AF104" s="243">
        <f t="shared" si="1"/>
        <v>0.35703385713398672</v>
      </c>
      <c r="AG104" s="275">
        <f t="shared" si="2"/>
        <v>0.3559322134333478</v>
      </c>
      <c r="AH104" s="391">
        <f t="shared" si="3"/>
        <v>0.65546060115064031</v>
      </c>
      <c r="AI104" s="135">
        <f t="shared" si="4"/>
        <v>1.0113928145839881</v>
      </c>
    </row>
    <row r="105" spans="1:35" ht="12.6">
      <c r="A105" s="10" t="s">
        <v>186</v>
      </c>
      <c r="B105" s="10">
        <v>104</v>
      </c>
      <c r="C105" s="10" t="s">
        <v>1513</v>
      </c>
      <c r="D105" s="388">
        <v>45030</v>
      </c>
      <c r="E105" s="389">
        <v>45030</v>
      </c>
      <c r="F105" s="390" t="str">
        <f t="shared" si="0"/>
        <v>Cooking</v>
      </c>
      <c r="G105" s="135">
        <v>2.81429519375791E-3</v>
      </c>
      <c r="H105" s="135">
        <v>2.5551119843618001E-3</v>
      </c>
      <c r="I105" s="135">
        <v>2.4154391167669799E-3</v>
      </c>
      <c r="J105" s="135">
        <v>2.31340609363158E-3</v>
      </c>
      <c r="K105" s="135">
        <v>2.8959228043603799E-3</v>
      </c>
      <c r="L105" s="135">
        <v>5.5365061204638499E-3</v>
      </c>
      <c r="M105" s="135">
        <v>1.51446179401643E-2</v>
      </c>
      <c r="N105" s="135">
        <v>1.6360270406179801E-2</v>
      </c>
      <c r="O105" s="135">
        <v>1.0832614995978301E-2</v>
      </c>
      <c r="P105" s="135">
        <v>1.3693985645891801E-2</v>
      </c>
      <c r="Q105" s="135">
        <v>2.00225266170602E-2</v>
      </c>
      <c r="R105" s="135">
        <v>2.5461090176451699E-2</v>
      </c>
      <c r="S105" s="135">
        <v>2.9022210746081498E-2</v>
      </c>
      <c r="T105" s="135">
        <v>1.81519739729297E-2</v>
      </c>
      <c r="U105" s="135">
        <v>2.3508914074682301E-2</v>
      </c>
      <c r="V105" s="135">
        <v>6.5277862793324301E-2</v>
      </c>
      <c r="W105" s="135">
        <v>0.17558927875345701</v>
      </c>
      <c r="X105" s="135">
        <v>0.24653755263577201</v>
      </c>
      <c r="Y105" s="135">
        <v>0.17799226602999599</v>
      </c>
      <c r="Z105" s="135">
        <v>9.4745676205406595E-2</v>
      </c>
      <c r="AA105" s="135">
        <v>3.3708674852722401E-2</v>
      </c>
      <c r="AB105" s="135">
        <v>1.6105943585181502E-2</v>
      </c>
      <c r="AC105" s="135">
        <v>6.9799147748093896E-3</v>
      </c>
      <c r="AD105" s="135">
        <v>3.7267590645568898E-3</v>
      </c>
      <c r="AF105" s="243">
        <f t="shared" si="1"/>
        <v>0.35703385713398672</v>
      </c>
      <c r="AG105" s="275">
        <f t="shared" si="2"/>
        <v>0.3559322134333478</v>
      </c>
      <c r="AH105" s="391">
        <f t="shared" si="3"/>
        <v>0.65546060115064031</v>
      </c>
      <c r="AI105" s="135">
        <f t="shared" si="4"/>
        <v>1.0113928145839881</v>
      </c>
    </row>
    <row r="106" spans="1:35" ht="12.6">
      <c r="A106" s="10" t="s">
        <v>186</v>
      </c>
      <c r="B106" s="10">
        <v>105</v>
      </c>
      <c r="C106" s="10" t="s">
        <v>1513</v>
      </c>
      <c r="D106" s="388">
        <v>45031</v>
      </c>
      <c r="E106" s="389">
        <v>45031</v>
      </c>
      <c r="F106" s="390" t="str">
        <f t="shared" si="0"/>
        <v>Cooking</v>
      </c>
      <c r="G106" s="135">
        <v>3.6656307091365498E-3</v>
      </c>
      <c r="H106" s="135">
        <v>2.33142342649036E-3</v>
      </c>
      <c r="I106" s="135">
        <v>2.2763960627801799E-3</v>
      </c>
      <c r="J106" s="135">
        <v>2.3023229059703802E-3</v>
      </c>
      <c r="K106" s="135">
        <v>2.57846622909385E-3</v>
      </c>
      <c r="L106" s="135">
        <v>4.57948267488331E-3</v>
      </c>
      <c r="M106" s="135">
        <v>9.0312841800590793E-3</v>
      </c>
      <c r="N106" s="135">
        <v>2.2340750077030701E-2</v>
      </c>
      <c r="O106" s="135">
        <v>3.4885142248158703E-2</v>
      </c>
      <c r="P106" s="135">
        <v>3.8939132625652503E-2</v>
      </c>
      <c r="Q106" s="135">
        <v>4.5458835458915402E-2</v>
      </c>
      <c r="R106" s="135">
        <v>5.3262940138182502E-2</v>
      </c>
      <c r="S106" s="135">
        <v>4.9190929243740598E-2</v>
      </c>
      <c r="T106" s="135">
        <v>4.81727877888894E-2</v>
      </c>
      <c r="U106" s="135">
        <v>4.0569351465478701E-2</v>
      </c>
      <c r="V106" s="135">
        <v>6.5540462975852296E-2</v>
      </c>
      <c r="W106" s="135">
        <v>0.14411883389587299</v>
      </c>
      <c r="X106" s="135">
        <v>0.18428363548191101</v>
      </c>
      <c r="Y106" s="135">
        <v>0.12797645587140899</v>
      </c>
      <c r="Z106" s="135">
        <v>6.0388189040027698E-2</v>
      </c>
      <c r="AA106" s="135">
        <v>2.3289512205446401E-2</v>
      </c>
      <c r="AB106" s="135">
        <v>9.5474673981147291E-3</v>
      </c>
      <c r="AC106" s="135">
        <v>5.8839909641591496E-3</v>
      </c>
      <c r="AD106" s="135">
        <v>5.2694264709170898E-3</v>
      </c>
      <c r="AF106" s="243">
        <f t="shared" si="1"/>
        <v>0.44631414096693189</v>
      </c>
      <c r="AG106" s="275">
        <f t="shared" si="2"/>
        <v>0.38551078899332381</v>
      </c>
      <c r="AH106" s="391">
        <f t="shared" si="3"/>
        <v>0.60037206054484871</v>
      </c>
      <c r="AI106" s="135">
        <f t="shared" si="4"/>
        <v>0.98588284953817251</v>
      </c>
    </row>
    <row r="107" spans="1:35" ht="12.6">
      <c r="A107" s="10" t="s">
        <v>186</v>
      </c>
      <c r="B107" s="10">
        <v>106</v>
      </c>
      <c r="C107" s="10" t="s">
        <v>1513</v>
      </c>
      <c r="D107" s="388">
        <v>45032</v>
      </c>
      <c r="E107" s="389">
        <v>45032</v>
      </c>
      <c r="F107" s="390" t="str">
        <f t="shared" si="0"/>
        <v>Cooking</v>
      </c>
      <c r="G107" s="135">
        <v>3.6656307091365498E-3</v>
      </c>
      <c r="H107" s="135">
        <v>2.33142342649036E-3</v>
      </c>
      <c r="I107" s="135">
        <v>2.2763960627801799E-3</v>
      </c>
      <c r="J107" s="135">
        <v>2.3023229059703802E-3</v>
      </c>
      <c r="K107" s="135">
        <v>2.57846622909385E-3</v>
      </c>
      <c r="L107" s="135">
        <v>4.57948267488331E-3</v>
      </c>
      <c r="M107" s="135">
        <v>9.0312841800590793E-3</v>
      </c>
      <c r="N107" s="135">
        <v>2.2340750077030701E-2</v>
      </c>
      <c r="O107" s="135">
        <v>3.4885142248158703E-2</v>
      </c>
      <c r="P107" s="135">
        <v>3.8939132625652503E-2</v>
      </c>
      <c r="Q107" s="135">
        <v>4.5458835458915402E-2</v>
      </c>
      <c r="R107" s="135">
        <v>5.3262940138182502E-2</v>
      </c>
      <c r="S107" s="135">
        <v>4.9190929243740598E-2</v>
      </c>
      <c r="T107" s="135">
        <v>4.81727877888894E-2</v>
      </c>
      <c r="U107" s="135">
        <v>4.0569351465478701E-2</v>
      </c>
      <c r="V107" s="135">
        <v>6.5540462975852296E-2</v>
      </c>
      <c r="W107" s="135">
        <v>0.14411883389587299</v>
      </c>
      <c r="X107" s="135">
        <v>0.18428363548191101</v>
      </c>
      <c r="Y107" s="135">
        <v>0.12797645587140899</v>
      </c>
      <c r="Z107" s="135">
        <v>6.0388189040027698E-2</v>
      </c>
      <c r="AA107" s="135">
        <v>2.3289512205446401E-2</v>
      </c>
      <c r="AB107" s="135">
        <v>9.5474673981147291E-3</v>
      </c>
      <c r="AC107" s="135">
        <v>5.8839909641591496E-3</v>
      </c>
      <c r="AD107" s="135">
        <v>5.2694264709170898E-3</v>
      </c>
      <c r="AF107" s="243">
        <f t="shared" si="1"/>
        <v>0.44631414096693189</v>
      </c>
      <c r="AG107" s="275">
        <f t="shared" si="2"/>
        <v>0.38551078899332381</v>
      </c>
      <c r="AH107" s="391">
        <f t="shared" si="3"/>
        <v>0.60037206054484871</v>
      </c>
      <c r="AI107" s="135">
        <f t="shared" si="4"/>
        <v>0.98588284953817251</v>
      </c>
    </row>
    <row r="108" spans="1:35" ht="12.6">
      <c r="A108" s="10" t="s">
        <v>186</v>
      </c>
      <c r="B108" s="10">
        <v>107</v>
      </c>
      <c r="C108" s="10" t="s">
        <v>1513</v>
      </c>
      <c r="D108" s="388">
        <v>45033</v>
      </c>
      <c r="E108" s="389">
        <v>45033</v>
      </c>
      <c r="F108" s="390" t="str">
        <f t="shared" si="0"/>
        <v>Cooking</v>
      </c>
      <c r="G108" s="135">
        <v>2.81429519375791E-3</v>
      </c>
      <c r="H108" s="135">
        <v>2.5551119843618001E-3</v>
      </c>
      <c r="I108" s="135">
        <v>2.4154391167669799E-3</v>
      </c>
      <c r="J108" s="135">
        <v>2.31340609363158E-3</v>
      </c>
      <c r="K108" s="135">
        <v>2.8959228043603799E-3</v>
      </c>
      <c r="L108" s="135">
        <v>5.5365061204638499E-3</v>
      </c>
      <c r="M108" s="135">
        <v>1.51446179401643E-2</v>
      </c>
      <c r="N108" s="135">
        <v>1.6360270406179801E-2</v>
      </c>
      <c r="O108" s="135">
        <v>1.0832614995978301E-2</v>
      </c>
      <c r="P108" s="135">
        <v>1.3693985645891801E-2</v>
      </c>
      <c r="Q108" s="135">
        <v>2.00225266170602E-2</v>
      </c>
      <c r="R108" s="135">
        <v>2.5461090176451699E-2</v>
      </c>
      <c r="S108" s="135">
        <v>2.9022210746081498E-2</v>
      </c>
      <c r="T108" s="135">
        <v>1.81519739729297E-2</v>
      </c>
      <c r="U108" s="135">
        <v>2.3508914074682301E-2</v>
      </c>
      <c r="V108" s="135">
        <v>6.5277862793324301E-2</v>
      </c>
      <c r="W108" s="135">
        <v>0.17558927875345701</v>
      </c>
      <c r="X108" s="135">
        <v>0.24653755263577201</v>
      </c>
      <c r="Y108" s="135">
        <v>0.17799226602999599</v>
      </c>
      <c r="Z108" s="135">
        <v>9.4745676205406595E-2</v>
      </c>
      <c r="AA108" s="135">
        <v>3.3708674852722401E-2</v>
      </c>
      <c r="AB108" s="135">
        <v>1.6105943585181502E-2</v>
      </c>
      <c r="AC108" s="135">
        <v>6.9799147748093896E-3</v>
      </c>
      <c r="AD108" s="135">
        <v>3.7267590645568898E-3</v>
      </c>
      <c r="AF108" s="243">
        <f t="shared" si="1"/>
        <v>0.35703385713398672</v>
      </c>
      <c r="AG108" s="275">
        <f t="shared" si="2"/>
        <v>0.3559322134333478</v>
      </c>
      <c r="AH108" s="391">
        <f t="shared" si="3"/>
        <v>0.65546060115064031</v>
      </c>
      <c r="AI108" s="135">
        <f t="shared" si="4"/>
        <v>1.0113928145839881</v>
      </c>
    </row>
    <row r="109" spans="1:35" ht="12.6">
      <c r="A109" s="10" t="s">
        <v>186</v>
      </c>
      <c r="B109" s="10">
        <v>108</v>
      </c>
      <c r="C109" s="10" t="s">
        <v>1513</v>
      </c>
      <c r="D109" s="388">
        <v>45034</v>
      </c>
      <c r="E109" s="389">
        <v>45034</v>
      </c>
      <c r="F109" s="390" t="str">
        <f t="shared" si="0"/>
        <v>Cooking</v>
      </c>
      <c r="G109" s="135">
        <v>2.81429519375791E-3</v>
      </c>
      <c r="H109" s="135">
        <v>2.5551119843618001E-3</v>
      </c>
      <c r="I109" s="135">
        <v>2.4154391167669799E-3</v>
      </c>
      <c r="J109" s="135">
        <v>2.31340609363158E-3</v>
      </c>
      <c r="K109" s="135">
        <v>2.8959228043603799E-3</v>
      </c>
      <c r="L109" s="135">
        <v>5.5365061204638499E-3</v>
      </c>
      <c r="M109" s="135">
        <v>1.51446179401643E-2</v>
      </c>
      <c r="N109" s="135">
        <v>1.6360270406179801E-2</v>
      </c>
      <c r="O109" s="135">
        <v>1.0832614995978301E-2</v>
      </c>
      <c r="P109" s="135">
        <v>1.3693985645891801E-2</v>
      </c>
      <c r="Q109" s="135">
        <v>2.00225266170602E-2</v>
      </c>
      <c r="R109" s="135">
        <v>2.5461090176451699E-2</v>
      </c>
      <c r="S109" s="135">
        <v>2.9022210746081498E-2</v>
      </c>
      <c r="T109" s="135">
        <v>1.81519739729297E-2</v>
      </c>
      <c r="U109" s="135">
        <v>2.3508914074682301E-2</v>
      </c>
      <c r="V109" s="135">
        <v>6.5277862793324301E-2</v>
      </c>
      <c r="W109" s="135">
        <v>0.17558927875345701</v>
      </c>
      <c r="X109" s="135">
        <v>0.24653755263577201</v>
      </c>
      <c r="Y109" s="135">
        <v>0.17799226602999599</v>
      </c>
      <c r="Z109" s="135">
        <v>9.4745676205406595E-2</v>
      </c>
      <c r="AA109" s="135">
        <v>3.3708674852722401E-2</v>
      </c>
      <c r="AB109" s="135">
        <v>1.6105943585181502E-2</v>
      </c>
      <c r="AC109" s="135">
        <v>6.9799147748093896E-3</v>
      </c>
      <c r="AD109" s="135">
        <v>3.7267590645568898E-3</v>
      </c>
      <c r="AF109" s="243">
        <f t="shared" si="1"/>
        <v>0.35703385713398672</v>
      </c>
      <c r="AG109" s="275">
        <f t="shared" si="2"/>
        <v>0.3559322134333478</v>
      </c>
      <c r="AH109" s="391">
        <f t="shared" si="3"/>
        <v>0.65546060115064031</v>
      </c>
      <c r="AI109" s="135">
        <f t="shared" si="4"/>
        <v>1.0113928145839881</v>
      </c>
    </row>
    <row r="110" spans="1:35" ht="12.6">
      <c r="A110" s="10" t="s">
        <v>186</v>
      </c>
      <c r="B110" s="10">
        <v>109</v>
      </c>
      <c r="C110" s="10" t="s">
        <v>1513</v>
      </c>
      <c r="D110" s="388">
        <v>45035</v>
      </c>
      <c r="E110" s="389">
        <v>45035</v>
      </c>
      <c r="F110" s="390" t="str">
        <f t="shared" si="0"/>
        <v>Cooking</v>
      </c>
      <c r="G110" s="135">
        <v>2.81429519375791E-3</v>
      </c>
      <c r="H110" s="135">
        <v>2.5551119843618001E-3</v>
      </c>
      <c r="I110" s="135">
        <v>2.4154391167669799E-3</v>
      </c>
      <c r="J110" s="135">
        <v>2.31340609363158E-3</v>
      </c>
      <c r="K110" s="135">
        <v>2.8959228043603799E-3</v>
      </c>
      <c r="L110" s="135">
        <v>5.5365061204638499E-3</v>
      </c>
      <c r="M110" s="135">
        <v>1.51446179401643E-2</v>
      </c>
      <c r="N110" s="135">
        <v>1.6360270406179801E-2</v>
      </c>
      <c r="O110" s="135">
        <v>1.0832614995978301E-2</v>
      </c>
      <c r="P110" s="135">
        <v>1.3693985645891801E-2</v>
      </c>
      <c r="Q110" s="135">
        <v>2.00225266170602E-2</v>
      </c>
      <c r="R110" s="135">
        <v>2.5461090176451699E-2</v>
      </c>
      <c r="S110" s="135">
        <v>2.9022210746081498E-2</v>
      </c>
      <c r="T110" s="135">
        <v>1.81519739729297E-2</v>
      </c>
      <c r="U110" s="135">
        <v>2.3508914074682301E-2</v>
      </c>
      <c r="V110" s="135">
        <v>6.5277862793324301E-2</v>
      </c>
      <c r="W110" s="135">
        <v>0.17558927875345701</v>
      </c>
      <c r="X110" s="135">
        <v>0.24653755263577201</v>
      </c>
      <c r="Y110" s="135">
        <v>0.17799226602999599</v>
      </c>
      <c r="Z110" s="135">
        <v>9.4745676205406595E-2</v>
      </c>
      <c r="AA110" s="135">
        <v>3.3708674852722401E-2</v>
      </c>
      <c r="AB110" s="135">
        <v>1.6105943585181502E-2</v>
      </c>
      <c r="AC110" s="135">
        <v>6.9799147748093896E-3</v>
      </c>
      <c r="AD110" s="135">
        <v>3.7267590645568898E-3</v>
      </c>
      <c r="AF110" s="243">
        <f t="shared" si="1"/>
        <v>0.35703385713398672</v>
      </c>
      <c r="AG110" s="275">
        <f t="shared" si="2"/>
        <v>0.3559322134333478</v>
      </c>
      <c r="AH110" s="391">
        <f t="shared" si="3"/>
        <v>0.65546060115064031</v>
      </c>
      <c r="AI110" s="135">
        <f t="shared" si="4"/>
        <v>1.0113928145839881</v>
      </c>
    </row>
    <row r="111" spans="1:35" ht="12.6">
      <c r="A111" s="10" t="s">
        <v>186</v>
      </c>
      <c r="B111" s="10">
        <v>110</v>
      </c>
      <c r="C111" s="10" t="s">
        <v>1513</v>
      </c>
      <c r="D111" s="388">
        <v>45036</v>
      </c>
      <c r="E111" s="389">
        <v>45036</v>
      </c>
      <c r="F111" s="390" t="str">
        <f t="shared" si="0"/>
        <v>Cooking</v>
      </c>
      <c r="G111" s="135">
        <v>2.81429519375791E-3</v>
      </c>
      <c r="H111" s="135">
        <v>2.5551119843618001E-3</v>
      </c>
      <c r="I111" s="135">
        <v>2.4154391167669799E-3</v>
      </c>
      <c r="J111" s="135">
        <v>2.31340609363158E-3</v>
      </c>
      <c r="K111" s="135">
        <v>2.8959228043603799E-3</v>
      </c>
      <c r="L111" s="135">
        <v>5.5365061204638499E-3</v>
      </c>
      <c r="M111" s="135">
        <v>1.51446179401643E-2</v>
      </c>
      <c r="N111" s="135">
        <v>1.6360270406179801E-2</v>
      </c>
      <c r="O111" s="135">
        <v>1.0832614995978301E-2</v>
      </c>
      <c r="P111" s="135">
        <v>1.3693985645891801E-2</v>
      </c>
      <c r="Q111" s="135">
        <v>2.00225266170602E-2</v>
      </c>
      <c r="R111" s="135">
        <v>2.5461090176451699E-2</v>
      </c>
      <c r="S111" s="135">
        <v>2.9022210746081498E-2</v>
      </c>
      <c r="T111" s="135">
        <v>1.81519739729297E-2</v>
      </c>
      <c r="U111" s="135">
        <v>2.3508914074682301E-2</v>
      </c>
      <c r="V111" s="135">
        <v>6.5277862793324301E-2</v>
      </c>
      <c r="W111" s="135">
        <v>0.17558927875345701</v>
      </c>
      <c r="X111" s="135">
        <v>0.24653755263577201</v>
      </c>
      <c r="Y111" s="135">
        <v>0.17799226602999599</v>
      </c>
      <c r="Z111" s="135">
        <v>9.4745676205406595E-2</v>
      </c>
      <c r="AA111" s="135">
        <v>3.3708674852722401E-2</v>
      </c>
      <c r="AB111" s="135">
        <v>1.6105943585181502E-2</v>
      </c>
      <c r="AC111" s="135">
        <v>6.9799147748093896E-3</v>
      </c>
      <c r="AD111" s="135">
        <v>3.7267590645568898E-3</v>
      </c>
      <c r="AF111" s="243">
        <f t="shared" si="1"/>
        <v>0.35703385713398672</v>
      </c>
      <c r="AG111" s="275">
        <f t="shared" si="2"/>
        <v>0.3559322134333478</v>
      </c>
      <c r="AH111" s="391">
        <f t="shared" si="3"/>
        <v>0.65546060115064031</v>
      </c>
      <c r="AI111" s="135">
        <f t="shared" si="4"/>
        <v>1.0113928145839881</v>
      </c>
    </row>
    <row r="112" spans="1:35" ht="12.6">
      <c r="A112" s="10" t="s">
        <v>186</v>
      </c>
      <c r="B112" s="10">
        <v>111</v>
      </c>
      <c r="C112" s="10" t="s">
        <v>1513</v>
      </c>
      <c r="D112" s="388">
        <v>45037</v>
      </c>
      <c r="E112" s="389">
        <v>45037</v>
      </c>
      <c r="F112" s="390" t="str">
        <f t="shared" si="0"/>
        <v>Cooking</v>
      </c>
      <c r="G112" s="135">
        <v>2.81429519375791E-3</v>
      </c>
      <c r="H112" s="135">
        <v>2.5551119843618001E-3</v>
      </c>
      <c r="I112" s="135">
        <v>2.4154391167669799E-3</v>
      </c>
      <c r="J112" s="135">
        <v>2.31340609363158E-3</v>
      </c>
      <c r="K112" s="135">
        <v>2.8959228043603799E-3</v>
      </c>
      <c r="L112" s="135">
        <v>5.5365061204638499E-3</v>
      </c>
      <c r="M112" s="135">
        <v>1.51446179401643E-2</v>
      </c>
      <c r="N112" s="135">
        <v>1.6360270406179801E-2</v>
      </c>
      <c r="O112" s="135">
        <v>1.0832614995978301E-2</v>
      </c>
      <c r="P112" s="135">
        <v>1.3693985645891801E-2</v>
      </c>
      <c r="Q112" s="135">
        <v>2.00225266170602E-2</v>
      </c>
      <c r="R112" s="135">
        <v>2.5461090176451699E-2</v>
      </c>
      <c r="S112" s="135">
        <v>2.9022210746081498E-2</v>
      </c>
      <c r="T112" s="135">
        <v>1.81519739729297E-2</v>
      </c>
      <c r="U112" s="135">
        <v>2.3508914074682301E-2</v>
      </c>
      <c r="V112" s="135">
        <v>6.5277862793324301E-2</v>
      </c>
      <c r="W112" s="135">
        <v>0.17558927875345701</v>
      </c>
      <c r="X112" s="135">
        <v>0.24653755263577201</v>
      </c>
      <c r="Y112" s="135">
        <v>0.17799226602999599</v>
      </c>
      <c r="Z112" s="135">
        <v>9.4745676205406595E-2</v>
      </c>
      <c r="AA112" s="135">
        <v>3.3708674852722401E-2</v>
      </c>
      <c r="AB112" s="135">
        <v>1.6105943585181502E-2</v>
      </c>
      <c r="AC112" s="135">
        <v>6.9799147748093896E-3</v>
      </c>
      <c r="AD112" s="135">
        <v>3.7267590645568898E-3</v>
      </c>
      <c r="AF112" s="243">
        <f t="shared" si="1"/>
        <v>0.35703385713398672</v>
      </c>
      <c r="AG112" s="275">
        <f t="shared" si="2"/>
        <v>0.3559322134333478</v>
      </c>
      <c r="AH112" s="391">
        <f t="shared" si="3"/>
        <v>0.65546060115064031</v>
      </c>
      <c r="AI112" s="135">
        <f t="shared" si="4"/>
        <v>1.0113928145839881</v>
      </c>
    </row>
    <row r="113" spans="1:35" ht="12.6">
      <c r="A113" s="10" t="s">
        <v>186</v>
      </c>
      <c r="B113" s="10">
        <v>112</v>
      </c>
      <c r="C113" s="10" t="s">
        <v>1513</v>
      </c>
      <c r="D113" s="388">
        <v>45038</v>
      </c>
      <c r="E113" s="389">
        <v>45038</v>
      </c>
      <c r="F113" s="390" t="str">
        <f t="shared" si="0"/>
        <v>Cooking</v>
      </c>
      <c r="G113" s="135">
        <v>3.6656307091365498E-3</v>
      </c>
      <c r="H113" s="135">
        <v>2.33142342649036E-3</v>
      </c>
      <c r="I113" s="135">
        <v>2.2763960627801799E-3</v>
      </c>
      <c r="J113" s="135">
        <v>2.3023229059703802E-3</v>
      </c>
      <c r="K113" s="135">
        <v>2.57846622909385E-3</v>
      </c>
      <c r="L113" s="135">
        <v>4.57948267488331E-3</v>
      </c>
      <c r="M113" s="135">
        <v>9.0312841800590793E-3</v>
      </c>
      <c r="N113" s="135">
        <v>2.2340750077030701E-2</v>
      </c>
      <c r="O113" s="135">
        <v>3.4885142248158703E-2</v>
      </c>
      <c r="P113" s="135">
        <v>3.8939132625652503E-2</v>
      </c>
      <c r="Q113" s="135">
        <v>4.5458835458915402E-2</v>
      </c>
      <c r="R113" s="135">
        <v>5.3262940138182502E-2</v>
      </c>
      <c r="S113" s="135">
        <v>4.9190929243740598E-2</v>
      </c>
      <c r="T113" s="135">
        <v>4.81727877888894E-2</v>
      </c>
      <c r="U113" s="135">
        <v>4.0569351465478701E-2</v>
      </c>
      <c r="V113" s="135">
        <v>6.5540462975852296E-2</v>
      </c>
      <c r="W113" s="135">
        <v>0.14411883389587299</v>
      </c>
      <c r="X113" s="135">
        <v>0.18428363548191101</v>
      </c>
      <c r="Y113" s="135">
        <v>0.12797645587140899</v>
      </c>
      <c r="Z113" s="135">
        <v>6.0388189040027698E-2</v>
      </c>
      <c r="AA113" s="135">
        <v>2.3289512205446401E-2</v>
      </c>
      <c r="AB113" s="135">
        <v>9.5474673981147291E-3</v>
      </c>
      <c r="AC113" s="135">
        <v>5.8839909641591496E-3</v>
      </c>
      <c r="AD113" s="135">
        <v>5.2694264709170898E-3</v>
      </c>
      <c r="AF113" s="243">
        <f t="shared" si="1"/>
        <v>0.44631414096693189</v>
      </c>
      <c r="AG113" s="275">
        <f t="shared" si="2"/>
        <v>0.38551078899332381</v>
      </c>
      <c r="AH113" s="391">
        <f t="shared" si="3"/>
        <v>0.60037206054484871</v>
      </c>
      <c r="AI113" s="135">
        <f t="shared" si="4"/>
        <v>0.98588284953817251</v>
      </c>
    </row>
    <row r="114" spans="1:35" ht="12.6">
      <c r="A114" s="10" t="s">
        <v>186</v>
      </c>
      <c r="B114" s="10">
        <v>113</v>
      </c>
      <c r="C114" s="10" t="s">
        <v>1513</v>
      </c>
      <c r="D114" s="388">
        <v>45039</v>
      </c>
      <c r="E114" s="389">
        <v>45039</v>
      </c>
      <c r="F114" s="390" t="str">
        <f t="shared" si="0"/>
        <v>Cooking</v>
      </c>
      <c r="G114" s="135">
        <v>3.6656307091365498E-3</v>
      </c>
      <c r="H114" s="135">
        <v>2.33142342649036E-3</v>
      </c>
      <c r="I114" s="135">
        <v>2.2763960627801799E-3</v>
      </c>
      <c r="J114" s="135">
        <v>2.3023229059703802E-3</v>
      </c>
      <c r="K114" s="135">
        <v>2.57846622909385E-3</v>
      </c>
      <c r="L114" s="135">
        <v>4.57948267488331E-3</v>
      </c>
      <c r="M114" s="135">
        <v>9.0312841800590793E-3</v>
      </c>
      <c r="N114" s="135">
        <v>2.2340750077030701E-2</v>
      </c>
      <c r="O114" s="135">
        <v>3.4885142248158703E-2</v>
      </c>
      <c r="P114" s="135">
        <v>3.8939132625652503E-2</v>
      </c>
      <c r="Q114" s="135">
        <v>4.5458835458915402E-2</v>
      </c>
      <c r="R114" s="135">
        <v>5.3262940138182502E-2</v>
      </c>
      <c r="S114" s="135">
        <v>4.9190929243740598E-2</v>
      </c>
      <c r="T114" s="135">
        <v>4.81727877888894E-2</v>
      </c>
      <c r="U114" s="135">
        <v>4.0569351465478701E-2</v>
      </c>
      <c r="V114" s="135">
        <v>6.5540462975852296E-2</v>
      </c>
      <c r="W114" s="135">
        <v>0.14411883389587299</v>
      </c>
      <c r="X114" s="135">
        <v>0.18428363548191101</v>
      </c>
      <c r="Y114" s="135">
        <v>0.12797645587140899</v>
      </c>
      <c r="Z114" s="135">
        <v>6.0388189040027698E-2</v>
      </c>
      <c r="AA114" s="135">
        <v>2.3289512205446401E-2</v>
      </c>
      <c r="AB114" s="135">
        <v>9.5474673981147291E-3</v>
      </c>
      <c r="AC114" s="135">
        <v>5.8839909641591496E-3</v>
      </c>
      <c r="AD114" s="135">
        <v>5.2694264709170898E-3</v>
      </c>
      <c r="AF114" s="243">
        <f t="shared" si="1"/>
        <v>0.44631414096693189</v>
      </c>
      <c r="AG114" s="275">
        <f t="shared" si="2"/>
        <v>0.38551078899332381</v>
      </c>
      <c r="AH114" s="391">
        <f t="shared" si="3"/>
        <v>0.60037206054484871</v>
      </c>
      <c r="AI114" s="135">
        <f t="shared" si="4"/>
        <v>0.98588284953817251</v>
      </c>
    </row>
    <row r="115" spans="1:35" ht="12.6">
      <c r="A115" s="10" t="s">
        <v>186</v>
      </c>
      <c r="B115" s="10">
        <v>114</v>
      </c>
      <c r="C115" s="10" t="s">
        <v>1513</v>
      </c>
      <c r="D115" s="388">
        <v>45040</v>
      </c>
      <c r="E115" s="389">
        <v>45040</v>
      </c>
      <c r="F115" s="390" t="str">
        <f t="shared" si="0"/>
        <v>Cooking</v>
      </c>
      <c r="G115" s="135">
        <v>2.81429519375791E-3</v>
      </c>
      <c r="H115" s="135">
        <v>2.5551119843618001E-3</v>
      </c>
      <c r="I115" s="135">
        <v>2.4154391167669799E-3</v>
      </c>
      <c r="J115" s="135">
        <v>2.31340609363158E-3</v>
      </c>
      <c r="K115" s="135">
        <v>2.8959228043603799E-3</v>
      </c>
      <c r="L115" s="135">
        <v>5.5365061204638499E-3</v>
      </c>
      <c r="M115" s="135">
        <v>1.51446179401643E-2</v>
      </c>
      <c r="N115" s="135">
        <v>1.6360270406179801E-2</v>
      </c>
      <c r="O115" s="135">
        <v>1.0832614995978301E-2</v>
      </c>
      <c r="P115" s="135">
        <v>1.3693985645891801E-2</v>
      </c>
      <c r="Q115" s="135">
        <v>2.00225266170602E-2</v>
      </c>
      <c r="R115" s="135">
        <v>2.5461090176451699E-2</v>
      </c>
      <c r="S115" s="135">
        <v>2.9022210746081498E-2</v>
      </c>
      <c r="T115" s="135">
        <v>1.81519739729297E-2</v>
      </c>
      <c r="U115" s="135">
        <v>2.3508914074682301E-2</v>
      </c>
      <c r="V115" s="135">
        <v>6.5277862793324301E-2</v>
      </c>
      <c r="W115" s="135">
        <v>0.17558927875345701</v>
      </c>
      <c r="X115" s="135">
        <v>0.24653755263577201</v>
      </c>
      <c r="Y115" s="135">
        <v>0.17799226602999599</v>
      </c>
      <c r="Z115" s="135">
        <v>9.4745676205406595E-2</v>
      </c>
      <c r="AA115" s="135">
        <v>3.3708674852722401E-2</v>
      </c>
      <c r="AB115" s="135">
        <v>1.6105943585181502E-2</v>
      </c>
      <c r="AC115" s="135">
        <v>6.9799147748093896E-3</v>
      </c>
      <c r="AD115" s="135">
        <v>3.7267590645568898E-3</v>
      </c>
      <c r="AF115" s="243">
        <f t="shared" si="1"/>
        <v>0.35703385713398672</v>
      </c>
      <c r="AG115" s="275">
        <f t="shared" si="2"/>
        <v>0.3559322134333478</v>
      </c>
      <c r="AH115" s="391">
        <f t="shared" si="3"/>
        <v>0.65546060115064031</v>
      </c>
      <c r="AI115" s="135">
        <f t="shared" si="4"/>
        <v>1.0113928145839881</v>
      </c>
    </row>
    <row r="116" spans="1:35" ht="12.6">
      <c r="A116" s="10" t="s">
        <v>186</v>
      </c>
      <c r="B116" s="10">
        <v>115</v>
      </c>
      <c r="C116" s="10" t="s">
        <v>1513</v>
      </c>
      <c r="D116" s="388">
        <v>45041</v>
      </c>
      <c r="E116" s="389">
        <v>45041</v>
      </c>
      <c r="F116" s="390" t="str">
        <f t="shared" si="0"/>
        <v>Cooking</v>
      </c>
      <c r="G116" s="135">
        <v>2.81429519375791E-3</v>
      </c>
      <c r="H116" s="135">
        <v>2.5551119843618001E-3</v>
      </c>
      <c r="I116" s="135">
        <v>2.4154391167669799E-3</v>
      </c>
      <c r="J116" s="135">
        <v>2.31340609363158E-3</v>
      </c>
      <c r="K116" s="135">
        <v>2.8959228043603799E-3</v>
      </c>
      <c r="L116" s="135">
        <v>5.5365061204638499E-3</v>
      </c>
      <c r="M116" s="135">
        <v>1.51446179401643E-2</v>
      </c>
      <c r="N116" s="135">
        <v>1.6360270406179801E-2</v>
      </c>
      <c r="O116" s="135">
        <v>1.0832614995978301E-2</v>
      </c>
      <c r="P116" s="135">
        <v>1.3693985645891801E-2</v>
      </c>
      <c r="Q116" s="135">
        <v>2.00225266170602E-2</v>
      </c>
      <c r="R116" s="135">
        <v>2.5461090176451699E-2</v>
      </c>
      <c r="S116" s="135">
        <v>2.9022210746081498E-2</v>
      </c>
      <c r="T116" s="135">
        <v>1.81519739729297E-2</v>
      </c>
      <c r="U116" s="135">
        <v>2.3508914074682301E-2</v>
      </c>
      <c r="V116" s="135">
        <v>6.5277862793324301E-2</v>
      </c>
      <c r="W116" s="135">
        <v>0.17558927875345701</v>
      </c>
      <c r="X116" s="135">
        <v>0.24653755263577201</v>
      </c>
      <c r="Y116" s="135">
        <v>0.17799226602999599</v>
      </c>
      <c r="Z116" s="135">
        <v>9.4745676205406595E-2</v>
      </c>
      <c r="AA116" s="135">
        <v>3.3708674852722401E-2</v>
      </c>
      <c r="AB116" s="135">
        <v>1.6105943585181502E-2</v>
      </c>
      <c r="AC116" s="135">
        <v>6.9799147748093896E-3</v>
      </c>
      <c r="AD116" s="135">
        <v>3.7267590645568898E-3</v>
      </c>
      <c r="AF116" s="243">
        <f t="shared" si="1"/>
        <v>0.35703385713398672</v>
      </c>
      <c r="AG116" s="275">
        <f t="shared" si="2"/>
        <v>0.3559322134333478</v>
      </c>
      <c r="AH116" s="391">
        <f t="shared" si="3"/>
        <v>0.65546060115064031</v>
      </c>
      <c r="AI116" s="135">
        <f t="shared" si="4"/>
        <v>1.0113928145839881</v>
      </c>
    </row>
    <row r="117" spans="1:35" ht="12.6">
      <c r="A117" s="10" t="s">
        <v>186</v>
      </c>
      <c r="B117" s="10">
        <v>116</v>
      </c>
      <c r="C117" s="10" t="s">
        <v>1513</v>
      </c>
      <c r="D117" s="388">
        <v>45042</v>
      </c>
      <c r="E117" s="389">
        <v>45042</v>
      </c>
      <c r="F117" s="390" t="str">
        <f t="shared" si="0"/>
        <v>Cooking</v>
      </c>
      <c r="G117" s="135">
        <v>2.81429519375791E-3</v>
      </c>
      <c r="H117" s="135">
        <v>2.5551119843618001E-3</v>
      </c>
      <c r="I117" s="135">
        <v>2.4154391167669799E-3</v>
      </c>
      <c r="J117" s="135">
        <v>2.31340609363158E-3</v>
      </c>
      <c r="K117" s="135">
        <v>2.8959228043603799E-3</v>
      </c>
      <c r="L117" s="135">
        <v>5.5365061204638499E-3</v>
      </c>
      <c r="M117" s="135">
        <v>1.51446179401643E-2</v>
      </c>
      <c r="N117" s="135">
        <v>1.6360270406179801E-2</v>
      </c>
      <c r="O117" s="135">
        <v>1.0832614995978301E-2</v>
      </c>
      <c r="P117" s="135">
        <v>1.3693985645891801E-2</v>
      </c>
      <c r="Q117" s="135">
        <v>2.00225266170602E-2</v>
      </c>
      <c r="R117" s="135">
        <v>2.5461090176451699E-2</v>
      </c>
      <c r="S117" s="135">
        <v>2.9022210746081498E-2</v>
      </c>
      <c r="T117" s="135">
        <v>1.81519739729297E-2</v>
      </c>
      <c r="U117" s="135">
        <v>2.3508914074682301E-2</v>
      </c>
      <c r="V117" s="135">
        <v>6.5277862793324301E-2</v>
      </c>
      <c r="W117" s="135">
        <v>0.17558927875345701</v>
      </c>
      <c r="X117" s="135">
        <v>0.24653755263577201</v>
      </c>
      <c r="Y117" s="135">
        <v>0.17799226602999599</v>
      </c>
      <c r="Z117" s="135">
        <v>9.4745676205406595E-2</v>
      </c>
      <c r="AA117" s="135">
        <v>3.3708674852722401E-2</v>
      </c>
      <c r="AB117" s="135">
        <v>1.6105943585181502E-2</v>
      </c>
      <c r="AC117" s="135">
        <v>6.9799147748093896E-3</v>
      </c>
      <c r="AD117" s="135">
        <v>3.7267590645568898E-3</v>
      </c>
      <c r="AF117" s="243">
        <f t="shared" si="1"/>
        <v>0.35703385713398672</v>
      </c>
      <c r="AG117" s="275">
        <f t="shared" si="2"/>
        <v>0.3559322134333478</v>
      </c>
      <c r="AH117" s="391">
        <f t="shared" si="3"/>
        <v>0.65546060115064031</v>
      </c>
      <c r="AI117" s="135">
        <f t="shared" si="4"/>
        <v>1.0113928145839881</v>
      </c>
    </row>
    <row r="118" spans="1:35" ht="12.6">
      <c r="A118" s="10" t="s">
        <v>186</v>
      </c>
      <c r="B118" s="10">
        <v>117</v>
      </c>
      <c r="C118" s="10" t="s">
        <v>1513</v>
      </c>
      <c r="D118" s="388">
        <v>45043</v>
      </c>
      <c r="E118" s="389">
        <v>45043</v>
      </c>
      <c r="F118" s="390" t="str">
        <f t="shared" si="0"/>
        <v>Cooking</v>
      </c>
      <c r="G118" s="135">
        <v>2.81429519375791E-3</v>
      </c>
      <c r="H118" s="135">
        <v>2.5551119843618001E-3</v>
      </c>
      <c r="I118" s="135">
        <v>2.4154391167669799E-3</v>
      </c>
      <c r="J118" s="135">
        <v>2.31340609363158E-3</v>
      </c>
      <c r="K118" s="135">
        <v>2.8959228043603799E-3</v>
      </c>
      <c r="L118" s="135">
        <v>5.5365061204638499E-3</v>
      </c>
      <c r="M118" s="135">
        <v>1.51446179401643E-2</v>
      </c>
      <c r="N118" s="135">
        <v>1.6360270406179801E-2</v>
      </c>
      <c r="O118" s="135">
        <v>1.0832614995978301E-2</v>
      </c>
      <c r="P118" s="135">
        <v>1.3693985645891801E-2</v>
      </c>
      <c r="Q118" s="135">
        <v>2.00225266170602E-2</v>
      </c>
      <c r="R118" s="135">
        <v>2.5461090176451699E-2</v>
      </c>
      <c r="S118" s="135">
        <v>2.9022210746081498E-2</v>
      </c>
      <c r="T118" s="135">
        <v>1.81519739729297E-2</v>
      </c>
      <c r="U118" s="135">
        <v>2.3508914074682301E-2</v>
      </c>
      <c r="V118" s="135">
        <v>6.5277862793324301E-2</v>
      </c>
      <c r="W118" s="135">
        <v>0.17558927875345701</v>
      </c>
      <c r="X118" s="135">
        <v>0.24653755263577201</v>
      </c>
      <c r="Y118" s="135">
        <v>0.17799226602999599</v>
      </c>
      <c r="Z118" s="135">
        <v>9.4745676205406595E-2</v>
      </c>
      <c r="AA118" s="135">
        <v>3.3708674852722401E-2</v>
      </c>
      <c r="AB118" s="135">
        <v>1.6105943585181502E-2</v>
      </c>
      <c r="AC118" s="135">
        <v>6.9799147748093896E-3</v>
      </c>
      <c r="AD118" s="135">
        <v>3.7267590645568898E-3</v>
      </c>
      <c r="AF118" s="243">
        <f t="shared" si="1"/>
        <v>0.35703385713398672</v>
      </c>
      <c r="AG118" s="275">
        <f t="shared" si="2"/>
        <v>0.3559322134333478</v>
      </c>
      <c r="AH118" s="391">
        <f t="shared" si="3"/>
        <v>0.65546060115064031</v>
      </c>
      <c r="AI118" s="135">
        <f t="shared" si="4"/>
        <v>1.0113928145839881</v>
      </c>
    </row>
    <row r="119" spans="1:35" ht="12.6">
      <c r="A119" s="10" t="s">
        <v>186</v>
      </c>
      <c r="B119" s="10">
        <v>118</v>
      </c>
      <c r="C119" s="10" t="s">
        <v>1513</v>
      </c>
      <c r="D119" s="388">
        <v>45044</v>
      </c>
      <c r="E119" s="389">
        <v>45044</v>
      </c>
      <c r="F119" s="390" t="str">
        <f t="shared" si="0"/>
        <v>Cooking</v>
      </c>
      <c r="G119" s="135">
        <v>2.81429519375791E-3</v>
      </c>
      <c r="H119" s="135">
        <v>2.5551119843618001E-3</v>
      </c>
      <c r="I119" s="135">
        <v>2.4154391167669799E-3</v>
      </c>
      <c r="J119" s="135">
        <v>2.31340609363158E-3</v>
      </c>
      <c r="K119" s="135">
        <v>2.8959228043603799E-3</v>
      </c>
      <c r="L119" s="135">
        <v>5.5365061204638499E-3</v>
      </c>
      <c r="M119" s="135">
        <v>1.51446179401643E-2</v>
      </c>
      <c r="N119" s="135">
        <v>1.6360270406179801E-2</v>
      </c>
      <c r="O119" s="135">
        <v>1.0832614995978301E-2</v>
      </c>
      <c r="P119" s="135">
        <v>1.3693985645891801E-2</v>
      </c>
      <c r="Q119" s="135">
        <v>2.00225266170602E-2</v>
      </c>
      <c r="R119" s="135">
        <v>2.5461090176451699E-2</v>
      </c>
      <c r="S119" s="135">
        <v>2.9022210746081498E-2</v>
      </c>
      <c r="T119" s="135">
        <v>1.81519739729297E-2</v>
      </c>
      <c r="U119" s="135">
        <v>2.3508914074682301E-2</v>
      </c>
      <c r="V119" s="135">
        <v>6.5277862793324301E-2</v>
      </c>
      <c r="W119" s="135">
        <v>0.17558927875345701</v>
      </c>
      <c r="X119" s="135">
        <v>0.24653755263577201</v>
      </c>
      <c r="Y119" s="135">
        <v>0.17799226602999599</v>
      </c>
      <c r="Z119" s="135">
        <v>9.4745676205406595E-2</v>
      </c>
      <c r="AA119" s="135">
        <v>3.3708674852722401E-2</v>
      </c>
      <c r="AB119" s="135">
        <v>1.6105943585181502E-2</v>
      </c>
      <c r="AC119" s="135">
        <v>6.9799147748093896E-3</v>
      </c>
      <c r="AD119" s="135">
        <v>3.7267590645568898E-3</v>
      </c>
      <c r="AF119" s="243">
        <f t="shared" si="1"/>
        <v>0.35703385713398672</v>
      </c>
      <c r="AG119" s="275">
        <f t="shared" si="2"/>
        <v>0.3559322134333478</v>
      </c>
      <c r="AH119" s="391">
        <f t="shared" si="3"/>
        <v>0.65546060115064031</v>
      </c>
      <c r="AI119" s="135">
        <f t="shared" si="4"/>
        <v>1.0113928145839881</v>
      </c>
    </row>
    <row r="120" spans="1:35" ht="12.6">
      <c r="A120" s="10" t="s">
        <v>186</v>
      </c>
      <c r="B120" s="10">
        <v>119</v>
      </c>
      <c r="C120" s="10" t="s">
        <v>1513</v>
      </c>
      <c r="D120" s="388">
        <v>45045</v>
      </c>
      <c r="E120" s="389">
        <v>45045</v>
      </c>
      <c r="F120" s="390" t="str">
        <f t="shared" si="0"/>
        <v>Cooking</v>
      </c>
      <c r="G120" s="135">
        <v>3.6656307091365498E-3</v>
      </c>
      <c r="H120" s="135">
        <v>2.33142342649036E-3</v>
      </c>
      <c r="I120" s="135">
        <v>2.2763960627801799E-3</v>
      </c>
      <c r="J120" s="135">
        <v>2.3023229059703802E-3</v>
      </c>
      <c r="K120" s="135">
        <v>2.57846622909385E-3</v>
      </c>
      <c r="L120" s="135">
        <v>4.57948267488331E-3</v>
      </c>
      <c r="M120" s="135">
        <v>9.0312841800590793E-3</v>
      </c>
      <c r="N120" s="135">
        <v>2.2340750077030701E-2</v>
      </c>
      <c r="O120" s="135">
        <v>3.4885142248158703E-2</v>
      </c>
      <c r="P120" s="135">
        <v>3.8939132625652503E-2</v>
      </c>
      <c r="Q120" s="135">
        <v>4.5458835458915402E-2</v>
      </c>
      <c r="R120" s="135">
        <v>5.3262940138182502E-2</v>
      </c>
      <c r="S120" s="135">
        <v>4.9190929243740598E-2</v>
      </c>
      <c r="T120" s="135">
        <v>4.81727877888894E-2</v>
      </c>
      <c r="U120" s="135">
        <v>4.0569351465478701E-2</v>
      </c>
      <c r="V120" s="135">
        <v>6.5540462975852296E-2</v>
      </c>
      <c r="W120" s="135">
        <v>0.14411883389587299</v>
      </c>
      <c r="X120" s="135">
        <v>0.18428363548191101</v>
      </c>
      <c r="Y120" s="135">
        <v>0.12797645587140899</v>
      </c>
      <c r="Z120" s="135">
        <v>6.0388189040027698E-2</v>
      </c>
      <c r="AA120" s="135">
        <v>2.3289512205446401E-2</v>
      </c>
      <c r="AB120" s="135">
        <v>9.5474673981147291E-3</v>
      </c>
      <c r="AC120" s="135">
        <v>5.8839909641591496E-3</v>
      </c>
      <c r="AD120" s="135">
        <v>5.2694264709170898E-3</v>
      </c>
      <c r="AF120" s="243">
        <f t="shared" si="1"/>
        <v>0.44631414096693189</v>
      </c>
      <c r="AG120" s="275">
        <f t="shared" si="2"/>
        <v>0.38551078899332381</v>
      </c>
      <c r="AH120" s="391">
        <f t="shared" si="3"/>
        <v>0.60037206054484871</v>
      </c>
      <c r="AI120" s="135">
        <f t="shared" si="4"/>
        <v>0.98588284953817251</v>
      </c>
    </row>
    <row r="121" spans="1:35" ht="12.6">
      <c r="A121" s="10" t="s">
        <v>186</v>
      </c>
      <c r="B121" s="10">
        <v>120</v>
      </c>
      <c r="C121" s="10" t="s">
        <v>1513</v>
      </c>
      <c r="D121" s="388">
        <v>45046</v>
      </c>
      <c r="E121" s="389">
        <v>45046</v>
      </c>
      <c r="F121" s="390" t="str">
        <f t="shared" si="0"/>
        <v>Cooking</v>
      </c>
      <c r="G121" s="135">
        <v>3.6656307091365498E-3</v>
      </c>
      <c r="H121" s="135">
        <v>2.33142342649036E-3</v>
      </c>
      <c r="I121" s="135">
        <v>2.2763960627801799E-3</v>
      </c>
      <c r="J121" s="135">
        <v>2.3023229059703802E-3</v>
      </c>
      <c r="K121" s="135">
        <v>2.57846622909385E-3</v>
      </c>
      <c r="L121" s="135">
        <v>4.57948267488331E-3</v>
      </c>
      <c r="M121" s="135">
        <v>9.0312841800590793E-3</v>
      </c>
      <c r="N121" s="135">
        <v>2.2340750077030701E-2</v>
      </c>
      <c r="O121" s="135">
        <v>3.4885142248158703E-2</v>
      </c>
      <c r="P121" s="135">
        <v>3.8939132625652503E-2</v>
      </c>
      <c r="Q121" s="135">
        <v>4.5458835458915402E-2</v>
      </c>
      <c r="R121" s="135">
        <v>5.3262940138182502E-2</v>
      </c>
      <c r="S121" s="135">
        <v>4.9190929243740598E-2</v>
      </c>
      <c r="T121" s="135">
        <v>4.81727877888894E-2</v>
      </c>
      <c r="U121" s="135">
        <v>4.0569351465478701E-2</v>
      </c>
      <c r="V121" s="135">
        <v>6.5540462975852296E-2</v>
      </c>
      <c r="W121" s="135">
        <v>0.14411883389587299</v>
      </c>
      <c r="X121" s="135">
        <v>0.18428363548191101</v>
      </c>
      <c r="Y121" s="135">
        <v>0.12797645587140899</v>
      </c>
      <c r="Z121" s="135">
        <v>6.0388189040027698E-2</v>
      </c>
      <c r="AA121" s="135">
        <v>2.3289512205446401E-2</v>
      </c>
      <c r="AB121" s="135">
        <v>9.5474673981147291E-3</v>
      </c>
      <c r="AC121" s="135">
        <v>5.8839909641591496E-3</v>
      </c>
      <c r="AD121" s="135">
        <v>5.2694264709170898E-3</v>
      </c>
      <c r="AF121" s="243">
        <f t="shared" si="1"/>
        <v>0.44631414096693189</v>
      </c>
      <c r="AG121" s="275">
        <f t="shared" si="2"/>
        <v>0.38551078899332381</v>
      </c>
      <c r="AH121" s="391">
        <f t="shared" si="3"/>
        <v>0.60037206054484871</v>
      </c>
      <c r="AI121" s="135">
        <f t="shared" si="4"/>
        <v>0.98588284953817251</v>
      </c>
    </row>
    <row r="122" spans="1:35" ht="12.6">
      <c r="A122" s="10" t="s">
        <v>186</v>
      </c>
      <c r="B122" s="10">
        <v>121</v>
      </c>
      <c r="C122" s="10" t="s">
        <v>1513</v>
      </c>
      <c r="D122" s="388">
        <v>45047</v>
      </c>
      <c r="E122" s="389">
        <v>45047</v>
      </c>
      <c r="F122" s="390" t="str">
        <f t="shared" si="0"/>
        <v>Cooking</v>
      </c>
      <c r="G122" s="135">
        <v>2.81429519375791E-3</v>
      </c>
      <c r="H122" s="135">
        <v>2.5551119843618001E-3</v>
      </c>
      <c r="I122" s="135">
        <v>2.4154391167669799E-3</v>
      </c>
      <c r="J122" s="135">
        <v>2.31340609363158E-3</v>
      </c>
      <c r="K122" s="135">
        <v>2.8959228043603799E-3</v>
      </c>
      <c r="L122" s="135">
        <v>5.5365061204638499E-3</v>
      </c>
      <c r="M122" s="135">
        <v>1.51446179401643E-2</v>
      </c>
      <c r="N122" s="135">
        <v>1.6360270406179801E-2</v>
      </c>
      <c r="O122" s="135">
        <v>1.0832614995978301E-2</v>
      </c>
      <c r="P122" s="135">
        <v>1.3693985645891801E-2</v>
      </c>
      <c r="Q122" s="135">
        <v>2.00225266170602E-2</v>
      </c>
      <c r="R122" s="135">
        <v>2.5461090176451699E-2</v>
      </c>
      <c r="S122" s="135">
        <v>2.9022210746081498E-2</v>
      </c>
      <c r="T122" s="135">
        <v>1.81519739729297E-2</v>
      </c>
      <c r="U122" s="135">
        <v>2.3508914074682301E-2</v>
      </c>
      <c r="V122" s="135">
        <v>6.5277862793324301E-2</v>
      </c>
      <c r="W122" s="135">
        <v>0.17558927875345701</v>
      </c>
      <c r="X122" s="135">
        <v>0.24653755263577201</v>
      </c>
      <c r="Y122" s="135">
        <v>0.17799226602999599</v>
      </c>
      <c r="Z122" s="135">
        <v>9.4745676205406595E-2</v>
      </c>
      <c r="AA122" s="135">
        <v>3.3708674852722401E-2</v>
      </c>
      <c r="AB122" s="135">
        <v>1.6105943585181502E-2</v>
      </c>
      <c r="AC122" s="135">
        <v>6.9799147748093896E-3</v>
      </c>
      <c r="AD122" s="135">
        <v>3.7267590645568898E-3</v>
      </c>
      <c r="AF122" s="243">
        <f t="shared" si="1"/>
        <v>0.35703385713398672</v>
      </c>
      <c r="AG122" s="275">
        <f t="shared" si="2"/>
        <v>0.3559322134333478</v>
      </c>
      <c r="AH122" s="391">
        <f t="shared" si="3"/>
        <v>0.65546060115064031</v>
      </c>
      <c r="AI122" s="135">
        <f t="shared" si="4"/>
        <v>1.0113928145839881</v>
      </c>
    </row>
    <row r="123" spans="1:35" ht="12.6">
      <c r="A123" s="10" t="s">
        <v>186</v>
      </c>
      <c r="B123" s="10">
        <v>122</v>
      </c>
      <c r="C123" s="10" t="s">
        <v>1513</v>
      </c>
      <c r="D123" s="388">
        <v>45048</v>
      </c>
      <c r="E123" s="389">
        <v>45048</v>
      </c>
      <c r="F123" s="390" t="str">
        <f t="shared" si="0"/>
        <v>Cooking</v>
      </c>
      <c r="G123" s="135">
        <v>2.81429519375791E-3</v>
      </c>
      <c r="H123" s="135">
        <v>2.5551119843618001E-3</v>
      </c>
      <c r="I123" s="135">
        <v>2.4154391167669799E-3</v>
      </c>
      <c r="J123" s="135">
        <v>2.31340609363158E-3</v>
      </c>
      <c r="K123" s="135">
        <v>2.8959228043603799E-3</v>
      </c>
      <c r="L123" s="135">
        <v>5.5365061204638499E-3</v>
      </c>
      <c r="M123" s="135">
        <v>1.51446179401643E-2</v>
      </c>
      <c r="N123" s="135">
        <v>1.6360270406179801E-2</v>
      </c>
      <c r="O123" s="135">
        <v>1.0832614995978301E-2</v>
      </c>
      <c r="P123" s="135">
        <v>1.3693985645891801E-2</v>
      </c>
      <c r="Q123" s="135">
        <v>2.00225266170602E-2</v>
      </c>
      <c r="R123" s="135">
        <v>2.5461090176451699E-2</v>
      </c>
      <c r="S123" s="135">
        <v>2.9022210746081498E-2</v>
      </c>
      <c r="T123" s="135">
        <v>1.81519739729297E-2</v>
      </c>
      <c r="U123" s="135">
        <v>2.3508914074682301E-2</v>
      </c>
      <c r="V123" s="135">
        <v>6.5277862793324301E-2</v>
      </c>
      <c r="W123" s="135">
        <v>0.17558927875345701</v>
      </c>
      <c r="X123" s="135">
        <v>0.24653755263577201</v>
      </c>
      <c r="Y123" s="135">
        <v>0.17799226602999599</v>
      </c>
      <c r="Z123" s="135">
        <v>9.4745676205406595E-2</v>
      </c>
      <c r="AA123" s="135">
        <v>3.3708674852722401E-2</v>
      </c>
      <c r="AB123" s="135">
        <v>1.6105943585181502E-2</v>
      </c>
      <c r="AC123" s="135">
        <v>6.9799147748093896E-3</v>
      </c>
      <c r="AD123" s="135">
        <v>3.7267590645568898E-3</v>
      </c>
      <c r="AF123" s="243">
        <f t="shared" si="1"/>
        <v>0.35703385713398672</v>
      </c>
      <c r="AG123" s="275">
        <f t="shared" si="2"/>
        <v>0.3559322134333478</v>
      </c>
      <c r="AH123" s="391">
        <f t="shared" si="3"/>
        <v>0.65546060115064031</v>
      </c>
      <c r="AI123" s="135">
        <f t="shared" si="4"/>
        <v>1.0113928145839881</v>
      </c>
    </row>
    <row r="124" spans="1:35" ht="12.6">
      <c r="A124" s="10" t="s">
        <v>186</v>
      </c>
      <c r="B124" s="10">
        <v>123</v>
      </c>
      <c r="C124" s="10" t="s">
        <v>1513</v>
      </c>
      <c r="D124" s="388">
        <v>45049</v>
      </c>
      <c r="E124" s="389">
        <v>45049</v>
      </c>
      <c r="F124" s="390" t="str">
        <f t="shared" si="0"/>
        <v>Cooking</v>
      </c>
      <c r="G124" s="135">
        <v>2.81429519375791E-3</v>
      </c>
      <c r="H124" s="135">
        <v>2.5551119843618001E-3</v>
      </c>
      <c r="I124" s="135">
        <v>2.4154391167669799E-3</v>
      </c>
      <c r="J124" s="135">
        <v>2.31340609363158E-3</v>
      </c>
      <c r="K124" s="135">
        <v>2.8959228043603799E-3</v>
      </c>
      <c r="L124" s="135">
        <v>5.5365061204638499E-3</v>
      </c>
      <c r="M124" s="135">
        <v>1.51446179401643E-2</v>
      </c>
      <c r="N124" s="135">
        <v>1.6360270406179801E-2</v>
      </c>
      <c r="O124" s="135">
        <v>1.0832614995978301E-2</v>
      </c>
      <c r="P124" s="135">
        <v>1.3693985645891801E-2</v>
      </c>
      <c r="Q124" s="135">
        <v>2.00225266170602E-2</v>
      </c>
      <c r="R124" s="135">
        <v>2.5461090176451699E-2</v>
      </c>
      <c r="S124" s="135">
        <v>2.9022210746081498E-2</v>
      </c>
      <c r="T124" s="135">
        <v>1.81519739729297E-2</v>
      </c>
      <c r="U124" s="135">
        <v>2.3508914074682301E-2</v>
      </c>
      <c r="V124" s="135">
        <v>6.5277862793324301E-2</v>
      </c>
      <c r="W124" s="135">
        <v>0.17558927875345701</v>
      </c>
      <c r="X124" s="135">
        <v>0.24653755263577201</v>
      </c>
      <c r="Y124" s="135">
        <v>0.17799226602999599</v>
      </c>
      <c r="Z124" s="135">
        <v>9.4745676205406595E-2</v>
      </c>
      <c r="AA124" s="135">
        <v>3.3708674852722401E-2</v>
      </c>
      <c r="AB124" s="135">
        <v>1.6105943585181502E-2</v>
      </c>
      <c r="AC124" s="135">
        <v>6.9799147748093896E-3</v>
      </c>
      <c r="AD124" s="135">
        <v>3.7267590645568898E-3</v>
      </c>
      <c r="AF124" s="243">
        <f t="shared" si="1"/>
        <v>0.35703385713398672</v>
      </c>
      <c r="AG124" s="275">
        <f t="shared" si="2"/>
        <v>0.3559322134333478</v>
      </c>
      <c r="AH124" s="391">
        <f t="shared" si="3"/>
        <v>0.65546060115064031</v>
      </c>
      <c r="AI124" s="135">
        <f t="shared" si="4"/>
        <v>1.0113928145839881</v>
      </c>
    </row>
    <row r="125" spans="1:35" ht="12.6">
      <c r="A125" s="10" t="s">
        <v>186</v>
      </c>
      <c r="B125" s="10">
        <v>124</v>
      </c>
      <c r="C125" s="10" t="s">
        <v>1513</v>
      </c>
      <c r="D125" s="388">
        <v>45050</v>
      </c>
      <c r="E125" s="389">
        <v>45050</v>
      </c>
      <c r="F125" s="390" t="str">
        <f t="shared" si="0"/>
        <v>Cooking</v>
      </c>
      <c r="G125" s="135">
        <v>2.81429519375791E-3</v>
      </c>
      <c r="H125" s="135">
        <v>2.5551119843618001E-3</v>
      </c>
      <c r="I125" s="135">
        <v>2.4154391167669799E-3</v>
      </c>
      <c r="J125" s="135">
        <v>2.31340609363158E-3</v>
      </c>
      <c r="K125" s="135">
        <v>2.8959228043603799E-3</v>
      </c>
      <c r="L125" s="135">
        <v>5.5365061204638499E-3</v>
      </c>
      <c r="M125" s="135">
        <v>1.51446179401643E-2</v>
      </c>
      <c r="N125" s="135">
        <v>1.6360270406179801E-2</v>
      </c>
      <c r="O125" s="135">
        <v>1.0832614995978301E-2</v>
      </c>
      <c r="P125" s="135">
        <v>1.3693985645891801E-2</v>
      </c>
      <c r="Q125" s="135">
        <v>2.00225266170602E-2</v>
      </c>
      <c r="R125" s="135">
        <v>2.5461090176451699E-2</v>
      </c>
      <c r="S125" s="135">
        <v>2.9022210746081498E-2</v>
      </c>
      <c r="T125" s="135">
        <v>1.81519739729297E-2</v>
      </c>
      <c r="U125" s="135">
        <v>2.3508914074682301E-2</v>
      </c>
      <c r="V125" s="135">
        <v>6.5277862793324301E-2</v>
      </c>
      <c r="W125" s="135">
        <v>0.17558927875345701</v>
      </c>
      <c r="X125" s="135">
        <v>0.24653755263577201</v>
      </c>
      <c r="Y125" s="135">
        <v>0.17799226602999599</v>
      </c>
      <c r="Z125" s="135">
        <v>9.4745676205406595E-2</v>
      </c>
      <c r="AA125" s="135">
        <v>3.3708674852722401E-2</v>
      </c>
      <c r="AB125" s="135">
        <v>1.6105943585181502E-2</v>
      </c>
      <c r="AC125" s="135">
        <v>6.9799147748093896E-3</v>
      </c>
      <c r="AD125" s="135">
        <v>3.7267590645568898E-3</v>
      </c>
      <c r="AF125" s="243">
        <f t="shared" si="1"/>
        <v>0.35703385713398672</v>
      </c>
      <c r="AG125" s="275">
        <f t="shared" si="2"/>
        <v>0.3559322134333478</v>
      </c>
      <c r="AH125" s="391">
        <f t="shared" si="3"/>
        <v>0.65546060115064031</v>
      </c>
      <c r="AI125" s="135">
        <f t="shared" si="4"/>
        <v>1.0113928145839881</v>
      </c>
    </row>
    <row r="126" spans="1:35" ht="12.6">
      <c r="A126" s="10" t="s">
        <v>186</v>
      </c>
      <c r="B126" s="10">
        <v>125</v>
      </c>
      <c r="C126" s="10" t="s">
        <v>1513</v>
      </c>
      <c r="D126" s="388">
        <v>45051</v>
      </c>
      <c r="E126" s="389">
        <v>45051</v>
      </c>
      <c r="F126" s="390" t="str">
        <f t="shared" si="0"/>
        <v>Cooking</v>
      </c>
      <c r="G126" s="135">
        <v>2.81429519375791E-3</v>
      </c>
      <c r="H126" s="135">
        <v>2.5551119843618001E-3</v>
      </c>
      <c r="I126" s="135">
        <v>2.4154391167669799E-3</v>
      </c>
      <c r="J126" s="135">
        <v>2.31340609363158E-3</v>
      </c>
      <c r="K126" s="135">
        <v>2.8959228043603799E-3</v>
      </c>
      <c r="L126" s="135">
        <v>5.5365061204638499E-3</v>
      </c>
      <c r="M126" s="135">
        <v>1.51446179401643E-2</v>
      </c>
      <c r="N126" s="135">
        <v>1.6360270406179801E-2</v>
      </c>
      <c r="O126" s="135">
        <v>1.0832614995978301E-2</v>
      </c>
      <c r="P126" s="135">
        <v>1.3693985645891801E-2</v>
      </c>
      <c r="Q126" s="135">
        <v>2.00225266170602E-2</v>
      </c>
      <c r="R126" s="135">
        <v>2.5461090176451699E-2</v>
      </c>
      <c r="S126" s="135">
        <v>2.9022210746081498E-2</v>
      </c>
      <c r="T126" s="135">
        <v>1.81519739729297E-2</v>
      </c>
      <c r="U126" s="135">
        <v>2.3508914074682301E-2</v>
      </c>
      <c r="V126" s="135">
        <v>6.5277862793324301E-2</v>
      </c>
      <c r="W126" s="135">
        <v>0.17558927875345701</v>
      </c>
      <c r="X126" s="135">
        <v>0.24653755263577201</v>
      </c>
      <c r="Y126" s="135">
        <v>0.17799226602999599</v>
      </c>
      <c r="Z126" s="135">
        <v>9.4745676205406595E-2</v>
      </c>
      <c r="AA126" s="135">
        <v>3.3708674852722401E-2</v>
      </c>
      <c r="AB126" s="135">
        <v>1.6105943585181502E-2</v>
      </c>
      <c r="AC126" s="135">
        <v>6.9799147748093896E-3</v>
      </c>
      <c r="AD126" s="135">
        <v>3.7267590645568898E-3</v>
      </c>
      <c r="AF126" s="243">
        <f t="shared" si="1"/>
        <v>0.35703385713398672</v>
      </c>
      <c r="AG126" s="275">
        <f t="shared" si="2"/>
        <v>0.3559322134333478</v>
      </c>
      <c r="AH126" s="391">
        <f t="shared" si="3"/>
        <v>0.65546060115064031</v>
      </c>
      <c r="AI126" s="135">
        <f t="shared" si="4"/>
        <v>1.0113928145839881</v>
      </c>
    </row>
    <row r="127" spans="1:35" ht="12.6">
      <c r="A127" s="10" t="s">
        <v>186</v>
      </c>
      <c r="B127" s="10">
        <v>126</v>
      </c>
      <c r="C127" s="10" t="s">
        <v>1513</v>
      </c>
      <c r="D127" s="388">
        <v>45052</v>
      </c>
      <c r="E127" s="389">
        <v>45052</v>
      </c>
      <c r="F127" s="390" t="str">
        <f t="shared" si="0"/>
        <v>Cooking</v>
      </c>
      <c r="G127" s="135">
        <v>3.6656307091365498E-3</v>
      </c>
      <c r="H127" s="135">
        <v>2.33142342649036E-3</v>
      </c>
      <c r="I127" s="135">
        <v>2.2763960627801799E-3</v>
      </c>
      <c r="J127" s="135">
        <v>2.3023229059703802E-3</v>
      </c>
      <c r="K127" s="135">
        <v>2.57846622909385E-3</v>
      </c>
      <c r="L127" s="135">
        <v>4.57948267488331E-3</v>
      </c>
      <c r="M127" s="135">
        <v>9.0312841800590793E-3</v>
      </c>
      <c r="N127" s="135">
        <v>2.2340750077030701E-2</v>
      </c>
      <c r="O127" s="135">
        <v>3.4885142248158703E-2</v>
      </c>
      <c r="P127" s="135">
        <v>3.8939132625652503E-2</v>
      </c>
      <c r="Q127" s="135">
        <v>4.5458835458915402E-2</v>
      </c>
      <c r="R127" s="135">
        <v>5.3262940138182502E-2</v>
      </c>
      <c r="S127" s="135">
        <v>4.9190929243740598E-2</v>
      </c>
      <c r="T127" s="135">
        <v>4.81727877888894E-2</v>
      </c>
      <c r="U127" s="135">
        <v>4.0569351465478701E-2</v>
      </c>
      <c r="V127" s="135">
        <v>6.5540462975852296E-2</v>
      </c>
      <c r="W127" s="135">
        <v>0.14411883389587299</v>
      </c>
      <c r="X127" s="135">
        <v>0.18428363548191101</v>
      </c>
      <c r="Y127" s="135">
        <v>0.12797645587140899</v>
      </c>
      <c r="Z127" s="135">
        <v>6.0388189040027698E-2</v>
      </c>
      <c r="AA127" s="135">
        <v>2.3289512205446401E-2</v>
      </c>
      <c r="AB127" s="135">
        <v>9.5474673981147291E-3</v>
      </c>
      <c r="AC127" s="135">
        <v>5.8839909641591496E-3</v>
      </c>
      <c r="AD127" s="135">
        <v>5.2694264709170898E-3</v>
      </c>
      <c r="AF127" s="243">
        <f t="shared" si="1"/>
        <v>0.44631414096693189</v>
      </c>
      <c r="AG127" s="275">
        <f t="shared" si="2"/>
        <v>0.38551078899332381</v>
      </c>
      <c r="AH127" s="391">
        <f t="shared" si="3"/>
        <v>0.60037206054484871</v>
      </c>
      <c r="AI127" s="135">
        <f t="shared" si="4"/>
        <v>0.98588284953817251</v>
      </c>
    </row>
    <row r="128" spans="1:35" ht="12.6">
      <c r="A128" s="10" t="s">
        <v>186</v>
      </c>
      <c r="B128" s="10">
        <v>127</v>
      </c>
      <c r="C128" s="10" t="s">
        <v>1513</v>
      </c>
      <c r="D128" s="388">
        <v>45053</v>
      </c>
      <c r="E128" s="389">
        <v>45053</v>
      </c>
      <c r="F128" s="390" t="str">
        <f t="shared" si="0"/>
        <v>Cooking</v>
      </c>
      <c r="G128" s="135">
        <v>3.6656307091365498E-3</v>
      </c>
      <c r="H128" s="135">
        <v>2.33142342649036E-3</v>
      </c>
      <c r="I128" s="135">
        <v>2.2763960627801799E-3</v>
      </c>
      <c r="J128" s="135">
        <v>2.3023229059703802E-3</v>
      </c>
      <c r="K128" s="135">
        <v>2.57846622909385E-3</v>
      </c>
      <c r="L128" s="135">
        <v>4.57948267488331E-3</v>
      </c>
      <c r="M128" s="135">
        <v>9.0312841800590793E-3</v>
      </c>
      <c r="N128" s="135">
        <v>2.2340750077030701E-2</v>
      </c>
      <c r="O128" s="135">
        <v>3.4885142248158703E-2</v>
      </c>
      <c r="P128" s="135">
        <v>3.8939132625652503E-2</v>
      </c>
      <c r="Q128" s="135">
        <v>4.5458835458915402E-2</v>
      </c>
      <c r="R128" s="135">
        <v>5.3262940138182502E-2</v>
      </c>
      <c r="S128" s="135">
        <v>4.9190929243740598E-2</v>
      </c>
      <c r="T128" s="135">
        <v>4.81727877888894E-2</v>
      </c>
      <c r="U128" s="135">
        <v>4.0569351465478701E-2</v>
      </c>
      <c r="V128" s="135">
        <v>6.5540462975852296E-2</v>
      </c>
      <c r="W128" s="135">
        <v>0.14411883389587299</v>
      </c>
      <c r="X128" s="135">
        <v>0.18428363548191101</v>
      </c>
      <c r="Y128" s="135">
        <v>0.12797645587140899</v>
      </c>
      <c r="Z128" s="135">
        <v>6.0388189040027698E-2</v>
      </c>
      <c r="AA128" s="135">
        <v>2.3289512205446401E-2</v>
      </c>
      <c r="AB128" s="135">
        <v>9.5474673981147291E-3</v>
      </c>
      <c r="AC128" s="135">
        <v>5.8839909641591496E-3</v>
      </c>
      <c r="AD128" s="135">
        <v>5.2694264709170898E-3</v>
      </c>
      <c r="AF128" s="243">
        <f t="shared" si="1"/>
        <v>0.44631414096693189</v>
      </c>
      <c r="AG128" s="275">
        <f t="shared" si="2"/>
        <v>0.38551078899332381</v>
      </c>
      <c r="AH128" s="391">
        <f t="shared" si="3"/>
        <v>0.60037206054484871</v>
      </c>
      <c r="AI128" s="135">
        <f t="shared" si="4"/>
        <v>0.98588284953817251</v>
      </c>
    </row>
    <row r="129" spans="1:35" ht="12.6">
      <c r="A129" s="10" t="s">
        <v>186</v>
      </c>
      <c r="B129" s="10">
        <v>128</v>
      </c>
      <c r="C129" s="10" t="s">
        <v>1513</v>
      </c>
      <c r="D129" s="388">
        <v>45054</v>
      </c>
      <c r="E129" s="389">
        <v>45054</v>
      </c>
      <c r="F129" s="390" t="str">
        <f t="shared" si="0"/>
        <v>Cooking</v>
      </c>
      <c r="G129" s="135">
        <v>2.81429519375791E-3</v>
      </c>
      <c r="H129" s="135">
        <v>2.5551119843618001E-3</v>
      </c>
      <c r="I129" s="135">
        <v>2.4154391167669799E-3</v>
      </c>
      <c r="J129" s="135">
        <v>2.31340609363158E-3</v>
      </c>
      <c r="K129" s="135">
        <v>2.8959228043603799E-3</v>
      </c>
      <c r="L129" s="135">
        <v>5.5365061204638499E-3</v>
      </c>
      <c r="M129" s="135">
        <v>1.51446179401643E-2</v>
      </c>
      <c r="N129" s="135">
        <v>1.6360270406179801E-2</v>
      </c>
      <c r="O129" s="135">
        <v>1.0832614995978301E-2</v>
      </c>
      <c r="P129" s="135">
        <v>1.3693985645891801E-2</v>
      </c>
      <c r="Q129" s="135">
        <v>2.00225266170602E-2</v>
      </c>
      <c r="R129" s="135">
        <v>2.5461090176451699E-2</v>
      </c>
      <c r="S129" s="135">
        <v>2.9022210746081498E-2</v>
      </c>
      <c r="T129" s="135">
        <v>1.81519739729297E-2</v>
      </c>
      <c r="U129" s="135">
        <v>2.3508914074682301E-2</v>
      </c>
      <c r="V129" s="135">
        <v>6.5277862793324301E-2</v>
      </c>
      <c r="W129" s="135">
        <v>0.17558927875345701</v>
      </c>
      <c r="X129" s="135">
        <v>0.24653755263577201</v>
      </c>
      <c r="Y129" s="135">
        <v>0.17799226602999599</v>
      </c>
      <c r="Z129" s="135">
        <v>9.4745676205406595E-2</v>
      </c>
      <c r="AA129" s="135">
        <v>3.3708674852722401E-2</v>
      </c>
      <c r="AB129" s="135">
        <v>1.6105943585181502E-2</v>
      </c>
      <c r="AC129" s="135">
        <v>6.9799147748093896E-3</v>
      </c>
      <c r="AD129" s="135">
        <v>3.7267590645568898E-3</v>
      </c>
      <c r="AF129" s="243">
        <f t="shared" si="1"/>
        <v>0.35703385713398672</v>
      </c>
      <c r="AG129" s="275">
        <f t="shared" si="2"/>
        <v>0.3559322134333478</v>
      </c>
      <c r="AH129" s="391">
        <f t="shared" si="3"/>
        <v>0.65546060115064031</v>
      </c>
      <c r="AI129" s="135">
        <f t="shared" si="4"/>
        <v>1.0113928145839881</v>
      </c>
    </row>
    <row r="130" spans="1:35" ht="12.6">
      <c r="A130" s="10" t="s">
        <v>186</v>
      </c>
      <c r="B130" s="10">
        <v>129</v>
      </c>
      <c r="C130" s="10" t="s">
        <v>1513</v>
      </c>
      <c r="D130" s="388">
        <v>45055</v>
      </c>
      <c r="E130" s="389">
        <v>45055</v>
      </c>
      <c r="F130" s="390" t="str">
        <f t="shared" si="0"/>
        <v>Cooking</v>
      </c>
      <c r="G130" s="135">
        <v>2.81429519375791E-3</v>
      </c>
      <c r="H130" s="135">
        <v>2.5551119843618001E-3</v>
      </c>
      <c r="I130" s="135">
        <v>2.4154391167669799E-3</v>
      </c>
      <c r="J130" s="135">
        <v>2.31340609363158E-3</v>
      </c>
      <c r="K130" s="135">
        <v>2.8959228043603799E-3</v>
      </c>
      <c r="L130" s="135">
        <v>5.5365061204638499E-3</v>
      </c>
      <c r="M130" s="135">
        <v>1.51446179401643E-2</v>
      </c>
      <c r="N130" s="135">
        <v>1.6360270406179801E-2</v>
      </c>
      <c r="O130" s="135">
        <v>1.0832614995978301E-2</v>
      </c>
      <c r="P130" s="135">
        <v>1.3693985645891801E-2</v>
      </c>
      <c r="Q130" s="135">
        <v>2.00225266170602E-2</v>
      </c>
      <c r="R130" s="135">
        <v>2.5461090176451699E-2</v>
      </c>
      <c r="S130" s="135">
        <v>2.9022210746081498E-2</v>
      </c>
      <c r="T130" s="135">
        <v>1.81519739729297E-2</v>
      </c>
      <c r="U130" s="135">
        <v>2.3508914074682301E-2</v>
      </c>
      <c r="V130" s="135">
        <v>6.5277862793324301E-2</v>
      </c>
      <c r="W130" s="135">
        <v>0.17558927875345701</v>
      </c>
      <c r="X130" s="135">
        <v>0.24653755263577201</v>
      </c>
      <c r="Y130" s="135">
        <v>0.17799226602999599</v>
      </c>
      <c r="Z130" s="135">
        <v>9.4745676205406595E-2</v>
      </c>
      <c r="AA130" s="135">
        <v>3.3708674852722401E-2</v>
      </c>
      <c r="AB130" s="135">
        <v>1.6105943585181502E-2</v>
      </c>
      <c r="AC130" s="135">
        <v>6.9799147748093896E-3</v>
      </c>
      <c r="AD130" s="135">
        <v>3.7267590645568898E-3</v>
      </c>
      <c r="AF130" s="243">
        <f t="shared" si="1"/>
        <v>0.35703385713398672</v>
      </c>
      <c r="AG130" s="275">
        <f t="shared" si="2"/>
        <v>0.3559322134333478</v>
      </c>
      <c r="AH130" s="391">
        <f t="shared" si="3"/>
        <v>0.65546060115064031</v>
      </c>
      <c r="AI130" s="135">
        <f t="shared" si="4"/>
        <v>1.0113928145839881</v>
      </c>
    </row>
    <row r="131" spans="1:35" ht="12.6">
      <c r="A131" s="10" t="s">
        <v>186</v>
      </c>
      <c r="B131" s="10">
        <v>130</v>
      </c>
      <c r="C131" s="10" t="s">
        <v>1513</v>
      </c>
      <c r="D131" s="388">
        <v>45056</v>
      </c>
      <c r="E131" s="389">
        <v>45056</v>
      </c>
      <c r="F131" s="390" t="str">
        <f t="shared" si="0"/>
        <v>Cooking</v>
      </c>
      <c r="G131" s="135">
        <v>2.81429519375791E-3</v>
      </c>
      <c r="H131" s="135">
        <v>2.5551119843618001E-3</v>
      </c>
      <c r="I131" s="135">
        <v>2.4154391167669799E-3</v>
      </c>
      <c r="J131" s="135">
        <v>2.31340609363158E-3</v>
      </c>
      <c r="K131" s="135">
        <v>2.8959228043603799E-3</v>
      </c>
      <c r="L131" s="135">
        <v>5.5365061204638499E-3</v>
      </c>
      <c r="M131" s="135">
        <v>1.51446179401643E-2</v>
      </c>
      <c r="N131" s="135">
        <v>1.6360270406179801E-2</v>
      </c>
      <c r="O131" s="135">
        <v>1.0832614995978301E-2</v>
      </c>
      <c r="P131" s="135">
        <v>1.3693985645891801E-2</v>
      </c>
      <c r="Q131" s="135">
        <v>2.00225266170602E-2</v>
      </c>
      <c r="R131" s="135">
        <v>2.5461090176451699E-2</v>
      </c>
      <c r="S131" s="135">
        <v>2.9022210746081498E-2</v>
      </c>
      <c r="T131" s="135">
        <v>1.81519739729297E-2</v>
      </c>
      <c r="U131" s="135">
        <v>2.3508914074682301E-2</v>
      </c>
      <c r="V131" s="135">
        <v>6.5277862793324301E-2</v>
      </c>
      <c r="W131" s="135">
        <v>0.17558927875345701</v>
      </c>
      <c r="X131" s="135">
        <v>0.24653755263577201</v>
      </c>
      <c r="Y131" s="135">
        <v>0.17799226602999599</v>
      </c>
      <c r="Z131" s="135">
        <v>9.4745676205406595E-2</v>
      </c>
      <c r="AA131" s="135">
        <v>3.3708674852722401E-2</v>
      </c>
      <c r="AB131" s="135">
        <v>1.6105943585181502E-2</v>
      </c>
      <c r="AC131" s="135">
        <v>6.9799147748093896E-3</v>
      </c>
      <c r="AD131" s="135">
        <v>3.7267590645568898E-3</v>
      </c>
      <c r="AF131" s="243">
        <f t="shared" si="1"/>
        <v>0.35703385713398672</v>
      </c>
      <c r="AG131" s="275">
        <f t="shared" si="2"/>
        <v>0.3559322134333478</v>
      </c>
      <c r="AH131" s="391">
        <f t="shared" si="3"/>
        <v>0.65546060115064031</v>
      </c>
      <c r="AI131" s="135">
        <f t="shared" si="4"/>
        <v>1.0113928145839881</v>
      </c>
    </row>
    <row r="132" spans="1:35" ht="12.6">
      <c r="A132" s="10" t="s">
        <v>186</v>
      </c>
      <c r="B132" s="10">
        <v>131</v>
      </c>
      <c r="C132" s="10" t="s">
        <v>1513</v>
      </c>
      <c r="D132" s="388">
        <v>45057</v>
      </c>
      <c r="E132" s="389">
        <v>45057</v>
      </c>
      <c r="F132" s="390" t="str">
        <f t="shared" si="0"/>
        <v>Cooking</v>
      </c>
      <c r="G132" s="135">
        <v>2.81429519375791E-3</v>
      </c>
      <c r="H132" s="135">
        <v>2.5551119843618001E-3</v>
      </c>
      <c r="I132" s="135">
        <v>2.4154391167669799E-3</v>
      </c>
      <c r="J132" s="135">
        <v>2.31340609363158E-3</v>
      </c>
      <c r="K132" s="135">
        <v>2.8959228043603799E-3</v>
      </c>
      <c r="L132" s="135">
        <v>5.5365061204638499E-3</v>
      </c>
      <c r="M132" s="135">
        <v>1.51446179401643E-2</v>
      </c>
      <c r="N132" s="135">
        <v>1.6360270406179801E-2</v>
      </c>
      <c r="O132" s="135">
        <v>1.0832614995978301E-2</v>
      </c>
      <c r="P132" s="135">
        <v>1.3693985645891801E-2</v>
      </c>
      <c r="Q132" s="135">
        <v>2.00225266170602E-2</v>
      </c>
      <c r="R132" s="135">
        <v>2.5461090176451699E-2</v>
      </c>
      <c r="S132" s="135">
        <v>2.9022210746081498E-2</v>
      </c>
      <c r="T132" s="135">
        <v>1.81519739729297E-2</v>
      </c>
      <c r="U132" s="135">
        <v>2.3508914074682301E-2</v>
      </c>
      <c r="V132" s="135">
        <v>6.5277862793324301E-2</v>
      </c>
      <c r="W132" s="135">
        <v>0.17558927875345701</v>
      </c>
      <c r="X132" s="135">
        <v>0.24653755263577201</v>
      </c>
      <c r="Y132" s="135">
        <v>0.17799226602999599</v>
      </c>
      <c r="Z132" s="135">
        <v>9.4745676205406595E-2</v>
      </c>
      <c r="AA132" s="135">
        <v>3.3708674852722401E-2</v>
      </c>
      <c r="AB132" s="135">
        <v>1.6105943585181502E-2</v>
      </c>
      <c r="AC132" s="135">
        <v>6.9799147748093896E-3</v>
      </c>
      <c r="AD132" s="135">
        <v>3.7267590645568898E-3</v>
      </c>
      <c r="AF132" s="243">
        <f t="shared" si="1"/>
        <v>0.35703385713398672</v>
      </c>
      <c r="AG132" s="275">
        <f t="shared" si="2"/>
        <v>0.3559322134333478</v>
      </c>
      <c r="AH132" s="391">
        <f t="shared" si="3"/>
        <v>0.65546060115064031</v>
      </c>
      <c r="AI132" s="135">
        <f t="shared" si="4"/>
        <v>1.0113928145839881</v>
      </c>
    </row>
    <row r="133" spans="1:35" ht="12.6">
      <c r="A133" s="10" t="s">
        <v>186</v>
      </c>
      <c r="B133" s="10">
        <v>132</v>
      </c>
      <c r="C133" s="10" t="s">
        <v>1513</v>
      </c>
      <c r="D133" s="388">
        <v>45058</v>
      </c>
      <c r="E133" s="389">
        <v>45058</v>
      </c>
      <c r="F133" s="390" t="str">
        <f t="shared" si="0"/>
        <v>Cooking</v>
      </c>
      <c r="G133" s="135">
        <v>2.81429519375791E-3</v>
      </c>
      <c r="H133" s="135">
        <v>2.5551119843618001E-3</v>
      </c>
      <c r="I133" s="135">
        <v>2.4154391167669799E-3</v>
      </c>
      <c r="J133" s="135">
        <v>2.31340609363158E-3</v>
      </c>
      <c r="K133" s="135">
        <v>2.8959228043603799E-3</v>
      </c>
      <c r="L133" s="135">
        <v>5.5365061204638499E-3</v>
      </c>
      <c r="M133" s="135">
        <v>1.51446179401643E-2</v>
      </c>
      <c r="N133" s="135">
        <v>1.6360270406179801E-2</v>
      </c>
      <c r="O133" s="135">
        <v>1.0832614995978301E-2</v>
      </c>
      <c r="P133" s="135">
        <v>1.3693985645891801E-2</v>
      </c>
      <c r="Q133" s="135">
        <v>2.00225266170602E-2</v>
      </c>
      <c r="R133" s="135">
        <v>2.5461090176451699E-2</v>
      </c>
      <c r="S133" s="135">
        <v>2.9022210746081498E-2</v>
      </c>
      <c r="T133" s="135">
        <v>1.81519739729297E-2</v>
      </c>
      <c r="U133" s="135">
        <v>2.3508914074682301E-2</v>
      </c>
      <c r="V133" s="135">
        <v>6.5277862793324301E-2</v>
      </c>
      <c r="W133" s="135">
        <v>0.17558927875345701</v>
      </c>
      <c r="X133" s="135">
        <v>0.24653755263577201</v>
      </c>
      <c r="Y133" s="135">
        <v>0.17799226602999599</v>
      </c>
      <c r="Z133" s="135">
        <v>9.4745676205406595E-2</v>
      </c>
      <c r="AA133" s="135">
        <v>3.3708674852722401E-2</v>
      </c>
      <c r="AB133" s="135">
        <v>1.6105943585181502E-2</v>
      </c>
      <c r="AC133" s="135">
        <v>6.9799147748093896E-3</v>
      </c>
      <c r="AD133" s="135">
        <v>3.7267590645568898E-3</v>
      </c>
      <c r="AF133" s="243">
        <f t="shared" si="1"/>
        <v>0.35703385713398672</v>
      </c>
      <c r="AG133" s="275">
        <f t="shared" si="2"/>
        <v>0.3559322134333478</v>
      </c>
      <c r="AH133" s="391">
        <f t="shared" si="3"/>
        <v>0.65546060115064031</v>
      </c>
      <c r="AI133" s="135">
        <f t="shared" si="4"/>
        <v>1.0113928145839881</v>
      </c>
    </row>
    <row r="134" spans="1:35" ht="12.6">
      <c r="A134" s="10" t="s">
        <v>186</v>
      </c>
      <c r="B134" s="10">
        <v>133</v>
      </c>
      <c r="C134" s="10" t="s">
        <v>1513</v>
      </c>
      <c r="D134" s="388">
        <v>45059</v>
      </c>
      <c r="E134" s="389">
        <v>45059</v>
      </c>
      <c r="F134" s="390" t="str">
        <f t="shared" si="0"/>
        <v>Cooking</v>
      </c>
      <c r="G134" s="135">
        <v>3.6656307091365498E-3</v>
      </c>
      <c r="H134" s="135">
        <v>2.33142342649036E-3</v>
      </c>
      <c r="I134" s="135">
        <v>2.2763960627801799E-3</v>
      </c>
      <c r="J134" s="135">
        <v>2.3023229059703802E-3</v>
      </c>
      <c r="K134" s="135">
        <v>2.57846622909385E-3</v>
      </c>
      <c r="L134" s="135">
        <v>4.57948267488331E-3</v>
      </c>
      <c r="M134" s="135">
        <v>9.0312841800590793E-3</v>
      </c>
      <c r="N134" s="135">
        <v>2.2340750077030701E-2</v>
      </c>
      <c r="O134" s="135">
        <v>3.4885142248158703E-2</v>
      </c>
      <c r="P134" s="135">
        <v>3.8939132625652503E-2</v>
      </c>
      <c r="Q134" s="135">
        <v>4.5458835458915402E-2</v>
      </c>
      <c r="R134" s="135">
        <v>5.3262940138182502E-2</v>
      </c>
      <c r="S134" s="135">
        <v>4.9190929243740598E-2</v>
      </c>
      <c r="T134" s="135">
        <v>4.81727877888894E-2</v>
      </c>
      <c r="U134" s="135">
        <v>4.0569351465478701E-2</v>
      </c>
      <c r="V134" s="135">
        <v>6.5540462975852296E-2</v>
      </c>
      <c r="W134" s="135">
        <v>0.14411883389587299</v>
      </c>
      <c r="X134" s="135">
        <v>0.18428363548191101</v>
      </c>
      <c r="Y134" s="135">
        <v>0.12797645587140899</v>
      </c>
      <c r="Z134" s="135">
        <v>6.0388189040027698E-2</v>
      </c>
      <c r="AA134" s="135">
        <v>2.3289512205446401E-2</v>
      </c>
      <c r="AB134" s="135">
        <v>9.5474673981147291E-3</v>
      </c>
      <c r="AC134" s="135">
        <v>5.8839909641591496E-3</v>
      </c>
      <c r="AD134" s="135">
        <v>5.2694264709170898E-3</v>
      </c>
      <c r="AF134" s="243">
        <f t="shared" si="1"/>
        <v>0.44631414096693189</v>
      </c>
      <c r="AG134" s="275">
        <f t="shared" si="2"/>
        <v>0.38551078899332381</v>
      </c>
      <c r="AH134" s="391">
        <f t="shared" si="3"/>
        <v>0.60037206054484871</v>
      </c>
      <c r="AI134" s="135">
        <f t="shared" si="4"/>
        <v>0.98588284953817251</v>
      </c>
    </row>
    <row r="135" spans="1:35" ht="12.6">
      <c r="A135" s="10" t="s">
        <v>186</v>
      </c>
      <c r="B135" s="10">
        <v>134</v>
      </c>
      <c r="C135" s="10" t="s">
        <v>1513</v>
      </c>
      <c r="D135" s="388">
        <v>45060</v>
      </c>
      <c r="E135" s="389">
        <v>45060</v>
      </c>
      <c r="F135" s="390" t="str">
        <f t="shared" si="0"/>
        <v>Cooking</v>
      </c>
      <c r="G135" s="135">
        <v>3.6656307091365498E-3</v>
      </c>
      <c r="H135" s="135">
        <v>2.33142342649036E-3</v>
      </c>
      <c r="I135" s="135">
        <v>2.2763960627801799E-3</v>
      </c>
      <c r="J135" s="135">
        <v>2.3023229059703802E-3</v>
      </c>
      <c r="K135" s="135">
        <v>2.57846622909385E-3</v>
      </c>
      <c r="L135" s="135">
        <v>4.57948267488331E-3</v>
      </c>
      <c r="M135" s="135">
        <v>9.0312841800590793E-3</v>
      </c>
      <c r="N135" s="135">
        <v>2.2340750077030701E-2</v>
      </c>
      <c r="O135" s="135">
        <v>3.4885142248158703E-2</v>
      </c>
      <c r="P135" s="135">
        <v>3.8939132625652503E-2</v>
      </c>
      <c r="Q135" s="135">
        <v>4.5458835458915402E-2</v>
      </c>
      <c r="R135" s="135">
        <v>5.3262940138182502E-2</v>
      </c>
      <c r="S135" s="135">
        <v>4.9190929243740598E-2</v>
      </c>
      <c r="T135" s="135">
        <v>4.81727877888894E-2</v>
      </c>
      <c r="U135" s="135">
        <v>4.0569351465478701E-2</v>
      </c>
      <c r="V135" s="135">
        <v>6.5540462975852296E-2</v>
      </c>
      <c r="W135" s="135">
        <v>0.14411883389587299</v>
      </c>
      <c r="X135" s="135">
        <v>0.18428363548191101</v>
      </c>
      <c r="Y135" s="135">
        <v>0.12797645587140899</v>
      </c>
      <c r="Z135" s="135">
        <v>6.0388189040027698E-2</v>
      </c>
      <c r="AA135" s="135">
        <v>2.3289512205446401E-2</v>
      </c>
      <c r="AB135" s="135">
        <v>9.5474673981147291E-3</v>
      </c>
      <c r="AC135" s="135">
        <v>5.8839909641591496E-3</v>
      </c>
      <c r="AD135" s="135">
        <v>5.2694264709170898E-3</v>
      </c>
      <c r="AF135" s="243">
        <f t="shared" si="1"/>
        <v>0.44631414096693189</v>
      </c>
      <c r="AG135" s="275">
        <f t="shared" si="2"/>
        <v>0.38551078899332381</v>
      </c>
      <c r="AH135" s="391">
        <f t="shared" si="3"/>
        <v>0.60037206054484871</v>
      </c>
      <c r="AI135" s="135">
        <f t="shared" si="4"/>
        <v>0.98588284953817251</v>
      </c>
    </row>
    <row r="136" spans="1:35" ht="12.6">
      <c r="A136" s="10" t="s">
        <v>186</v>
      </c>
      <c r="B136" s="10">
        <v>135</v>
      </c>
      <c r="C136" s="10" t="s">
        <v>1513</v>
      </c>
      <c r="D136" s="388">
        <v>45061</v>
      </c>
      <c r="E136" s="389">
        <v>45061</v>
      </c>
      <c r="F136" s="390" t="str">
        <f t="shared" si="0"/>
        <v>Cooking</v>
      </c>
      <c r="G136" s="135">
        <v>2.81429519375791E-3</v>
      </c>
      <c r="H136" s="135">
        <v>2.5551119843618001E-3</v>
      </c>
      <c r="I136" s="135">
        <v>2.4154391167669799E-3</v>
      </c>
      <c r="J136" s="135">
        <v>2.31340609363158E-3</v>
      </c>
      <c r="K136" s="135">
        <v>2.8959228043603799E-3</v>
      </c>
      <c r="L136" s="135">
        <v>5.5365061204638499E-3</v>
      </c>
      <c r="M136" s="135">
        <v>1.51446179401643E-2</v>
      </c>
      <c r="N136" s="135">
        <v>1.6360270406179801E-2</v>
      </c>
      <c r="O136" s="135">
        <v>1.0832614995978301E-2</v>
      </c>
      <c r="P136" s="135">
        <v>1.3693985645891801E-2</v>
      </c>
      <c r="Q136" s="135">
        <v>2.00225266170602E-2</v>
      </c>
      <c r="R136" s="135">
        <v>2.5461090176451699E-2</v>
      </c>
      <c r="S136" s="135">
        <v>2.9022210746081498E-2</v>
      </c>
      <c r="T136" s="135">
        <v>1.81519739729297E-2</v>
      </c>
      <c r="U136" s="135">
        <v>2.3508914074682301E-2</v>
      </c>
      <c r="V136" s="135">
        <v>6.5277862793324301E-2</v>
      </c>
      <c r="W136" s="135">
        <v>0.17558927875345701</v>
      </c>
      <c r="X136" s="135">
        <v>0.24653755263577201</v>
      </c>
      <c r="Y136" s="135">
        <v>0.17799226602999599</v>
      </c>
      <c r="Z136" s="135">
        <v>9.4745676205406595E-2</v>
      </c>
      <c r="AA136" s="135">
        <v>3.3708674852722401E-2</v>
      </c>
      <c r="AB136" s="135">
        <v>1.6105943585181502E-2</v>
      </c>
      <c r="AC136" s="135">
        <v>6.9799147748093896E-3</v>
      </c>
      <c r="AD136" s="135">
        <v>3.7267590645568898E-3</v>
      </c>
      <c r="AF136" s="243">
        <f t="shared" si="1"/>
        <v>0.35703385713398672</v>
      </c>
      <c r="AG136" s="275">
        <f t="shared" si="2"/>
        <v>0.3559322134333478</v>
      </c>
      <c r="AH136" s="391">
        <f t="shared" si="3"/>
        <v>0.65546060115064031</v>
      </c>
      <c r="AI136" s="135">
        <f t="shared" si="4"/>
        <v>1.0113928145839881</v>
      </c>
    </row>
    <row r="137" spans="1:35" ht="12.6">
      <c r="A137" s="10" t="s">
        <v>186</v>
      </c>
      <c r="B137" s="10">
        <v>136</v>
      </c>
      <c r="C137" s="10" t="s">
        <v>1513</v>
      </c>
      <c r="D137" s="388">
        <v>45062</v>
      </c>
      <c r="E137" s="389">
        <v>45062</v>
      </c>
      <c r="F137" s="390" t="str">
        <f t="shared" si="0"/>
        <v>Cooking</v>
      </c>
      <c r="G137" s="135">
        <v>2.81429519375791E-3</v>
      </c>
      <c r="H137" s="135">
        <v>2.5551119843618001E-3</v>
      </c>
      <c r="I137" s="135">
        <v>2.4154391167669799E-3</v>
      </c>
      <c r="J137" s="135">
        <v>2.31340609363158E-3</v>
      </c>
      <c r="K137" s="135">
        <v>2.8959228043603799E-3</v>
      </c>
      <c r="L137" s="135">
        <v>5.5365061204638499E-3</v>
      </c>
      <c r="M137" s="135">
        <v>1.51446179401643E-2</v>
      </c>
      <c r="N137" s="135">
        <v>1.6360270406179801E-2</v>
      </c>
      <c r="O137" s="135">
        <v>1.0832614995978301E-2</v>
      </c>
      <c r="P137" s="135">
        <v>1.3693985645891801E-2</v>
      </c>
      <c r="Q137" s="135">
        <v>2.00225266170602E-2</v>
      </c>
      <c r="R137" s="135">
        <v>2.5461090176451699E-2</v>
      </c>
      <c r="S137" s="135">
        <v>2.9022210746081498E-2</v>
      </c>
      <c r="T137" s="135">
        <v>1.81519739729297E-2</v>
      </c>
      <c r="U137" s="135">
        <v>2.3508914074682301E-2</v>
      </c>
      <c r="V137" s="135">
        <v>6.5277862793324301E-2</v>
      </c>
      <c r="W137" s="135">
        <v>0.17558927875345701</v>
      </c>
      <c r="X137" s="135">
        <v>0.24653755263577201</v>
      </c>
      <c r="Y137" s="135">
        <v>0.17799226602999599</v>
      </c>
      <c r="Z137" s="135">
        <v>9.4745676205406595E-2</v>
      </c>
      <c r="AA137" s="135">
        <v>3.3708674852722401E-2</v>
      </c>
      <c r="AB137" s="135">
        <v>1.6105943585181502E-2</v>
      </c>
      <c r="AC137" s="135">
        <v>6.9799147748093896E-3</v>
      </c>
      <c r="AD137" s="135">
        <v>3.7267590645568898E-3</v>
      </c>
      <c r="AF137" s="243">
        <f t="shared" si="1"/>
        <v>0.35703385713398672</v>
      </c>
      <c r="AG137" s="275">
        <f t="shared" si="2"/>
        <v>0.3559322134333478</v>
      </c>
      <c r="AH137" s="391">
        <f t="shared" si="3"/>
        <v>0.65546060115064031</v>
      </c>
      <c r="AI137" s="135">
        <f t="shared" si="4"/>
        <v>1.0113928145839881</v>
      </c>
    </row>
    <row r="138" spans="1:35" ht="12.6">
      <c r="A138" s="10" t="s">
        <v>186</v>
      </c>
      <c r="B138" s="10">
        <v>137</v>
      </c>
      <c r="C138" s="10" t="s">
        <v>1513</v>
      </c>
      <c r="D138" s="388">
        <v>45063</v>
      </c>
      <c r="E138" s="389">
        <v>45063</v>
      </c>
      <c r="F138" s="390" t="str">
        <f t="shared" si="0"/>
        <v>Cooking</v>
      </c>
      <c r="G138" s="135">
        <v>2.81429519375791E-3</v>
      </c>
      <c r="H138" s="135">
        <v>2.5551119843618001E-3</v>
      </c>
      <c r="I138" s="135">
        <v>2.4154391167669799E-3</v>
      </c>
      <c r="J138" s="135">
        <v>2.31340609363158E-3</v>
      </c>
      <c r="K138" s="135">
        <v>2.8959228043603799E-3</v>
      </c>
      <c r="L138" s="135">
        <v>5.5365061204638499E-3</v>
      </c>
      <c r="M138" s="135">
        <v>1.51446179401643E-2</v>
      </c>
      <c r="N138" s="135">
        <v>1.6360270406179801E-2</v>
      </c>
      <c r="O138" s="135">
        <v>1.0832614995978301E-2</v>
      </c>
      <c r="P138" s="135">
        <v>1.3693985645891801E-2</v>
      </c>
      <c r="Q138" s="135">
        <v>2.00225266170602E-2</v>
      </c>
      <c r="R138" s="135">
        <v>2.5461090176451699E-2</v>
      </c>
      <c r="S138" s="135">
        <v>2.9022210746081498E-2</v>
      </c>
      <c r="T138" s="135">
        <v>1.81519739729297E-2</v>
      </c>
      <c r="U138" s="135">
        <v>2.3508914074682301E-2</v>
      </c>
      <c r="V138" s="135">
        <v>6.5277862793324301E-2</v>
      </c>
      <c r="W138" s="135">
        <v>0.17558927875345701</v>
      </c>
      <c r="X138" s="135">
        <v>0.24653755263577201</v>
      </c>
      <c r="Y138" s="135">
        <v>0.17799226602999599</v>
      </c>
      <c r="Z138" s="135">
        <v>9.4745676205406595E-2</v>
      </c>
      <c r="AA138" s="135">
        <v>3.3708674852722401E-2</v>
      </c>
      <c r="AB138" s="135">
        <v>1.6105943585181502E-2</v>
      </c>
      <c r="AC138" s="135">
        <v>6.9799147748093896E-3</v>
      </c>
      <c r="AD138" s="135">
        <v>3.7267590645568898E-3</v>
      </c>
      <c r="AF138" s="243">
        <f t="shared" si="1"/>
        <v>0.35703385713398672</v>
      </c>
      <c r="AG138" s="275">
        <f t="shared" si="2"/>
        <v>0.3559322134333478</v>
      </c>
      <c r="AH138" s="391">
        <f t="shared" si="3"/>
        <v>0.65546060115064031</v>
      </c>
      <c r="AI138" s="135">
        <f t="shared" si="4"/>
        <v>1.0113928145839881</v>
      </c>
    </row>
    <row r="139" spans="1:35" ht="12.6">
      <c r="A139" s="10" t="s">
        <v>186</v>
      </c>
      <c r="B139" s="10">
        <v>138</v>
      </c>
      <c r="C139" s="10" t="s">
        <v>1513</v>
      </c>
      <c r="D139" s="388">
        <v>45064</v>
      </c>
      <c r="E139" s="389">
        <v>45064</v>
      </c>
      <c r="F139" s="390" t="str">
        <f t="shared" si="0"/>
        <v>Cooking</v>
      </c>
      <c r="G139" s="135">
        <v>2.81429519375791E-3</v>
      </c>
      <c r="H139" s="135">
        <v>2.5551119843618001E-3</v>
      </c>
      <c r="I139" s="135">
        <v>2.4154391167669799E-3</v>
      </c>
      <c r="J139" s="135">
        <v>2.31340609363158E-3</v>
      </c>
      <c r="K139" s="135">
        <v>2.8959228043603799E-3</v>
      </c>
      <c r="L139" s="135">
        <v>5.5365061204638499E-3</v>
      </c>
      <c r="M139" s="135">
        <v>1.51446179401643E-2</v>
      </c>
      <c r="N139" s="135">
        <v>1.6360270406179801E-2</v>
      </c>
      <c r="O139" s="135">
        <v>1.0832614995978301E-2</v>
      </c>
      <c r="P139" s="135">
        <v>1.3693985645891801E-2</v>
      </c>
      <c r="Q139" s="135">
        <v>2.00225266170602E-2</v>
      </c>
      <c r="R139" s="135">
        <v>2.5461090176451699E-2</v>
      </c>
      <c r="S139" s="135">
        <v>2.9022210746081498E-2</v>
      </c>
      <c r="T139" s="135">
        <v>1.81519739729297E-2</v>
      </c>
      <c r="U139" s="135">
        <v>2.3508914074682301E-2</v>
      </c>
      <c r="V139" s="135">
        <v>6.5277862793324301E-2</v>
      </c>
      <c r="W139" s="135">
        <v>0.17558927875345701</v>
      </c>
      <c r="X139" s="135">
        <v>0.24653755263577201</v>
      </c>
      <c r="Y139" s="135">
        <v>0.17799226602999599</v>
      </c>
      <c r="Z139" s="135">
        <v>9.4745676205406595E-2</v>
      </c>
      <c r="AA139" s="135">
        <v>3.3708674852722401E-2</v>
      </c>
      <c r="AB139" s="135">
        <v>1.6105943585181502E-2</v>
      </c>
      <c r="AC139" s="135">
        <v>6.9799147748093896E-3</v>
      </c>
      <c r="AD139" s="135">
        <v>3.7267590645568898E-3</v>
      </c>
      <c r="AF139" s="243">
        <f t="shared" si="1"/>
        <v>0.35703385713398672</v>
      </c>
      <c r="AG139" s="275">
        <f t="shared" si="2"/>
        <v>0.3559322134333478</v>
      </c>
      <c r="AH139" s="391">
        <f t="shared" si="3"/>
        <v>0.65546060115064031</v>
      </c>
      <c r="AI139" s="135">
        <f t="shared" si="4"/>
        <v>1.0113928145839881</v>
      </c>
    </row>
    <row r="140" spans="1:35" ht="12.6">
      <c r="A140" s="10" t="s">
        <v>186</v>
      </c>
      <c r="B140" s="10">
        <v>139</v>
      </c>
      <c r="C140" s="10" t="s">
        <v>1513</v>
      </c>
      <c r="D140" s="388">
        <v>45065</v>
      </c>
      <c r="E140" s="389">
        <v>45065</v>
      </c>
      <c r="F140" s="390" t="str">
        <f t="shared" si="0"/>
        <v>Cooking</v>
      </c>
      <c r="G140" s="135">
        <v>2.81429519375791E-3</v>
      </c>
      <c r="H140" s="135">
        <v>2.5551119843618001E-3</v>
      </c>
      <c r="I140" s="135">
        <v>2.4154391167669799E-3</v>
      </c>
      <c r="J140" s="135">
        <v>2.31340609363158E-3</v>
      </c>
      <c r="K140" s="135">
        <v>2.8959228043603799E-3</v>
      </c>
      <c r="L140" s="135">
        <v>5.5365061204638499E-3</v>
      </c>
      <c r="M140" s="135">
        <v>1.51446179401643E-2</v>
      </c>
      <c r="N140" s="135">
        <v>1.6360270406179801E-2</v>
      </c>
      <c r="O140" s="135">
        <v>1.0832614995978301E-2</v>
      </c>
      <c r="P140" s="135">
        <v>1.3693985645891801E-2</v>
      </c>
      <c r="Q140" s="135">
        <v>2.00225266170602E-2</v>
      </c>
      <c r="R140" s="135">
        <v>2.5461090176451699E-2</v>
      </c>
      <c r="S140" s="135">
        <v>2.9022210746081498E-2</v>
      </c>
      <c r="T140" s="135">
        <v>1.81519739729297E-2</v>
      </c>
      <c r="U140" s="135">
        <v>2.3508914074682301E-2</v>
      </c>
      <c r="V140" s="135">
        <v>6.5277862793324301E-2</v>
      </c>
      <c r="W140" s="135">
        <v>0.17558927875345701</v>
      </c>
      <c r="X140" s="135">
        <v>0.24653755263577201</v>
      </c>
      <c r="Y140" s="135">
        <v>0.17799226602999599</v>
      </c>
      <c r="Z140" s="135">
        <v>9.4745676205406595E-2</v>
      </c>
      <c r="AA140" s="135">
        <v>3.3708674852722401E-2</v>
      </c>
      <c r="AB140" s="135">
        <v>1.6105943585181502E-2</v>
      </c>
      <c r="AC140" s="135">
        <v>6.9799147748093896E-3</v>
      </c>
      <c r="AD140" s="135">
        <v>3.7267590645568898E-3</v>
      </c>
      <c r="AF140" s="243">
        <f t="shared" si="1"/>
        <v>0.35703385713398672</v>
      </c>
      <c r="AG140" s="275">
        <f t="shared" si="2"/>
        <v>0.3559322134333478</v>
      </c>
      <c r="AH140" s="391">
        <f t="shared" si="3"/>
        <v>0.65546060115064031</v>
      </c>
      <c r="AI140" s="135">
        <f t="shared" si="4"/>
        <v>1.0113928145839881</v>
      </c>
    </row>
    <row r="141" spans="1:35" ht="12.6">
      <c r="A141" s="10" t="s">
        <v>186</v>
      </c>
      <c r="B141" s="10">
        <v>140</v>
      </c>
      <c r="C141" s="10" t="s">
        <v>1513</v>
      </c>
      <c r="D141" s="388">
        <v>45066</v>
      </c>
      <c r="E141" s="389">
        <v>45066</v>
      </c>
      <c r="F141" s="390" t="str">
        <f t="shared" si="0"/>
        <v>Cooking</v>
      </c>
      <c r="G141" s="135">
        <v>3.6656307091365498E-3</v>
      </c>
      <c r="H141" s="135">
        <v>2.33142342649036E-3</v>
      </c>
      <c r="I141" s="135">
        <v>2.2763960627801799E-3</v>
      </c>
      <c r="J141" s="135">
        <v>2.3023229059703802E-3</v>
      </c>
      <c r="K141" s="135">
        <v>2.57846622909385E-3</v>
      </c>
      <c r="L141" s="135">
        <v>4.57948267488331E-3</v>
      </c>
      <c r="M141" s="135">
        <v>9.0312841800590793E-3</v>
      </c>
      <c r="N141" s="135">
        <v>2.2340750077030701E-2</v>
      </c>
      <c r="O141" s="135">
        <v>3.4885142248158703E-2</v>
      </c>
      <c r="P141" s="135">
        <v>3.8939132625652503E-2</v>
      </c>
      <c r="Q141" s="135">
        <v>4.5458835458915402E-2</v>
      </c>
      <c r="R141" s="135">
        <v>5.3262940138182502E-2</v>
      </c>
      <c r="S141" s="135">
        <v>4.9190929243740598E-2</v>
      </c>
      <c r="T141" s="135">
        <v>4.81727877888894E-2</v>
      </c>
      <c r="U141" s="135">
        <v>4.0569351465478701E-2</v>
      </c>
      <c r="V141" s="135">
        <v>6.5540462975852296E-2</v>
      </c>
      <c r="W141" s="135">
        <v>0.14411883389587299</v>
      </c>
      <c r="X141" s="135">
        <v>0.18428363548191101</v>
      </c>
      <c r="Y141" s="135">
        <v>0.12797645587140899</v>
      </c>
      <c r="Z141" s="135">
        <v>6.0388189040027698E-2</v>
      </c>
      <c r="AA141" s="135">
        <v>2.3289512205446401E-2</v>
      </c>
      <c r="AB141" s="135">
        <v>9.5474673981147291E-3</v>
      </c>
      <c r="AC141" s="135">
        <v>5.8839909641591496E-3</v>
      </c>
      <c r="AD141" s="135">
        <v>5.2694264709170898E-3</v>
      </c>
      <c r="AF141" s="243">
        <f t="shared" si="1"/>
        <v>0.44631414096693189</v>
      </c>
      <c r="AG141" s="275">
        <f t="shared" si="2"/>
        <v>0.38551078899332381</v>
      </c>
      <c r="AH141" s="391">
        <f t="shared" si="3"/>
        <v>0.60037206054484871</v>
      </c>
      <c r="AI141" s="135">
        <f t="shared" si="4"/>
        <v>0.98588284953817251</v>
      </c>
    </row>
    <row r="142" spans="1:35" ht="12.6">
      <c r="A142" s="10" t="s">
        <v>186</v>
      </c>
      <c r="B142" s="10">
        <v>141</v>
      </c>
      <c r="C142" s="10" t="s">
        <v>1513</v>
      </c>
      <c r="D142" s="388">
        <v>45067</v>
      </c>
      <c r="E142" s="389">
        <v>45067</v>
      </c>
      <c r="F142" s="390" t="str">
        <f t="shared" si="0"/>
        <v>Cooking</v>
      </c>
      <c r="G142" s="135">
        <v>3.6656307091365498E-3</v>
      </c>
      <c r="H142" s="135">
        <v>2.33142342649036E-3</v>
      </c>
      <c r="I142" s="135">
        <v>2.2763960627801799E-3</v>
      </c>
      <c r="J142" s="135">
        <v>2.3023229059703802E-3</v>
      </c>
      <c r="K142" s="135">
        <v>2.57846622909385E-3</v>
      </c>
      <c r="L142" s="135">
        <v>4.57948267488331E-3</v>
      </c>
      <c r="M142" s="135">
        <v>9.0312841800590793E-3</v>
      </c>
      <c r="N142" s="135">
        <v>2.2340750077030701E-2</v>
      </c>
      <c r="O142" s="135">
        <v>3.4885142248158703E-2</v>
      </c>
      <c r="P142" s="135">
        <v>3.8939132625652503E-2</v>
      </c>
      <c r="Q142" s="135">
        <v>4.5458835458915402E-2</v>
      </c>
      <c r="R142" s="135">
        <v>5.3262940138182502E-2</v>
      </c>
      <c r="S142" s="135">
        <v>4.9190929243740598E-2</v>
      </c>
      <c r="T142" s="135">
        <v>4.81727877888894E-2</v>
      </c>
      <c r="U142" s="135">
        <v>4.0569351465478701E-2</v>
      </c>
      <c r="V142" s="135">
        <v>6.5540462975852296E-2</v>
      </c>
      <c r="W142" s="135">
        <v>0.14411883389587299</v>
      </c>
      <c r="X142" s="135">
        <v>0.18428363548191101</v>
      </c>
      <c r="Y142" s="135">
        <v>0.12797645587140899</v>
      </c>
      <c r="Z142" s="135">
        <v>6.0388189040027698E-2</v>
      </c>
      <c r="AA142" s="135">
        <v>2.3289512205446401E-2</v>
      </c>
      <c r="AB142" s="135">
        <v>9.5474673981147291E-3</v>
      </c>
      <c r="AC142" s="135">
        <v>5.8839909641591496E-3</v>
      </c>
      <c r="AD142" s="135">
        <v>5.2694264709170898E-3</v>
      </c>
      <c r="AF142" s="243">
        <f t="shared" si="1"/>
        <v>0.44631414096693189</v>
      </c>
      <c r="AG142" s="275">
        <f t="shared" si="2"/>
        <v>0.38551078899332381</v>
      </c>
      <c r="AH142" s="391">
        <f t="shared" si="3"/>
        <v>0.60037206054484871</v>
      </c>
      <c r="AI142" s="135">
        <f t="shared" si="4"/>
        <v>0.98588284953817251</v>
      </c>
    </row>
    <row r="143" spans="1:35" ht="12.6">
      <c r="A143" s="10" t="s">
        <v>186</v>
      </c>
      <c r="B143" s="10">
        <v>142</v>
      </c>
      <c r="C143" s="10" t="s">
        <v>1513</v>
      </c>
      <c r="D143" s="388">
        <v>45068</v>
      </c>
      <c r="E143" s="389">
        <v>45068</v>
      </c>
      <c r="F143" s="390" t="str">
        <f t="shared" si="0"/>
        <v>Cooking</v>
      </c>
      <c r="G143" s="135">
        <v>2.81429519375791E-3</v>
      </c>
      <c r="H143" s="135">
        <v>2.5551119843618001E-3</v>
      </c>
      <c r="I143" s="135">
        <v>2.4154391167669799E-3</v>
      </c>
      <c r="J143" s="135">
        <v>2.31340609363158E-3</v>
      </c>
      <c r="K143" s="135">
        <v>2.8959228043603799E-3</v>
      </c>
      <c r="L143" s="135">
        <v>5.5365061204638499E-3</v>
      </c>
      <c r="M143" s="135">
        <v>1.51446179401643E-2</v>
      </c>
      <c r="N143" s="135">
        <v>1.6360270406179801E-2</v>
      </c>
      <c r="O143" s="135">
        <v>1.0832614995978301E-2</v>
      </c>
      <c r="P143" s="135">
        <v>1.3693985645891801E-2</v>
      </c>
      <c r="Q143" s="135">
        <v>2.00225266170602E-2</v>
      </c>
      <c r="R143" s="135">
        <v>2.5461090176451699E-2</v>
      </c>
      <c r="S143" s="135">
        <v>2.9022210746081498E-2</v>
      </c>
      <c r="T143" s="135">
        <v>1.81519739729297E-2</v>
      </c>
      <c r="U143" s="135">
        <v>2.3508914074682301E-2</v>
      </c>
      <c r="V143" s="135">
        <v>6.5277862793324301E-2</v>
      </c>
      <c r="W143" s="135">
        <v>0.17558927875345701</v>
      </c>
      <c r="X143" s="135">
        <v>0.24653755263577201</v>
      </c>
      <c r="Y143" s="135">
        <v>0.17799226602999599</v>
      </c>
      <c r="Z143" s="135">
        <v>9.4745676205406595E-2</v>
      </c>
      <c r="AA143" s="135">
        <v>3.3708674852722401E-2</v>
      </c>
      <c r="AB143" s="135">
        <v>1.6105943585181502E-2</v>
      </c>
      <c r="AC143" s="135">
        <v>6.9799147748093896E-3</v>
      </c>
      <c r="AD143" s="135">
        <v>3.7267590645568898E-3</v>
      </c>
      <c r="AF143" s="243">
        <f t="shared" si="1"/>
        <v>0.35703385713398672</v>
      </c>
      <c r="AG143" s="275">
        <f t="shared" si="2"/>
        <v>0.3559322134333478</v>
      </c>
      <c r="AH143" s="391">
        <f t="shared" si="3"/>
        <v>0.65546060115064031</v>
      </c>
      <c r="AI143" s="135">
        <f t="shared" si="4"/>
        <v>1.0113928145839881</v>
      </c>
    </row>
    <row r="144" spans="1:35" ht="12.6">
      <c r="A144" s="10" t="s">
        <v>186</v>
      </c>
      <c r="B144" s="10">
        <v>143</v>
      </c>
      <c r="C144" s="10" t="s">
        <v>1513</v>
      </c>
      <c r="D144" s="388">
        <v>45069</v>
      </c>
      <c r="E144" s="389">
        <v>45069</v>
      </c>
      <c r="F144" s="390" t="str">
        <f t="shared" si="0"/>
        <v>Cooking</v>
      </c>
      <c r="G144" s="135">
        <v>2.81429519375791E-3</v>
      </c>
      <c r="H144" s="135">
        <v>2.5551119843618001E-3</v>
      </c>
      <c r="I144" s="135">
        <v>2.4154391167669799E-3</v>
      </c>
      <c r="J144" s="135">
        <v>2.31340609363158E-3</v>
      </c>
      <c r="K144" s="135">
        <v>2.8959228043603799E-3</v>
      </c>
      <c r="L144" s="135">
        <v>5.5365061204638499E-3</v>
      </c>
      <c r="M144" s="135">
        <v>1.51446179401643E-2</v>
      </c>
      <c r="N144" s="135">
        <v>1.6360270406179801E-2</v>
      </c>
      <c r="O144" s="135">
        <v>1.0832614995978301E-2</v>
      </c>
      <c r="P144" s="135">
        <v>1.3693985645891801E-2</v>
      </c>
      <c r="Q144" s="135">
        <v>2.00225266170602E-2</v>
      </c>
      <c r="R144" s="135">
        <v>2.5461090176451699E-2</v>
      </c>
      <c r="S144" s="135">
        <v>2.9022210746081498E-2</v>
      </c>
      <c r="T144" s="135">
        <v>1.81519739729297E-2</v>
      </c>
      <c r="U144" s="135">
        <v>2.3508914074682301E-2</v>
      </c>
      <c r="V144" s="135">
        <v>6.5277862793324301E-2</v>
      </c>
      <c r="W144" s="135">
        <v>0.17558927875345701</v>
      </c>
      <c r="X144" s="135">
        <v>0.24653755263577201</v>
      </c>
      <c r="Y144" s="135">
        <v>0.17799226602999599</v>
      </c>
      <c r="Z144" s="135">
        <v>9.4745676205406595E-2</v>
      </c>
      <c r="AA144" s="135">
        <v>3.3708674852722401E-2</v>
      </c>
      <c r="AB144" s="135">
        <v>1.6105943585181502E-2</v>
      </c>
      <c r="AC144" s="135">
        <v>6.9799147748093896E-3</v>
      </c>
      <c r="AD144" s="135">
        <v>3.7267590645568898E-3</v>
      </c>
      <c r="AF144" s="243">
        <f t="shared" si="1"/>
        <v>0.35703385713398672</v>
      </c>
      <c r="AG144" s="275">
        <f t="shared" si="2"/>
        <v>0.3559322134333478</v>
      </c>
      <c r="AH144" s="391">
        <f t="shared" si="3"/>
        <v>0.65546060115064031</v>
      </c>
      <c r="AI144" s="135">
        <f t="shared" si="4"/>
        <v>1.0113928145839881</v>
      </c>
    </row>
    <row r="145" spans="1:35" ht="12.6">
      <c r="A145" s="10" t="s">
        <v>186</v>
      </c>
      <c r="B145" s="10">
        <v>144</v>
      </c>
      <c r="C145" s="10" t="s">
        <v>1513</v>
      </c>
      <c r="D145" s="388">
        <v>45070</v>
      </c>
      <c r="E145" s="389">
        <v>45070</v>
      </c>
      <c r="F145" s="390" t="str">
        <f t="shared" si="0"/>
        <v>Cooking</v>
      </c>
      <c r="G145" s="135">
        <v>2.81429519375791E-3</v>
      </c>
      <c r="H145" s="135">
        <v>2.5551119843618001E-3</v>
      </c>
      <c r="I145" s="135">
        <v>2.4154391167669799E-3</v>
      </c>
      <c r="J145" s="135">
        <v>2.31340609363158E-3</v>
      </c>
      <c r="K145" s="135">
        <v>2.8959228043603799E-3</v>
      </c>
      <c r="L145" s="135">
        <v>5.5365061204638499E-3</v>
      </c>
      <c r="M145" s="135">
        <v>1.51446179401643E-2</v>
      </c>
      <c r="N145" s="135">
        <v>1.6360270406179801E-2</v>
      </c>
      <c r="O145" s="135">
        <v>1.0832614995978301E-2</v>
      </c>
      <c r="P145" s="135">
        <v>1.3693985645891801E-2</v>
      </c>
      <c r="Q145" s="135">
        <v>2.00225266170602E-2</v>
      </c>
      <c r="R145" s="135">
        <v>2.5461090176451699E-2</v>
      </c>
      <c r="S145" s="135">
        <v>2.9022210746081498E-2</v>
      </c>
      <c r="T145" s="135">
        <v>1.81519739729297E-2</v>
      </c>
      <c r="U145" s="135">
        <v>2.3508914074682301E-2</v>
      </c>
      <c r="V145" s="135">
        <v>6.5277862793324301E-2</v>
      </c>
      <c r="W145" s="135">
        <v>0.17558927875345701</v>
      </c>
      <c r="X145" s="135">
        <v>0.24653755263577201</v>
      </c>
      <c r="Y145" s="135">
        <v>0.17799226602999599</v>
      </c>
      <c r="Z145" s="135">
        <v>9.4745676205406595E-2</v>
      </c>
      <c r="AA145" s="135">
        <v>3.3708674852722401E-2</v>
      </c>
      <c r="AB145" s="135">
        <v>1.6105943585181502E-2</v>
      </c>
      <c r="AC145" s="135">
        <v>6.9799147748093896E-3</v>
      </c>
      <c r="AD145" s="135">
        <v>3.7267590645568898E-3</v>
      </c>
      <c r="AF145" s="243">
        <f t="shared" si="1"/>
        <v>0.35703385713398672</v>
      </c>
      <c r="AG145" s="275">
        <f t="shared" si="2"/>
        <v>0.3559322134333478</v>
      </c>
      <c r="AH145" s="391">
        <f t="shared" si="3"/>
        <v>0.65546060115064031</v>
      </c>
      <c r="AI145" s="135">
        <f t="shared" si="4"/>
        <v>1.0113928145839881</v>
      </c>
    </row>
    <row r="146" spans="1:35" ht="12.6">
      <c r="A146" s="10" t="s">
        <v>186</v>
      </c>
      <c r="B146" s="10">
        <v>145</v>
      </c>
      <c r="C146" s="10" t="s">
        <v>1513</v>
      </c>
      <c r="D146" s="388">
        <v>45071</v>
      </c>
      <c r="E146" s="389">
        <v>45071</v>
      </c>
      <c r="F146" s="390" t="str">
        <f t="shared" si="0"/>
        <v>Cooking</v>
      </c>
      <c r="G146" s="135">
        <v>2.81429519375791E-3</v>
      </c>
      <c r="H146" s="135">
        <v>2.5551119843618001E-3</v>
      </c>
      <c r="I146" s="135">
        <v>2.4154391167669799E-3</v>
      </c>
      <c r="J146" s="135">
        <v>2.31340609363158E-3</v>
      </c>
      <c r="K146" s="135">
        <v>2.8959228043603799E-3</v>
      </c>
      <c r="L146" s="135">
        <v>5.5365061204638499E-3</v>
      </c>
      <c r="M146" s="135">
        <v>1.51446179401643E-2</v>
      </c>
      <c r="N146" s="135">
        <v>1.6360270406179801E-2</v>
      </c>
      <c r="O146" s="135">
        <v>1.0832614995978301E-2</v>
      </c>
      <c r="P146" s="135">
        <v>1.3693985645891801E-2</v>
      </c>
      <c r="Q146" s="135">
        <v>2.00225266170602E-2</v>
      </c>
      <c r="R146" s="135">
        <v>2.5461090176451699E-2</v>
      </c>
      <c r="S146" s="135">
        <v>2.9022210746081498E-2</v>
      </c>
      <c r="T146" s="135">
        <v>1.81519739729297E-2</v>
      </c>
      <c r="U146" s="135">
        <v>2.3508914074682301E-2</v>
      </c>
      <c r="V146" s="135">
        <v>6.5277862793324301E-2</v>
      </c>
      <c r="W146" s="135">
        <v>0.17558927875345701</v>
      </c>
      <c r="X146" s="135">
        <v>0.24653755263577201</v>
      </c>
      <c r="Y146" s="135">
        <v>0.17799226602999599</v>
      </c>
      <c r="Z146" s="135">
        <v>9.4745676205406595E-2</v>
      </c>
      <c r="AA146" s="135">
        <v>3.3708674852722401E-2</v>
      </c>
      <c r="AB146" s="135">
        <v>1.6105943585181502E-2</v>
      </c>
      <c r="AC146" s="135">
        <v>6.9799147748093896E-3</v>
      </c>
      <c r="AD146" s="135">
        <v>3.7267590645568898E-3</v>
      </c>
      <c r="AF146" s="243">
        <f t="shared" si="1"/>
        <v>0.35703385713398672</v>
      </c>
      <c r="AG146" s="275">
        <f t="shared" si="2"/>
        <v>0.3559322134333478</v>
      </c>
      <c r="AH146" s="391">
        <f t="shared" si="3"/>
        <v>0.65546060115064031</v>
      </c>
      <c r="AI146" s="135">
        <f t="shared" si="4"/>
        <v>1.0113928145839881</v>
      </c>
    </row>
    <row r="147" spans="1:35" ht="12.6">
      <c r="A147" s="10" t="s">
        <v>186</v>
      </c>
      <c r="B147" s="10">
        <v>146</v>
      </c>
      <c r="C147" s="10" t="s">
        <v>1513</v>
      </c>
      <c r="D147" s="388">
        <v>45072</v>
      </c>
      <c r="E147" s="389">
        <v>45072</v>
      </c>
      <c r="F147" s="390" t="str">
        <f t="shared" si="0"/>
        <v>Cooking</v>
      </c>
      <c r="G147" s="135">
        <v>2.81429519375791E-3</v>
      </c>
      <c r="H147" s="135">
        <v>2.5551119843618001E-3</v>
      </c>
      <c r="I147" s="135">
        <v>2.4154391167669799E-3</v>
      </c>
      <c r="J147" s="135">
        <v>2.31340609363158E-3</v>
      </c>
      <c r="K147" s="135">
        <v>2.8959228043603799E-3</v>
      </c>
      <c r="L147" s="135">
        <v>5.5365061204638499E-3</v>
      </c>
      <c r="M147" s="135">
        <v>1.51446179401643E-2</v>
      </c>
      <c r="N147" s="135">
        <v>1.6360270406179801E-2</v>
      </c>
      <c r="O147" s="135">
        <v>1.0832614995978301E-2</v>
      </c>
      <c r="P147" s="135">
        <v>1.3693985645891801E-2</v>
      </c>
      <c r="Q147" s="135">
        <v>2.00225266170602E-2</v>
      </c>
      <c r="R147" s="135">
        <v>2.5461090176451699E-2</v>
      </c>
      <c r="S147" s="135">
        <v>2.9022210746081498E-2</v>
      </c>
      <c r="T147" s="135">
        <v>1.81519739729297E-2</v>
      </c>
      <c r="U147" s="135">
        <v>2.3508914074682301E-2</v>
      </c>
      <c r="V147" s="135">
        <v>6.5277862793324301E-2</v>
      </c>
      <c r="W147" s="135">
        <v>0.17558927875345701</v>
      </c>
      <c r="X147" s="135">
        <v>0.24653755263577201</v>
      </c>
      <c r="Y147" s="135">
        <v>0.17799226602999599</v>
      </c>
      <c r="Z147" s="135">
        <v>9.4745676205406595E-2</v>
      </c>
      <c r="AA147" s="135">
        <v>3.3708674852722401E-2</v>
      </c>
      <c r="AB147" s="135">
        <v>1.6105943585181502E-2</v>
      </c>
      <c r="AC147" s="135">
        <v>6.9799147748093896E-3</v>
      </c>
      <c r="AD147" s="135">
        <v>3.7267590645568898E-3</v>
      </c>
      <c r="AF147" s="243">
        <f t="shared" si="1"/>
        <v>0.35703385713398672</v>
      </c>
      <c r="AG147" s="275">
        <f t="shared" si="2"/>
        <v>0.3559322134333478</v>
      </c>
      <c r="AH147" s="391">
        <f t="shared" si="3"/>
        <v>0.65546060115064031</v>
      </c>
      <c r="AI147" s="135">
        <f t="shared" si="4"/>
        <v>1.0113928145839881</v>
      </c>
    </row>
    <row r="148" spans="1:35" ht="12.6">
      <c r="A148" s="10" t="s">
        <v>186</v>
      </c>
      <c r="B148" s="10">
        <v>147</v>
      </c>
      <c r="C148" s="10" t="s">
        <v>1513</v>
      </c>
      <c r="D148" s="388">
        <v>45073</v>
      </c>
      <c r="E148" s="389">
        <v>45073</v>
      </c>
      <c r="F148" s="390" t="str">
        <f t="shared" si="0"/>
        <v>Cooking</v>
      </c>
      <c r="G148" s="135">
        <v>3.6656307091365498E-3</v>
      </c>
      <c r="H148" s="135">
        <v>2.33142342649036E-3</v>
      </c>
      <c r="I148" s="135">
        <v>2.2763960627801799E-3</v>
      </c>
      <c r="J148" s="135">
        <v>2.3023229059703802E-3</v>
      </c>
      <c r="K148" s="135">
        <v>2.57846622909385E-3</v>
      </c>
      <c r="L148" s="135">
        <v>4.57948267488331E-3</v>
      </c>
      <c r="M148" s="135">
        <v>9.0312841800590793E-3</v>
      </c>
      <c r="N148" s="135">
        <v>2.2340750077030701E-2</v>
      </c>
      <c r="O148" s="135">
        <v>3.4885142248158703E-2</v>
      </c>
      <c r="P148" s="135">
        <v>3.8939132625652503E-2</v>
      </c>
      <c r="Q148" s="135">
        <v>4.5458835458915402E-2</v>
      </c>
      <c r="R148" s="135">
        <v>5.3262940138182502E-2</v>
      </c>
      <c r="S148" s="135">
        <v>4.9190929243740598E-2</v>
      </c>
      <c r="T148" s="135">
        <v>4.81727877888894E-2</v>
      </c>
      <c r="U148" s="135">
        <v>4.0569351465478701E-2</v>
      </c>
      <c r="V148" s="135">
        <v>6.5540462975852296E-2</v>
      </c>
      <c r="W148" s="135">
        <v>0.14411883389587299</v>
      </c>
      <c r="X148" s="135">
        <v>0.18428363548191101</v>
      </c>
      <c r="Y148" s="135">
        <v>0.12797645587140899</v>
      </c>
      <c r="Z148" s="135">
        <v>6.0388189040027698E-2</v>
      </c>
      <c r="AA148" s="135">
        <v>2.3289512205446401E-2</v>
      </c>
      <c r="AB148" s="135">
        <v>9.5474673981147291E-3</v>
      </c>
      <c r="AC148" s="135">
        <v>5.8839909641591496E-3</v>
      </c>
      <c r="AD148" s="135">
        <v>5.2694264709170898E-3</v>
      </c>
      <c r="AF148" s="243">
        <f t="shared" si="1"/>
        <v>0.44631414096693189</v>
      </c>
      <c r="AG148" s="275">
        <f t="shared" si="2"/>
        <v>0.38551078899332381</v>
      </c>
      <c r="AH148" s="391">
        <f t="shared" si="3"/>
        <v>0.60037206054484871</v>
      </c>
      <c r="AI148" s="135">
        <f t="shared" si="4"/>
        <v>0.98588284953817251</v>
      </c>
    </row>
    <row r="149" spans="1:35" ht="12.6">
      <c r="A149" s="10" t="s">
        <v>186</v>
      </c>
      <c r="B149" s="10">
        <v>148</v>
      </c>
      <c r="C149" s="10" t="s">
        <v>1513</v>
      </c>
      <c r="D149" s="388">
        <v>45074</v>
      </c>
      <c r="E149" s="389">
        <v>45074</v>
      </c>
      <c r="F149" s="390" t="str">
        <f t="shared" si="0"/>
        <v>Cooking</v>
      </c>
      <c r="G149" s="135">
        <v>3.6656307091365498E-3</v>
      </c>
      <c r="H149" s="135">
        <v>2.33142342649036E-3</v>
      </c>
      <c r="I149" s="135">
        <v>2.2763960627801799E-3</v>
      </c>
      <c r="J149" s="135">
        <v>2.3023229059703802E-3</v>
      </c>
      <c r="K149" s="135">
        <v>2.57846622909385E-3</v>
      </c>
      <c r="L149" s="135">
        <v>4.57948267488331E-3</v>
      </c>
      <c r="M149" s="135">
        <v>9.0312841800590793E-3</v>
      </c>
      <c r="N149" s="135">
        <v>2.2340750077030701E-2</v>
      </c>
      <c r="O149" s="135">
        <v>3.4885142248158703E-2</v>
      </c>
      <c r="P149" s="135">
        <v>3.8939132625652503E-2</v>
      </c>
      <c r="Q149" s="135">
        <v>4.5458835458915402E-2</v>
      </c>
      <c r="R149" s="135">
        <v>5.3262940138182502E-2</v>
      </c>
      <c r="S149" s="135">
        <v>4.9190929243740598E-2</v>
      </c>
      <c r="T149" s="135">
        <v>4.81727877888894E-2</v>
      </c>
      <c r="U149" s="135">
        <v>4.0569351465478701E-2</v>
      </c>
      <c r="V149" s="135">
        <v>6.5540462975852296E-2</v>
      </c>
      <c r="W149" s="135">
        <v>0.14411883389587299</v>
      </c>
      <c r="X149" s="135">
        <v>0.18428363548191101</v>
      </c>
      <c r="Y149" s="135">
        <v>0.12797645587140899</v>
      </c>
      <c r="Z149" s="135">
        <v>6.0388189040027698E-2</v>
      </c>
      <c r="AA149" s="135">
        <v>2.3289512205446401E-2</v>
      </c>
      <c r="AB149" s="135">
        <v>9.5474673981147291E-3</v>
      </c>
      <c r="AC149" s="135">
        <v>5.8839909641591496E-3</v>
      </c>
      <c r="AD149" s="135">
        <v>5.2694264709170898E-3</v>
      </c>
      <c r="AF149" s="243">
        <f t="shared" si="1"/>
        <v>0.44631414096693189</v>
      </c>
      <c r="AG149" s="275">
        <f t="shared" si="2"/>
        <v>0.38551078899332381</v>
      </c>
      <c r="AH149" s="391">
        <f t="shared" si="3"/>
        <v>0.60037206054484871</v>
      </c>
      <c r="AI149" s="135">
        <f t="shared" si="4"/>
        <v>0.98588284953817251</v>
      </c>
    </row>
    <row r="150" spans="1:35" ht="12.6">
      <c r="A150" s="10" t="s">
        <v>186</v>
      </c>
      <c r="B150" s="10">
        <v>149</v>
      </c>
      <c r="C150" s="10" t="s">
        <v>1513</v>
      </c>
      <c r="D150" s="388">
        <v>45075</v>
      </c>
      <c r="E150" s="389">
        <v>45075</v>
      </c>
      <c r="F150" s="390" t="str">
        <f t="shared" si="0"/>
        <v>Cooking</v>
      </c>
      <c r="G150" s="135">
        <v>2.81429519375791E-3</v>
      </c>
      <c r="H150" s="135">
        <v>2.5551119843618001E-3</v>
      </c>
      <c r="I150" s="135">
        <v>2.4154391167669799E-3</v>
      </c>
      <c r="J150" s="135">
        <v>2.31340609363158E-3</v>
      </c>
      <c r="K150" s="135">
        <v>2.8959228043603799E-3</v>
      </c>
      <c r="L150" s="135">
        <v>5.5365061204638499E-3</v>
      </c>
      <c r="M150" s="135">
        <v>1.51446179401643E-2</v>
      </c>
      <c r="N150" s="135">
        <v>1.6360270406179801E-2</v>
      </c>
      <c r="O150" s="135">
        <v>1.0832614995978301E-2</v>
      </c>
      <c r="P150" s="135">
        <v>1.3693985645891801E-2</v>
      </c>
      <c r="Q150" s="135">
        <v>2.00225266170602E-2</v>
      </c>
      <c r="R150" s="135">
        <v>2.5461090176451699E-2</v>
      </c>
      <c r="S150" s="135">
        <v>2.9022210746081498E-2</v>
      </c>
      <c r="T150" s="135">
        <v>1.81519739729297E-2</v>
      </c>
      <c r="U150" s="135">
        <v>2.3508914074682301E-2</v>
      </c>
      <c r="V150" s="135">
        <v>6.5277862793324301E-2</v>
      </c>
      <c r="W150" s="135">
        <v>0.17558927875345701</v>
      </c>
      <c r="X150" s="135">
        <v>0.24653755263577201</v>
      </c>
      <c r="Y150" s="135">
        <v>0.17799226602999599</v>
      </c>
      <c r="Z150" s="135">
        <v>9.4745676205406595E-2</v>
      </c>
      <c r="AA150" s="135">
        <v>3.3708674852722401E-2</v>
      </c>
      <c r="AB150" s="135">
        <v>1.6105943585181502E-2</v>
      </c>
      <c r="AC150" s="135">
        <v>6.9799147748093896E-3</v>
      </c>
      <c r="AD150" s="135">
        <v>3.7267590645568898E-3</v>
      </c>
      <c r="AF150" s="243">
        <f t="shared" si="1"/>
        <v>0.35703385713398672</v>
      </c>
      <c r="AG150" s="275">
        <f t="shared" si="2"/>
        <v>0.3559322134333478</v>
      </c>
      <c r="AH150" s="391">
        <f t="shared" si="3"/>
        <v>0.65546060115064031</v>
      </c>
      <c r="AI150" s="135">
        <f t="shared" si="4"/>
        <v>1.0113928145839881</v>
      </c>
    </row>
    <row r="151" spans="1:35" ht="12.6">
      <c r="A151" s="10" t="s">
        <v>186</v>
      </c>
      <c r="B151" s="10">
        <v>150</v>
      </c>
      <c r="C151" s="10" t="s">
        <v>1513</v>
      </c>
      <c r="D151" s="388">
        <v>45076</v>
      </c>
      <c r="E151" s="389">
        <v>45076</v>
      </c>
      <c r="F151" s="390" t="str">
        <f t="shared" si="0"/>
        <v>Cooking</v>
      </c>
      <c r="G151" s="135">
        <v>2.81429519375791E-3</v>
      </c>
      <c r="H151" s="135">
        <v>2.5551119843618001E-3</v>
      </c>
      <c r="I151" s="135">
        <v>2.4154391167669799E-3</v>
      </c>
      <c r="J151" s="135">
        <v>2.31340609363158E-3</v>
      </c>
      <c r="K151" s="135">
        <v>2.8959228043603799E-3</v>
      </c>
      <c r="L151" s="135">
        <v>5.5365061204638499E-3</v>
      </c>
      <c r="M151" s="135">
        <v>1.51446179401643E-2</v>
      </c>
      <c r="N151" s="135">
        <v>1.6360270406179801E-2</v>
      </c>
      <c r="O151" s="135">
        <v>1.0832614995978301E-2</v>
      </c>
      <c r="P151" s="135">
        <v>1.3693985645891801E-2</v>
      </c>
      <c r="Q151" s="135">
        <v>2.00225266170602E-2</v>
      </c>
      <c r="R151" s="135">
        <v>2.5461090176451699E-2</v>
      </c>
      <c r="S151" s="135">
        <v>2.9022210746081498E-2</v>
      </c>
      <c r="T151" s="135">
        <v>1.81519739729297E-2</v>
      </c>
      <c r="U151" s="135">
        <v>2.3508914074682301E-2</v>
      </c>
      <c r="V151" s="135">
        <v>6.5277862793324301E-2</v>
      </c>
      <c r="W151" s="135">
        <v>0.17558927875345701</v>
      </c>
      <c r="X151" s="135">
        <v>0.24653755263577201</v>
      </c>
      <c r="Y151" s="135">
        <v>0.17799226602999599</v>
      </c>
      <c r="Z151" s="135">
        <v>9.4745676205406595E-2</v>
      </c>
      <c r="AA151" s="135">
        <v>3.3708674852722401E-2</v>
      </c>
      <c r="AB151" s="135">
        <v>1.6105943585181502E-2</v>
      </c>
      <c r="AC151" s="135">
        <v>6.9799147748093896E-3</v>
      </c>
      <c r="AD151" s="135">
        <v>3.7267590645568898E-3</v>
      </c>
      <c r="AF151" s="243">
        <f t="shared" si="1"/>
        <v>0.35703385713398672</v>
      </c>
      <c r="AG151" s="275">
        <f t="shared" si="2"/>
        <v>0.3559322134333478</v>
      </c>
      <c r="AH151" s="391">
        <f t="shared" si="3"/>
        <v>0.65546060115064031</v>
      </c>
      <c r="AI151" s="135">
        <f t="shared" si="4"/>
        <v>1.0113928145839881</v>
      </c>
    </row>
    <row r="152" spans="1:35" ht="12.6">
      <c r="A152" s="10" t="s">
        <v>186</v>
      </c>
      <c r="B152" s="10">
        <v>151</v>
      </c>
      <c r="C152" s="10" t="s">
        <v>1513</v>
      </c>
      <c r="D152" s="388">
        <v>45077</v>
      </c>
      <c r="E152" s="389">
        <v>45077</v>
      </c>
      <c r="F152" s="390" t="str">
        <f t="shared" si="0"/>
        <v>Cooking</v>
      </c>
      <c r="G152" s="135">
        <v>2.81429519375791E-3</v>
      </c>
      <c r="H152" s="135">
        <v>2.5551119843618001E-3</v>
      </c>
      <c r="I152" s="135">
        <v>2.4154391167669799E-3</v>
      </c>
      <c r="J152" s="135">
        <v>2.31340609363158E-3</v>
      </c>
      <c r="K152" s="135">
        <v>2.8959228043603799E-3</v>
      </c>
      <c r="L152" s="135">
        <v>5.5365061204638499E-3</v>
      </c>
      <c r="M152" s="135">
        <v>1.51446179401643E-2</v>
      </c>
      <c r="N152" s="135">
        <v>1.6360270406179801E-2</v>
      </c>
      <c r="O152" s="135">
        <v>1.0832614995978301E-2</v>
      </c>
      <c r="P152" s="135">
        <v>1.3693985645891801E-2</v>
      </c>
      <c r="Q152" s="135">
        <v>2.00225266170602E-2</v>
      </c>
      <c r="R152" s="135">
        <v>2.5461090176451699E-2</v>
      </c>
      <c r="S152" s="135">
        <v>2.9022210746081498E-2</v>
      </c>
      <c r="T152" s="135">
        <v>1.81519739729297E-2</v>
      </c>
      <c r="U152" s="135">
        <v>2.3508914074682301E-2</v>
      </c>
      <c r="V152" s="135">
        <v>6.5277862793324301E-2</v>
      </c>
      <c r="W152" s="135">
        <v>0.17558927875345701</v>
      </c>
      <c r="X152" s="135">
        <v>0.24653755263577201</v>
      </c>
      <c r="Y152" s="135">
        <v>0.17799226602999599</v>
      </c>
      <c r="Z152" s="135">
        <v>9.4745676205406595E-2</v>
      </c>
      <c r="AA152" s="135">
        <v>3.3708674852722401E-2</v>
      </c>
      <c r="AB152" s="135">
        <v>1.6105943585181502E-2</v>
      </c>
      <c r="AC152" s="135">
        <v>6.9799147748093896E-3</v>
      </c>
      <c r="AD152" s="135">
        <v>3.7267590645568898E-3</v>
      </c>
      <c r="AF152" s="243">
        <f t="shared" si="1"/>
        <v>0.35703385713398672</v>
      </c>
      <c r="AG152" s="275">
        <f t="shared" si="2"/>
        <v>0.3559322134333478</v>
      </c>
      <c r="AH152" s="391">
        <f t="shared" si="3"/>
        <v>0.65546060115064031</v>
      </c>
      <c r="AI152" s="135">
        <f t="shared" si="4"/>
        <v>1.0113928145839881</v>
      </c>
    </row>
    <row r="153" spans="1:35" ht="12.6">
      <c r="A153" s="10" t="s">
        <v>186</v>
      </c>
      <c r="B153" s="10">
        <v>152</v>
      </c>
      <c r="C153" s="10" t="s">
        <v>1514</v>
      </c>
      <c r="D153" s="388">
        <v>45078</v>
      </c>
      <c r="E153" s="389">
        <v>45078</v>
      </c>
      <c r="F153" s="390" t="str">
        <f t="shared" si="0"/>
        <v>Cooking</v>
      </c>
      <c r="G153" s="135">
        <v>4.6553328674984696E-3</v>
      </c>
      <c r="H153" s="135">
        <v>2.82251810595737E-3</v>
      </c>
      <c r="I153" s="135">
        <v>2.3632032450766698E-3</v>
      </c>
      <c r="J153" s="135">
        <v>2.3005245395236202E-3</v>
      </c>
      <c r="K153" s="135">
        <v>2.2379495480711799E-3</v>
      </c>
      <c r="L153" s="135">
        <v>3.09259525161986E-3</v>
      </c>
      <c r="M153" s="135">
        <v>9.1705487534274807E-3</v>
      </c>
      <c r="N153" s="135">
        <v>1.9124038051290201E-2</v>
      </c>
      <c r="O153" s="135">
        <v>1.19353305923015E-2</v>
      </c>
      <c r="P153" s="135">
        <v>1.4570903356548299E-2</v>
      </c>
      <c r="Q153" s="135">
        <v>1.4910074518072899E-2</v>
      </c>
      <c r="R153" s="135">
        <v>2.34057057130636E-2</v>
      </c>
      <c r="S153" s="135">
        <v>3.0488433718737801E-2</v>
      </c>
      <c r="T153" s="135">
        <v>2.46129198449304E-2</v>
      </c>
      <c r="U153" s="135">
        <v>2.1327492842706498E-2</v>
      </c>
      <c r="V153" s="135">
        <v>3.2580125931838101E-2</v>
      </c>
      <c r="W153" s="135">
        <v>0.13550958258030801</v>
      </c>
      <c r="X153" s="135">
        <v>0.27001407493264301</v>
      </c>
      <c r="Y153" s="135">
        <v>0.20003167238748301</v>
      </c>
      <c r="Z153" s="135">
        <v>0.13360785570137401</v>
      </c>
      <c r="AA153" s="135">
        <v>5.4679294162278499E-2</v>
      </c>
      <c r="AB153" s="135">
        <v>1.8907726496440298E-2</v>
      </c>
      <c r="AC153" s="135">
        <v>8.9180207249639296E-3</v>
      </c>
      <c r="AD153" s="135">
        <v>6.1114831815918102E-3</v>
      </c>
      <c r="AF153" s="243">
        <f t="shared" si="1"/>
        <v>0.28283433514965728</v>
      </c>
      <c r="AG153" s="275">
        <f t="shared" si="2"/>
        <v>0.28619073113625126</v>
      </c>
      <c r="AH153" s="391">
        <f t="shared" si="3"/>
        <v>0.76118667591149536</v>
      </c>
      <c r="AI153" s="135">
        <f t="shared" si="4"/>
        <v>1.0473774070477466</v>
      </c>
    </row>
    <row r="154" spans="1:35" ht="12.6">
      <c r="A154" s="10" t="s">
        <v>186</v>
      </c>
      <c r="B154" s="10">
        <v>153</v>
      </c>
      <c r="C154" s="10" t="s">
        <v>1514</v>
      </c>
      <c r="D154" s="388">
        <v>45079</v>
      </c>
      <c r="E154" s="389">
        <v>45079</v>
      </c>
      <c r="F154" s="390" t="str">
        <f t="shared" si="0"/>
        <v>Cooking</v>
      </c>
      <c r="G154" s="135">
        <v>4.6553328674984696E-3</v>
      </c>
      <c r="H154" s="135">
        <v>2.82251810595737E-3</v>
      </c>
      <c r="I154" s="135">
        <v>2.3632032450766698E-3</v>
      </c>
      <c r="J154" s="135">
        <v>2.3005245395236202E-3</v>
      </c>
      <c r="K154" s="135">
        <v>2.2379495480711799E-3</v>
      </c>
      <c r="L154" s="135">
        <v>3.09259525161986E-3</v>
      </c>
      <c r="M154" s="135">
        <v>9.1705487534274807E-3</v>
      </c>
      <c r="N154" s="135">
        <v>1.9124038051290201E-2</v>
      </c>
      <c r="O154" s="135">
        <v>1.19353305923015E-2</v>
      </c>
      <c r="P154" s="135">
        <v>1.4570903356548299E-2</v>
      </c>
      <c r="Q154" s="135">
        <v>1.4910074518072899E-2</v>
      </c>
      <c r="R154" s="135">
        <v>2.34057057130636E-2</v>
      </c>
      <c r="S154" s="135">
        <v>3.0488433718737801E-2</v>
      </c>
      <c r="T154" s="135">
        <v>2.46129198449304E-2</v>
      </c>
      <c r="U154" s="135">
        <v>2.1327492842706498E-2</v>
      </c>
      <c r="V154" s="135">
        <v>3.2580125931838101E-2</v>
      </c>
      <c r="W154" s="135">
        <v>0.13550958258030801</v>
      </c>
      <c r="X154" s="135">
        <v>0.27001407493264301</v>
      </c>
      <c r="Y154" s="135">
        <v>0.20003167238748301</v>
      </c>
      <c r="Z154" s="135">
        <v>0.13360785570137401</v>
      </c>
      <c r="AA154" s="135">
        <v>5.4679294162278499E-2</v>
      </c>
      <c r="AB154" s="135">
        <v>1.8907726496440298E-2</v>
      </c>
      <c r="AC154" s="135">
        <v>8.9180207249639296E-3</v>
      </c>
      <c r="AD154" s="135">
        <v>6.1114831815918102E-3</v>
      </c>
      <c r="AF154" s="243">
        <f t="shared" si="1"/>
        <v>0.28283433514965728</v>
      </c>
      <c r="AG154" s="275">
        <f t="shared" si="2"/>
        <v>0.28619073113625126</v>
      </c>
      <c r="AH154" s="391">
        <f t="shared" si="3"/>
        <v>0.76118667591149536</v>
      </c>
      <c r="AI154" s="135">
        <f t="shared" si="4"/>
        <v>1.0473774070477466</v>
      </c>
    </row>
    <row r="155" spans="1:35" ht="12.6">
      <c r="A155" s="10" t="s">
        <v>186</v>
      </c>
      <c r="B155" s="10">
        <v>154</v>
      </c>
      <c r="C155" s="10" t="s">
        <v>1514</v>
      </c>
      <c r="D155" s="388">
        <v>45080</v>
      </c>
      <c r="E155" s="389">
        <v>45080</v>
      </c>
      <c r="F155" s="390" t="str">
        <f t="shared" si="0"/>
        <v>Cooking</v>
      </c>
      <c r="G155" s="135">
        <v>4.5012922669470101E-3</v>
      </c>
      <c r="H155" s="135">
        <v>2.69038530734951E-3</v>
      </c>
      <c r="I155" s="135">
        <v>2.23547492362128E-3</v>
      </c>
      <c r="J155" s="135">
        <v>2.3112600189637601E-3</v>
      </c>
      <c r="K155" s="135">
        <v>2.2111740396937299E-3</v>
      </c>
      <c r="L155" s="135">
        <v>2.4038699548199101E-3</v>
      </c>
      <c r="M155" s="135">
        <v>4.60107737557062E-3</v>
      </c>
      <c r="N155" s="135">
        <v>1.2376042571051E-2</v>
      </c>
      <c r="O155" s="135">
        <v>2.53213620647036E-2</v>
      </c>
      <c r="P155" s="135">
        <v>3.7513015239511199E-2</v>
      </c>
      <c r="Q155" s="135">
        <v>4.97235976464643E-2</v>
      </c>
      <c r="R155" s="135">
        <v>6.0820835462887399E-2</v>
      </c>
      <c r="S155" s="135">
        <v>5.67892558027931E-2</v>
      </c>
      <c r="T155" s="135">
        <v>5.0221995099371301E-2</v>
      </c>
      <c r="U155" s="135">
        <v>4.38225365606527E-2</v>
      </c>
      <c r="V155" s="135">
        <v>5.4291742744822798E-2</v>
      </c>
      <c r="W155" s="135">
        <v>0.10760611470284601</v>
      </c>
      <c r="X155" s="135">
        <v>0.23460491207052001</v>
      </c>
      <c r="Y155" s="135">
        <v>0.15982131993624801</v>
      </c>
      <c r="Z155" s="135">
        <v>8.6325375242444102E-2</v>
      </c>
      <c r="AA155" s="135">
        <v>3.8075643740350301E-2</v>
      </c>
      <c r="AB155" s="135">
        <v>1.72545139385211E-2</v>
      </c>
      <c r="AC155" s="135">
        <v>6.83099366873181E-3</v>
      </c>
      <c r="AD155" s="135">
        <v>4.28290391472517E-3</v>
      </c>
      <c r="AF155" s="243">
        <f t="shared" si="1"/>
        <v>0.42327607801983758</v>
      </c>
      <c r="AG155" s="275">
        <f t="shared" si="2"/>
        <v>0.34480007638090882</v>
      </c>
      <c r="AH155" s="391">
        <f t="shared" si="3"/>
        <v>0.72183661791270104</v>
      </c>
      <c r="AI155" s="135">
        <f t="shared" si="4"/>
        <v>1.0666366942936099</v>
      </c>
    </row>
    <row r="156" spans="1:35" ht="12.6">
      <c r="A156" s="10" t="s">
        <v>186</v>
      </c>
      <c r="B156" s="10">
        <v>155</v>
      </c>
      <c r="C156" s="10" t="s">
        <v>1514</v>
      </c>
      <c r="D156" s="388">
        <v>45081</v>
      </c>
      <c r="E156" s="389">
        <v>45081</v>
      </c>
      <c r="F156" s="390" t="str">
        <f t="shared" si="0"/>
        <v>Cooking</v>
      </c>
      <c r="G156" s="135">
        <v>4.5012922669470101E-3</v>
      </c>
      <c r="H156" s="135">
        <v>2.69038530734951E-3</v>
      </c>
      <c r="I156" s="135">
        <v>2.23547492362128E-3</v>
      </c>
      <c r="J156" s="135">
        <v>2.3112600189637601E-3</v>
      </c>
      <c r="K156" s="135">
        <v>2.2111740396937299E-3</v>
      </c>
      <c r="L156" s="135">
        <v>2.4038699548199101E-3</v>
      </c>
      <c r="M156" s="135">
        <v>4.60107737557062E-3</v>
      </c>
      <c r="N156" s="135">
        <v>1.2376042571051E-2</v>
      </c>
      <c r="O156" s="135">
        <v>2.53213620647036E-2</v>
      </c>
      <c r="P156" s="135">
        <v>3.7513015239511199E-2</v>
      </c>
      <c r="Q156" s="135">
        <v>4.97235976464643E-2</v>
      </c>
      <c r="R156" s="135">
        <v>6.0820835462887399E-2</v>
      </c>
      <c r="S156" s="135">
        <v>5.67892558027931E-2</v>
      </c>
      <c r="T156" s="135">
        <v>5.0221995099371301E-2</v>
      </c>
      <c r="U156" s="135">
        <v>4.38225365606527E-2</v>
      </c>
      <c r="V156" s="135">
        <v>5.4291742744822798E-2</v>
      </c>
      <c r="W156" s="135">
        <v>0.10760611470284601</v>
      </c>
      <c r="X156" s="135">
        <v>0.23460491207052001</v>
      </c>
      <c r="Y156" s="135">
        <v>0.15982131993624801</v>
      </c>
      <c r="Z156" s="135">
        <v>8.6325375242444102E-2</v>
      </c>
      <c r="AA156" s="135">
        <v>3.8075643740350301E-2</v>
      </c>
      <c r="AB156" s="135">
        <v>1.72545139385211E-2</v>
      </c>
      <c r="AC156" s="135">
        <v>6.83099366873181E-3</v>
      </c>
      <c r="AD156" s="135">
        <v>4.28290391472517E-3</v>
      </c>
      <c r="AF156" s="243">
        <f t="shared" si="1"/>
        <v>0.42327607801983758</v>
      </c>
      <c r="AG156" s="275">
        <f t="shared" si="2"/>
        <v>0.34480007638090882</v>
      </c>
      <c r="AH156" s="391">
        <f t="shared" si="3"/>
        <v>0.72183661791270104</v>
      </c>
      <c r="AI156" s="135">
        <f t="shared" si="4"/>
        <v>1.0666366942936099</v>
      </c>
    </row>
    <row r="157" spans="1:35" ht="12.6">
      <c r="A157" s="10" t="s">
        <v>186</v>
      </c>
      <c r="B157" s="10">
        <v>156</v>
      </c>
      <c r="C157" s="10" t="s">
        <v>1514</v>
      </c>
      <c r="D157" s="388">
        <v>45082</v>
      </c>
      <c r="E157" s="389">
        <v>45082</v>
      </c>
      <c r="F157" s="390" t="str">
        <f t="shared" si="0"/>
        <v>Cooking</v>
      </c>
      <c r="G157" s="135">
        <v>4.6553328674984696E-3</v>
      </c>
      <c r="H157" s="135">
        <v>2.82251810595737E-3</v>
      </c>
      <c r="I157" s="135">
        <v>2.3632032450766698E-3</v>
      </c>
      <c r="J157" s="135">
        <v>2.3005245395236202E-3</v>
      </c>
      <c r="K157" s="135">
        <v>2.2379495480711799E-3</v>
      </c>
      <c r="L157" s="135">
        <v>3.09259525161986E-3</v>
      </c>
      <c r="M157" s="135">
        <v>9.1705487534274807E-3</v>
      </c>
      <c r="N157" s="135">
        <v>1.9124038051290201E-2</v>
      </c>
      <c r="O157" s="135">
        <v>1.19353305923015E-2</v>
      </c>
      <c r="P157" s="135">
        <v>1.4570903356548299E-2</v>
      </c>
      <c r="Q157" s="135">
        <v>1.4910074518072899E-2</v>
      </c>
      <c r="R157" s="135">
        <v>2.34057057130636E-2</v>
      </c>
      <c r="S157" s="135">
        <v>3.0488433718737801E-2</v>
      </c>
      <c r="T157" s="135">
        <v>2.46129198449304E-2</v>
      </c>
      <c r="U157" s="135">
        <v>2.1327492842706498E-2</v>
      </c>
      <c r="V157" s="135">
        <v>3.2580125931838101E-2</v>
      </c>
      <c r="W157" s="135">
        <v>0.13550958258030801</v>
      </c>
      <c r="X157" s="135">
        <v>0.27001407493264301</v>
      </c>
      <c r="Y157" s="135">
        <v>0.20003167238748301</v>
      </c>
      <c r="Z157" s="135">
        <v>0.13360785570137401</v>
      </c>
      <c r="AA157" s="135">
        <v>5.4679294162278499E-2</v>
      </c>
      <c r="AB157" s="135">
        <v>1.8907726496440298E-2</v>
      </c>
      <c r="AC157" s="135">
        <v>8.9180207249639296E-3</v>
      </c>
      <c r="AD157" s="135">
        <v>6.1114831815918102E-3</v>
      </c>
      <c r="AF157" s="243">
        <f t="shared" si="1"/>
        <v>0.28283433514965728</v>
      </c>
      <c r="AG157" s="275">
        <f t="shared" si="2"/>
        <v>0.28619073113625126</v>
      </c>
      <c r="AH157" s="391">
        <f t="shared" si="3"/>
        <v>0.76118667591149536</v>
      </c>
      <c r="AI157" s="135">
        <f t="shared" si="4"/>
        <v>1.0473774070477466</v>
      </c>
    </row>
    <row r="158" spans="1:35" ht="12.6">
      <c r="A158" s="10" t="s">
        <v>186</v>
      </c>
      <c r="B158" s="10">
        <v>157</v>
      </c>
      <c r="C158" s="10" t="s">
        <v>1514</v>
      </c>
      <c r="D158" s="388">
        <v>45083</v>
      </c>
      <c r="E158" s="389">
        <v>45083</v>
      </c>
      <c r="F158" s="390" t="str">
        <f t="shared" si="0"/>
        <v>Cooking</v>
      </c>
      <c r="G158" s="135">
        <v>4.6553328674984696E-3</v>
      </c>
      <c r="H158" s="135">
        <v>2.82251810595737E-3</v>
      </c>
      <c r="I158" s="135">
        <v>2.3632032450766698E-3</v>
      </c>
      <c r="J158" s="135">
        <v>2.3005245395236202E-3</v>
      </c>
      <c r="K158" s="135">
        <v>2.2379495480711799E-3</v>
      </c>
      <c r="L158" s="135">
        <v>3.09259525161986E-3</v>
      </c>
      <c r="M158" s="135">
        <v>9.1705487534274807E-3</v>
      </c>
      <c r="N158" s="135">
        <v>1.9124038051290201E-2</v>
      </c>
      <c r="O158" s="135">
        <v>1.19353305923015E-2</v>
      </c>
      <c r="P158" s="135">
        <v>1.4570903356548299E-2</v>
      </c>
      <c r="Q158" s="135">
        <v>1.4910074518072899E-2</v>
      </c>
      <c r="R158" s="135">
        <v>2.34057057130636E-2</v>
      </c>
      <c r="S158" s="135">
        <v>3.0488433718737801E-2</v>
      </c>
      <c r="T158" s="135">
        <v>2.46129198449304E-2</v>
      </c>
      <c r="U158" s="135">
        <v>2.1327492842706498E-2</v>
      </c>
      <c r="V158" s="135">
        <v>3.2580125931838101E-2</v>
      </c>
      <c r="W158" s="135">
        <v>0.13550958258030801</v>
      </c>
      <c r="X158" s="135">
        <v>0.27001407493264301</v>
      </c>
      <c r="Y158" s="135">
        <v>0.20003167238748301</v>
      </c>
      <c r="Z158" s="135">
        <v>0.13360785570137401</v>
      </c>
      <c r="AA158" s="135">
        <v>5.4679294162278499E-2</v>
      </c>
      <c r="AB158" s="135">
        <v>1.8907726496440298E-2</v>
      </c>
      <c r="AC158" s="135">
        <v>8.9180207249639296E-3</v>
      </c>
      <c r="AD158" s="135">
        <v>6.1114831815918102E-3</v>
      </c>
      <c r="AF158" s="243">
        <f t="shared" si="1"/>
        <v>0.28283433514965728</v>
      </c>
      <c r="AG158" s="275">
        <f t="shared" si="2"/>
        <v>0.28619073113625126</v>
      </c>
      <c r="AH158" s="391">
        <f t="shared" si="3"/>
        <v>0.76118667591149536</v>
      </c>
      <c r="AI158" s="135">
        <f t="shared" si="4"/>
        <v>1.0473774070477466</v>
      </c>
    </row>
    <row r="159" spans="1:35" ht="12.6">
      <c r="A159" s="10" t="s">
        <v>186</v>
      </c>
      <c r="B159" s="10">
        <v>158</v>
      </c>
      <c r="C159" s="10" t="s">
        <v>1514</v>
      </c>
      <c r="D159" s="388">
        <v>45084</v>
      </c>
      <c r="E159" s="389">
        <v>45084</v>
      </c>
      <c r="F159" s="390" t="str">
        <f t="shared" si="0"/>
        <v>Cooking</v>
      </c>
      <c r="G159" s="135">
        <v>4.6553328674984696E-3</v>
      </c>
      <c r="H159" s="135">
        <v>2.82251810595737E-3</v>
      </c>
      <c r="I159" s="135">
        <v>2.3632032450766698E-3</v>
      </c>
      <c r="J159" s="135">
        <v>2.3005245395236202E-3</v>
      </c>
      <c r="K159" s="135">
        <v>2.2379495480711799E-3</v>
      </c>
      <c r="L159" s="135">
        <v>3.09259525161986E-3</v>
      </c>
      <c r="M159" s="135">
        <v>9.1705487534274807E-3</v>
      </c>
      <c r="N159" s="135">
        <v>1.9124038051290201E-2</v>
      </c>
      <c r="O159" s="135">
        <v>1.19353305923015E-2</v>
      </c>
      <c r="P159" s="135">
        <v>1.4570903356548299E-2</v>
      </c>
      <c r="Q159" s="135">
        <v>1.4910074518072899E-2</v>
      </c>
      <c r="R159" s="135">
        <v>2.34057057130636E-2</v>
      </c>
      <c r="S159" s="135">
        <v>3.0488433718737801E-2</v>
      </c>
      <c r="T159" s="135">
        <v>2.46129198449304E-2</v>
      </c>
      <c r="U159" s="135">
        <v>2.1327492842706498E-2</v>
      </c>
      <c r="V159" s="135">
        <v>3.2580125931838101E-2</v>
      </c>
      <c r="W159" s="135">
        <v>0.13550958258030801</v>
      </c>
      <c r="X159" s="135">
        <v>0.27001407493264301</v>
      </c>
      <c r="Y159" s="135">
        <v>0.20003167238748301</v>
      </c>
      <c r="Z159" s="135">
        <v>0.13360785570137401</v>
      </c>
      <c r="AA159" s="135">
        <v>5.4679294162278499E-2</v>
      </c>
      <c r="AB159" s="135">
        <v>1.8907726496440298E-2</v>
      </c>
      <c r="AC159" s="135">
        <v>8.9180207249639296E-3</v>
      </c>
      <c r="AD159" s="135">
        <v>6.1114831815918102E-3</v>
      </c>
      <c r="AF159" s="243">
        <f t="shared" si="1"/>
        <v>0.28283433514965728</v>
      </c>
      <c r="AG159" s="275">
        <f t="shared" si="2"/>
        <v>0.28619073113625126</v>
      </c>
      <c r="AH159" s="391">
        <f t="shared" si="3"/>
        <v>0.76118667591149536</v>
      </c>
      <c r="AI159" s="135">
        <f t="shared" si="4"/>
        <v>1.0473774070477466</v>
      </c>
    </row>
    <row r="160" spans="1:35" ht="12.6">
      <c r="A160" s="10" t="s">
        <v>186</v>
      </c>
      <c r="B160" s="10">
        <v>159</v>
      </c>
      <c r="C160" s="10" t="s">
        <v>1514</v>
      </c>
      <c r="D160" s="388">
        <v>45085</v>
      </c>
      <c r="E160" s="389">
        <v>45085</v>
      </c>
      <c r="F160" s="390" t="str">
        <f t="shared" si="0"/>
        <v>Cooking</v>
      </c>
      <c r="G160" s="135">
        <v>4.6553328674984696E-3</v>
      </c>
      <c r="H160" s="135">
        <v>2.82251810595737E-3</v>
      </c>
      <c r="I160" s="135">
        <v>2.3632032450766698E-3</v>
      </c>
      <c r="J160" s="135">
        <v>2.3005245395236202E-3</v>
      </c>
      <c r="K160" s="135">
        <v>2.2379495480711799E-3</v>
      </c>
      <c r="L160" s="135">
        <v>3.09259525161986E-3</v>
      </c>
      <c r="M160" s="135">
        <v>9.1705487534274807E-3</v>
      </c>
      <c r="N160" s="135">
        <v>1.9124038051290201E-2</v>
      </c>
      <c r="O160" s="135">
        <v>1.19353305923015E-2</v>
      </c>
      <c r="P160" s="135">
        <v>1.4570903356548299E-2</v>
      </c>
      <c r="Q160" s="135">
        <v>1.4910074518072899E-2</v>
      </c>
      <c r="R160" s="135">
        <v>2.34057057130636E-2</v>
      </c>
      <c r="S160" s="135">
        <v>3.0488433718737801E-2</v>
      </c>
      <c r="T160" s="135">
        <v>2.46129198449304E-2</v>
      </c>
      <c r="U160" s="135">
        <v>2.1327492842706498E-2</v>
      </c>
      <c r="V160" s="135">
        <v>3.2580125931838101E-2</v>
      </c>
      <c r="W160" s="135">
        <v>0.13550958258030801</v>
      </c>
      <c r="X160" s="135">
        <v>0.27001407493264301</v>
      </c>
      <c r="Y160" s="135">
        <v>0.20003167238748301</v>
      </c>
      <c r="Z160" s="135">
        <v>0.13360785570137401</v>
      </c>
      <c r="AA160" s="135">
        <v>5.4679294162278499E-2</v>
      </c>
      <c r="AB160" s="135">
        <v>1.8907726496440298E-2</v>
      </c>
      <c r="AC160" s="135">
        <v>8.9180207249639296E-3</v>
      </c>
      <c r="AD160" s="135">
        <v>6.1114831815918102E-3</v>
      </c>
      <c r="AF160" s="243">
        <f t="shared" si="1"/>
        <v>0.28283433514965728</v>
      </c>
      <c r="AG160" s="275">
        <f t="shared" si="2"/>
        <v>0.28619073113625126</v>
      </c>
      <c r="AH160" s="391">
        <f t="shared" si="3"/>
        <v>0.76118667591149536</v>
      </c>
      <c r="AI160" s="135">
        <f t="shared" si="4"/>
        <v>1.0473774070477466</v>
      </c>
    </row>
    <row r="161" spans="1:35" ht="12.6">
      <c r="A161" s="10" t="s">
        <v>186</v>
      </c>
      <c r="B161" s="10">
        <v>160</v>
      </c>
      <c r="C161" s="10" t="s">
        <v>1514</v>
      </c>
      <c r="D161" s="388">
        <v>45086</v>
      </c>
      <c r="E161" s="389">
        <v>45086</v>
      </c>
      <c r="F161" s="390" t="str">
        <f t="shared" si="0"/>
        <v>Cooking</v>
      </c>
      <c r="G161" s="135">
        <v>4.6553328674984696E-3</v>
      </c>
      <c r="H161" s="135">
        <v>2.82251810595737E-3</v>
      </c>
      <c r="I161" s="135">
        <v>2.3632032450766698E-3</v>
      </c>
      <c r="J161" s="135">
        <v>2.3005245395236202E-3</v>
      </c>
      <c r="K161" s="135">
        <v>2.2379495480711799E-3</v>
      </c>
      <c r="L161" s="135">
        <v>3.09259525161986E-3</v>
      </c>
      <c r="M161" s="135">
        <v>9.1705487534274807E-3</v>
      </c>
      <c r="N161" s="135">
        <v>1.9124038051290201E-2</v>
      </c>
      <c r="O161" s="135">
        <v>1.19353305923015E-2</v>
      </c>
      <c r="P161" s="135">
        <v>1.4570903356548299E-2</v>
      </c>
      <c r="Q161" s="135">
        <v>1.4910074518072899E-2</v>
      </c>
      <c r="R161" s="135">
        <v>2.34057057130636E-2</v>
      </c>
      <c r="S161" s="135">
        <v>3.0488433718737801E-2</v>
      </c>
      <c r="T161" s="135">
        <v>2.46129198449304E-2</v>
      </c>
      <c r="U161" s="135">
        <v>2.1327492842706498E-2</v>
      </c>
      <c r="V161" s="135">
        <v>3.2580125931838101E-2</v>
      </c>
      <c r="W161" s="135">
        <v>0.13550958258030801</v>
      </c>
      <c r="X161" s="135">
        <v>0.27001407493264301</v>
      </c>
      <c r="Y161" s="135">
        <v>0.20003167238748301</v>
      </c>
      <c r="Z161" s="135">
        <v>0.13360785570137401</v>
      </c>
      <c r="AA161" s="135">
        <v>5.4679294162278499E-2</v>
      </c>
      <c r="AB161" s="135">
        <v>1.8907726496440298E-2</v>
      </c>
      <c r="AC161" s="135">
        <v>8.9180207249639296E-3</v>
      </c>
      <c r="AD161" s="135">
        <v>6.1114831815918102E-3</v>
      </c>
      <c r="AF161" s="243">
        <f t="shared" si="1"/>
        <v>0.28283433514965728</v>
      </c>
      <c r="AG161" s="275">
        <f t="shared" si="2"/>
        <v>0.28619073113625126</v>
      </c>
      <c r="AH161" s="391">
        <f t="shared" si="3"/>
        <v>0.76118667591149536</v>
      </c>
      <c r="AI161" s="135">
        <f t="shared" si="4"/>
        <v>1.0473774070477466</v>
      </c>
    </row>
    <row r="162" spans="1:35" ht="12.6">
      <c r="A162" s="10" t="s">
        <v>186</v>
      </c>
      <c r="B162" s="10">
        <v>161</v>
      </c>
      <c r="C162" s="10" t="s">
        <v>1514</v>
      </c>
      <c r="D162" s="388">
        <v>45087</v>
      </c>
      <c r="E162" s="389">
        <v>45087</v>
      </c>
      <c r="F162" s="390" t="str">
        <f t="shared" si="0"/>
        <v>Cooking</v>
      </c>
      <c r="G162" s="135">
        <v>4.5012922669470101E-3</v>
      </c>
      <c r="H162" s="135">
        <v>2.69038530734951E-3</v>
      </c>
      <c r="I162" s="135">
        <v>2.23547492362128E-3</v>
      </c>
      <c r="J162" s="135">
        <v>2.3112600189637601E-3</v>
      </c>
      <c r="K162" s="135">
        <v>2.2111740396937299E-3</v>
      </c>
      <c r="L162" s="135">
        <v>2.4038699548199101E-3</v>
      </c>
      <c r="M162" s="135">
        <v>4.60107737557062E-3</v>
      </c>
      <c r="N162" s="135">
        <v>1.2376042571051E-2</v>
      </c>
      <c r="O162" s="135">
        <v>2.53213620647036E-2</v>
      </c>
      <c r="P162" s="135">
        <v>3.7513015239511199E-2</v>
      </c>
      <c r="Q162" s="135">
        <v>4.97235976464643E-2</v>
      </c>
      <c r="R162" s="135">
        <v>6.0820835462887399E-2</v>
      </c>
      <c r="S162" s="135">
        <v>5.67892558027931E-2</v>
      </c>
      <c r="T162" s="135">
        <v>5.0221995099371301E-2</v>
      </c>
      <c r="U162" s="135">
        <v>4.38225365606527E-2</v>
      </c>
      <c r="V162" s="135">
        <v>5.4291742744822798E-2</v>
      </c>
      <c r="W162" s="135">
        <v>0.10760611470284601</v>
      </c>
      <c r="X162" s="135">
        <v>0.23460491207052001</v>
      </c>
      <c r="Y162" s="135">
        <v>0.15982131993624801</v>
      </c>
      <c r="Z162" s="135">
        <v>8.6325375242444102E-2</v>
      </c>
      <c r="AA162" s="135">
        <v>3.8075643740350301E-2</v>
      </c>
      <c r="AB162" s="135">
        <v>1.72545139385211E-2</v>
      </c>
      <c r="AC162" s="135">
        <v>6.83099366873181E-3</v>
      </c>
      <c r="AD162" s="135">
        <v>4.28290391472517E-3</v>
      </c>
      <c r="AF162" s="243">
        <f t="shared" si="1"/>
        <v>0.42327607801983758</v>
      </c>
      <c r="AG162" s="275">
        <f t="shared" si="2"/>
        <v>0.34480007638090882</v>
      </c>
      <c r="AH162" s="391">
        <f t="shared" si="3"/>
        <v>0.72183661791270104</v>
      </c>
      <c r="AI162" s="135">
        <f t="shared" si="4"/>
        <v>1.0666366942936099</v>
      </c>
    </row>
    <row r="163" spans="1:35" ht="12.6">
      <c r="A163" s="10" t="s">
        <v>186</v>
      </c>
      <c r="B163" s="10">
        <v>162</v>
      </c>
      <c r="C163" s="10" t="s">
        <v>1514</v>
      </c>
      <c r="D163" s="388">
        <v>45088</v>
      </c>
      <c r="E163" s="389">
        <v>45088</v>
      </c>
      <c r="F163" s="390" t="str">
        <f t="shared" si="0"/>
        <v>Cooking</v>
      </c>
      <c r="G163" s="135">
        <v>4.5012922669470101E-3</v>
      </c>
      <c r="H163" s="135">
        <v>2.69038530734951E-3</v>
      </c>
      <c r="I163" s="135">
        <v>2.23547492362128E-3</v>
      </c>
      <c r="J163" s="135">
        <v>2.3112600189637601E-3</v>
      </c>
      <c r="K163" s="135">
        <v>2.2111740396937299E-3</v>
      </c>
      <c r="L163" s="135">
        <v>2.4038699548199101E-3</v>
      </c>
      <c r="M163" s="135">
        <v>4.60107737557062E-3</v>
      </c>
      <c r="N163" s="135">
        <v>1.2376042571051E-2</v>
      </c>
      <c r="O163" s="135">
        <v>2.53213620647036E-2</v>
      </c>
      <c r="P163" s="135">
        <v>3.7513015239511199E-2</v>
      </c>
      <c r="Q163" s="135">
        <v>4.97235976464643E-2</v>
      </c>
      <c r="R163" s="135">
        <v>6.0820835462887399E-2</v>
      </c>
      <c r="S163" s="135">
        <v>5.67892558027931E-2</v>
      </c>
      <c r="T163" s="135">
        <v>5.0221995099371301E-2</v>
      </c>
      <c r="U163" s="135">
        <v>4.38225365606527E-2</v>
      </c>
      <c r="V163" s="135">
        <v>5.4291742744822798E-2</v>
      </c>
      <c r="W163" s="135">
        <v>0.10760611470284601</v>
      </c>
      <c r="X163" s="135">
        <v>0.23460491207052001</v>
      </c>
      <c r="Y163" s="135">
        <v>0.15982131993624801</v>
      </c>
      <c r="Z163" s="135">
        <v>8.6325375242444102E-2</v>
      </c>
      <c r="AA163" s="135">
        <v>3.8075643740350301E-2</v>
      </c>
      <c r="AB163" s="135">
        <v>1.72545139385211E-2</v>
      </c>
      <c r="AC163" s="135">
        <v>6.83099366873181E-3</v>
      </c>
      <c r="AD163" s="135">
        <v>4.28290391472517E-3</v>
      </c>
      <c r="AF163" s="243">
        <f t="shared" si="1"/>
        <v>0.42327607801983758</v>
      </c>
      <c r="AG163" s="275">
        <f t="shared" si="2"/>
        <v>0.34480007638090882</v>
      </c>
      <c r="AH163" s="391">
        <f t="shared" si="3"/>
        <v>0.72183661791270104</v>
      </c>
      <c r="AI163" s="135">
        <f t="shared" si="4"/>
        <v>1.0666366942936099</v>
      </c>
    </row>
    <row r="164" spans="1:35" ht="12.6">
      <c r="A164" s="10" t="s">
        <v>186</v>
      </c>
      <c r="B164" s="10">
        <v>163</v>
      </c>
      <c r="C164" s="10" t="s">
        <v>1514</v>
      </c>
      <c r="D164" s="388">
        <v>45089</v>
      </c>
      <c r="E164" s="389">
        <v>45089</v>
      </c>
      <c r="F164" s="390" t="str">
        <f t="shared" si="0"/>
        <v>Cooking</v>
      </c>
      <c r="G164" s="135">
        <v>4.6553328674984696E-3</v>
      </c>
      <c r="H164" s="135">
        <v>2.82251810595737E-3</v>
      </c>
      <c r="I164" s="135">
        <v>2.3632032450766698E-3</v>
      </c>
      <c r="J164" s="135">
        <v>2.3005245395236202E-3</v>
      </c>
      <c r="K164" s="135">
        <v>2.2379495480711799E-3</v>
      </c>
      <c r="L164" s="135">
        <v>3.09259525161986E-3</v>
      </c>
      <c r="M164" s="135">
        <v>9.1705487534274807E-3</v>
      </c>
      <c r="N164" s="135">
        <v>1.9124038051290201E-2</v>
      </c>
      <c r="O164" s="135">
        <v>1.19353305923015E-2</v>
      </c>
      <c r="P164" s="135">
        <v>1.4570903356548299E-2</v>
      </c>
      <c r="Q164" s="135">
        <v>1.4910074518072899E-2</v>
      </c>
      <c r="R164" s="135">
        <v>2.34057057130636E-2</v>
      </c>
      <c r="S164" s="135">
        <v>3.0488433718737801E-2</v>
      </c>
      <c r="T164" s="135">
        <v>2.46129198449304E-2</v>
      </c>
      <c r="U164" s="135">
        <v>2.1327492842706498E-2</v>
      </c>
      <c r="V164" s="135">
        <v>3.2580125931838101E-2</v>
      </c>
      <c r="W164" s="135">
        <v>0.13550958258030801</v>
      </c>
      <c r="X164" s="135">
        <v>0.27001407493264301</v>
      </c>
      <c r="Y164" s="135">
        <v>0.20003167238748301</v>
      </c>
      <c r="Z164" s="135">
        <v>0.13360785570137401</v>
      </c>
      <c r="AA164" s="135">
        <v>5.4679294162278499E-2</v>
      </c>
      <c r="AB164" s="135">
        <v>1.8907726496440298E-2</v>
      </c>
      <c r="AC164" s="135">
        <v>8.9180207249639296E-3</v>
      </c>
      <c r="AD164" s="135">
        <v>6.1114831815918102E-3</v>
      </c>
      <c r="AF164" s="243">
        <f t="shared" si="1"/>
        <v>0.28283433514965728</v>
      </c>
      <c r="AG164" s="275">
        <f t="shared" si="2"/>
        <v>0.28619073113625126</v>
      </c>
      <c r="AH164" s="391">
        <f t="shared" si="3"/>
        <v>0.76118667591149536</v>
      </c>
      <c r="AI164" s="135">
        <f t="shared" si="4"/>
        <v>1.0473774070477466</v>
      </c>
    </row>
    <row r="165" spans="1:35" ht="12.6">
      <c r="A165" s="10" t="s">
        <v>186</v>
      </c>
      <c r="B165" s="10">
        <v>164</v>
      </c>
      <c r="C165" s="10" t="s">
        <v>1514</v>
      </c>
      <c r="D165" s="388">
        <v>45090</v>
      </c>
      <c r="E165" s="389">
        <v>45090</v>
      </c>
      <c r="F165" s="390" t="str">
        <f t="shared" si="0"/>
        <v>Cooking</v>
      </c>
      <c r="G165" s="135">
        <v>4.6553328674984696E-3</v>
      </c>
      <c r="H165" s="135">
        <v>2.82251810595737E-3</v>
      </c>
      <c r="I165" s="135">
        <v>2.3632032450766698E-3</v>
      </c>
      <c r="J165" s="135">
        <v>2.3005245395236202E-3</v>
      </c>
      <c r="K165" s="135">
        <v>2.2379495480711799E-3</v>
      </c>
      <c r="L165" s="135">
        <v>3.09259525161986E-3</v>
      </c>
      <c r="M165" s="135">
        <v>9.1705487534274807E-3</v>
      </c>
      <c r="N165" s="135">
        <v>1.9124038051290201E-2</v>
      </c>
      <c r="O165" s="135">
        <v>1.19353305923015E-2</v>
      </c>
      <c r="P165" s="135">
        <v>1.4570903356548299E-2</v>
      </c>
      <c r="Q165" s="135">
        <v>1.4910074518072899E-2</v>
      </c>
      <c r="R165" s="135">
        <v>2.34057057130636E-2</v>
      </c>
      <c r="S165" s="135">
        <v>3.0488433718737801E-2</v>
      </c>
      <c r="T165" s="135">
        <v>2.46129198449304E-2</v>
      </c>
      <c r="U165" s="135">
        <v>2.1327492842706498E-2</v>
      </c>
      <c r="V165" s="135">
        <v>3.2580125931838101E-2</v>
      </c>
      <c r="W165" s="135">
        <v>0.13550958258030801</v>
      </c>
      <c r="X165" s="135">
        <v>0.27001407493264301</v>
      </c>
      <c r="Y165" s="135">
        <v>0.20003167238748301</v>
      </c>
      <c r="Z165" s="135">
        <v>0.13360785570137401</v>
      </c>
      <c r="AA165" s="135">
        <v>5.4679294162278499E-2</v>
      </c>
      <c r="AB165" s="135">
        <v>1.8907726496440298E-2</v>
      </c>
      <c r="AC165" s="135">
        <v>8.9180207249639296E-3</v>
      </c>
      <c r="AD165" s="135">
        <v>6.1114831815918102E-3</v>
      </c>
      <c r="AF165" s="243">
        <f t="shared" si="1"/>
        <v>0.28283433514965728</v>
      </c>
      <c r="AG165" s="275">
        <f t="shared" si="2"/>
        <v>0.28619073113625126</v>
      </c>
      <c r="AH165" s="391">
        <f t="shared" si="3"/>
        <v>0.76118667591149536</v>
      </c>
      <c r="AI165" s="135">
        <f t="shared" si="4"/>
        <v>1.0473774070477466</v>
      </c>
    </row>
    <row r="166" spans="1:35" ht="12.6">
      <c r="A166" s="10" t="s">
        <v>186</v>
      </c>
      <c r="B166" s="10">
        <v>165</v>
      </c>
      <c r="C166" s="10" t="s">
        <v>1514</v>
      </c>
      <c r="D166" s="388">
        <v>45091</v>
      </c>
      <c r="E166" s="389">
        <v>45091</v>
      </c>
      <c r="F166" s="390" t="str">
        <f t="shared" si="0"/>
        <v>Cooking</v>
      </c>
      <c r="G166" s="135">
        <v>4.6553328674984696E-3</v>
      </c>
      <c r="H166" s="135">
        <v>2.82251810595737E-3</v>
      </c>
      <c r="I166" s="135">
        <v>2.3632032450766698E-3</v>
      </c>
      <c r="J166" s="135">
        <v>2.3005245395236202E-3</v>
      </c>
      <c r="K166" s="135">
        <v>2.2379495480711799E-3</v>
      </c>
      <c r="L166" s="135">
        <v>3.09259525161986E-3</v>
      </c>
      <c r="M166" s="135">
        <v>9.1705487534274807E-3</v>
      </c>
      <c r="N166" s="135">
        <v>1.9124038051290201E-2</v>
      </c>
      <c r="O166" s="135">
        <v>1.19353305923015E-2</v>
      </c>
      <c r="P166" s="135">
        <v>1.4570903356548299E-2</v>
      </c>
      <c r="Q166" s="135">
        <v>1.4910074518072899E-2</v>
      </c>
      <c r="R166" s="135">
        <v>2.34057057130636E-2</v>
      </c>
      <c r="S166" s="135">
        <v>3.0488433718737801E-2</v>
      </c>
      <c r="T166" s="135">
        <v>2.46129198449304E-2</v>
      </c>
      <c r="U166" s="135">
        <v>2.1327492842706498E-2</v>
      </c>
      <c r="V166" s="135">
        <v>3.2580125931838101E-2</v>
      </c>
      <c r="W166" s="135">
        <v>0.13550958258030801</v>
      </c>
      <c r="X166" s="135">
        <v>0.27001407493264301</v>
      </c>
      <c r="Y166" s="135">
        <v>0.20003167238748301</v>
      </c>
      <c r="Z166" s="135">
        <v>0.13360785570137401</v>
      </c>
      <c r="AA166" s="135">
        <v>5.4679294162278499E-2</v>
      </c>
      <c r="AB166" s="135">
        <v>1.8907726496440298E-2</v>
      </c>
      <c r="AC166" s="135">
        <v>8.9180207249639296E-3</v>
      </c>
      <c r="AD166" s="135">
        <v>6.1114831815918102E-3</v>
      </c>
      <c r="AF166" s="243">
        <f t="shared" si="1"/>
        <v>0.28283433514965728</v>
      </c>
      <c r="AG166" s="275">
        <f t="shared" si="2"/>
        <v>0.28619073113625126</v>
      </c>
      <c r="AH166" s="391">
        <f t="shared" si="3"/>
        <v>0.76118667591149536</v>
      </c>
      <c r="AI166" s="135">
        <f t="shared" si="4"/>
        <v>1.0473774070477466</v>
      </c>
    </row>
    <row r="167" spans="1:35" ht="12.6">
      <c r="A167" s="10" t="s">
        <v>186</v>
      </c>
      <c r="B167" s="10">
        <v>166</v>
      </c>
      <c r="C167" s="10" t="s">
        <v>1514</v>
      </c>
      <c r="D167" s="388">
        <v>45092</v>
      </c>
      <c r="E167" s="389">
        <v>45092</v>
      </c>
      <c r="F167" s="390" t="str">
        <f t="shared" si="0"/>
        <v>Cooking</v>
      </c>
      <c r="G167" s="135">
        <v>4.6553328674984696E-3</v>
      </c>
      <c r="H167" s="135">
        <v>2.82251810595737E-3</v>
      </c>
      <c r="I167" s="135">
        <v>2.3632032450766698E-3</v>
      </c>
      <c r="J167" s="135">
        <v>2.3005245395236202E-3</v>
      </c>
      <c r="K167" s="135">
        <v>2.2379495480711799E-3</v>
      </c>
      <c r="L167" s="135">
        <v>3.09259525161986E-3</v>
      </c>
      <c r="M167" s="135">
        <v>9.1705487534274807E-3</v>
      </c>
      <c r="N167" s="135">
        <v>1.9124038051290201E-2</v>
      </c>
      <c r="O167" s="135">
        <v>1.19353305923015E-2</v>
      </c>
      <c r="P167" s="135">
        <v>1.4570903356548299E-2</v>
      </c>
      <c r="Q167" s="135">
        <v>1.4910074518072899E-2</v>
      </c>
      <c r="R167" s="135">
        <v>2.34057057130636E-2</v>
      </c>
      <c r="S167" s="135">
        <v>3.0488433718737801E-2</v>
      </c>
      <c r="T167" s="135">
        <v>2.46129198449304E-2</v>
      </c>
      <c r="U167" s="135">
        <v>2.1327492842706498E-2</v>
      </c>
      <c r="V167" s="135">
        <v>3.2580125931838101E-2</v>
      </c>
      <c r="W167" s="135">
        <v>0.13550958258030801</v>
      </c>
      <c r="X167" s="135">
        <v>0.27001407493264301</v>
      </c>
      <c r="Y167" s="135">
        <v>0.20003167238748301</v>
      </c>
      <c r="Z167" s="135">
        <v>0.13360785570137401</v>
      </c>
      <c r="AA167" s="135">
        <v>5.4679294162278499E-2</v>
      </c>
      <c r="AB167" s="135">
        <v>1.8907726496440298E-2</v>
      </c>
      <c r="AC167" s="135">
        <v>8.9180207249639296E-3</v>
      </c>
      <c r="AD167" s="135">
        <v>6.1114831815918102E-3</v>
      </c>
      <c r="AF167" s="243">
        <f t="shared" si="1"/>
        <v>0.28283433514965728</v>
      </c>
      <c r="AG167" s="275">
        <f t="shared" si="2"/>
        <v>0.28619073113625126</v>
      </c>
      <c r="AH167" s="391">
        <f t="shared" si="3"/>
        <v>0.76118667591149536</v>
      </c>
      <c r="AI167" s="135">
        <f t="shared" si="4"/>
        <v>1.0473774070477466</v>
      </c>
    </row>
    <row r="168" spans="1:35" ht="12.6">
      <c r="A168" s="10" t="s">
        <v>186</v>
      </c>
      <c r="B168" s="10">
        <v>167</v>
      </c>
      <c r="C168" s="10" t="s">
        <v>1514</v>
      </c>
      <c r="D168" s="388">
        <v>45093</v>
      </c>
      <c r="E168" s="389">
        <v>45093</v>
      </c>
      <c r="F168" s="390" t="str">
        <f t="shared" si="0"/>
        <v>Cooking</v>
      </c>
      <c r="G168" s="135">
        <v>4.6553328674984696E-3</v>
      </c>
      <c r="H168" s="135">
        <v>2.82251810595737E-3</v>
      </c>
      <c r="I168" s="135">
        <v>2.3632032450766698E-3</v>
      </c>
      <c r="J168" s="135">
        <v>2.3005245395236202E-3</v>
      </c>
      <c r="K168" s="135">
        <v>2.2379495480711799E-3</v>
      </c>
      <c r="L168" s="135">
        <v>3.09259525161986E-3</v>
      </c>
      <c r="M168" s="135">
        <v>9.1705487534274807E-3</v>
      </c>
      <c r="N168" s="135">
        <v>1.9124038051290201E-2</v>
      </c>
      <c r="O168" s="135">
        <v>1.19353305923015E-2</v>
      </c>
      <c r="P168" s="135">
        <v>1.4570903356548299E-2</v>
      </c>
      <c r="Q168" s="135">
        <v>1.4910074518072899E-2</v>
      </c>
      <c r="R168" s="135">
        <v>2.34057057130636E-2</v>
      </c>
      <c r="S168" s="135">
        <v>3.0488433718737801E-2</v>
      </c>
      <c r="T168" s="135">
        <v>2.46129198449304E-2</v>
      </c>
      <c r="U168" s="135">
        <v>2.1327492842706498E-2</v>
      </c>
      <c r="V168" s="135">
        <v>3.2580125931838101E-2</v>
      </c>
      <c r="W168" s="135">
        <v>0.13550958258030801</v>
      </c>
      <c r="X168" s="135">
        <v>0.27001407493264301</v>
      </c>
      <c r="Y168" s="135">
        <v>0.20003167238748301</v>
      </c>
      <c r="Z168" s="135">
        <v>0.13360785570137401</v>
      </c>
      <c r="AA168" s="135">
        <v>5.4679294162278499E-2</v>
      </c>
      <c r="AB168" s="135">
        <v>1.8907726496440298E-2</v>
      </c>
      <c r="AC168" s="135">
        <v>8.9180207249639296E-3</v>
      </c>
      <c r="AD168" s="135">
        <v>6.1114831815918102E-3</v>
      </c>
      <c r="AF168" s="243">
        <f t="shared" si="1"/>
        <v>0.28283433514965728</v>
      </c>
      <c r="AG168" s="275">
        <f t="shared" si="2"/>
        <v>0.28619073113625126</v>
      </c>
      <c r="AH168" s="391">
        <f t="shared" si="3"/>
        <v>0.76118667591149536</v>
      </c>
      <c r="AI168" s="135">
        <f t="shared" si="4"/>
        <v>1.0473774070477466</v>
      </c>
    </row>
    <row r="169" spans="1:35" ht="12.6">
      <c r="A169" s="10" t="s">
        <v>186</v>
      </c>
      <c r="B169" s="10">
        <v>168</v>
      </c>
      <c r="C169" s="10" t="s">
        <v>1514</v>
      </c>
      <c r="D169" s="388">
        <v>45094</v>
      </c>
      <c r="E169" s="389">
        <v>45094</v>
      </c>
      <c r="F169" s="390" t="str">
        <f t="shared" si="0"/>
        <v>Cooking</v>
      </c>
      <c r="G169" s="135">
        <v>4.5012922669470101E-3</v>
      </c>
      <c r="H169" s="135">
        <v>2.69038530734951E-3</v>
      </c>
      <c r="I169" s="135">
        <v>2.23547492362128E-3</v>
      </c>
      <c r="J169" s="135">
        <v>2.3112600189637601E-3</v>
      </c>
      <c r="K169" s="135">
        <v>2.2111740396937299E-3</v>
      </c>
      <c r="L169" s="135">
        <v>2.4038699548199101E-3</v>
      </c>
      <c r="M169" s="135">
        <v>4.60107737557062E-3</v>
      </c>
      <c r="N169" s="135">
        <v>1.2376042571051E-2</v>
      </c>
      <c r="O169" s="135">
        <v>2.53213620647036E-2</v>
      </c>
      <c r="P169" s="135">
        <v>3.7513015239511199E-2</v>
      </c>
      <c r="Q169" s="135">
        <v>4.97235976464643E-2</v>
      </c>
      <c r="R169" s="135">
        <v>6.0820835462887399E-2</v>
      </c>
      <c r="S169" s="135">
        <v>5.67892558027931E-2</v>
      </c>
      <c r="T169" s="135">
        <v>5.0221995099371301E-2</v>
      </c>
      <c r="U169" s="135">
        <v>4.38225365606527E-2</v>
      </c>
      <c r="V169" s="135">
        <v>5.4291742744822798E-2</v>
      </c>
      <c r="W169" s="135">
        <v>0.10760611470284601</v>
      </c>
      <c r="X169" s="135">
        <v>0.23460491207052001</v>
      </c>
      <c r="Y169" s="135">
        <v>0.15982131993624801</v>
      </c>
      <c r="Z169" s="135">
        <v>8.6325375242444102E-2</v>
      </c>
      <c r="AA169" s="135">
        <v>3.8075643740350301E-2</v>
      </c>
      <c r="AB169" s="135">
        <v>1.72545139385211E-2</v>
      </c>
      <c r="AC169" s="135">
        <v>6.83099366873181E-3</v>
      </c>
      <c r="AD169" s="135">
        <v>4.28290391472517E-3</v>
      </c>
      <c r="AF169" s="243">
        <f t="shared" si="1"/>
        <v>0.42327607801983758</v>
      </c>
      <c r="AG169" s="275">
        <f t="shared" si="2"/>
        <v>0.34480007638090882</v>
      </c>
      <c r="AH169" s="391">
        <f t="shared" si="3"/>
        <v>0.72183661791270104</v>
      </c>
      <c r="AI169" s="135">
        <f t="shared" si="4"/>
        <v>1.0666366942936099</v>
      </c>
    </row>
    <row r="170" spans="1:35" ht="12.6">
      <c r="A170" s="10" t="s">
        <v>186</v>
      </c>
      <c r="B170" s="10">
        <v>169</v>
      </c>
      <c r="C170" s="10" t="s">
        <v>1514</v>
      </c>
      <c r="D170" s="388">
        <v>45095</v>
      </c>
      <c r="E170" s="389">
        <v>45095</v>
      </c>
      <c r="F170" s="390" t="str">
        <f t="shared" si="0"/>
        <v>Cooking</v>
      </c>
      <c r="G170" s="135">
        <v>4.5012922669470101E-3</v>
      </c>
      <c r="H170" s="135">
        <v>2.69038530734951E-3</v>
      </c>
      <c r="I170" s="135">
        <v>2.23547492362128E-3</v>
      </c>
      <c r="J170" s="135">
        <v>2.3112600189637601E-3</v>
      </c>
      <c r="K170" s="135">
        <v>2.2111740396937299E-3</v>
      </c>
      <c r="L170" s="135">
        <v>2.4038699548199101E-3</v>
      </c>
      <c r="M170" s="135">
        <v>4.60107737557062E-3</v>
      </c>
      <c r="N170" s="135">
        <v>1.2376042571051E-2</v>
      </c>
      <c r="O170" s="135">
        <v>2.53213620647036E-2</v>
      </c>
      <c r="P170" s="135">
        <v>3.7513015239511199E-2</v>
      </c>
      <c r="Q170" s="135">
        <v>4.97235976464643E-2</v>
      </c>
      <c r="R170" s="135">
        <v>6.0820835462887399E-2</v>
      </c>
      <c r="S170" s="135">
        <v>5.67892558027931E-2</v>
      </c>
      <c r="T170" s="135">
        <v>5.0221995099371301E-2</v>
      </c>
      <c r="U170" s="135">
        <v>4.38225365606527E-2</v>
      </c>
      <c r="V170" s="135">
        <v>5.4291742744822798E-2</v>
      </c>
      <c r="W170" s="135">
        <v>0.10760611470284601</v>
      </c>
      <c r="X170" s="135">
        <v>0.23460491207052001</v>
      </c>
      <c r="Y170" s="135">
        <v>0.15982131993624801</v>
      </c>
      <c r="Z170" s="135">
        <v>8.6325375242444102E-2</v>
      </c>
      <c r="AA170" s="135">
        <v>3.8075643740350301E-2</v>
      </c>
      <c r="AB170" s="135">
        <v>1.72545139385211E-2</v>
      </c>
      <c r="AC170" s="135">
        <v>6.83099366873181E-3</v>
      </c>
      <c r="AD170" s="135">
        <v>4.28290391472517E-3</v>
      </c>
      <c r="AF170" s="243">
        <f t="shared" si="1"/>
        <v>0.42327607801983758</v>
      </c>
      <c r="AG170" s="275">
        <f t="shared" si="2"/>
        <v>0.34480007638090882</v>
      </c>
      <c r="AH170" s="391">
        <f t="shared" si="3"/>
        <v>0.72183661791270104</v>
      </c>
      <c r="AI170" s="135">
        <f t="shared" si="4"/>
        <v>1.0666366942936099</v>
      </c>
    </row>
    <row r="171" spans="1:35" ht="12.6">
      <c r="A171" s="10" t="s">
        <v>186</v>
      </c>
      <c r="B171" s="10">
        <v>170</v>
      </c>
      <c r="C171" s="10" t="s">
        <v>1514</v>
      </c>
      <c r="D171" s="388">
        <v>45096</v>
      </c>
      <c r="E171" s="389">
        <v>45096</v>
      </c>
      <c r="F171" s="390" t="str">
        <f t="shared" si="0"/>
        <v>Cooking</v>
      </c>
      <c r="G171" s="135">
        <v>4.6553328674984696E-3</v>
      </c>
      <c r="H171" s="135">
        <v>2.82251810595737E-3</v>
      </c>
      <c r="I171" s="135">
        <v>2.3632032450766698E-3</v>
      </c>
      <c r="J171" s="135">
        <v>2.3005245395236202E-3</v>
      </c>
      <c r="K171" s="135">
        <v>2.2379495480711799E-3</v>
      </c>
      <c r="L171" s="135">
        <v>3.09259525161986E-3</v>
      </c>
      <c r="M171" s="135">
        <v>9.1705487534274807E-3</v>
      </c>
      <c r="N171" s="135">
        <v>1.9124038051290201E-2</v>
      </c>
      <c r="O171" s="135">
        <v>1.19353305923015E-2</v>
      </c>
      <c r="P171" s="135">
        <v>1.4570903356548299E-2</v>
      </c>
      <c r="Q171" s="135">
        <v>1.4910074518072899E-2</v>
      </c>
      <c r="R171" s="135">
        <v>2.34057057130636E-2</v>
      </c>
      <c r="S171" s="135">
        <v>3.0488433718737801E-2</v>
      </c>
      <c r="T171" s="135">
        <v>2.46129198449304E-2</v>
      </c>
      <c r="U171" s="135">
        <v>2.1327492842706498E-2</v>
      </c>
      <c r="V171" s="135">
        <v>3.2580125931838101E-2</v>
      </c>
      <c r="W171" s="135">
        <v>0.13550958258030801</v>
      </c>
      <c r="X171" s="135">
        <v>0.27001407493264301</v>
      </c>
      <c r="Y171" s="135">
        <v>0.20003167238748301</v>
      </c>
      <c r="Z171" s="135">
        <v>0.13360785570137401</v>
      </c>
      <c r="AA171" s="135">
        <v>5.4679294162278499E-2</v>
      </c>
      <c r="AB171" s="135">
        <v>1.8907726496440298E-2</v>
      </c>
      <c r="AC171" s="135">
        <v>8.9180207249639296E-3</v>
      </c>
      <c r="AD171" s="135">
        <v>6.1114831815918102E-3</v>
      </c>
      <c r="AF171" s="243">
        <f t="shared" si="1"/>
        <v>0.28283433514965728</v>
      </c>
      <c r="AG171" s="275">
        <f t="shared" si="2"/>
        <v>0.28619073113625126</v>
      </c>
      <c r="AH171" s="391">
        <f t="shared" si="3"/>
        <v>0.76118667591149536</v>
      </c>
      <c r="AI171" s="135">
        <f t="shared" si="4"/>
        <v>1.0473774070477466</v>
      </c>
    </row>
    <row r="172" spans="1:35" ht="12.6">
      <c r="A172" s="10" t="s">
        <v>186</v>
      </c>
      <c r="B172" s="10">
        <v>171</v>
      </c>
      <c r="C172" s="10" t="s">
        <v>1514</v>
      </c>
      <c r="D172" s="388">
        <v>45097</v>
      </c>
      <c r="E172" s="389">
        <v>45097</v>
      </c>
      <c r="F172" s="390" t="str">
        <f t="shared" si="0"/>
        <v>Cooking</v>
      </c>
      <c r="G172" s="135">
        <v>4.6553328674984696E-3</v>
      </c>
      <c r="H172" s="135">
        <v>2.82251810595737E-3</v>
      </c>
      <c r="I172" s="135">
        <v>2.3632032450766698E-3</v>
      </c>
      <c r="J172" s="135">
        <v>2.3005245395236202E-3</v>
      </c>
      <c r="K172" s="135">
        <v>2.2379495480711799E-3</v>
      </c>
      <c r="L172" s="135">
        <v>3.09259525161986E-3</v>
      </c>
      <c r="M172" s="135">
        <v>9.1705487534274807E-3</v>
      </c>
      <c r="N172" s="135">
        <v>1.9124038051290201E-2</v>
      </c>
      <c r="O172" s="135">
        <v>1.19353305923015E-2</v>
      </c>
      <c r="P172" s="135">
        <v>1.4570903356548299E-2</v>
      </c>
      <c r="Q172" s="135">
        <v>1.4910074518072899E-2</v>
      </c>
      <c r="R172" s="135">
        <v>2.34057057130636E-2</v>
      </c>
      <c r="S172" s="135">
        <v>3.0488433718737801E-2</v>
      </c>
      <c r="T172" s="135">
        <v>2.46129198449304E-2</v>
      </c>
      <c r="U172" s="135">
        <v>2.1327492842706498E-2</v>
      </c>
      <c r="V172" s="135">
        <v>3.2580125931838101E-2</v>
      </c>
      <c r="W172" s="135">
        <v>0.13550958258030801</v>
      </c>
      <c r="X172" s="135">
        <v>0.27001407493264301</v>
      </c>
      <c r="Y172" s="135">
        <v>0.20003167238748301</v>
      </c>
      <c r="Z172" s="135">
        <v>0.13360785570137401</v>
      </c>
      <c r="AA172" s="135">
        <v>5.4679294162278499E-2</v>
      </c>
      <c r="AB172" s="135">
        <v>1.8907726496440298E-2</v>
      </c>
      <c r="AC172" s="135">
        <v>8.9180207249639296E-3</v>
      </c>
      <c r="AD172" s="135">
        <v>6.1114831815918102E-3</v>
      </c>
      <c r="AF172" s="243">
        <f t="shared" si="1"/>
        <v>0.28283433514965728</v>
      </c>
      <c r="AG172" s="275">
        <f t="shared" si="2"/>
        <v>0.28619073113625126</v>
      </c>
      <c r="AH172" s="391">
        <f t="shared" si="3"/>
        <v>0.76118667591149536</v>
      </c>
      <c r="AI172" s="135">
        <f t="shared" si="4"/>
        <v>1.0473774070477466</v>
      </c>
    </row>
    <row r="173" spans="1:35" ht="12.6">
      <c r="A173" s="10" t="s">
        <v>186</v>
      </c>
      <c r="B173" s="10">
        <v>172</v>
      </c>
      <c r="C173" s="10" t="s">
        <v>1514</v>
      </c>
      <c r="D173" s="388">
        <v>45098</v>
      </c>
      <c r="E173" s="389">
        <v>45098</v>
      </c>
      <c r="F173" s="390" t="str">
        <f t="shared" si="0"/>
        <v>Cooking</v>
      </c>
      <c r="G173" s="135">
        <v>4.6553328674984696E-3</v>
      </c>
      <c r="H173" s="135">
        <v>2.82251810595737E-3</v>
      </c>
      <c r="I173" s="135">
        <v>2.3632032450766698E-3</v>
      </c>
      <c r="J173" s="135">
        <v>2.3005245395236202E-3</v>
      </c>
      <c r="K173" s="135">
        <v>2.2379495480711799E-3</v>
      </c>
      <c r="L173" s="135">
        <v>3.09259525161986E-3</v>
      </c>
      <c r="M173" s="135">
        <v>9.1705487534274807E-3</v>
      </c>
      <c r="N173" s="135">
        <v>1.9124038051290201E-2</v>
      </c>
      <c r="O173" s="135">
        <v>1.19353305923015E-2</v>
      </c>
      <c r="P173" s="135">
        <v>1.4570903356548299E-2</v>
      </c>
      <c r="Q173" s="135">
        <v>1.4910074518072899E-2</v>
      </c>
      <c r="R173" s="135">
        <v>2.34057057130636E-2</v>
      </c>
      <c r="S173" s="135">
        <v>3.0488433718737801E-2</v>
      </c>
      <c r="T173" s="135">
        <v>2.46129198449304E-2</v>
      </c>
      <c r="U173" s="135">
        <v>2.1327492842706498E-2</v>
      </c>
      <c r="V173" s="135">
        <v>3.2580125931838101E-2</v>
      </c>
      <c r="W173" s="135">
        <v>0.13550958258030801</v>
      </c>
      <c r="X173" s="135">
        <v>0.27001407493264301</v>
      </c>
      <c r="Y173" s="135">
        <v>0.20003167238748301</v>
      </c>
      <c r="Z173" s="135">
        <v>0.13360785570137401</v>
      </c>
      <c r="AA173" s="135">
        <v>5.4679294162278499E-2</v>
      </c>
      <c r="AB173" s="135">
        <v>1.8907726496440298E-2</v>
      </c>
      <c r="AC173" s="135">
        <v>8.9180207249639296E-3</v>
      </c>
      <c r="AD173" s="135">
        <v>6.1114831815918102E-3</v>
      </c>
      <c r="AF173" s="243">
        <f t="shared" si="1"/>
        <v>0.28283433514965728</v>
      </c>
      <c r="AG173" s="275">
        <f t="shared" si="2"/>
        <v>0.28619073113625126</v>
      </c>
      <c r="AH173" s="391">
        <f t="shared" si="3"/>
        <v>0.76118667591149536</v>
      </c>
      <c r="AI173" s="135">
        <f t="shared" si="4"/>
        <v>1.0473774070477466</v>
      </c>
    </row>
    <row r="174" spans="1:35" ht="12.6">
      <c r="A174" s="10" t="s">
        <v>186</v>
      </c>
      <c r="B174" s="10">
        <v>173</v>
      </c>
      <c r="C174" s="10" t="s">
        <v>1514</v>
      </c>
      <c r="D174" s="388">
        <v>45099</v>
      </c>
      <c r="E174" s="389">
        <v>45099</v>
      </c>
      <c r="F174" s="390" t="str">
        <f t="shared" si="0"/>
        <v>Cooking</v>
      </c>
      <c r="G174" s="135">
        <v>4.6553328674984696E-3</v>
      </c>
      <c r="H174" s="135">
        <v>2.82251810595737E-3</v>
      </c>
      <c r="I174" s="135">
        <v>2.3632032450766698E-3</v>
      </c>
      <c r="J174" s="135">
        <v>2.3005245395236202E-3</v>
      </c>
      <c r="K174" s="135">
        <v>2.2379495480711799E-3</v>
      </c>
      <c r="L174" s="135">
        <v>3.09259525161986E-3</v>
      </c>
      <c r="M174" s="135">
        <v>9.1705487534274807E-3</v>
      </c>
      <c r="N174" s="135">
        <v>1.9124038051290201E-2</v>
      </c>
      <c r="O174" s="135">
        <v>1.19353305923015E-2</v>
      </c>
      <c r="P174" s="135">
        <v>1.4570903356548299E-2</v>
      </c>
      <c r="Q174" s="135">
        <v>1.4910074518072899E-2</v>
      </c>
      <c r="R174" s="135">
        <v>2.34057057130636E-2</v>
      </c>
      <c r="S174" s="135">
        <v>3.0488433718737801E-2</v>
      </c>
      <c r="T174" s="135">
        <v>2.46129198449304E-2</v>
      </c>
      <c r="U174" s="135">
        <v>2.1327492842706498E-2</v>
      </c>
      <c r="V174" s="135">
        <v>3.2580125931838101E-2</v>
      </c>
      <c r="W174" s="135">
        <v>0.13550958258030801</v>
      </c>
      <c r="X174" s="135">
        <v>0.27001407493264301</v>
      </c>
      <c r="Y174" s="135">
        <v>0.20003167238748301</v>
      </c>
      <c r="Z174" s="135">
        <v>0.13360785570137401</v>
      </c>
      <c r="AA174" s="135">
        <v>5.4679294162278499E-2</v>
      </c>
      <c r="AB174" s="135">
        <v>1.8907726496440298E-2</v>
      </c>
      <c r="AC174" s="135">
        <v>8.9180207249639296E-3</v>
      </c>
      <c r="AD174" s="135">
        <v>6.1114831815918102E-3</v>
      </c>
      <c r="AF174" s="243">
        <f t="shared" si="1"/>
        <v>0.28283433514965728</v>
      </c>
      <c r="AG174" s="275">
        <f t="shared" si="2"/>
        <v>0.28619073113625126</v>
      </c>
      <c r="AH174" s="391">
        <f t="shared" si="3"/>
        <v>0.76118667591149536</v>
      </c>
      <c r="AI174" s="135">
        <f t="shared" si="4"/>
        <v>1.0473774070477466</v>
      </c>
    </row>
    <row r="175" spans="1:35" ht="12.6">
      <c r="A175" s="10" t="s">
        <v>186</v>
      </c>
      <c r="B175" s="10">
        <v>174</v>
      </c>
      <c r="C175" s="10" t="s">
        <v>1514</v>
      </c>
      <c r="D175" s="388">
        <v>45100</v>
      </c>
      <c r="E175" s="389">
        <v>45100</v>
      </c>
      <c r="F175" s="390" t="str">
        <f t="shared" si="0"/>
        <v>Cooking</v>
      </c>
      <c r="G175" s="135">
        <v>4.6553328674984696E-3</v>
      </c>
      <c r="H175" s="135">
        <v>2.82251810595737E-3</v>
      </c>
      <c r="I175" s="135">
        <v>2.3632032450766698E-3</v>
      </c>
      <c r="J175" s="135">
        <v>2.3005245395236202E-3</v>
      </c>
      <c r="K175" s="135">
        <v>2.2379495480711799E-3</v>
      </c>
      <c r="L175" s="135">
        <v>3.09259525161986E-3</v>
      </c>
      <c r="M175" s="135">
        <v>9.1705487534274807E-3</v>
      </c>
      <c r="N175" s="135">
        <v>1.9124038051290201E-2</v>
      </c>
      <c r="O175" s="135">
        <v>1.19353305923015E-2</v>
      </c>
      <c r="P175" s="135">
        <v>1.4570903356548299E-2</v>
      </c>
      <c r="Q175" s="135">
        <v>1.4910074518072899E-2</v>
      </c>
      <c r="R175" s="135">
        <v>2.34057057130636E-2</v>
      </c>
      <c r="S175" s="135">
        <v>3.0488433718737801E-2</v>
      </c>
      <c r="T175" s="135">
        <v>2.46129198449304E-2</v>
      </c>
      <c r="U175" s="135">
        <v>2.1327492842706498E-2</v>
      </c>
      <c r="V175" s="135">
        <v>3.2580125931838101E-2</v>
      </c>
      <c r="W175" s="135">
        <v>0.13550958258030801</v>
      </c>
      <c r="X175" s="135">
        <v>0.27001407493264301</v>
      </c>
      <c r="Y175" s="135">
        <v>0.20003167238748301</v>
      </c>
      <c r="Z175" s="135">
        <v>0.13360785570137401</v>
      </c>
      <c r="AA175" s="135">
        <v>5.4679294162278499E-2</v>
      </c>
      <c r="AB175" s="135">
        <v>1.8907726496440298E-2</v>
      </c>
      <c r="AC175" s="135">
        <v>8.9180207249639296E-3</v>
      </c>
      <c r="AD175" s="135">
        <v>6.1114831815918102E-3</v>
      </c>
      <c r="AF175" s="243">
        <f t="shared" si="1"/>
        <v>0.28283433514965728</v>
      </c>
      <c r="AG175" s="275">
        <f t="shared" si="2"/>
        <v>0.28619073113625126</v>
      </c>
      <c r="AH175" s="391">
        <f t="shared" si="3"/>
        <v>0.76118667591149536</v>
      </c>
      <c r="AI175" s="135">
        <f t="shared" si="4"/>
        <v>1.0473774070477466</v>
      </c>
    </row>
    <row r="176" spans="1:35" ht="12.6">
      <c r="A176" s="10" t="s">
        <v>186</v>
      </c>
      <c r="B176" s="10">
        <v>175</v>
      </c>
      <c r="C176" s="10" t="s">
        <v>1514</v>
      </c>
      <c r="D176" s="388">
        <v>45101</v>
      </c>
      <c r="E176" s="389">
        <v>45101</v>
      </c>
      <c r="F176" s="390" t="str">
        <f t="shared" si="0"/>
        <v>Cooking</v>
      </c>
      <c r="G176" s="135">
        <v>4.5012922669470101E-3</v>
      </c>
      <c r="H176" s="135">
        <v>2.69038530734951E-3</v>
      </c>
      <c r="I176" s="135">
        <v>2.23547492362128E-3</v>
      </c>
      <c r="J176" s="135">
        <v>2.3112600189637601E-3</v>
      </c>
      <c r="K176" s="135">
        <v>2.2111740396937299E-3</v>
      </c>
      <c r="L176" s="135">
        <v>2.4038699548199101E-3</v>
      </c>
      <c r="M176" s="135">
        <v>4.60107737557062E-3</v>
      </c>
      <c r="N176" s="135">
        <v>1.2376042571051E-2</v>
      </c>
      <c r="O176" s="135">
        <v>2.53213620647036E-2</v>
      </c>
      <c r="P176" s="135">
        <v>3.7513015239511199E-2</v>
      </c>
      <c r="Q176" s="135">
        <v>4.97235976464643E-2</v>
      </c>
      <c r="R176" s="135">
        <v>6.0820835462887399E-2</v>
      </c>
      <c r="S176" s="135">
        <v>5.67892558027931E-2</v>
      </c>
      <c r="T176" s="135">
        <v>5.0221995099371301E-2</v>
      </c>
      <c r="U176" s="135">
        <v>4.38225365606527E-2</v>
      </c>
      <c r="V176" s="135">
        <v>5.4291742744822798E-2</v>
      </c>
      <c r="W176" s="135">
        <v>0.10760611470284601</v>
      </c>
      <c r="X176" s="135">
        <v>0.23460491207052001</v>
      </c>
      <c r="Y176" s="135">
        <v>0.15982131993624801</v>
      </c>
      <c r="Z176" s="135">
        <v>8.6325375242444102E-2</v>
      </c>
      <c r="AA176" s="135">
        <v>3.8075643740350301E-2</v>
      </c>
      <c r="AB176" s="135">
        <v>1.72545139385211E-2</v>
      </c>
      <c r="AC176" s="135">
        <v>6.83099366873181E-3</v>
      </c>
      <c r="AD176" s="135">
        <v>4.28290391472517E-3</v>
      </c>
      <c r="AF176" s="243">
        <f t="shared" si="1"/>
        <v>0.42327607801983758</v>
      </c>
      <c r="AG176" s="275">
        <f t="shared" si="2"/>
        <v>0.34480007638090882</v>
      </c>
      <c r="AH176" s="391">
        <f t="shared" si="3"/>
        <v>0.72183661791270104</v>
      </c>
      <c r="AI176" s="135">
        <f t="shared" si="4"/>
        <v>1.0666366942936099</v>
      </c>
    </row>
    <row r="177" spans="1:35" ht="12.6">
      <c r="A177" s="10" t="s">
        <v>186</v>
      </c>
      <c r="B177" s="10">
        <v>176</v>
      </c>
      <c r="C177" s="10" t="s">
        <v>1514</v>
      </c>
      <c r="D177" s="388">
        <v>45102</v>
      </c>
      <c r="E177" s="389">
        <v>45102</v>
      </c>
      <c r="F177" s="390" t="str">
        <f t="shared" si="0"/>
        <v>Cooking</v>
      </c>
      <c r="G177" s="135">
        <v>4.5012922669470101E-3</v>
      </c>
      <c r="H177" s="135">
        <v>2.69038530734951E-3</v>
      </c>
      <c r="I177" s="135">
        <v>2.23547492362128E-3</v>
      </c>
      <c r="J177" s="135">
        <v>2.3112600189637601E-3</v>
      </c>
      <c r="K177" s="135">
        <v>2.2111740396937299E-3</v>
      </c>
      <c r="L177" s="135">
        <v>2.4038699548199101E-3</v>
      </c>
      <c r="M177" s="135">
        <v>4.60107737557062E-3</v>
      </c>
      <c r="N177" s="135">
        <v>1.2376042571051E-2</v>
      </c>
      <c r="O177" s="135">
        <v>2.53213620647036E-2</v>
      </c>
      <c r="P177" s="135">
        <v>3.7513015239511199E-2</v>
      </c>
      <c r="Q177" s="135">
        <v>4.97235976464643E-2</v>
      </c>
      <c r="R177" s="135">
        <v>6.0820835462887399E-2</v>
      </c>
      <c r="S177" s="135">
        <v>5.67892558027931E-2</v>
      </c>
      <c r="T177" s="135">
        <v>5.0221995099371301E-2</v>
      </c>
      <c r="U177" s="135">
        <v>4.38225365606527E-2</v>
      </c>
      <c r="V177" s="135">
        <v>5.4291742744822798E-2</v>
      </c>
      <c r="W177" s="135">
        <v>0.10760611470284601</v>
      </c>
      <c r="X177" s="135">
        <v>0.23460491207052001</v>
      </c>
      <c r="Y177" s="135">
        <v>0.15982131993624801</v>
      </c>
      <c r="Z177" s="135">
        <v>8.6325375242444102E-2</v>
      </c>
      <c r="AA177" s="135">
        <v>3.8075643740350301E-2</v>
      </c>
      <c r="AB177" s="135">
        <v>1.72545139385211E-2</v>
      </c>
      <c r="AC177" s="135">
        <v>6.83099366873181E-3</v>
      </c>
      <c r="AD177" s="135">
        <v>4.28290391472517E-3</v>
      </c>
      <c r="AF177" s="243">
        <f t="shared" si="1"/>
        <v>0.42327607801983758</v>
      </c>
      <c r="AG177" s="275">
        <f t="shared" si="2"/>
        <v>0.34480007638090882</v>
      </c>
      <c r="AH177" s="391">
        <f t="shared" si="3"/>
        <v>0.72183661791270104</v>
      </c>
      <c r="AI177" s="135">
        <f t="shared" si="4"/>
        <v>1.0666366942936099</v>
      </c>
    </row>
    <row r="178" spans="1:35" ht="12.6">
      <c r="A178" s="10" t="s">
        <v>186</v>
      </c>
      <c r="B178" s="10">
        <v>177</v>
      </c>
      <c r="C178" s="10" t="s">
        <v>1514</v>
      </c>
      <c r="D178" s="388">
        <v>45103</v>
      </c>
      <c r="E178" s="389">
        <v>45103</v>
      </c>
      <c r="F178" s="390" t="str">
        <f t="shared" si="0"/>
        <v>Cooking</v>
      </c>
      <c r="G178" s="135">
        <v>4.6553328674984696E-3</v>
      </c>
      <c r="H178" s="135">
        <v>2.82251810595737E-3</v>
      </c>
      <c r="I178" s="135">
        <v>2.3632032450766698E-3</v>
      </c>
      <c r="J178" s="135">
        <v>2.3005245395236202E-3</v>
      </c>
      <c r="K178" s="135">
        <v>2.2379495480711799E-3</v>
      </c>
      <c r="L178" s="135">
        <v>3.09259525161986E-3</v>
      </c>
      <c r="M178" s="135">
        <v>9.1705487534274807E-3</v>
      </c>
      <c r="N178" s="135">
        <v>1.9124038051290201E-2</v>
      </c>
      <c r="O178" s="135">
        <v>1.19353305923015E-2</v>
      </c>
      <c r="P178" s="135">
        <v>1.4570903356548299E-2</v>
      </c>
      <c r="Q178" s="135">
        <v>1.4910074518072899E-2</v>
      </c>
      <c r="R178" s="135">
        <v>2.34057057130636E-2</v>
      </c>
      <c r="S178" s="135">
        <v>3.0488433718737801E-2</v>
      </c>
      <c r="T178" s="135">
        <v>2.46129198449304E-2</v>
      </c>
      <c r="U178" s="135">
        <v>2.1327492842706498E-2</v>
      </c>
      <c r="V178" s="135">
        <v>3.2580125931838101E-2</v>
      </c>
      <c r="W178" s="135">
        <v>0.13550958258030801</v>
      </c>
      <c r="X178" s="135">
        <v>0.27001407493264301</v>
      </c>
      <c r="Y178" s="135">
        <v>0.20003167238748301</v>
      </c>
      <c r="Z178" s="135">
        <v>0.13360785570137401</v>
      </c>
      <c r="AA178" s="135">
        <v>5.4679294162278499E-2</v>
      </c>
      <c r="AB178" s="135">
        <v>1.8907726496440298E-2</v>
      </c>
      <c r="AC178" s="135">
        <v>8.9180207249639296E-3</v>
      </c>
      <c r="AD178" s="135">
        <v>6.1114831815918102E-3</v>
      </c>
      <c r="AF178" s="243">
        <f t="shared" si="1"/>
        <v>0.28283433514965728</v>
      </c>
      <c r="AG178" s="275">
        <f t="shared" si="2"/>
        <v>0.28619073113625126</v>
      </c>
      <c r="AH178" s="391">
        <f t="shared" si="3"/>
        <v>0.76118667591149536</v>
      </c>
      <c r="AI178" s="135">
        <f t="shared" si="4"/>
        <v>1.0473774070477466</v>
      </c>
    </row>
    <row r="179" spans="1:35" ht="12.6">
      <c r="A179" s="10" t="s">
        <v>186</v>
      </c>
      <c r="B179" s="10">
        <v>178</v>
      </c>
      <c r="C179" s="10" t="s">
        <v>1514</v>
      </c>
      <c r="D179" s="388">
        <v>45104</v>
      </c>
      <c r="E179" s="389">
        <v>45104</v>
      </c>
      <c r="F179" s="390" t="str">
        <f t="shared" si="0"/>
        <v>Cooking</v>
      </c>
      <c r="G179" s="135">
        <v>4.6553328674984696E-3</v>
      </c>
      <c r="H179" s="135">
        <v>2.82251810595737E-3</v>
      </c>
      <c r="I179" s="135">
        <v>2.3632032450766698E-3</v>
      </c>
      <c r="J179" s="135">
        <v>2.3005245395236202E-3</v>
      </c>
      <c r="K179" s="135">
        <v>2.2379495480711799E-3</v>
      </c>
      <c r="L179" s="135">
        <v>3.09259525161986E-3</v>
      </c>
      <c r="M179" s="135">
        <v>9.1705487534274807E-3</v>
      </c>
      <c r="N179" s="135">
        <v>1.9124038051290201E-2</v>
      </c>
      <c r="O179" s="135">
        <v>1.19353305923015E-2</v>
      </c>
      <c r="P179" s="135">
        <v>1.4570903356548299E-2</v>
      </c>
      <c r="Q179" s="135">
        <v>1.4910074518072899E-2</v>
      </c>
      <c r="R179" s="135">
        <v>2.34057057130636E-2</v>
      </c>
      <c r="S179" s="135">
        <v>3.0488433718737801E-2</v>
      </c>
      <c r="T179" s="135">
        <v>2.46129198449304E-2</v>
      </c>
      <c r="U179" s="135">
        <v>2.1327492842706498E-2</v>
      </c>
      <c r="V179" s="135">
        <v>3.2580125931838101E-2</v>
      </c>
      <c r="W179" s="135">
        <v>0.13550958258030801</v>
      </c>
      <c r="X179" s="135">
        <v>0.27001407493264301</v>
      </c>
      <c r="Y179" s="135">
        <v>0.20003167238748301</v>
      </c>
      <c r="Z179" s="135">
        <v>0.13360785570137401</v>
      </c>
      <c r="AA179" s="135">
        <v>5.4679294162278499E-2</v>
      </c>
      <c r="AB179" s="135">
        <v>1.8907726496440298E-2</v>
      </c>
      <c r="AC179" s="135">
        <v>8.9180207249639296E-3</v>
      </c>
      <c r="AD179" s="135">
        <v>6.1114831815918102E-3</v>
      </c>
      <c r="AF179" s="243">
        <f t="shared" si="1"/>
        <v>0.28283433514965728</v>
      </c>
      <c r="AG179" s="275">
        <f t="shared" si="2"/>
        <v>0.28619073113625126</v>
      </c>
      <c r="AH179" s="391">
        <f t="shared" si="3"/>
        <v>0.76118667591149536</v>
      </c>
      <c r="AI179" s="135">
        <f t="shared" si="4"/>
        <v>1.0473774070477466</v>
      </c>
    </row>
    <row r="180" spans="1:35" ht="12.6">
      <c r="A180" s="10" t="s">
        <v>186</v>
      </c>
      <c r="B180" s="10">
        <v>179</v>
      </c>
      <c r="C180" s="10" t="s">
        <v>1514</v>
      </c>
      <c r="D180" s="388">
        <v>45105</v>
      </c>
      <c r="E180" s="389">
        <v>45105</v>
      </c>
      <c r="F180" s="390" t="str">
        <f t="shared" si="0"/>
        <v>Cooking</v>
      </c>
      <c r="G180" s="135">
        <v>4.6553328674984696E-3</v>
      </c>
      <c r="H180" s="135">
        <v>2.82251810595737E-3</v>
      </c>
      <c r="I180" s="135">
        <v>2.3632032450766698E-3</v>
      </c>
      <c r="J180" s="135">
        <v>2.3005245395236202E-3</v>
      </c>
      <c r="K180" s="135">
        <v>2.2379495480711799E-3</v>
      </c>
      <c r="L180" s="135">
        <v>3.09259525161986E-3</v>
      </c>
      <c r="M180" s="135">
        <v>9.1705487534274807E-3</v>
      </c>
      <c r="N180" s="135">
        <v>1.9124038051290201E-2</v>
      </c>
      <c r="O180" s="135">
        <v>1.19353305923015E-2</v>
      </c>
      <c r="P180" s="135">
        <v>1.4570903356548299E-2</v>
      </c>
      <c r="Q180" s="135">
        <v>1.4910074518072899E-2</v>
      </c>
      <c r="R180" s="135">
        <v>2.34057057130636E-2</v>
      </c>
      <c r="S180" s="135">
        <v>3.0488433718737801E-2</v>
      </c>
      <c r="T180" s="135">
        <v>2.46129198449304E-2</v>
      </c>
      <c r="U180" s="135">
        <v>2.1327492842706498E-2</v>
      </c>
      <c r="V180" s="135">
        <v>3.2580125931838101E-2</v>
      </c>
      <c r="W180" s="135">
        <v>0.13550958258030801</v>
      </c>
      <c r="X180" s="135">
        <v>0.27001407493264301</v>
      </c>
      <c r="Y180" s="135">
        <v>0.20003167238748301</v>
      </c>
      <c r="Z180" s="135">
        <v>0.13360785570137401</v>
      </c>
      <c r="AA180" s="135">
        <v>5.4679294162278499E-2</v>
      </c>
      <c r="AB180" s="135">
        <v>1.8907726496440298E-2</v>
      </c>
      <c r="AC180" s="135">
        <v>8.9180207249639296E-3</v>
      </c>
      <c r="AD180" s="135">
        <v>6.1114831815918102E-3</v>
      </c>
      <c r="AF180" s="243">
        <f t="shared" si="1"/>
        <v>0.28283433514965728</v>
      </c>
      <c r="AG180" s="275">
        <f t="shared" si="2"/>
        <v>0.28619073113625126</v>
      </c>
      <c r="AH180" s="391">
        <f t="shared" si="3"/>
        <v>0.76118667591149536</v>
      </c>
      <c r="AI180" s="135">
        <f t="shared" si="4"/>
        <v>1.0473774070477466</v>
      </c>
    </row>
    <row r="181" spans="1:35" ht="12.6">
      <c r="A181" s="10" t="s">
        <v>186</v>
      </c>
      <c r="B181" s="10">
        <v>180</v>
      </c>
      <c r="C181" s="10" t="s">
        <v>1514</v>
      </c>
      <c r="D181" s="388">
        <v>45106</v>
      </c>
      <c r="E181" s="389">
        <v>45106</v>
      </c>
      <c r="F181" s="390" t="str">
        <f t="shared" si="0"/>
        <v>Cooking</v>
      </c>
      <c r="G181" s="135">
        <v>4.6553328674984696E-3</v>
      </c>
      <c r="H181" s="135">
        <v>2.82251810595737E-3</v>
      </c>
      <c r="I181" s="135">
        <v>2.3632032450766698E-3</v>
      </c>
      <c r="J181" s="135">
        <v>2.3005245395236202E-3</v>
      </c>
      <c r="K181" s="135">
        <v>2.2379495480711799E-3</v>
      </c>
      <c r="L181" s="135">
        <v>3.09259525161986E-3</v>
      </c>
      <c r="M181" s="135">
        <v>9.1705487534274807E-3</v>
      </c>
      <c r="N181" s="135">
        <v>1.9124038051290201E-2</v>
      </c>
      <c r="O181" s="135">
        <v>1.19353305923015E-2</v>
      </c>
      <c r="P181" s="135">
        <v>1.4570903356548299E-2</v>
      </c>
      <c r="Q181" s="135">
        <v>1.4910074518072899E-2</v>
      </c>
      <c r="R181" s="135">
        <v>2.34057057130636E-2</v>
      </c>
      <c r="S181" s="135">
        <v>3.0488433718737801E-2</v>
      </c>
      <c r="T181" s="135">
        <v>2.46129198449304E-2</v>
      </c>
      <c r="U181" s="135">
        <v>2.1327492842706498E-2</v>
      </c>
      <c r="V181" s="135">
        <v>3.2580125931838101E-2</v>
      </c>
      <c r="W181" s="135">
        <v>0.13550958258030801</v>
      </c>
      <c r="X181" s="135">
        <v>0.27001407493264301</v>
      </c>
      <c r="Y181" s="135">
        <v>0.20003167238748301</v>
      </c>
      <c r="Z181" s="135">
        <v>0.13360785570137401</v>
      </c>
      <c r="AA181" s="135">
        <v>5.4679294162278499E-2</v>
      </c>
      <c r="AB181" s="135">
        <v>1.8907726496440298E-2</v>
      </c>
      <c r="AC181" s="135">
        <v>8.9180207249639296E-3</v>
      </c>
      <c r="AD181" s="135">
        <v>6.1114831815918102E-3</v>
      </c>
      <c r="AF181" s="243">
        <f t="shared" si="1"/>
        <v>0.28283433514965728</v>
      </c>
      <c r="AG181" s="275">
        <f t="shared" si="2"/>
        <v>0.28619073113625126</v>
      </c>
      <c r="AH181" s="391">
        <f t="shared" si="3"/>
        <v>0.76118667591149536</v>
      </c>
      <c r="AI181" s="135">
        <f t="shared" si="4"/>
        <v>1.0473774070477466</v>
      </c>
    </row>
    <row r="182" spans="1:35" ht="12.6">
      <c r="A182" s="10" t="s">
        <v>186</v>
      </c>
      <c r="B182" s="10">
        <v>181</v>
      </c>
      <c r="C182" s="10" t="s">
        <v>1514</v>
      </c>
      <c r="D182" s="388">
        <v>45107</v>
      </c>
      <c r="E182" s="389">
        <v>45107</v>
      </c>
      <c r="F182" s="390" t="str">
        <f t="shared" si="0"/>
        <v>Cooking</v>
      </c>
      <c r="G182" s="135">
        <v>4.6553328674984696E-3</v>
      </c>
      <c r="H182" s="135">
        <v>2.82251810595737E-3</v>
      </c>
      <c r="I182" s="135">
        <v>2.3632032450766698E-3</v>
      </c>
      <c r="J182" s="135">
        <v>2.3005245395236202E-3</v>
      </c>
      <c r="K182" s="135">
        <v>2.2379495480711799E-3</v>
      </c>
      <c r="L182" s="135">
        <v>3.09259525161986E-3</v>
      </c>
      <c r="M182" s="135">
        <v>9.1705487534274807E-3</v>
      </c>
      <c r="N182" s="135">
        <v>1.9124038051290201E-2</v>
      </c>
      <c r="O182" s="135">
        <v>1.19353305923015E-2</v>
      </c>
      <c r="P182" s="135">
        <v>1.4570903356548299E-2</v>
      </c>
      <c r="Q182" s="135">
        <v>1.4910074518072899E-2</v>
      </c>
      <c r="R182" s="135">
        <v>2.34057057130636E-2</v>
      </c>
      <c r="S182" s="135">
        <v>3.0488433718737801E-2</v>
      </c>
      <c r="T182" s="135">
        <v>2.46129198449304E-2</v>
      </c>
      <c r="U182" s="135">
        <v>2.1327492842706498E-2</v>
      </c>
      <c r="V182" s="135">
        <v>3.2580125931838101E-2</v>
      </c>
      <c r="W182" s="135">
        <v>0.13550958258030801</v>
      </c>
      <c r="X182" s="135">
        <v>0.27001407493264301</v>
      </c>
      <c r="Y182" s="135">
        <v>0.20003167238748301</v>
      </c>
      <c r="Z182" s="135">
        <v>0.13360785570137401</v>
      </c>
      <c r="AA182" s="135">
        <v>5.4679294162278499E-2</v>
      </c>
      <c r="AB182" s="135">
        <v>1.8907726496440298E-2</v>
      </c>
      <c r="AC182" s="135">
        <v>8.9180207249639296E-3</v>
      </c>
      <c r="AD182" s="135">
        <v>6.1114831815918102E-3</v>
      </c>
      <c r="AF182" s="243">
        <f t="shared" si="1"/>
        <v>0.28283433514965728</v>
      </c>
      <c r="AG182" s="275">
        <f t="shared" si="2"/>
        <v>0.28619073113625126</v>
      </c>
      <c r="AH182" s="391">
        <f t="shared" si="3"/>
        <v>0.76118667591149536</v>
      </c>
      <c r="AI182" s="135">
        <f t="shared" si="4"/>
        <v>1.0473774070477466</v>
      </c>
    </row>
    <row r="183" spans="1:35" ht="12.6">
      <c r="A183" s="10" t="s">
        <v>186</v>
      </c>
      <c r="B183" s="10">
        <v>182</v>
      </c>
      <c r="C183" s="10" t="s">
        <v>1514</v>
      </c>
      <c r="D183" s="388">
        <v>45108</v>
      </c>
      <c r="E183" s="389">
        <v>45108</v>
      </c>
      <c r="F183" s="390" t="str">
        <f t="shared" si="0"/>
        <v>Cooking</v>
      </c>
      <c r="G183" s="135">
        <v>4.5012922669470101E-3</v>
      </c>
      <c r="H183" s="135">
        <v>2.69038530734951E-3</v>
      </c>
      <c r="I183" s="135">
        <v>2.23547492362128E-3</v>
      </c>
      <c r="J183" s="135">
        <v>2.3112600189637601E-3</v>
      </c>
      <c r="K183" s="135">
        <v>2.2111740396937299E-3</v>
      </c>
      <c r="L183" s="135">
        <v>2.4038699548199101E-3</v>
      </c>
      <c r="M183" s="135">
        <v>4.60107737557062E-3</v>
      </c>
      <c r="N183" s="135">
        <v>1.2376042571051E-2</v>
      </c>
      <c r="O183" s="135">
        <v>2.53213620647036E-2</v>
      </c>
      <c r="P183" s="135">
        <v>3.7513015239511199E-2</v>
      </c>
      <c r="Q183" s="135">
        <v>4.97235976464643E-2</v>
      </c>
      <c r="R183" s="135">
        <v>6.0820835462887399E-2</v>
      </c>
      <c r="S183" s="135">
        <v>5.67892558027931E-2</v>
      </c>
      <c r="T183" s="135">
        <v>5.0221995099371301E-2</v>
      </c>
      <c r="U183" s="135">
        <v>4.38225365606527E-2</v>
      </c>
      <c r="V183" s="135">
        <v>5.4291742744822798E-2</v>
      </c>
      <c r="W183" s="135">
        <v>0.10760611470284601</v>
      </c>
      <c r="X183" s="135">
        <v>0.23460491207052001</v>
      </c>
      <c r="Y183" s="135">
        <v>0.15982131993624801</v>
      </c>
      <c r="Z183" s="135">
        <v>8.6325375242444102E-2</v>
      </c>
      <c r="AA183" s="135">
        <v>3.8075643740350301E-2</v>
      </c>
      <c r="AB183" s="135">
        <v>1.72545139385211E-2</v>
      </c>
      <c r="AC183" s="135">
        <v>6.83099366873181E-3</v>
      </c>
      <c r="AD183" s="135">
        <v>4.28290391472517E-3</v>
      </c>
      <c r="AF183" s="243">
        <f t="shared" si="1"/>
        <v>0.42327607801983758</v>
      </c>
      <c r="AG183" s="275">
        <f t="shared" si="2"/>
        <v>0.34480007638090882</v>
      </c>
      <c r="AH183" s="391">
        <f t="shared" si="3"/>
        <v>0.72183661791270104</v>
      </c>
      <c r="AI183" s="135">
        <f t="shared" si="4"/>
        <v>1.0666366942936099</v>
      </c>
    </row>
    <row r="184" spans="1:35" ht="12.6">
      <c r="A184" s="10" t="s">
        <v>186</v>
      </c>
      <c r="B184" s="10">
        <v>183</v>
      </c>
      <c r="C184" s="10" t="s">
        <v>1514</v>
      </c>
      <c r="D184" s="388">
        <v>45109</v>
      </c>
      <c r="E184" s="389">
        <v>45109</v>
      </c>
      <c r="F184" s="390" t="str">
        <f t="shared" si="0"/>
        <v>Cooking</v>
      </c>
      <c r="G184" s="135">
        <v>4.5012922669470101E-3</v>
      </c>
      <c r="H184" s="135">
        <v>2.69038530734951E-3</v>
      </c>
      <c r="I184" s="135">
        <v>2.23547492362128E-3</v>
      </c>
      <c r="J184" s="135">
        <v>2.3112600189637601E-3</v>
      </c>
      <c r="K184" s="135">
        <v>2.2111740396937299E-3</v>
      </c>
      <c r="L184" s="135">
        <v>2.4038699548199101E-3</v>
      </c>
      <c r="M184" s="135">
        <v>4.60107737557062E-3</v>
      </c>
      <c r="N184" s="135">
        <v>1.2376042571051E-2</v>
      </c>
      <c r="O184" s="135">
        <v>2.53213620647036E-2</v>
      </c>
      <c r="P184" s="135">
        <v>3.7513015239511199E-2</v>
      </c>
      <c r="Q184" s="135">
        <v>4.97235976464643E-2</v>
      </c>
      <c r="R184" s="135">
        <v>6.0820835462887399E-2</v>
      </c>
      <c r="S184" s="135">
        <v>5.67892558027931E-2</v>
      </c>
      <c r="T184" s="135">
        <v>5.0221995099371301E-2</v>
      </c>
      <c r="U184" s="135">
        <v>4.38225365606527E-2</v>
      </c>
      <c r="V184" s="135">
        <v>5.4291742744822798E-2</v>
      </c>
      <c r="W184" s="135">
        <v>0.10760611470284601</v>
      </c>
      <c r="X184" s="135">
        <v>0.23460491207052001</v>
      </c>
      <c r="Y184" s="135">
        <v>0.15982131993624801</v>
      </c>
      <c r="Z184" s="135">
        <v>8.6325375242444102E-2</v>
      </c>
      <c r="AA184" s="135">
        <v>3.8075643740350301E-2</v>
      </c>
      <c r="AB184" s="135">
        <v>1.72545139385211E-2</v>
      </c>
      <c r="AC184" s="135">
        <v>6.83099366873181E-3</v>
      </c>
      <c r="AD184" s="135">
        <v>4.28290391472517E-3</v>
      </c>
      <c r="AF184" s="243">
        <f t="shared" si="1"/>
        <v>0.42327607801983758</v>
      </c>
      <c r="AG184" s="275">
        <f t="shared" si="2"/>
        <v>0.34480007638090882</v>
      </c>
      <c r="AH184" s="391">
        <f t="shared" si="3"/>
        <v>0.72183661791270104</v>
      </c>
      <c r="AI184" s="135">
        <f t="shared" si="4"/>
        <v>1.0666366942936099</v>
      </c>
    </row>
    <row r="185" spans="1:35" ht="12.6">
      <c r="A185" s="10" t="s">
        <v>186</v>
      </c>
      <c r="B185" s="10">
        <v>184</v>
      </c>
      <c r="C185" s="10" t="s">
        <v>1514</v>
      </c>
      <c r="D185" s="388">
        <v>45110</v>
      </c>
      <c r="E185" s="389">
        <v>45110</v>
      </c>
      <c r="F185" s="390" t="str">
        <f t="shared" si="0"/>
        <v>Cooking</v>
      </c>
      <c r="G185" s="135">
        <v>4.6553328674984696E-3</v>
      </c>
      <c r="H185" s="135">
        <v>2.82251810595737E-3</v>
      </c>
      <c r="I185" s="135">
        <v>2.3632032450766698E-3</v>
      </c>
      <c r="J185" s="135">
        <v>2.3005245395236202E-3</v>
      </c>
      <c r="K185" s="135">
        <v>2.2379495480711799E-3</v>
      </c>
      <c r="L185" s="135">
        <v>3.09259525161986E-3</v>
      </c>
      <c r="M185" s="135">
        <v>9.1705487534274807E-3</v>
      </c>
      <c r="N185" s="135">
        <v>1.9124038051290201E-2</v>
      </c>
      <c r="O185" s="135">
        <v>1.19353305923015E-2</v>
      </c>
      <c r="P185" s="135">
        <v>1.4570903356548299E-2</v>
      </c>
      <c r="Q185" s="135">
        <v>1.4910074518072899E-2</v>
      </c>
      <c r="R185" s="135">
        <v>2.34057057130636E-2</v>
      </c>
      <c r="S185" s="135">
        <v>3.0488433718737801E-2</v>
      </c>
      <c r="T185" s="135">
        <v>2.46129198449304E-2</v>
      </c>
      <c r="U185" s="135">
        <v>2.1327492842706498E-2</v>
      </c>
      <c r="V185" s="135">
        <v>3.2580125931838101E-2</v>
      </c>
      <c r="W185" s="135">
        <v>0.13550958258030801</v>
      </c>
      <c r="X185" s="135">
        <v>0.27001407493264301</v>
      </c>
      <c r="Y185" s="135">
        <v>0.20003167238748301</v>
      </c>
      <c r="Z185" s="135">
        <v>0.13360785570137401</v>
      </c>
      <c r="AA185" s="135">
        <v>5.4679294162278499E-2</v>
      </c>
      <c r="AB185" s="135">
        <v>1.8907726496440298E-2</v>
      </c>
      <c r="AC185" s="135">
        <v>8.9180207249639296E-3</v>
      </c>
      <c r="AD185" s="135">
        <v>6.1114831815918102E-3</v>
      </c>
      <c r="AF185" s="243">
        <f t="shared" si="1"/>
        <v>0.28283433514965728</v>
      </c>
      <c r="AG185" s="275">
        <f t="shared" si="2"/>
        <v>0.28619073113625126</v>
      </c>
      <c r="AH185" s="391">
        <f t="shared" si="3"/>
        <v>0.76118667591149536</v>
      </c>
      <c r="AI185" s="135">
        <f t="shared" si="4"/>
        <v>1.0473774070477466</v>
      </c>
    </row>
    <row r="186" spans="1:35" ht="12.6">
      <c r="A186" s="10" t="s">
        <v>186</v>
      </c>
      <c r="B186" s="10">
        <v>185</v>
      </c>
      <c r="C186" s="10" t="s">
        <v>1514</v>
      </c>
      <c r="D186" s="388">
        <v>45111</v>
      </c>
      <c r="E186" s="389">
        <v>45111</v>
      </c>
      <c r="F186" s="390" t="str">
        <f t="shared" si="0"/>
        <v>Cooking</v>
      </c>
      <c r="G186" s="135">
        <v>4.6553328674984696E-3</v>
      </c>
      <c r="H186" s="135">
        <v>2.82251810595737E-3</v>
      </c>
      <c r="I186" s="135">
        <v>2.3632032450766698E-3</v>
      </c>
      <c r="J186" s="135">
        <v>2.3005245395236202E-3</v>
      </c>
      <c r="K186" s="135">
        <v>2.2379495480711799E-3</v>
      </c>
      <c r="L186" s="135">
        <v>3.09259525161986E-3</v>
      </c>
      <c r="M186" s="135">
        <v>9.1705487534274807E-3</v>
      </c>
      <c r="N186" s="135">
        <v>1.9124038051290201E-2</v>
      </c>
      <c r="O186" s="135">
        <v>1.19353305923015E-2</v>
      </c>
      <c r="P186" s="135">
        <v>1.4570903356548299E-2</v>
      </c>
      <c r="Q186" s="135">
        <v>1.4910074518072899E-2</v>
      </c>
      <c r="R186" s="135">
        <v>2.34057057130636E-2</v>
      </c>
      <c r="S186" s="135">
        <v>3.0488433718737801E-2</v>
      </c>
      <c r="T186" s="135">
        <v>2.46129198449304E-2</v>
      </c>
      <c r="U186" s="135">
        <v>2.1327492842706498E-2</v>
      </c>
      <c r="V186" s="135">
        <v>3.2580125931838101E-2</v>
      </c>
      <c r="W186" s="135">
        <v>0.13550958258030801</v>
      </c>
      <c r="X186" s="135">
        <v>0.27001407493264301</v>
      </c>
      <c r="Y186" s="135">
        <v>0.20003167238748301</v>
      </c>
      <c r="Z186" s="135">
        <v>0.13360785570137401</v>
      </c>
      <c r="AA186" s="135">
        <v>5.4679294162278499E-2</v>
      </c>
      <c r="AB186" s="135">
        <v>1.8907726496440298E-2</v>
      </c>
      <c r="AC186" s="135">
        <v>8.9180207249639296E-3</v>
      </c>
      <c r="AD186" s="135">
        <v>6.1114831815918102E-3</v>
      </c>
      <c r="AF186" s="243">
        <f t="shared" si="1"/>
        <v>0.28283433514965728</v>
      </c>
      <c r="AG186" s="275">
        <f t="shared" si="2"/>
        <v>0.28619073113625126</v>
      </c>
      <c r="AH186" s="391">
        <f t="shared" si="3"/>
        <v>0.76118667591149536</v>
      </c>
      <c r="AI186" s="135">
        <f t="shared" si="4"/>
        <v>1.0473774070477466</v>
      </c>
    </row>
    <row r="187" spans="1:35" ht="12.6">
      <c r="A187" s="10" t="s">
        <v>186</v>
      </c>
      <c r="B187" s="10">
        <v>186</v>
      </c>
      <c r="C187" s="10" t="s">
        <v>1514</v>
      </c>
      <c r="D187" s="388">
        <v>45112</v>
      </c>
      <c r="E187" s="389">
        <v>45112</v>
      </c>
      <c r="F187" s="390" t="str">
        <f t="shared" si="0"/>
        <v>Cooking</v>
      </c>
      <c r="G187" s="135">
        <v>4.6553328674984696E-3</v>
      </c>
      <c r="H187" s="135">
        <v>2.82251810595737E-3</v>
      </c>
      <c r="I187" s="135">
        <v>2.3632032450766698E-3</v>
      </c>
      <c r="J187" s="135">
        <v>2.3005245395236202E-3</v>
      </c>
      <c r="K187" s="135">
        <v>2.2379495480711799E-3</v>
      </c>
      <c r="L187" s="135">
        <v>3.09259525161986E-3</v>
      </c>
      <c r="M187" s="135">
        <v>9.1705487534274807E-3</v>
      </c>
      <c r="N187" s="135">
        <v>1.9124038051290201E-2</v>
      </c>
      <c r="O187" s="135">
        <v>1.19353305923015E-2</v>
      </c>
      <c r="P187" s="135">
        <v>1.4570903356548299E-2</v>
      </c>
      <c r="Q187" s="135">
        <v>1.4910074518072899E-2</v>
      </c>
      <c r="R187" s="135">
        <v>2.34057057130636E-2</v>
      </c>
      <c r="S187" s="135">
        <v>3.0488433718737801E-2</v>
      </c>
      <c r="T187" s="135">
        <v>2.46129198449304E-2</v>
      </c>
      <c r="U187" s="135">
        <v>2.1327492842706498E-2</v>
      </c>
      <c r="V187" s="135">
        <v>3.2580125931838101E-2</v>
      </c>
      <c r="W187" s="135">
        <v>0.13550958258030801</v>
      </c>
      <c r="X187" s="135">
        <v>0.27001407493264301</v>
      </c>
      <c r="Y187" s="135">
        <v>0.20003167238748301</v>
      </c>
      <c r="Z187" s="135">
        <v>0.13360785570137401</v>
      </c>
      <c r="AA187" s="135">
        <v>5.4679294162278499E-2</v>
      </c>
      <c r="AB187" s="135">
        <v>1.8907726496440298E-2</v>
      </c>
      <c r="AC187" s="135">
        <v>8.9180207249639296E-3</v>
      </c>
      <c r="AD187" s="135">
        <v>6.1114831815918102E-3</v>
      </c>
      <c r="AF187" s="243">
        <f t="shared" si="1"/>
        <v>0.28283433514965728</v>
      </c>
      <c r="AG187" s="275">
        <f t="shared" si="2"/>
        <v>0.28619073113625126</v>
      </c>
      <c r="AH187" s="391">
        <f t="shared" si="3"/>
        <v>0.76118667591149536</v>
      </c>
      <c r="AI187" s="135">
        <f t="shared" si="4"/>
        <v>1.0473774070477466</v>
      </c>
    </row>
    <row r="188" spans="1:35" ht="12.6">
      <c r="A188" s="10" t="s">
        <v>186</v>
      </c>
      <c r="B188" s="10">
        <v>187</v>
      </c>
      <c r="C188" s="10" t="s">
        <v>1514</v>
      </c>
      <c r="D188" s="388">
        <v>45113</v>
      </c>
      <c r="E188" s="389">
        <v>45113</v>
      </c>
      <c r="F188" s="390" t="str">
        <f t="shared" si="0"/>
        <v>Cooking</v>
      </c>
      <c r="G188" s="135">
        <v>4.6553328674984696E-3</v>
      </c>
      <c r="H188" s="135">
        <v>2.82251810595737E-3</v>
      </c>
      <c r="I188" s="135">
        <v>2.3632032450766698E-3</v>
      </c>
      <c r="J188" s="135">
        <v>2.3005245395236202E-3</v>
      </c>
      <c r="K188" s="135">
        <v>2.2379495480711799E-3</v>
      </c>
      <c r="L188" s="135">
        <v>3.09259525161986E-3</v>
      </c>
      <c r="M188" s="135">
        <v>9.1705487534274807E-3</v>
      </c>
      <c r="N188" s="135">
        <v>1.9124038051290201E-2</v>
      </c>
      <c r="O188" s="135">
        <v>1.19353305923015E-2</v>
      </c>
      <c r="P188" s="135">
        <v>1.4570903356548299E-2</v>
      </c>
      <c r="Q188" s="135">
        <v>1.4910074518072899E-2</v>
      </c>
      <c r="R188" s="135">
        <v>2.34057057130636E-2</v>
      </c>
      <c r="S188" s="135">
        <v>3.0488433718737801E-2</v>
      </c>
      <c r="T188" s="135">
        <v>2.46129198449304E-2</v>
      </c>
      <c r="U188" s="135">
        <v>2.1327492842706498E-2</v>
      </c>
      <c r="V188" s="135">
        <v>3.2580125931838101E-2</v>
      </c>
      <c r="W188" s="135">
        <v>0.13550958258030801</v>
      </c>
      <c r="X188" s="135">
        <v>0.27001407493264301</v>
      </c>
      <c r="Y188" s="135">
        <v>0.20003167238748301</v>
      </c>
      <c r="Z188" s="135">
        <v>0.13360785570137401</v>
      </c>
      <c r="AA188" s="135">
        <v>5.4679294162278499E-2</v>
      </c>
      <c r="AB188" s="135">
        <v>1.8907726496440298E-2</v>
      </c>
      <c r="AC188" s="135">
        <v>8.9180207249639296E-3</v>
      </c>
      <c r="AD188" s="135">
        <v>6.1114831815918102E-3</v>
      </c>
      <c r="AF188" s="243">
        <f t="shared" si="1"/>
        <v>0.28283433514965728</v>
      </c>
      <c r="AG188" s="275">
        <f t="shared" si="2"/>
        <v>0.28619073113625126</v>
      </c>
      <c r="AH188" s="391">
        <f t="shared" si="3"/>
        <v>0.76118667591149536</v>
      </c>
      <c r="AI188" s="135">
        <f t="shared" si="4"/>
        <v>1.0473774070477466</v>
      </c>
    </row>
    <row r="189" spans="1:35" ht="12.6">
      <c r="A189" s="10" t="s">
        <v>186</v>
      </c>
      <c r="B189" s="10">
        <v>188</v>
      </c>
      <c r="C189" s="10" t="s">
        <v>1514</v>
      </c>
      <c r="D189" s="388">
        <v>45114</v>
      </c>
      <c r="E189" s="389">
        <v>45114</v>
      </c>
      <c r="F189" s="390" t="str">
        <f t="shared" si="0"/>
        <v>Cooking</v>
      </c>
      <c r="G189" s="135">
        <v>4.6553328674984696E-3</v>
      </c>
      <c r="H189" s="135">
        <v>2.82251810595737E-3</v>
      </c>
      <c r="I189" s="135">
        <v>2.3632032450766698E-3</v>
      </c>
      <c r="J189" s="135">
        <v>2.3005245395236202E-3</v>
      </c>
      <c r="K189" s="135">
        <v>2.2379495480711799E-3</v>
      </c>
      <c r="L189" s="135">
        <v>3.09259525161986E-3</v>
      </c>
      <c r="M189" s="135">
        <v>9.1705487534274807E-3</v>
      </c>
      <c r="N189" s="135">
        <v>1.9124038051290201E-2</v>
      </c>
      <c r="O189" s="135">
        <v>1.19353305923015E-2</v>
      </c>
      <c r="P189" s="135">
        <v>1.4570903356548299E-2</v>
      </c>
      <c r="Q189" s="135">
        <v>1.4910074518072899E-2</v>
      </c>
      <c r="R189" s="135">
        <v>2.34057057130636E-2</v>
      </c>
      <c r="S189" s="135">
        <v>3.0488433718737801E-2</v>
      </c>
      <c r="T189" s="135">
        <v>2.46129198449304E-2</v>
      </c>
      <c r="U189" s="135">
        <v>2.1327492842706498E-2</v>
      </c>
      <c r="V189" s="135">
        <v>3.2580125931838101E-2</v>
      </c>
      <c r="W189" s="135">
        <v>0.13550958258030801</v>
      </c>
      <c r="X189" s="135">
        <v>0.27001407493264301</v>
      </c>
      <c r="Y189" s="135">
        <v>0.20003167238748301</v>
      </c>
      <c r="Z189" s="135">
        <v>0.13360785570137401</v>
      </c>
      <c r="AA189" s="135">
        <v>5.4679294162278499E-2</v>
      </c>
      <c r="AB189" s="135">
        <v>1.8907726496440298E-2</v>
      </c>
      <c r="AC189" s="135">
        <v>8.9180207249639296E-3</v>
      </c>
      <c r="AD189" s="135">
        <v>6.1114831815918102E-3</v>
      </c>
      <c r="AF189" s="243">
        <f t="shared" si="1"/>
        <v>0.28283433514965728</v>
      </c>
      <c r="AG189" s="275">
        <f t="shared" si="2"/>
        <v>0.28619073113625126</v>
      </c>
      <c r="AH189" s="391">
        <f t="shared" si="3"/>
        <v>0.76118667591149536</v>
      </c>
      <c r="AI189" s="135">
        <f t="shared" si="4"/>
        <v>1.0473774070477466</v>
      </c>
    </row>
    <row r="190" spans="1:35" ht="12.6">
      <c r="A190" s="10" t="s">
        <v>186</v>
      </c>
      <c r="B190" s="10">
        <v>189</v>
      </c>
      <c r="C190" s="10" t="s">
        <v>1514</v>
      </c>
      <c r="D190" s="388">
        <v>45115</v>
      </c>
      <c r="E190" s="389">
        <v>45115</v>
      </c>
      <c r="F190" s="390" t="str">
        <f t="shared" si="0"/>
        <v>Cooking</v>
      </c>
      <c r="G190" s="135">
        <v>4.5012922669470101E-3</v>
      </c>
      <c r="H190" s="135">
        <v>2.69038530734951E-3</v>
      </c>
      <c r="I190" s="135">
        <v>2.23547492362128E-3</v>
      </c>
      <c r="J190" s="135">
        <v>2.3112600189637601E-3</v>
      </c>
      <c r="K190" s="135">
        <v>2.2111740396937299E-3</v>
      </c>
      <c r="L190" s="135">
        <v>2.4038699548199101E-3</v>
      </c>
      <c r="M190" s="135">
        <v>4.60107737557062E-3</v>
      </c>
      <c r="N190" s="135">
        <v>1.2376042571051E-2</v>
      </c>
      <c r="O190" s="135">
        <v>2.53213620647036E-2</v>
      </c>
      <c r="P190" s="135">
        <v>3.7513015239511199E-2</v>
      </c>
      <c r="Q190" s="135">
        <v>4.97235976464643E-2</v>
      </c>
      <c r="R190" s="135">
        <v>6.0820835462887399E-2</v>
      </c>
      <c r="S190" s="135">
        <v>5.67892558027931E-2</v>
      </c>
      <c r="T190" s="135">
        <v>5.0221995099371301E-2</v>
      </c>
      <c r="U190" s="135">
        <v>4.38225365606527E-2</v>
      </c>
      <c r="V190" s="135">
        <v>5.4291742744822798E-2</v>
      </c>
      <c r="W190" s="135">
        <v>0.10760611470284601</v>
      </c>
      <c r="X190" s="135">
        <v>0.23460491207052001</v>
      </c>
      <c r="Y190" s="135">
        <v>0.15982131993624801</v>
      </c>
      <c r="Z190" s="135">
        <v>8.6325375242444102E-2</v>
      </c>
      <c r="AA190" s="135">
        <v>3.8075643740350301E-2</v>
      </c>
      <c r="AB190" s="135">
        <v>1.72545139385211E-2</v>
      </c>
      <c r="AC190" s="135">
        <v>6.83099366873181E-3</v>
      </c>
      <c r="AD190" s="135">
        <v>4.28290391472517E-3</v>
      </c>
      <c r="AF190" s="243">
        <f t="shared" si="1"/>
        <v>0.42327607801983758</v>
      </c>
      <c r="AG190" s="275">
        <f t="shared" si="2"/>
        <v>0.34480007638090882</v>
      </c>
      <c r="AH190" s="391">
        <f t="shared" si="3"/>
        <v>0.72183661791270104</v>
      </c>
      <c r="AI190" s="135">
        <f t="shared" si="4"/>
        <v>1.0666366942936099</v>
      </c>
    </row>
    <row r="191" spans="1:35" ht="12.6">
      <c r="A191" s="10" t="s">
        <v>186</v>
      </c>
      <c r="B191" s="10">
        <v>190</v>
      </c>
      <c r="C191" s="10" t="s">
        <v>1514</v>
      </c>
      <c r="D191" s="388">
        <v>45116</v>
      </c>
      <c r="E191" s="389">
        <v>45116</v>
      </c>
      <c r="F191" s="390" t="str">
        <f t="shared" si="0"/>
        <v>Cooking</v>
      </c>
      <c r="G191" s="135">
        <v>4.5012922669470101E-3</v>
      </c>
      <c r="H191" s="135">
        <v>2.69038530734951E-3</v>
      </c>
      <c r="I191" s="135">
        <v>2.23547492362128E-3</v>
      </c>
      <c r="J191" s="135">
        <v>2.3112600189637601E-3</v>
      </c>
      <c r="K191" s="135">
        <v>2.2111740396937299E-3</v>
      </c>
      <c r="L191" s="135">
        <v>2.4038699548199101E-3</v>
      </c>
      <c r="M191" s="135">
        <v>4.60107737557062E-3</v>
      </c>
      <c r="N191" s="135">
        <v>1.2376042571051E-2</v>
      </c>
      <c r="O191" s="135">
        <v>2.53213620647036E-2</v>
      </c>
      <c r="P191" s="135">
        <v>3.7513015239511199E-2</v>
      </c>
      <c r="Q191" s="135">
        <v>4.97235976464643E-2</v>
      </c>
      <c r="R191" s="135">
        <v>6.0820835462887399E-2</v>
      </c>
      <c r="S191" s="135">
        <v>5.67892558027931E-2</v>
      </c>
      <c r="T191" s="135">
        <v>5.0221995099371301E-2</v>
      </c>
      <c r="U191" s="135">
        <v>4.38225365606527E-2</v>
      </c>
      <c r="V191" s="135">
        <v>5.4291742744822798E-2</v>
      </c>
      <c r="W191" s="135">
        <v>0.10760611470284601</v>
      </c>
      <c r="X191" s="135">
        <v>0.23460491207052001</v>
      </c>
      <c r="Y191" s="135">
        <v>0.15982131993624801</v>
      </c>
      <c r="Z191" s="135">
        <v>8.6325375242444102E-2</v>
      </c>
      <c r="AA191" s="135">
        <v>3.8075643740350301E-2</v>
      </c>
      <c r="AB191" s="135">
        <v>1.72545139385211E-2</v>
      </c>
      <c r="AC191" s="135">
        <v>6.83099366873181E-3</v>
      </c>
      <c r="AD191" s="135">
        <v>4.28290391472517E-3</v>
      </c>
      <c r="AF191" s="243">
        <f t="shared" si="1"/>
        <v>0.42327607801983758</v>
      </c>
      <c r="AG191" s="275">
        <f t="shared" si="2"/>
        <v>0.34480007638090882</v>
      </c>
      <c r="AH191" s="391">
        <f t="shared" si="3"/>
        <v>0.72183661791270104</v>
      </c>
      <c r="AI191" s="135">
        <f t="shared" si="4"/>
        <v>1.0666366942936099</v>
      </c>
    </row>
    <row r="192" spans="1:35" ht="12.6">
      <c r="A192" s="10" t="s">
        <v>186</v>
      </c>
      <c r="B192" s="10">
        <v>191</v>
      </c>
      <c r="C192" s="10" t="s">
        <v>1514</v>
      </c>
      <c r="D192" s="388">
        <v>45117</v>
      </c>
      <c r="E192" s="389">
        <v>45117</v>
      </c>
      <c r="F192" s="390" t="str">
        <f t="shared" si="0"/>
        <v>Cooking</v>
      </c>
      <c r="G192" s="135">
        <v>4.6553328674984696E-3</v>
      </c>
      <c r="H192" s="135">
        <v>2.82251810595737E-3</v>
      </c>
      <c r="I192" s="135">
        <v>2.3632032450766698E-3</v>
      </c>
      <c r="J192" s="135">
        <v>2.3005245395236202E-3</v>
      </c>
      <c r="K192" s="135">
        <v>2.2379495480711799E-3</v>
      </c>
      <c r="L192" s="135">
        <v>3.09259525161986E-3</v>
      </c>
      <c r="M192" s="135">
        <v>9.1705487534274807E-3</v>
      </c>
      <c r="N192" s="135">
        <v>1.9124038051290201E-2</v>
      </c>
      <c r="O192" s="135">
        <v>1.19353305923015E-2</v>
      </c>
      <c r="P192" s="135">
        <v>1.4570903356548299E-2</v>
      </c>
      <c r="Q192" s="135">
        <v>1.4910074518072899E-2</v>
      </c>
      <c r="R192" s="135">
        <v>2.34057057130636E-2</v>
      </c>
      <c r="S192" s="135">
        <v>3.0488433718737801E-2</v>
      </c>
      <c r="T192" s="135">
        <v>2.46129198449304E-2</v>
      </c>
      <c r="U192" s="135">
        <v>2.1327492842706498E-2</v>
      </c>
      <c r="V192" s="135">
        <v>3.2580125931838101E-2</v>
      </c>
      <c r="W192" s="135">
        <v>0.13550958258030801</v>
      </c>
      <c r="X192" s="135">
        <v>0.27001407493264301</v>
      </c>
      <c r="Y192" s="135">
        <v>0.20003167238748301</v>
      </c>
      <c r="Z192" s="135">
        <v>0.13360785570137401</v>
      </c>
      <c r="AA192" s="135">
        <v>5.4679294162278499E-2</v>
      </c>
      <c r="AB192" s="135">
        <v>1.8907726496440298E-2</v>
      </c>
      <c r="AC192" s="135">
        <v>8.9180207249639296E-3</v>
      </c>
      <c r="AD192" s="135">
        <v>6.1114831815918102E-3</v>
      </c>
      <c r="AF192" s="243">
        <f t="shared" si="1"/>
        <v>0.28283433514965728</v>
      </c>
      <c r="AG192" s="275">
        <f t="shared" si="2"/>
        <v>0.28619073113625126</v>
      </c>
      <c r="AH192" s="391">
        <f t="shared" si="3"/>
        <v>0.76118667591149536</v>
      </c>
      <c r="AI192" s="135">
        <f t="shared" si="4"/>
        <v>1.0473774070477466</v>
      </c>
    </row>
    <row r="193" spans="1:35" ht="12.6">
      <c r="A193" s="10" t="s">
        <v>186</v>
      </c>
      <c r="B193" s="10">
        <v>192</v>
      </c>
      <c r="C193" s="10" t="s">
        <v>1514</v>
      </c>
      <c r="D193" s="388">
        <v>45118</v>
      </c>
      <c r="E193" s="389">
        <v>45118</v>
      </c>
      <c r="F193" s="390" t="str">
        <f t="shared" si="0"/>
        <v>Cooking</v>
      </c>
      <c r="G193" s="135">
        <v>4.6553328674984696E-3</v>
      </c>
      <c r="H193" s="135">
        <v>2.82251810595737E-3</v>
      </c>
      <c r="I193" s="135">
        <v>2.3632032450766698E-3</v>
      </c>
      <c r="J193" s="135">
        <v>2.3005245395236202E-3</v>
      </c>
      <c r="K193" s="135">
        <v>2.2379495480711799E-3</v>
      </c>
      <c r="L193" s="135">
        <v>3.09259525161986E-3</v>
      </c>
      <c r="M193" s="135">
        <v>9.1705487534274807E-3</v>
      </c>
      <c r="N193" s="135">
        <v>1.9124038051290201E-2</v>
      </c>
      <c r="O193" s="135">
        <v>1.19353305923015E-2</v>
      </c>
      <c r="P193" s="135">
        <v>1.4570903356548299E-2</v>
      </c>
      <c r="Q193" s="135">
        <v>1.4910074518072899E-2</v>
      </c>
      <c r="R193" s="135">
        <v>2.34057057130636E-2</v>
      </c>
      <c r="S193" s="135">
        <v>3.0488433718737801E-2</v>
      </c>
      <c r="T193" s="135">
        <v>2.46129198449304E-2</v>
      </c>
      <c r="U193" s="135">
        <v>2.1327492842706498E-2</v>
      </c>
      <c r="V193" s="135">
        <v>3.2580125931838101E-2</v>
      </c>
      <c r="W193" s="135">
        <v>0.13550958258030801</v>
      </c>
      <c r="X193" s="135">
        <v>0.27001407493264301</v>
      </c>
      <c r="Y193" s="135">
        <v>0.20003167238748301</v>
      </c>
      <c r="Z193" s="135">
        <v>0.13360785570137401</v>
      </c>
      <c r="AA193" s="135">
        <v>5.4679294162278499E-2</v>
      </c>
      <c r="AB193" s="135">
        <v>1.8907726496440298E-2</v>
      </c>
      <c r="AC193" s="135">
        <v>8.9180207249639296E-3</v>
      </c>
      <c r="AD193" s="135">
        <v>6.1114831815918102E-3</v>
      </c>
      <c r="AF193" s="243">
        <f t="shared" si="1"/>
        <v>0.28283433514965728</v>
      </c>
      <c r="AG193" s="275">
        <f t="shared" si="2"/>
        <v>0.28619073113625126</v>
      </c>
      <c r="AH193" s="391">
        <f t="shared" si="3"/>
        <v>0.76118667591149536</v>
      </c>
      <c r="AI193" s="135">
        <f t="shared" si="4"/>
        <v>1.0473774070477466</v>
      </c>
    </row>
    <row r="194" spans="1:35" ht="12.6">
      <c r="A194" s="10" t="s">
        <v>186</v>
      </c>
      <c r="B194" s="10">
        <v>193</v>
      </c>
      <c r="C194" s="10" t="s">
        <v>1514</v>
      </c>
      <c r="D194" s="388">
        <v>45119</v>
      </c>
      <c r="E194" s="389">
        <v>45119</v>
      </c>
      <c r="F194" s="390" t="str">
        <f t="shared" si="0"/>
        <v>Cooking</v>
      </c>
      <c r="G194" s="135">
        <v>4.6553328674984696E-3</v>
      </c>
      <c r="H194" s="135">
        <v>2.82251810595737E-3</v>
      </c>
      <c r="I194" s="135">
        <v>2.3632032450766698E-3</v>
      </c>
      <c r="J194" s="135">
        <v>2.3005245395236202E-3</v>
      </c>
      <c r="K194" s="135">
        <v>2.2379495480711799E-3</v>
      </c>
      <c r="L194" s="135">
        <v>3.09259525161986E-3</v>
      </c>
      <c r="M194" s="135">
        <v>9.1705487534274807E-3</v>
      </c>
      <c r="N194" s="135">
        <v>1.9124038051290201E-2</v>
      </c>
      <c r="O194" s="135">
        <v>1.19353305923015E-2</v>
      </c>
      <c r="P194" s="135">
        <v>1.4570903356548299E-2</v>
      </c>
      <c r="Q194" s="135">
        <v>1.4910074518072899E-2</v>
      </c>
      <c r="R194" s="135">
        <v>2.34057057130636E-2</v>
      </c>
      <c r="S194" s="135">
        <v>3.0488433718737801E-2</v>
      </c>
      <c r="T194" s="135">
        <v>2.46129198449304E-2</v>
      </c>
      <c r="U194" s="135">
        <v>2.1327492842706498E-2</v>
      </c>
      <c r="V194" s="135">
        <v>3.2580125931838101E-2</v>
      </c>
      <c r="W194" s="135">
        <v>0.13550958258030801</v>
      </c>
      <c r="X194" s="135">
        <v>0.27001407493264301</v>
      </c>
      <c r="Y194" s="135">
        <v>0.20003167238748301</v>
      </c>
      <c r="Z194" s="135">
        <v>0.13360785570137401</v>
      </c>
      <c r="AA194" s="135">
        <v>5.4679294162278499E-2</v>
      </c>
      <c r="AB194" s="135">
        <v>1.8907726496440298E-2</v>
      </c>
      <c r="AC194" s="135">
        <v>8.9180207249639296E-3</v>
      </c>
      <c r="AD194" s="135">
        <v>6.1114831815918102E-3</v>
      </c>
      <c r="AF194" s="243">
        <f t="shared" si="1"/>
        <v>0.28283433514965728</v>
      </c>
      <c r="AG194" s="275">
        <f t="shared" si="2"/>
        <v>0.28619073113625126</v>
      </c>
      <c r="AH194" s="391">
        <f t="shared" si="3"/>
        <v>0.76118667591149536</v>
      </c>
      <c r="AI194" s="135">
        <f t="shared" si="4"/>
        <v>1.0473774070477466</v>
      </c>
    </row>
    <row r="195" spans="1:35" ht="12.6">
      <c r="A195" s="10" t="s">
        <v>186</v>
      </c>
      <c r="B195" s="10">
        <v>194</v>
      </c>
      <c r="C195" s="10" t="s">
        <v>1514</v>
      </c>
      <c r="D195" s="388">
        <v>45120</v>
      </c>
      <c r="E195" s="389">
        <v>45120</v>
      </c>
      <c r="F195" s="390" t="str">
        <f t="shared" si="0"/>
        <v>Cooking</v>
      </c>
      <c r="G195" s="135">
        <v>4.6553328674984696E-3</v>
      </c>
      <c r="H195" s="135">
        <v>2.82251810595737E-3</v>
      </c>
      <c r="I195" s="135">
        <v>2.3632032450766698E-3</v>
      </c>
      <c r="J195" s="135">
        <v>2.3005245395236202E-3</v>
      </c>
      <c r="K195" s="135">
        <v>2.2379495480711799E-3</v>
      </c>
      <c r="L195" s="135">
        <v>3.09259525161986E-3</v>
      </c>
      <c r="M195" s="135">
        <v>9.1705487534274807E-3</v>
      </c>
      <c r="N195" s="135">
        <v>1.9124038051290201E-2</v>
      </c>
      <c r="O195" s="135">
        <v>1.19353305923015E-2</v>
      </c>
      <c r="P195" s="135">
        <v>1.4570903356548299E-2</v>
      </c>
      <c r="Q195" s="135">
        <v>1.4910074518072899E-2</v>
      </c>
      <c r="R195" s="135">
        <v>2.34057057130636E-2</v>
      </c>
      <c r="S195" s="135">
        <v>3.0488433718737801E-2</v>
      </c>
      <c r="T195" s="135">
        <v>2.46129198449304E-2</v>
      </c>
      <c r="U195" s="135">
        <v>2.1327492842706498E-2</v>
      </c>
      <c r="V195" s="135">
        <v>3.2580125931838101E-2</v>
      </c>
      <c r="W195" s="135">
        <v>0.13550958258030801</v>
      </c>
      <c r="X195" s="135">
        <v>0.27001407493264301</v>
      </c>
      <c r="Y195" s="135">
        <v>0.20003167238748301</v>
      </c>
      <c r="Z195" s="135">
        <v>0.13360785570137401</v>
      </c>
      <c r="AA195" s="135">
        <v>5.4679294162278499E-2</v>
      </c>
      <c r="AB195" s="135">
        <v>1.8907726496440298E-2</v>
      </c>
      <c r="AC195" s="135">
        <v>8.9180207249639296E-3</v>
      </c>
      <c r="AD195" s="135">
        <v>6.1114831815918102E-3</v>
      </c>
      <c r="AF195" s="243">
        <f t="shared" si="1"/>
        <v>0.28283433514965728</v>
      </c>
      <c r="AG195" s="275">
        <f t="shared" si="2"/>
        <v>0.28619073113625126</v>
      </c>
      <c r="AH195" s="391">
        <f t="shared" si="3"/>
        <v>0.76118667591149536</v>
      </c>
      <c r="AI195" s="135">
        <f t="shared" si="4"/>
        <v>1.0473774070477466</v>
      </c>
    </row>
    <row r="196" spans="1:35" ht="12.6">
      <c r="A196" s="10" t="s">
        <v>186</v>
      </c>
      <c r="B196" s="10">
        <v>195</v>
      </c>
      <c r="C196" s="10" t="s">
        <v>1514</v>
      </c>
      <c r="D196" s="388">
        <v>45121</v>
      </c>
      <c r="E196" s="389">
        <v>45121</v>
      </c>
      <c r="F196" s="390" t="str">
        <f t="shared" si="0"/>
        <v>Cooking</v>
      </c>
      <c r="G196" s="135">
        <v>4.6553328674984696E-3</v>
      </c>
      <c r="H196" s="135">
        <v>2.82251810595737E-3</v>
      </c>
      <c r="I196" s="135">
        <v>2.3632032450766698E-3</v>
      </c>
      <c r="J196" s="135">
        <v>2.3005245395236202E-3</v>
      </c>
      <c r="K196" s="135">
        <v>2.2379495480711799E-3</v>
      </c>
      <c r="L196" s="135">
        <v>3.09259525161986E-3</v>
      </c>
      <c r="M196" s="135">
        <v>9.1705487534274807E-3</v>
      </c>
      <c r="N196" s="135">
        <v>1.9124038051290201E-2</v>
      </c>
      <c r="O196" s="135">
        <v>1.19353305923015E-2</v>
      </c>
      <c r="P196" s="135">
        <v>1.4570903356548299E-2</v>
      </c>
      <c r="Q196" s="135">
        <v>1.4910074518072899E-2</v>
      </c>
      <c r="R196" s="135">
        <v>2.34057057130636E-2</v>
      </c>
      <c r="S196" s="135">
        <v>3.0488433718737801E-2</v>
      </c>
      <c r="T196" s="135">
        <v>2.46129198449304E-2</v>
      </c>
      <c r="U196" s="135">
        <v>2.1327492842706498E-2</v>
      </c>
      <c r="V196" s="135">
        <v>3.2580125931838101E-2</v>
      </c>
      <c r="W196" s="135">
        <v>0.13550958258030801</v>
      </c>
      <c r="X196" s="135">
        <v>0.27001407493264301</v>
      </c>
      <c r="Y196" s="135">
        <v>0.20003167238748301</v>
      </c>
      <c r="Z196" s="135">
        <v>0.13360785570137401</v>
      </c>
      <c r="AA196" s="135">
        <v>5.4679294162278499E-2</v>
      </c>
      <c r="AB196" s="135">
        <v>1.8907726496440298E-2</v>
      </c>
      <c r="AC196" s="135">
        <v>8.9180207249639296E-3</v>
      </c>
      <c r="AD196" s="135">
        <v>6.1114831815918102E-3</v>
      </c>
      <c r="AF196" s="243">
        <f t="shared" si="1"/>
        <v>0.28283433514965728</v>
      </c>
      <c r="AG196" s="275">
        <f t="shared" si="2"/>
        <v>0.28619073113625126</v>
      </c>
      <c r="AH196" s="391">
        <f t="shared" si="3"/>
        <v>0.76118667591149536</v>
      </c>
      <c r="AI196" s="135">
        <f t="shared" si="4"/>
        <v>1.0473774070477466</v>
      </c>
    </row>
    <row r="197" spans="1:35" ht="12.6">
      <c r="A197" s="10" t="s">
        <v>186</v>
      </c>
      <c r="B197" s="10">
        <v>196</v>
      </c>
      <c r="C197" s="10" t="s">
        <v>1514</v>
      </c>
      <c r="D197" s="388">
        <v>45122</v>
      </c>
      <c r="E197" s="389">
        <v>45122</v>
      </c>
      <c r="F197" s="390" t="str">
        <f t="shared" si="0"/>
        <v>Cooking</v>
      </c>
      <c r="G197" s="135">
        <v>4.5012922669470101E-3</v>
      </c>
      <c r="H197" s="135">
        <v>2.69038530734951E-3</v>
      </c>
      <c r="I197" s="135">
        <v>2.23547492362128E-3</v>
      </c>
      <c r="J197" s="135">
        <v>2.3112600189637601E-3</v>
      </c>
      <c r="K197" s="135">
        <v>2.2111740396937299E-3</v>
      </c>
      <c r="L197" s="135">
        <v>2.4038699548199101E-3</v>
      </c>
      <c r="M197" s="135">
        <v>4.60107737557062E-3</v>
      </c>
      <c r="N197" s="135">
        <v>1.2376042571051E-2</v>
      </c>
      <c r="O197" s="135">
        <v>2.53213620647036E-2</v>
      </c>
      <c r="P197" s="135">
        <v>3.7513015239511199E-2</v>
      </c>
      <c r="Q197" s="135">
        <v>4.97235976464643E-2</v>
      </c>
      <c r="R197" s="135">
        <v>6.0820835462887399E-2</v>
      </c>
      <c r="S197" s="135">
        <v>5.67892558027931E-2</v>
      </c>
      <c r="T197" s="135">
        <v>5.0221995099371301E-2</v>
      </c>
      <c r="U197" s="135">
        <v>4.38225365606527E-2</v>
      </c>
      <c r="V197" s="135">
        <v>5.4291742744822798E-2</v>
      </c>
      <c r="W197" s="135">
        <v>0.10760611470284601</v>
      </c>
      <c r="X197" s="135">
        <v>0.23460491207052001</v>
      </c>
      <c r="Y197" s="135">
        <v>0.15982131993624801</v>
      </c>
      <c r="Z197" s="135">
        <v>8.6325375242444102E-2</v>
      </c>
      <c r="AA197" s="135">
        <v>3.8075643740350301E-2</v>
      </c>
      <c r="AB197" s="135">
        <v>1.72545139385211E-2</v>
      </c>
      <c r="AC197" s="135">
        <v>6.83099366873181E-3</v>
      </c>
      <c r="AD197" s="135">
        <v>4.28290391472517E-3</v>
      </c>
      <c r="AF197" s="243">
        <f t="shared" si="1"/>
        <v>0.42327607801983758</v>
      </c>
      <c r="AG197" s="275">
        <f t="shared" si="2"/>
        <v>0.34480007638090882</v>
      </c>
      <c r="AH197" s="391">
        <f t="shared" si="3"/>
        <v>0.72183661791270104</v>
      </c>
      <c r="AI197" s="135">
        <f t="shared" si="4"/>
        <v>1.0666366942936099</v>
      </c>
    </row>
    <row r="198" spans="1:35" ht="12.6">
      <c r="A198" s="10" t="s">
        <v>186</v>
      </c>
      <c r="B198" s="10">
        <v>197</v>
      </c>
      <c r="C198" s="10" t="s">
        <v>1514</v>
      </c>
      <c r="D198" s="388">
        <v>45123</v>
      </c>
      <c r="E198" s="389">
        <v>45123</v>
      </c>
      <c r="F198" s="390" t="str">
        <f t="shared" si="0"/>
        <v>Cooking</v>
      </c>
      <c r="G198" s="135">
        <v>4.5012922669470101E-3</v>
      </c>
      <c r="H198" s="135">
        <v>2.69038530734951E-3</v>
      </c>
      <c r="I198" s="135">
        <v>2.23547492362128E-3</v>
      </c>
      <c r="J198" s="135">
        <v>2.3112600189637601E-3</v>
      </c>
      <c r="K198" s="135">
        <v>2.2111740396937299E-3</v>
      </c>
      <c r="L198" s="135">
        <v>2.4038699548199101E-3</v>
      </c>
      <c r="M198" s="135">
        <v>4.60107737557062E-3</v>
      </c>
      <c r="N198" s="135">
        <v>1.2376042571051E-2</v>
      </c>
      <c r="O198" s="135">
        <v>2.53213620647036E-2</v>
      </c>
      <c r="P198" s="135">
        <v>3.7513015239511199E-2</v>
      </c>
      <c r="Q198" s="135">
        <v>4.97235976464643E-2</v>
      </c>
      <c r="R198" s="135">
        <v>6.0820835462887399E-2</v>
      </c>
      <c r="S198" s="135">
        <v>5.67892558027931E-2</v>
      </c>
      <c r="T198" s="135">
        <v>5.0221995099371301E-2</v>
      </c>
      <c r="U198" s="135">
        <v>4.38225365606527E-2</v>
      </c>
      <c r="V198" s="135">
        <v>5.4291742744822798E-2</v>
      </c>
      <c r="W198" s="135">
        <v>0.10760611470284601</v>
      </c>
      <c r="X198" s="135">
        <v>0.23460491207052001</v>
      </c>
      <c r="Y198" s="135">
        <v>0.15982131993624801</v>
      </c>
      <c r="Z198" s="135">
        <v>8.6325375242444102E-2</v>
      </c>
      <c r="AA198" s="135">
        <v>3.8075643740350301E-2</v>
      </c>
      <c r="AB198" s="135">
        <v>1.72545139385211E-2</v>
      </c>
      <c r="AC198" s="135">
        <v>6.83099366873181E-3</v>
      </c>
      <c r="AD198" s="135">
        <v>4.28290391472517E-3</v>
      </c>
      <c r="AF198" s="243">
        <f t="shared" si="1"/>
        <v>0.42327607801983758</v>
      </c>
      <c r="AG198" s="275">
        <f t="shared" si="2"/>
        <v>0.34480007638090882</v>
      </c>
      <c r="AH198" s="391">
        <f t="shared" si="3"/>
        <v>0.72183661791270104</v>
      </c>
      <c r="AI198" s="135">
        <f t="shared" si="4"/>
        <v>1.0666366942936099</v>
      </c>
    </row>
    <row r="199" spans="1:35" ht="12.6">
      <c r="A199" s="10" t="s">
        <v>186</v>
      </c>
      <c r="B199" s="10">
        <v>198</v>
      </c>
      <c r="C199" s="10" t="s">
        <v>1514</v>
      </c>
      <c r="D199" s="388">
        <v>45124</v>
      </c>
      <c r="E199" s="389">
        <v>45124</v>
      </c>
      <c r="F199" s="390" t="str">
        <f t="shared" si="0"/>
        <v>Cooking</v>
      </c>
      <c r="G199" s="135">
        <v>4.6553328674984696E-3</v>
      </c>
      <c r="H199" s="135">
        <v>2.82251810595737E-3</v>
      </c>
      <c r="I199" s="135">
        <v>2.3632032450766698E-3</v>
      </c>
      <c r="J199" s="135">
        <v>2.3005245395236202E-3</v>
      </c>
      <c r="K199" s="135">
        <v>2.2379495480711799E-3</v>
      </c>
      <c r="L199" s="135">
        <v>3.09259525161986E-3</v>
      </c>
      <c r="M199" s="135">
        <v>9.1705487534274807E-3</v>
      </c>
      <c r="N199" s="135">
        <v>1.9124038051290201E-2</v>
      </c>
      <c r="O199" s="135">
        <v>1.19353305923015E-2</v>
      </c>
      <c r="P199" s="135">
        <v>1.4570903356548299E-2</v>
      </c>
      <c r="Q199" s="135">
        <v>1.4910074518072899E-2</v>
      </c>
      <c r="R199" s="135">
        <v>2.34057057130636E-2</v>
      </c>
      <c r="S199" s="135">
        <v>3.0488433718737801E-2</v>
      </c>
      <c r="T199" s="135">
        <v>2.46129198449304E-2</v>
      </c>
      <c r="U199" s="135">
        <v>2.1327492842706498E-2</v>
      </c>
      <c r="V199" s="135">
        <v>3.2580125931838101E-2</v>
      </c>
      <c r="W199" s="135">
        <v>0.13550958258030801</v>
      </c>
      <c r="X199" s="135">
        <v>0.27001407493264301</v>
      </c>
      <c r="Y199" s="135">
        <v>0.20003167238748301</v>
      </c>
      <c r="Z199" s="135">
        <v>0.13360785570137401</v>
      </c>
      <c r="AA199" s="135">
        <v>5.4679294162278499E-2</v>
      </c>
      <c r="AB199" s="135">
        <v>1.8907726496440298E-2</v>
      </c>
      <c r="AC199" s="135">
        <v>8.9180207249639296E-3</v>
      </c>
      <c r="AD199" s="135">
        <v>6.1114831815918102E-3</v>
      </c>
      <c r="AF199" s="243">
        <f t="shared" si="1"/>
        <v>0.28283433514965728</v>
      </c>
      <c r="AG199" s="275">
        <f t="shared" si="2"/>
        <v>0.28619073113625126</v>
      </c>
      <c r="AH199" s="391">
        <f t="shared" si="3"/>
        <v>0.76118667591149536</v>
      </c>
      <c r="AI199" s="135">
        <f t="shared" si="4"/>
        <v>1.0473774070477466</v>
      </c>
    </row>
    <row r="200" spans="1:35" ht="12.6">
      <c r="A200" s="10" t="s">
        <v>186</v>
      </c>
      <c r="B200" s="10">
        <v>199</v>
      </c>
      <c r="C200" s="10" t="s">
        <v>1514</v>
      </c>
      <c r="D200" s="388">
        <v>45125</v>
      </c>
      <c r="E200" s="389">
        <v>45125</v>
      </c>
      <c r="F200" s="390" t="str">
        <f t="shared" si="0"/>
        <v>Cooking</v>
      </c>
      <c r="G200" s="135">
        <v>4.6553328674984696E-3</v>
      </c>
      <c r="H200" s="135">
        <v>2.82251810595737E-3</v>
      </c>
      <c r="I200" s="135">
        <v>2.3632032450766698E-3</v>
      </c>
      <c r="J200" s="135">
        <v>2.3005245395236202E-3</v>
      </c>
      <c r="K200" s="135">
        <v>2.2379495480711799E-3</v>
      </c>
      <c r="L200" s="135">
        <v>3.09259525161986E-3</v>
      </c>
      <c r="M200" s="135">
        <v>9.1705487534274807E-3</v>
      </c>
      <c r="N200" s="135">
        <v>1.9124038051290201E-2</v>
      </c>
      <c r="O200" s="135">
        <v>1.19353305923015E-2</v>
      </c>
      <c r="P200" s="135">
        <v>1.4570903356548299E-2</v>
      </c>
      <c r="Q200" s="135">
        <v>1.4910074518072899E-2</v>
      </c>
      <c r="R200" s="135">
        <v>2.34057057130636E-2</v>
      </c>
      <c r="S200" s="135">
        <v>3.0488433718737801E-2</v>
      </c>
      <c r="T200" s="135">
        <v>2.46129198449304E-2</v>
      </c>
      <c r="U200" s="135">
        <v>2.1327492842706498E-2</v>
      </c>
      <c r="V200" s="135">
        <v>3.2580125931838101E-2</v>
      </c>
      <c r="W200" s="135">
        <v>0.13550958258030801</v>
      </c>
      <c r="X200" s="135">
        <v>0.27001407493264301</v>
      </c>
      <c r="Y200" s="135">
        <v>0.20003167238748301</v>
      </c>
      <c r="Z200" s="135">
        <v>0.13360785570137401</v>
      </c>
      <c r="AA200" s="135">
        <v>5.4679294162278499E-2</v>
      </c>
      <c r="AB200" s="135">
        <v>1.8907726496440298E-2</v>
      </c>
      <c r="AC200" s="135">
        <v>8.9180207249639296E-3</v>
      </c>
      <c r="AD200" s="135">
        <v>6.1114831815918102E-3</v>
      </c>
      <c r="AF200" s="243">
        <f t="shared" si="1"/>
        <v>0.28283433514965728</v>
      </c>
      <c r="AG200" s="275">
        <f t="shared" si="2"/>
        <v>0.28619073113625126</v>
      </c>
      <c r="AH200" s="391">
        <f t="shared" si="3"/>
        <v>0.76118667591149536</v>
      </c>
      <c r="AI200" s="135">
        <f t="shared" si="4"/>
        <v>1.0473774070477466</v>
      </c>
    </row>
    <row r="201" spans="1:35" ht="12.6">
      <c r="A201" s="10" t="s">
        <v>186</v>
      </c>
      <c r="B201" s="10">
        <v>200</v>
      </c>
      <c r="C201" s="10" t="s">
        <v>1514</v>
      </c>
      <c r="D201" s="388">
        <v>45126</v>
      </c>
      <c r="E201" s="389">
        <v>45126</v>
      </c>
      <c r="F201" s="390" t="str">
        <f t="shared" si="0"/>
        <v>Cooking</v>
      </c>
      <c r="G201" s="135">
        <v>4.6553328674984696E-3</v>
      </c>
      <c r="H201" s="135">
        <v>2.82251810595737E-3</v>
      </c>
      <c r="I201" s="135">
        <v>2.3632032450766698E-3</v>
      </c>
      <c r="J201" s="135">
        <v>2.3005245395236202E-3</v>
      </c>
      <c r="K201" s="135">
        <v>2.2379495480711799E-3</v>
      </c>
      <c r="L201" s="135">
        <v>3.09259525161986E-3</v>
      </c>
      <c r="M201" s="135">
        <v>9.1705487534274807E-3</v>
      </c>
      <c r="N201" s="135">
        <v>1.9124038051290201E-2</v>
      </c>
      <c r="O201" s="135">
        <v>1.19353305923015E-2</v>
      </c>
      <c r="P201" s="135">
        <v>1.4570903356548299E-2</v>
      </c>
      <c r="Q201" s="135">
        <v>1.4910074518072899E-2</v>
      </c>
      <c r="R201" s="135">
        <v>2.34057057130636E-2</v>
      </c>
      <c r="S201" s="135">
        <v>3.0488433718737801E-2</v>
      </c>
      <c r="T201" s="135">
        <v>2.46129198449304E-2</v>
      </c>
      <c r="U201" s="135">
        <v>2.1327492842706498E-2</v>
      </c>
      <c r="V201" s="135">
        <v>3.2580125931838101E-2</v>
      </c>
      <c r="W201" s="135">
        <v>0.13550958258030801</v>
      </c>
      <c r="X201" s="135">
        <v>0.27001407493264301</v>
      </c>
      <c r="Y201" s="135">
        <v>0.20003167238748301</v>
      </c>
      <c r="Z201" s="135">
        <v>0.13360785570137401</v>
      </c>
      <c r="AA201" s="135">
        <v>5.4679294162278499E-2</v>
      </c>
      <c r="AB201" s="135">
        <v>1.8907726496440298E-2</v>
      </c>
      <c r="AC201" s="135">
        <v>8.9180207249639296E-3</v>
      </c>
      <c r="AD201" s="135">
        <v>6.1114831815918102E-3</v>
      </c>
      <c r="AF201" s="243">
        <f t="shared" si="1"/>
        <v>0.28283433514965728</v>
      </c>
      <c r="AG201" s="275">
        <f t="shared" si="2"/>
        <v>0.28619073113625126</v>
      </c>
      <c r="AH201" s="391">
        <f t="shared" si="3"/>
        <v>0.76118667591149536</v>
      </c>
      <c r="AI201" s="135">
        <f t="shared" si="4"/>
        <v>1.0473774070477466</v>
      </c>
    </row>
    <row r="202" spans="1:35" ht="12.6">
      <c r="A202" s="10" t="s">
        <v>186</v>
      </c>
      <c r="B202" s="10">
        <v>201</v>
      </c>
      <c r="C202" s="10" t="s">
        <v>1514</v>
      </c>
      <c r="D202" s="388">
        <v>45127</v>
      </c>
      <c r="E202" s="389">
        <v>45127</v>
      </c>
      <c r="F202" s="390" t="str">
        <f t="shared" si="0"/>
        <v>Cooking</v>
      </c>
      <c r="G202" s="135">
        <v>4.6553328674984696E-3</v>
      </c>
      <c r="H202" s="135">
        <v>2.82251810595737E-3</v>
      </c>
      <c r="I202" s="135">
        <v>2.3632032450766698E-3</v>
      </c>
      <c r="J202" s="135">
        <v>2.3005245395236202E-3</v>
      </c>
      <c r="K202" s="135">
        <v>2.2379495480711799E-3</v>
      </c>
      <c r="L202" s="135">
        <v>3.09259525161986E-3</v>
      </c>
      <c r="M202" s="135">
        <v>9.1705487534274807E-3</v>
      </c>
      <c r="N202" s="135">
        <v>1.9124038051290201E-2</v>
      </c>
      <c r="O202" s="135">
        <v>1.19353305923015E-2</v>
      </c>
      <c r="P202" s="135">
        <v>1.4570903356548299E-2</v>
      </c>
      <c r="Q202" s="135">
        <v>1.4910074518072899E-2</v>
      </c>
      <c r="R202" s="135">
        <v>2.34057057130636E-2</v>
      </c>
      <c r="S202" s="135">
        <v>3.0488433718737801E-2</v>
      </c>
      <c r="T202" s="135">
        <v>2.46129198449304E-2</v>
      </c>
      <c r="U202" s="135">
        <v>2.1327492842706498E-2</v>
      </c>
      <c r="V202" s="135">
        <v>3.2580125931838101E-2</v>
      </c>
      <c r="W202" s="135">
        <v>0.13550958258030801</v>
      </c>
      <c r="X202" s="135">
        <v>0.27001407493264301</v>
      </c>
      <c r="Y202" s="135">
        <v>0.20003167238748301</v>
      </c>
      <c r="Z202" s="135">
        <v>0.13360785570137401</v>
      </c>
      <c r="AA202" s="135">
        <v>5.4679294162278499E-2</v>
      </c>
      <c r="AB202" s="135">
        <v>1.8907726496440298E-2</v>
      </c>
      <c r="AC202" s="135">
        <v>8.9180207249639296E-3</v>
      </c>
      <c r="AD202" s="135">
        <v>6.1114831815918102E-3</v>
      </c>
      <c r="AF202" s="243">
        <f t="shared" si="1"/>
        <v>0.28283433514965728</v>
      </c>
      <c r="AG202" s="275">
        <f t="shared" si="2"/>
        <v>0.28619073113625126</v>
      </c>
      <c r="AH202" s="391">
        <f t="shared" si="3"/>
        <v>0.76118667591149536</v>
      </c>
      <c r="AI202" s="135">
        <f t="shared" si="4"/>
        <v>1.0473774070477466</v>
      </c>
    </row>
    <row r="203" spans="1:35" ht="12.6">
      <c r="A203" s="10" t="s">
        <v>186</v>
      </c>
      <c r="B203" s="10">
        <v>202</v>
      </c>
      <c r="C203" s="10" t="s">
        <v>1514</v>
      </c>
      <c r="D203" s="388">
        <v>45128</v>
      </c>
      <c r="E203" s="389">
        <v>45128</v>
      </c>
      <c r="F203" s="390" t="str">
        <f t="shared" si="0"/>
        <v>Cooking</v>
      </c>
      <c r="G203" s="135">
        <v>4.6553328674984696E-3</v>
      </c>
      <c r="H203" s="135">
        <v>2.82251810595737E-3</v>
      </c>
      <c r="I203" s="135">
        <v>2.3632032450766698E-3</v>
      </c>
      <c r="J203" s="135">
        <v>2.3005245395236202E-3</v>
      </c>
      <c r="K203" s="135">
        <v>2.2379495480711799E-3</v>
      </c>
      <c r="L203" s="135">
        <v>3.09259525161986E-3</v>
      </c>
      <c r="M203" s="135">
        <v>9.1705487534274807E-3</v>
      </c>
      <c r="N203" s="135">
        <v>1.9124038051290201E-2</v>
      </c>
      <c r="O203" s="135">
        <v>1.19353305923015E-2</v>
      </c>
      <c r="P203" s="135">
        <v>1.4570903356548299E-2</v>
      </c>
      <c r="Q203" s="135">
        <v>1.4910074518072899E-2</v>
      </c>
      <c r="R203" s="135">
        <v>2.34057057130636E-2</v>
      </c>
      <c r="S203" s="135">
        <v>3.0488433718737801E-2</v>
      </c>
      <c r="T203" s="135">
        <v>2.46129198449304E-2</v>
      </c>
      <c r="U203" s="135">
        <v>2.1327492842706498E-2</v>
      </c>
      <c r="V203" s="135">
        <v>3.2580125931838101E-2</v>
      </c>
      <c r="W203" s="135">
        <v>0.13550958258030801</v>
      </c>
      <c r="X203" s="135">
        <v>0.27001407493264301</v>
      </c>
      <c r="Y203" s="135">
        <v>0.20003167238748301</v>
      </c>
      <c r="Z203" s="135">
        <v>0.13360785570137401</v>
      </c>
      <c r="AA203" s="135">
        <v>5.4679294162278499E-2</v>
      </c>
      <c r="AB203" s="135">
        <v>1.8907726496440298E-2</v>
      </c>
      <c r="AC203" s="135">
        <v>8.9180207249639296E-3</v>
      </c>
      <c r="AD203" s="135">
        <v>6.1114831815918102E-3</v>
      </c>
      <c r="AF203" s="243">
        <f t="shared" si="1"/>
        <v>0.28283433514965728</v>
      </c>
      <c r="AG203" s="275">
        <f t="shared" si="2"/>
        <v>0.28619073113625126</v>
      </c>
      <c r="AH203" s="391">
        <f t="shared" si="3"/>
        <v>0.76118667591149536</v>
      </c>
      <c r="AI203" s="135">
        <f t="shared" si="4"/>
        <v>1.0473774070477466</v>
      </c>
    </row>
    <row r="204" spans="1:35" ht="12.6">
      <c r="A204" s="10" t="s">
        <v>186</v>
      </c>
      <c r="B204" s="10">
        <v>203</v>
      </c>
      <c r="C204" s="10" t="s">
        <v>1514</v>
      </c>
      <c r="D204" s="388">
        <v>45129</v>
      </c>
      <c r="E204" s="389">
        <v>45129</v>
      </c>
      <c r="F204" s="390" t="str">
        <f t="shared" si="0"/>
        <v>Cooking</v>
      </c>
      <c r="G204" s="135">
        <v>4.5012922669470101E-3</v>
      </c>
      <c r="H204" s="135">
        <v>2.69038530734951E-3</v>
      </c>
      <c r="I204" s="135">
        <v>2.23547492362128E-3</v>
      </c>
      <c r="J204" s="135">
        <v>2.3112600189637601E-3</v>
      </c>
      <c r="K204" s="135">
        <v>2.2111740396937299E-3</v>
      </c>
      <c r="L204" s="135">
        <v>2.4038699548199101E-3</v>
      </c>
      <c r="M204" s="135">
        <v>4.60107737557062E-3</v>
      </c>
      <c r="N204" s="135">
        <v>1.2376042571051E-2</v>
      </c>
      <c r="O204" s="135">
        <v>2.53213620647036E-2</v>
      </c>
      <c r="P204" s="135">
        <v>3.7513015239511199E-2</v>
      </c>
      <c r="Q204" s="135">
        <v>4.97235976464643E-2</v>
      </c>
      <c r="R204" s="135">
        <v>6.0820835462887399E-2</v>
      </c>
      <c r="S204" s="135">
        <v>5.67892558027931E-2</v>
      </c>
      <c r="T204" s="135">
        <v>5.0221995099371301E-2</v>
      </c>
      <c r="U204" s="135">
        <v>4.38225365606527E-2</v>
      </c>
      <c r="V204" s="135">
        <v>5.4291742744822798E-2</v>
      </c>
      <c r="W204" s="135">
        <v>0.10760611470284601</v>
      </c>
      <c r="X204" s="135">
        <v>0.23460491207052001</v>
      </c>
      <c r="Y204" s="135">
        <v>0.15982131993624801</v>
      </c>
      <c r="Z204" s="135">
        <v>8.6325375242444102E-2</v>
      </c>
      <c r="AA204" s="135">
        <v>3.8075643740350301E-2</v>
      </c>
      <c r="AB204" s="135">
        <v>1.72545139385211E-2</v>
      </c>
      <c r="AC204" s="135">
        <v>6.83099366873181E-3</v>
      </c>
      <c r="AD204" s="135">
        <v>4.28290391472517E-3</v>
      </c>
      <c r="AF204" s="243">
        <f t="shared" si="1"/>
        <v>0.42327607801983758</v>
      </c>
      <c r="AG204" s="275">
        <f t="shared" si="2"/>
        <v>0.34480007638090882</v>
      </c>
      <c r="AH204" s="391">
        <f t="shared" si="3"/>
        <v>0.72183661791270104</v>
      </c>
      <c r="AI204" s="135">
        <f t="shared" si="4"/>
        <v>1.0666366942936099</v>
      </c>
    </row>
    <row r="205" spans="1:35" ht="12.6">
      <c r="A205" s="10" t="s">
        <v>186</v>
      </c>
      <c r="B205" s="10">
        <v>204</v>
      </c>
      <c r="C205" s="10" t="s">
        <v>1514</v>
      </c>
      <c r="D205" s="388">
        <v>45130</v>
      </c>
      <c r="E205" s="389">
        <v>45130</v>
      </c>
      <c r="F205" s="390" t="str">
        <f t="shared" si="0"/>
        <v>Cooking</v>
      </c>
      <c r="G205" s="135">
        <v>4.5012922669470101E-3</v>
      </c>
      <c r="H205" s="135">
        <v>2.69038530734951E-3</v>
      </c>
      <c r="I205" s="135">
        <v>2.23547492362128E-3</v>
      </c>
      <c r="J205" s="135">
        <v>2.3112600189637601E-3</v>
      </c>
      <c r="K205" s="135">
        <v>2.2111740396937299E-3</v>
      </c>
      <c r="L205" s="135">
        <v>2.4038699548199101E-3</v>
      </c>
      <c r="M205" s="135">
        <v>4.60107737557062E-3</v>
      </c>
      <c r="N205" s="135">
        <v>1.2376042571051E-2</v>
      </c>
      <c r="O205" s="135">
        <v>2.53213620647036E-2</v>
      </c>
      <c r="P205" s="135">
        <v>3.7513015239511199E-2</v>
      </c>
      <c r="Q205" s="135">
        <v>4.97235976464643E-2</v>
      </c>
      <c r="R205" s="135">
        <v>6.0820835462887399E-2</v>
      </c>
      <c r="S205" s="135">
        <v>5.67892558027931E-2</v>
      </c>
      <c r="T205" s="135">
        <v>5.0221995099371301E-2</v>
      </c>
      <c r="U205" s="135">
        <v>4.38225365606527E-2</v>
      </c>
      <c r="V205" s="135">
        <v>5.4291742744822798E-2</v>
      </c>
      <c r="W205" s="135">
        <v>0.10760611470284601</v>
      </c>
      <c r="X205" s="135">
        <v>0.23460491207052001</v>
      </c>
      <c r="Y205" s="135">
        <v>0.15982131993624801</v>
      </c>
      <c r="Z205" s="135">
        <v>8.6325375242444102E-2</v>
      </c>
      <c r="AA205" s="135">
        <v>3.8075643740350301E-2</v>
      </c>
      <c r="AB205" s="135">
        <v>1.72545139385211E-2</v>
      </c>
      <c r="AC205" s="135">
        <v>6.83099366873181E-3</v>
      </c>
      <c r="AD205" s="135">
        <v>4.28290391472517E-3</v>
      </c>
      <c r="AF205" s="243">
        <f t="shared" si="1"/>
        <v>0.42327607801983758</v>
      </c>
      <c r="AG205" s="275">
        <f t="shared" si="2"/>
        <v>0.34480007638090882</v>
      </c>
      <c r="AH205" s="391">
        <f t="shared" si="3"/>
        <v>0.72183661791270104</v>
      </c>
      <c r="AI205" s="135">
        <f t="shared" si="4"/>
        <v>1.0666366942936099</v>
      </c>
    </row>
    <row r="206" spans="1:35" ht="12.6">
      <c r="A206" s="10" t="s">
        <v>186</v>
      </c>
      <c r="B206" s="10">
        <v>205</v>
      </c>
      <c r="C206" s="10" t="s">
        <v>1514</v>
      </c>
      <c r="D206" s="388">
        <v>45131</v>
      </c>
      <c r="E206" s="389">
        <v>45131</v>
      </c>
      <c r="F206" s="390" t="str">
        <f t="shared" si="0"/>
        <v>Cooking</v>
      </c>
      <c r="G206" s="135">
        <v>4.6553328674984696E-3</v>
      </c>
      <c r="H206" s="135">
        <v>2.82251810595737E-3</v>
      </c>
      <c r="I206" s="135">
        <v>2.3632032450766698E-3</v>
      </c>
      <c r="J206" s="135">
        <v>2.3005245395236202E-3</v>
      </c>
      <c r="K206" s="135">
        <v>2.2379495480711799E-3</v>
      </c>
      <c r="L206" s="135">
        <v>3.09259525161986E-3</v>
      </c>
      <c r="M206" s="135">
        <v>9.1705487534274807E-3</v>
      </c>
      <c r="N206" s="135">
        <v>1.9124038051290201E-2</v>
      </c>
      <c r="O206" s="135">
        <v>1.19353305923015E-2</v>
      </c>
      <c r="P206" s="135">
        <v>1.4570903356548299E-2</v>
      </c>
      <c r="Q206" s="135">
        <v>1.4910074518072899E-2</v>
      </c>
      <c r="R206" s="135">
        <v>2.34057057130636E-2</v>
      </c>
      <c r="S206" s="135">
        <v>3.0488433718737801E-2</v>
      </c>
      <c r="T206" s="135">
        <v>2.46129198449304E-2</v>
      </c>
      <c r="U206" s="135">
        <v>2.1327492842706498E-2</v>
      </c>
      <c r="V206" s="135">
        <v>3.2580125931838101E-2</v>
      </c>
      <c r="W206" s="135">
        <v>0.13550958258030801</v>
      </c>
      <c r="X206" s="135">
        <v>0.27001407493264301</v>
      </c>
      <c r="Y206" s="135">
        <v>0.20003167238748301</v>
      </c>
      <c r="Z206" s="135">
        <v>0.13360785570137401</v>
      </c>
      <c r="AA206" s="135">
        <v>5.4679294162278499E-2</v>
      </c>
      <c r="AB206" s="135">
        <v>1.8907726496440298E-2</v>
      </c>
      <c r="AC206" s="135">
        <v>8.9180207249639296E-3</v>
      </c>
      <c r="AD206" s="135">
        <v>6.1114831815918102E-3</v>
      </c>
      <c r="AF206" s="243">
        <f t="shared" si="1"/>
        <v>0.28283433514965728</v>
      </c>
      <c r="AG206" s="275">
        <f t="shared" si="2"/>
        <v>0.28619073113625126</v>
      </c>
      <c r="AH206" s="391">
        <f t="shared" si="3"/>
        <v>0.76118667591149536</v>
      </c>
      <c r="AI206" s="135">
        <f t="shared" si="4"/>
        <v>1.0473774070477466</v>
      </c>
    </row>
    <row r="207" spans="1:35" ht="12.6">
      <c r="A207" s="10" t="s">
        <v>186</v>
      </c>
      <c r="B207" s="10">
        <v>206</v>
      </c>
      <c r="C207" s="10" t="s">
        <v>1514</v>
      </c>
      <c r="D207" s="388">
        <v>45132</v>
      </c>
      <c r="E207" s="389">
        <v>45132</v>
      </c>
      <c r="F207" s="390" t="str">
        <f t="shared" si="0"/>
        <v>Cooking</v>
      </c>
      <c r="G207" s="135">
        <v>4.6553328674984696E-3</v>
      </c>
      <c r="H207" s="135">
        <v>2.82251810595737E-3</v>
      </c>
      <c r="I207" s="135">
        <v>2.3632032450766698E-3</v>
      </c>
      <c r="J207" s="135">
        <v>2.3005245395236202E-3</v>
      </c>
      <c r="K207" s="135">
        <v>2.2379495480711799E-3</v>
      </c>
      <c r="L207" s="135">
        <v>3.09259525161986E-3</v>
      </c>
      <c r="M207" s="135">
        <v>9.1705487534274807E-3</v>
      </c>
      <c r="N207" s="135">
        <v>1.9124038051290201E-2</v>
      </c>
      <c r="O207" s="135">
        <v>1.19353305923015E-2</v>
      </c>
      <c r="P207" s="135">
        <v>1.4570903356548299E-2</v>
      </c>
      <c r="Q207" s="135">
        <v>1.4910074518072899E-2</v>
      </c>
      <c r="R207" s="135">
        <v>2.34057057130636E-2</v>
      </c>
      <c r="S207" s="135">
        <v>3.0488433718737801E-2</v>
      </c>
      <c r="T207" s="135">
        <v>2.46129198449304E-2</v>
      </c>
      <c r="U207" s="135">
        <v>2.1327492842706498E-2</v>
      </c>
      <c r="V207" s="135">
        <v>3.2580125931838101E-2</v>
      </c>
      <c r="W207" s="135">
        <v>0.13550958258030801</v>
      </c>
      <c r="X207" s="135">
        <v>0.27001407493264301</v>
      </c>
      <c r="Y207" s="135">
        <v>0.20003167238748301</v>
      </c>
      <c r="Z207" s="135">
        <v>0.13360785570137401</v>
      </c>
      <c r="AA207" s="135">
        <v>5.4679294162278499E-2</v>
      </c>
      <c r="AB207" s="135">
        <v>1.8907726496440298E-2</v>
      </c>
      <c r="AC207" s="135">
        <v>8.9180207249639296E-3</v>
      </c>
      <c r="AD207" s="135">
        <v>6.1114831815918102E-3</v>
      </c>
      <c r="AF207" s="243">
        <f t="shared" si="1"/>
        <v>0.28283433514965728</v>
      </c>
      <c r="AG207" s="275">
        <f t="shared" si="2"/>
        <v>0.28619073113625126</v>
      </c>
      <c r="AH207" s="391">
        <f t="shared" si="3"/>
        <v>0.76118667591149536</v>
      </c>
      <c r="AI207" s="135">
        <f t="shared" si="4"/>
        <v>1.0473774070477466</v>
      </c>
    </row>
    <row r="208" spans="1:35" ht="12.6">
      <c r="A208" s="10" t="s">
        <v>186</v>
      </c>
      <c r="B208" s="10">
        <v>207</v>
      </c>
      <c r="C208" s="10" t="s">
        <v>1514</v>
      </c>
      <c r="D208" s="388">
        <v>45133</v>
      </c>
      <c r="E208" s="389">
        <v>45133</v>
      </c>
      <c r="F208" s="390" t="str">
        <f t="shared" si="0"/>
        <v>Cooking</v>
      </c>
      <c r="G208" s="135">
        <v>4.6553328674984696E-3</v>
      </c>
      <c r="H208" s="135">
        <v>2.82251810595737E-3</v>
      </c>
      <c r="I208" s="135">
        <v>2.3632032450766698E-3</v>
      </c>
      <c r="J208" s="135">
        <v>2.3005245395236202E-3</v>
      </c>
      <c r="K208" s="135">
        <v>2.2379495480711799E-3</v>
      </c>
      <c r="L208" s="135">
        <v>3.09259525161986E-3</v>
      </c>
      <c r="M208" s="135">
        <v>9.1705487534274807E-3</v>
      </c>
      <c r="N208" s="135">
        <v>1.9124038051290201E-2</v>
      </c>
      <c r="O208" s="135">
        <v>1.19353305923015E-2</v>
      </c>
      <c r="P208" s="135">
        <v>1.4570903356548299E-2</v>
      </c>
      <c r="Q208" s="135">
        <v>1.4910074518072899E-2</v>
      </c>
      <c r="R208" s="135">
        <v>2.34057057130636E-2</v>
      </c>
      <c r="S208" s="135">
        <v>3.0488433718737801E-2</v>
      </c>
      <c r="T208" s="135">
        <v>2.46129198449304E-2</v>
      </c>
      <c r="U208" s="135">
        <v>2.1327492842706498E-2</v>
      </c>
      <c r="V208" s="135">
        <v>3.2580125931838101E-2</v>
      </c>
      <c r="W208" s="135">
        <v>0.13550958258030801</v>
      </c>
      <c r="X208" s="135">
        <v>0.27001407493264301</v>
      </c>
      <c r="Y208" s="135">
        <v>0.20003167238748301</v>
      </c>
      <c r="Z208" s="135">
        <v>0.13360785570137401</v>
      </c>
      <c r="AA208" s="135">
        <v>5.4679294162278499E-2</v>
      </c>
      <c r="AB208" s="135">
        <v>1.8907726496440298E-2</v>
      </c>
      <c r="AC208" s="135">
        <v>8.9180207249639296E-3</v>
      </c>
      <c r="AD208" s="135">
        <v>6.1114831815918102E-3</v>
      </c>
      <c r="AF208" s="243">
        <f t="shared" si="1"/>
        <v>0.28283433514965728</v>
      </c>
      <c r="AG208" s="275">
        <f t="shared" si="2"/>
        <v>0.28619073113625126</v>
      </c>
      <c r="AH208" s="391">
        <f t="shared" si="3"/>
        <v>0.76118667591149536</v>
      </c>
      <c r="AI208" s="135">
        <f t="shared" si="4"/>
        <v>1.0473774070477466</v>
      </c>
    </row>
    <row r="209" spans="1:35" ht="12.6">
      <c r="A209" s="10" t="s">
        <v>186</v>
      </c>
      <c r="B209" s="10">
        <v>208</v>
      </c>
      <c r="C209" s="10" t="s">
        <v>1514</v>
      </c>
      <c r="D209" s="388">
        <v>45134</v>
      </c>
      <c r="E209" s="389">
        <v>45134</v>
      </c>
      <c r="F209" s="390" t="str">
        <f t="shared" si="0"/>
        <v>Cooking</v>
      </c>
      <c r="G209" s="135">
        <v>4.6553328674984696E-3</v>
      </c>
      <c r="H209" s="135">
        <v>2.82251810595737E-3</v>
      </c>
      <c r="I209" s="135">
        <v>2.3632032450766698E-3</v>
      </c>
      <c r="J209" s="135">
        <v>2.3005245395236202E-3</v>
      </c>
      <c r="K209" s="135">
        <v>2.2379495480711799E-3</v>
      </c>
      <c r="L209" s="135">
        <v>3.09259525161986E-3</v>
      </c>
      <c r="M209" s="135">
        <v>9.1705487534274807E-3</v>
      </c>
      <c r="N209" s="135">
        <v>1.9124038051290201E-2</v>
      </c>
      <c r="O209" s="135">
        <v>1.19353305923015E-2</v>
      </c>
      <c r="P209" s="135">
        <v>1.4570903356548299E-2</v>
      </c>
      <c r="Q209" s="135">
        <v>1.4910074518072899E-2</v>
      </c>
      <c r="R209" s="135">
        <v>2.34057057130636E-2</v>
      </c>
      <c r="S209" s="135">
        <v>3.0488433718737801E-2</v>
      </c>
      <c r="T209" s="135">
        <v>2.46129198449304E-2</v>
      </c>
      <c r="U209" s="135">
        <v>2.1327492842706498E-2</v>
      </c>
      <c r="V209" s="135">
        <v>3.2580125931838101E-2</v>
      </c>
      <c r="W209" s="135">
        <v>0.13550958258030801</v>
      </c>
      <c r="X209" s="135">
        <v>0.27001407493264301</v>
      </c>
      <c r="Y209" s="135">
        <v>0.20003167238748301</v>
      </c>
      <c r="Z209" s="135">
        <v>0.13360785570137401</v>
      </c>
      <c r="AA209" s="135">
        <v>5.4679294162278499E-2</v>
      </c>
      <c r="AB209" s="135">
        <v>1.8907726496440298E-2</v>
      </c>
      <c r="AC209" s="135">
        <v>8.9180207249639296E-3</v>
      </c>
      <c r="AD209" s="135">
        <v>6.1114831815918102E-3</v>
      </c>
      <c r="AF209" s="243">
        <f t="shared" si="1"/>
        <v>0.28283433514965728</v>
      </c>
      <c r="AG209" s="275">
        <f t="shared" si="2"/>
        <v>0.28619073113625126</v>
      </c>
      <c r="AH209" s="391">
        <f t="shared" si="3"/>
        <v>0.76118667591149536</v>
      </c>
      <c r="AI209" s="135">
        <f t="shared" si="4"/>
        <v>1.0473774070477466</v>
      </c>
    </row>
    <row r="210" spans="1:35" ht="12.6">
      <c r="A210" s="10" t="s">
        <v>186</v>
      </c>
      <c r="B210" s="10">
        <v>209</v>
      </c>
      <c r="C210" s="10" t="s">
        <v>1514</v>
      </c>
      <c r="D210" s="388">
        <v>45135</v>
      </c>
      <c r="E210" s="389">
        <v>45135</v>
      </c>
      <c r="F210" s="390" t="str">
        <f t="shared" si="0"/>
        <v>Cooking</v>
      </c>
      <c r="G210" s="135">
        <v>4.6553328674984696E-3</v>
      </c>
      <c r="H210" s="135">
        <v>2.82251810595737E-3</v>
      </c>
      <c r="I210" s="135">
        <v>2.3632032450766698E-3</v>
      </c>
      <c r="J210" s="135">
        <v>2.3005245395236202E-3</v>
      </c>
      <c r="K210" s="135">
        <v>2.2379495480711799E-3</v>
      </c>
      <c r="L210" s="135">
        <v>3.09259525161986E-3</v>
      </c>
      <c r="M210" s="135">
        <v>9.1705487534274807E-3</v>
      </c>
      <c r="N210" s="135">
        <v>1.9124038051290201E-2</v>
      </c>
      <c r="O210" s="135">
        <v>1.19353305923015E-2</v>
      </c>
      <c r="P210" s="135">
        <v>1.4570903356548299E-2</v>
      </c>
      <c r="Q210" s="135">
        <v>1.4910074518072899E-2</v>
      </c>
      <c r="R210" s="135">
        <v>2.34057057130636E-2</v>
      </c>
      <c r="S210" s="135">
        <v>3.0488433718737801E-2</v>
      </c>
      <c r="T210" s="135">
        <v>2.46129198449304E-2</v>
      </c>
      <c r="U210" s="135">
        <v>2.1327492842706498E-2</v>
      </c>
      <c r="V210" s="135">
        <v>3.2580125931838101E-2</v>
      </c>
      <c r="W210" s="135">
        <v>0.13550958258030801</v>
      </c>
      <c r="X210" s="135">
        <v>0.27001407493264301</v>
      </c>
      <c r="Y210" s="135">
        <v>0.20003167238748301</v>
      </c>
      <c r="Z210" s="135">
        <v>0.13360785570137401</v>
      </c>
      <c r="AA210" s="135">
        <v>5.4679294162278499E-2</v>
      </c>
      <c r="AB210" s="135">
        <v>1.8907726496440298E-2</v>
      </c>
      <c r="AC210" s="135">
        <v>8.9180207249639296E-3</v>
      </c>
      <c r="AD210" s="135">
        <v>6.1114831815918102E-3</v>
      </c>
      <c r="AF210" s="243">
        <f t="shared" si="1"/>
        <v>0.28283433514965728</v>
      </c>
      <c r="AG210" s="275">
        <f t="shared" si="2"/>
        <v>0.28619073113625126</v>
      </c>
      <c r="AH210" s="391">
        <f t="shared" si="3"/>
        <v>0.76118667591149536</v>
      </c>
      <c r="AI210" s="135">
        <f t="shared" si="4"/>
        <v>1.0473774070477466</v>
      </c>
    </row>
    <row r="211" spans="1:35" ht="12.6">
      <c r="A211" s="10" t="s">
        <v>186</v>
      </c>
      <c r="B211" s="10">
        <v>210</v>
      </c>
      <c r="C211" s="10" t="s">
        <v>1514</v>
      </c>
      <c r="D211" s="388">
        <v>45136</v>
      </c>
      <c r="E211" s="389">
        <v>45136</v>
      </c>
      <c r="F211" s="390" t="str">
        <f t="shared" si="0"/>
        <v>Cooking</v>
      </c>
      <c r="G211" s="135">
        <v>4.5012922669470101E-3</v>
      </c>
      <c r="H211" s="135">
        <v>2.69038530734951E-3</v>
      </c>
      <c r="I211" s="135">
        <v>2.23547492362128E-3</v>
      </c>
      <c r="J211" s="135">
        <v>2.3112600189637601E-3</v>
      </c>
      <c r="K211" s="135">
        <v>2.2111740396937299E-3</v>
      </c>
      <c r="L211" s="135">
        <v>2.4038699548199101E-3</v>
      </c>
      <c r="M211" s="135">
        <v>4.60107737557062E-3</v>
      </c>
      <c r="N211" s="135">
        <v>1.2376042571051E-2</v>
      </c>
      <c r="O211" s="135">
        <v>2.53213620647036E-2</v>
      </c>
      <c r="P211" s="135">
        <v>3.7513015239511199E-2</v>
      </c>
      <c r="Q211" s="135">
        <v>4.97235976464643E-2</v>
      </c>
      <c r="R211" s="135">
        <v>6.0820835462887399E-2</v>
      </c>
      <c r="S211" s="135">
        <v>5.67892558027931E-2</v>
      </c>
      <c r="T211" s="135">
        <v>5.0221995099371301E-2</v>
      </c>
      <c r="U211" s="135">
        <v>4.38225365606527E-2</v>
      </c>
      <c r="V211" s="135">
        <v>5.4291742744822798E-2</v>
      </c>
      <c r="W211" s="135">
        <v>0.10760611470284601</v>
      </c>
      <c r="X211" s="135">
        <v>0.23460491207052001</v>
      </c>
      <c r="Y211" s="135">
        <v>0.15982131993624801</v>
      </c>
      <c r="Z211" s="135">
        <v>8.6325375242444102E-2</v>
      </c>
      <c r="AA211" s="135">
        <v>3.8075643740350301E-2</v>
      </c>
      <c r="AB211" s="135">
        <v>1.72545139385211E-2</v>
      </c>
      <c r="AC211" s="135">
        <v>6.83099366873181E-3</v>
      </c>
      <c r="AD211" s="135">
        <v>4.28290391472517E-3</v>
      </c>
      <c r="AF211" s="243">
        <f t="shared" si="1"/>
        <v>0.42327607801983758</v>
      </c>
      <c r="AG211" s="275">
        <f t="shared" si="2"/>
        <v>0.34480007638090882</v>
      </c>
      <c r="AH211" s="391">
        <f t="shared" si="3"/>
        <v>0.72183661791270104</v>
      </c>
      <c r="AI211" s="135">
        <f t="shared" si="4"/>
        <v>1.0666366942936099</v>
      </c>
    </row>
    <row r="212" spans="1:35" ht="12.6">
      <c r="A212" s="10" t="s">
        <v>186</v>
      </c>
      <c r="B212" s="10">
        <v>211</v>
      </c>
      <c r="C212" s="10" t="s">
        <v>1514</v>
      </c>
      <c r="D212" s="388">
        <v>45137</v>
      </c>
      <c r="E212" s="389">
        <v>45137</v>
      </c>
      <c r="F212" s="390" t="str">
        <f t="shared" si="0"/>
        <v>Cooking</v>
      </c>
      <c r="G212" s="135">
        <v>4.5012922669470101E-3</v>
      </c>
      <c r="H212" s="135">
        <v>2.69038530734951E-3</v>
      </c>
      <c r="I212" s="135">
        <v>2.23547492362128E-3</v>
      </c>
      <c r="J212" s="135">
        <v>2.3112600189637601E-3</v>
      </c>
      <c r="K212" s="135">
        <v>2.2111740396937299E-3</v>
      </c>
      <c r="L212" s="135">
        <v>2.4038699548199101E-3</v>
      </c>
      <c r="M212" s="135">
        <v>4.60107737557062E-3</v>
      </c>
      <c r="N212" s="135">
        <v>1.2376042571051E-2</v>
      </c>
      <c r="O212" s="135">
        <v>2.53213620647036E-2</v>
      </c>
      <c r="P212" s="135">
        <v>3.7513015239511199E-2</v>
      </c>
      <c r="Q212" s="135">
        <v>4.97235976464643E-2</v>
      </c>
      <c r="R212" s="135">
        <v>6.0820835462887399E-2</v>
      </c>
      <c r="S212" s="135">
        <v>5.67892558027931E-2</v>
      </c>
      <c r="T212" s="135">
        <v>5.0221995099371301E-2</v>
      </c>
      <c r="U212" s="135">
        <v>4.38225365606527E-2</v>
      </c>
      <c r="V212" s="135">
        <v>5.4291742744822798E-2</v>
      </c>
      <c r="W212" s="135">
        <v>0.10760611470284601</v>
      </c>
      <c r="X212" s="135">
        <v>0.23460491207052001</v>
      </c>
      <c r="Y212" s="135">
        <v>0.15982131993624801</v>
      </c>
      <c r="Z212" s="135">
        <v>8.6325375242444102E-2</v>
      </c>
      <c r="AA212" s="135">
        <v>3.8075643740350301E-2</v>
      </c>
      <c r="AB212" s="135">
        <v>1.72545139385211E-2</v>
      </c>
      <c r="AC212" s="135">
        <v>6.83099366873181E-3</v>
      </c>
      <c r="AD212" s="135">
        <v>4.28290391472517E-3</v>
      </c>
      <c r="AF212" s="243">
        <f t="shared" si="1"/>
        <v>0.42327607801983758</v>
      </c>
      <c r="AG212" s="275">
        <f t="shared" si="2"/>
        <v>0.34480007638090882</v>
      </c>
      <c r="AH212" s="391">
        <f t="shared" si="3"/>
        <v>0.72183661791270104</v>
      </c>
      <c r="AI212" s="135">
        <f t="shared" si="4"/>
        <v>1.0666366942936099</v>
      </c>
    </row>
    <row r="213" spans="1:35" ht="12.6">
      <c r="A213" s="10" t="s">
        <v>186</v>
      </c>
      <c r="B213" s="10">
        <v>212</v>
      </c>
      <c r="C213" s="10" t="s">
        <v>1514</v>
      </c>
      <c r="D213" s="388">
        <v>45138</v>
      </c>
      <c r="E213" s="389">
        <v>45138</v>
      </c>
      <c r="F213" s="390" t="str">
        <f t="shared" si="0"/>
        <v>Cooking</v>
      </c>
      <c r="G213" s="135">
        <v>4.6553328674984696E-3</v>
      </c>
      <c r="H213" s="135">
        <v>2.82251810595737E-3</v>
      </c>
      <c r="I213" s="135">
        <v>2.3632032450766698E-3</v>
      </c>
      <c r="J213" s="135">
        <v>2.3005245395236202E-3</v>
      </c>
      <c r="K213" s="135">
        <v>2.2379495480711799E-3</v>
      </c>
      <c r="L213" s="135">
        <v>3.09259525161986E-3</v>
      </c>
      <c r="M213" s="135">
        <v>9.1705487534274807E-3</v>
      </c>
      <c r="N213" s="135">
        <v>1.9124038051290201E-2</v>
      </c>
      <c r="O213" s="135">
        <v>1.19353305923015E-2</v>
      </c>
      <c r="P213" s="135">
        <v>1.4570903356548299E-2</v>
      </c>
      <c r="Q213" s="135">
        <v>1.4910074518072899E-2</v>
      </c>
      <c r="R213" s="135">
        <v>2.34057057130636E-2</v>
      </c>
      <c r="S213" s="135">
        <v>3.0488433718737801E-2</v>
      </c>
      <c r="T213" s="135">
        <v>2.46129198449304E-2</v>
      </c>
      <c r="U213" s="135">
        <v>2.1327492842706498E-2</v>
      </c>
      <c r="V213" s="135">
        <v>3.2580125931838101E-2</v>
      </c>
      <c r="W213" s="135">
        <v>0.13550958258030801</v>
      </c>
      <c r="X213" s="135">
        <v>0.27001407493264301</v>
      </c>
      <c r="Y213" s="135">
        <v>0.20003167238748301</v>
      </c>
      <c r="Z213" s="135">
        <v>0.13360785570137401</v>
      </c>
      <c r="AA213" s="135">
        <v>5.4679294162278499E-2</v>
      </c>
      <c r="AB213" s="135">
        <v>1.8907726496440298E-2</v>
      </c>
      <c r="AC213" s="135">
        <v>8.9180207249639296E-3</v>
      </c>
      <c r="AD213" s="135">
        <v>6.1114831815918102E-3</v>
      </c>
      <c r="AF213" s="243">
        <f t="shared" si="1"/>
        <v>0.28283433514965728</v>
      </c>
      <c r="AG213" s="275">
        <f t="shared" si="2"/>
        <v>0.28619073113625126</v>
      </c>
      <c r="AH213" s="391">
        <f t="shared" si="3"/>
        <v>0.76118667591149536</v>
      </c>
      <c r="AI213" s="135">
        <f t="shared" si="4"/>
        <v>1.0473774070477466</v>
      </c>
    </row>
    <row r="214" spans="1:35" ht="12.6">
      <c r="A214" s="10" t="s">
        <v>186</v>
      </c>
      <c r="B214" s="10">
        <v>213</v>
      </c>
      <c r="C214" s="10" t="s">
        <v>1514</v>
      </c>
      <c r="D214" s="388">
        <v>45139</v>
      </c>
      <c r="E214" s="389">
        <v>45139</v>
      </c>
      <c r="F214" s="390" t="str">
        <f t="shared" si="0"/>
        <v>Cooking</v>
      </c>
      <c r="G214" s="135">
        <v>4.6553328674984696E-3</v>
      </c>
      <c r="H214" s="135">
        <v>2.82251810595737E-3</v>
      </c>
      <c r="I214" s="135">
        <v>2.3632032450766698E-3</v>
      </c>
      <c r="J214" s="135">
        <v>2.3005245395236202E-3</v>
      </c>
      <c r="K214" s="135">
        <v>2.2379495480711799E-3</v>
      </c>
      <c r="L214" s="135">
        <v>3.09259525161986E-3</v>
      </c>
      <c r="M214" s="135">
        <v>9.1705487534274807E-3</v>
      </c>
      <c r="N214" s="135">
        <v>1.9124038051290201E-2</v>
      </c>
      <c r="O214" s="135">
        <v>1.19353305923015E-2</v>
      </c>
      <c r="P214" s="135">
        <v>1.4570903356548299E-2</v>
      </c>
      <c r="Q214" s="135">
        <v>1.4910074518072899E-2</v>
      </c>
      <c r="R214" s="135">
        <v>2.34057057130636E-2</v>
      </c>
      <c r="S214" s="135">
        <v>3.0488433718737801E-2</v>
      </c>
      <c r="T214" s="135">
        <v>2.46129198449304E-2</v>
      </c>
      <c r="U214" s="135">
        <v>2.1327492842706498E-2</v>
      </c>
      <c r="V214" s="135">
        <v>3.2580125931838101E-2</v>
      </c>
      <c r="W214" s="135">
        <v>0.13550958258030801</v>
      </c>
      <c r="X214" s="135">
        <v>0.27001407493264301</v>
      </c>
      <c r="Y214" s="135">
        <v>0.20003167238748301</v>
      </c>
      <c r="Z214" s="135">
        <v>0.13360785570137401</v>
      </c>
      <c r="AA214" s="135">
        <v>5.4679294162278499E-2</v>
      </c>
      <c r="AB214" s="135">
        <v>1.8907726496440298E-2</v>
      </c>
      <c r="AC214" s="135">
        <v>8.9180207249639296E-3</v>
      </c>
      <c r="AD214" s="135">
        <v>6.1114831815918102E-3</v>
      </c>
      <c r="AF214" s="243">
        <f t="shared" si="1"/>
        <v>0.28283433514965728</v>
      </c>
      <c r="AG214" s="275">
        <f t="shared" si="2"/>
        <v>0.28619073113625126</v>
      </c>
      <c r="AH214" s="391">
        <f t="shared" si="3"/>
        <v>0.76118667591149536</v>
      </c>
      <c r="AI214" s="135">
        <f t="shared" si="4"/>
        <v>1.0473774070477466</v>
      </c>
    </row>
    <row r="215" spans="1:35" ht="12.6">
      <c r="A215" s="10" t="s">
        <v>186</v>
      </c>
      <c r="B215" s="10">
        <v>214</v>
      </c>
      <c r="C215" s="10" t="s">
        <v>1514</v>
      </c>
      <c r="D215" s="388">
        <v>45140</v>
      </c>
      <c r="E215" s="389">
        <v>45140</v>
      </c>
      <c r="F215" s="390" t="str">
        <f t="shared" si="0"/>
        <v>Cooking</v>
      </c>
      <c r="G215" s="135">
        <v>4.6553328674984696E-3</v>
      </c>
      <c r="H215" s="135">
        <v>2.82251810595737E-3</v>
      </c>
      <c r="I215" s="135">
        <v>2.3632032450766698E-3</v>
      </c>
      <c r="J215" s="135">
        <v>2.3005245395236202E-3</v>
      </c>
      <c r="K215" s="135">
        <v>2.2379495480711799E-3</v>
      </c>
      <c r="L215" s="135">
        <v>3.09259525161986E-3</v>
      </c>
      <c r="M215" s="135">
        <v>9.1705487534274807E-3</v>
      </c>
      <c r="N215" s="135">
        <v>1.9124038051290201E-2</v>
      </c>
      <c r="O215" s="135">
        <v>1.19353305923015E-2</v>
      </c>
      <c r="P215" s="135">
        <v>1.4570903356548299E-2</v>
      </c>
      <c r="Q215" s="135">
        <v>1.4910074518072899E-2</v>
      </c>
      <c r="R215" s="135">
        <v>2.34057057130636E-2</v>
      </c>
      <c r="S215" s="135">
        <v>3.0488433718737801E-2</v>
      </c>
      <c r="T215" s="135">
        <v>2.46129198449304E-2</v>
      </c>
      <c r="U215" s="135">
        <v>2.1327492842706498E-2</v>
      </c>
      <c r="V215" s="135">
        <v>3.2580125931838101E-2</v>
      </c>
      <c r="W215" s="135">
        <v>0.13550958258030801</v>
      </c>
      <c r="X215" s="135">
        <v>0.27001407493264301</v>
      </c>
      <c r="Y215" s="135">
        <v>0.20003167238748301</v>
      </c>
      <c r="Z215" s="135">
        <v>0.13360785570137401</v>
      </c>
      <c r="AA215" s="135">
        <v>5.4679294162278499E-2</v>
      </c>
      <c r="AB215" s="135">
        <v>1.8907726496440298E-2</v>
      </c>
      <c r="AC215" s="135">
        <v>8.9180207249639296E-3</v>
      </c>
      <c r="AD215" s="135">
        <v>6.1114831815918102E-3</v>
      </c>
      <c r="AF215" s="243">
        <f t="shared" si="1"/>
        <v>0.28283433514965728</v>
      </c>
      <c r="AG215" s="275">
        <f t="shared" si="2"/>
        <v>0.28619073113625126</v>
      </c>
      <c r="AH215" s="391">
        <f t="shared" si="3"/>
        <v>0.76118667591149536</v>
      </c>
      <c r="AI215" s="135">
        <f t="shared" si="4"/>
        <v>1.0473774070477466</v>
      </c>
    </row>
    <row r="216" spans="1:35" ht="12.6">
      <c r="A216" s="10" t="s">
        <v>186</v>
      </c>
      <c r="B216" s="10">
        <v>215</v>
      </c>
      <c r="C216" s="10" t="s">
        <v>1514</v>
      </c>
      <c r="D216" s="388">
        <v>45141</v>
      </c>
      <c r="E216" s="389">
        <v>45141</v>
      </c>
      <c r="F216" s="390" t="str">
        <f t="shared" si="0"/>
        <v>Cooking</v>
      </c>
      <c r="G216" s="135">
        <v>4.6553328674984696E-3</v>
      </c>
      <c r="H216" s="135">
        <v>2.82251810595737E-3</v>
      </c>
      <c r="I216" s="135">
        <v>2.3632032450766698E-3</v>
      </c>
      <c r="J216" s="135">
        <v>2.3005245395236202E-3</v>
      </c>
      <c r="K216" s="135">
        <v>2.2379495480711799E-3</v>
      </c>
      <c r="L216" s="135">
        <v>3.09259525161986E-3</v>
      </c>
      <c r="M216" s="135">
        <v>9.1705487534274807E-3</v>
      </c>
      <c r="N216" s="135">
        <v>1.9124038051290201E-2</v>
      </c>
      <c r="O216" s="135">
        <v>1.19353305923015E-2</v>
      </c>
      <c r="P216" s="135">
        <v>1.4570903356548299E-2</v>
      </c>
      <c r="Q216" s="135">
        <v>1.4910074518072899E-2</v>
      </c>
      <c r="R216" s="135">
        <v>2.34057057130636E-2</v>
      </c>
      <c r="S216" s="135">
        <v>3.0488433718737801E-2</v>
      </c>
      <c r="T216" s="135">
        <v>2.46129198449304E-2</v>
      </c>
      <c r="U216" s="135">
        <v>2.1327492842706498E-2</v>
      </c>
      <c r="V216" s="135">
        <v>3.2580125931838101E-2</v>
      </c>
      <c r="W216" s="135">
        <v>0.13550958258030801</v>
      </c>
      <c r="X216" s="135">
        <v>0.27001407493264301</v>
      </c>
      <c r="Y216" s="135">
        <v>0.20003167238748301</v>
      </c>
      <c r="Z216" s="135">
        <v>0.13360785570137401</v>
      </c>
      <c r="AA216" s="135">
        <v>5.4679294162278499E-2</v>
      </c>
      <c r="AB216" s="135">
        <v>1.8907726496440298E-2</v>
      </c>
      <c r="AC216" s="135">
        <v>8.9180207249639296E-3</v>
      </c>
      <c r="AD216" s="135">
        <v>6.1114831815918102E-3</v>
      </c>
      <c r="AF216" s="243">
        <f t="shared" si="1"/>
        <v>0.28283433514965728</v>
      </c>
      <c r="AG216" s="275">
        <f t="shared" si="2"/>
        <v>0.28619073113625126</v>
      </c>
      <c r="AH216" s="391">
        <f t="shared" si="3"/>
        <v>0.76118667591149536</v>
      </c>
      <c r="AI216" s="135">
        <f t="shared" si="4"/>
        <v>1.0473774070477466</v>
      </c>
    </row>
    <row r="217" spans="1:35" ht="12.6">
      <c r="A217" s="10" t="s">
        <v>186</v>
      </c>
      <c r="B217" s="10">
        <v>216</v>
      </c>
      <c r="C217" s="10" t="s">
        <v>1514</v>
      </c>
      <c r="D217" s="388">
        <v>45142</v>
      </c>
      <c r="E217" s="389">
        <v>45142</v>
      </c>
      <c r="F217" s="390" t="str">
        <f t="shared" si="0"/>
        <v>Cooking</v>
      </c>
      <c r="G217" s="135">
        <v>4.6553328674984696E-3</v>
      </c>
      <c r="H217" s="135">
        <v>2.82251810595737E-3</v>
      </c>
      <c r="I217" s="135">
        <v>2.3632032450766698E-3</v>
      </c>
      <c r="J217" s="135">
        <v>2.3005245395236202E-3</v>
      </c>
      <c r="K217" s="135">
        <v>2.2379495480711799E-3</v>
      </c>
      <c r="L217" s="135">
        <v>3.09259525161986E-3</v>
      </c>
      <c r="M217" s="135">
        <v>9.1705487534274807E-3</v>
      </c>
      <c r="N217" s="135">
        <v>1.9124038051290201E-2</v>
      </c>
      <c r="O217" s="135">
        <v>1.19353305923015E-2</v>
      </c>
      <c r="P217" s="135">
        <v>1.4570903356548299E-2</v>
      </c>
      <c r="Q217" s="135">
        <v>1.4910074518072899E-2</v>
      </c>
      <c r="R217" s="135">
        <v>2.34057057130636E-2</v>
      </c>
      <c r="S217" s="135">
        <v>3.0488433718737801E-2</v>
      </c>
      <c r="T217" s="135">
        <v>2.46129198449304E-2</v>
      </c>
      <c r="U217" s="135">
        <v>2.1327492842706498E-2</v>
      </c>
      <c r="V217" s="135">
        <v>3.2580125931838101E-2</v>
      </c>
      <c r="W217" s="135">
        <v>0.13550958258030801</v>
      </c>
      <c r="X217" s="135">
        <v>0.27001407493264301</v>
      </c>
      <c r="Y217" s="135">
        <v>0.20003167238748301</v>
      </c>
      <c r="Z217" s="135">
        <v>0.13360785570137401</v>
      </c>
      <c r="AA217" s="135">
        <v>5.4679294162278499E-2</v>
      </c>
      <c r="AB217" s="135">
        <v>1.8907726496440298E-2</v>
      </c>
      <c r="AC217" s="135">
        <v>8.9180207249639296E-3</v>
      </c>
      <c r="AD217" s="135">
        <v>6.1114831815918102E-3</v>
      </c>
      <c r="AF217" s="243">
        <f t="shared" si="1"/>
        <v>0.28283433514965728</v>
      </c>
      <c r="AG217" s="275">
        <f t="shared" si="2"/>
        <v>0.28619073113625126</v>
      </c>
      <c r="AH217" s="391">
        <f t="shared" si="3"/>
        <v>0.76118667591149536</v>
      </c>
      <c r="AI217" s="135">
        <f t="shared" si="4"/>
        <v>1.0473774070477466</v>
      </c>
    </row>
    <row r="218" spans="1:35" ht="12.6">
      <c r="A218" s="10" t="s">
        <v>186</v>
      </c>
      <c r="B218" s="10">
        <v>217</v>
      </c>
      <c r="C218" s="10" t="s">
        <v>1514</v>
      </c>
      <c r="D218" s="388">
        <v>45143</v>
      </c>
      <c r="E218" s="389">
        <v>45143</v>
      </c>
      <c r="F218" s="390" t="str">
        <f t="shared" si="0"/>
        <v>Cooking</v>
      </c>
      <c r="G218" s="135">
        <v>4.5012922669470101E-3</v>
      </c>
      <c r="H218" s="135">
        <v>2.69038530734951E-3</v>
      </c>
      <c r="I218" s="135">
        <v>2.23547492362128E-3</v>
      </c>
      <c r="J218" s="135">
        <v>2.3112600189637601E-3</v>
      </c>
      <c r="K218" s="135">
        <v>2.2111740396937299E-3</v>
      </c>
      <c r="L218" s="135">
        <v>2.4038699548199101E-3</v>
      </c>
      <c r="M218" s="135">
        <v>4.60107737557062E-3</v>
      </c>
      <c r="N218" s="135">
        <v>1.2376042571051E-2</v>
      </c>
      <c r="O218" s="135">
        <v>2.53213620647036E-2</v>
      </c>
      <c r="P218" s="135">
        <v>3.7513015239511199E-2</v>
      </c>
      <c r="Q218" s="135">
        <v>4.97235976464643E-2</v>
      </c>
      <c r="R218" s="135">
        <v>6.0820835462887399E-2</v>
      </c>
      <c r="S218" s="135">
        <v>5.67892558027931E-2</v>
      </c>
      <c r="T218" s="135">
        <v>5.0221995099371301E-2</v>
      </c>
      <c r="U218" s="135">
        <v>4.38225365606527E-2</v>
      </c>
      <c r="V218" s="135">
        <v>5.4291742744822798E-2</v>
      </c>
      <c r="W218" s="135">
        <v>0.10760611470284601</v>
      </c>
      <c r="X218" s="135">
        <v>0.23460491207052001</v>
      </c>
      <c r="Y218" s="135">
        <v>0.15982131993624801</v>
      </c>
      <c r="Z218" s="135">
        <v>8.6325375242444102E-2</v>
      </c>
      <c r="AA218" s="135">
        <v>3.8075643740350301E-2</v>
      </c>
      <c r="AB218" s="135">
        <v>1.72545139385211E-2</v>
      </c>
      <c r="AC218" s="135">
        <v>6.83099366873181E-3</v>
      </c>
      <c r="AD218" s="135">
        <v>4.28290391472517E-3</v>
      </c>
      <c r="AF218" s="243">
        <f t="shared" si="1"/>
        <v>0.42327607801983758</v>
      </c>
      <c r="AG218" s="275">
        <f t="shared" si="2"/>
        <v>0.34480007638090882</v>
      </c>
      <c r="AH218" s="391">
        <f t="shared" si="3"/>
        <v>0.72183661791270104</v>
      </c>
      <c r="AI218" s="135">
        <f t="shared" si="4"/>
        <v>1.0666366942936099</v>
      </c>
    </row>
    <row r="219" spans="1:35" ht="12.6">
      <c r="A219" s="10" t="s">
        <v>186</v>
      </c>
      <c r="B219" s="10">
        <v>218</v>
      </c>
      <c r="C219" s="10" t="s">
        <v>1514</v>
      </c>
      <c r="D219" s="388">
        <v>45144</v>
      </c>
      <c r="E219" s="389">
        <v>45144</v>
      </c>
      <c r="F219" s="390" t="str">
        <f t="shared" si="0"/>
        <v>Cooking</v>
      </c>
      <c r="G219" s="135">
        <v>4.5012922669470101E-3</v>
      </c>
      <c r="H219" s="135">
        <v>2.69038530734951E-3</v>
      </c>
      <c r="I219" s="135">
        <v>2.23547492362128E-3</v>
      </c>
      <c r="J219" s="135">
        <v>2.3112600189637601E-3</v>
      </c>
      <c r="K219" s="135">
        <v>2.2111740396937299E-3</v>
      </c>
      <c r="L219" s="135">
        <v>2.4038699548199101E-3</v>
      </c>
      <c r="M219" s="135">
        <v>4.60107737557062E-3</v>
      </c>
      <c r="N219" s="135">
        <v>1.2376042571051E-2</v>
      </c>
      <c r="O219" s="135">
        <v>2.53213620647036E-2</v>
      </c>
      <c r="P219" s="135">
        <v>3.7513015239511199E-2</v>
      </c>
      <c r="Q219" s="135">
        <v>4.97235976464643E-2</v>
      </c>
      <c r="R219" s="135">
        <v>6.0820835462887399E-2</v>
      </c>
      <c r="S219" s="135">
        <v>5.67892558027931E-2</v>
      </c>
      <c r="T219" s="135">
        <v>5.0221995099371301E-2</v>
      </c>
      <c r="U219" s="135">
        <v>4.38225365606527E-2</v>
      </c>
      <c r="V219" s="135">
        <v>5.4291742744822798E-2</v>
      </c>
      <c r="W219" s="135">
        <v>0.10760611470284601</v>
      </c>
      <c r="X219" s="135">
        <v>0.23460491207052001</v>
      </c>
      <c r="Y219" s="135">
        <v>0.15982131993624801</v>
      </c>
      <c r="Z219" s="135">
        <v>8.6325375242444102E-2</v>
      </c>
      <c r="AA219" s="135">
        <v>3.8075643740350301E-2</v>
      </c>
      <c r="AB219" s="135">
        <v>1.72545139385211E-2</v>
      </c>
      <c r="AC219" s="135">
        <v>6.83099366873181E-3</v>
      </c>
      <c r="AD219" s="135">
        <v>4.28290391472517E-3</v>
      </c>
      <c r="AF219" s="243">
        <f t="shared" si="1"/>
        <v>0.42327607801983758</v>
      </c>
      <c r="AG219" s="275">
        <f t="shared" si="2"/>
        <v>0.34480007638090882</v>
      </c>
      <c r="AH219" s="391">
        <f t="shared" si="3"/>
        <v>0.72183661791270104</v>
      </c>
      <c r="AI219" s="135">
        <f t="shared" si="4"/>
        <v>1.0666366942936099</v>
      </c>
    </row>
    <row r="220" spans="1:35" ht="12.6">
      <c r="A220" s="10" t="s">
        <v>186</v>
      </c>
      <c r="B220" s="10">
        <v>219</v>
      </c>
      <c r="C220" s="10" t="s">
        <v>1514</v>
      </c>
      <c r="D220" s="388">
        <v>45145</v>
      </c>
      <c r="E220" s="389">
        <v>45145</v>
      </c>
      <c r="F220" s="390" t="str">
        <f t="shared" si="0"/>
        <v>Cooking</v>
      </c>
      <c r="G220" s="135">
        <v>4.6553328674984696E-3</v>
      </c>
      <c r="H220" s="135">
        <v>2.82251810595737E-3</v>
      </c>
      <c r="I220" s="135">
        <v>2.3632032450766698E-3</v>
      </c>
      <c r="J220" s="135">
        <v>2.3005245395236202E-3</v>
      </c>
      <c r="K220" s="135">
        <v>2.2379495480711799E-3</v>
      </c>
      <c r="L220" s="135">
        <v>3.09259525161986E-3</v>
      </c>
      <c r="M220" s="135">
        <v>9.1705487534274807E-3</v>
      </c>
      <c r="N220" s="135">
        <v>1.9124038051290201E-2</v>
      </c>
      <c r="O220" s="135">
        <v>1.19353305923015E-2</v>
      </c>
      <c r="P220" s="135">
        <v>1.4570903356548299E-2</v>
      </c>
      <c r="Q220" s="135">
        <v>1.4910074518072899E-2</v>
      </c>
      <c r="R220" s="135">
        <v>2.34057057130636E-2</v>
      </c>
      <c r="S220" s="135">
        <v>3.0488433718737801E-2</v>
      </c>
      <c r="T220" s="135">
        <v>2.46129198449304E-2</v>
      </c>
      <c r="U220" s="135">
        <v>2.1327492842706498E-2</v>
      </c>
      <c r="V220" s="135">
        <v>3.2580125931838101E-2</v>
      </c>
      <c r="W220" s="135">
        <v>0.13550958258030801</v>
      </c>
      <c r="X220" s="135">
        <v>0.27001407493264301</v>
      </c>
      <c r="Y220" s="135">
        <v>0.20003167238748301</v>
      </c>
      <c r="Z220" s="135">
        <v>0.13360785570137401</v>
      </c>
      <c r="AA220" s="135">
        <v>5.4679294162278499E-2</v>
      </c>
      <c r="AB220" s="135">
        <v>1.8907726496440298E-2</v>
      </c>
      <c r="AC220" s="135">
        <v>8.9180207249639296E-3</v>
      </c>
      <c r="AD220" s="135">
        <v>6.1114831815918102E-3</v>
      </c>
      <c r="AF220" s="243">
        <f t="shared" si="1"/>
        <v>0.28283433514965728</v>
      </c>
      <c r="AG220" s="275">
        <f t="shared" si="2"/>
        <v>0.28619073113625126</v>
      </c>
      <c r="AH220" s="391">
        <f t="shared" si="3"/>
        <v>0.76118667591149536</v>
      </c>
      <c r="AI220" s="135">
        <f t="shared" si="4"/>
        <v>1.0473774070477466</v>
      </c>
    </row>
    <row r="221" spans="1:35" ht="12.6">
      <c r="A221" s="10" t="s">
        <v>186</v>
      </c>
      <c r="B221" s="10">
        <v>220</v>
      </c>
      <c r="C221" s="10" t="s">
        <v>1514</v>
      </c>
      <c r="D221" s="388">
        <v>45146</v>
      </c>
      <c r="E221" s="389">
        <v>45146</v>
      </c>
      <c r="F221" s="390" t="str">
        <f t="shared" si="0"/>
        <v>Cooking</v>
      </c>
      <c r="G221" s="135">
        <v>4.6553328674984696E-3</v>
      </c>
      <c r="H221" s="135">
        <v>2.82251810595737E-3</v>
      </c>
      <c r="I221" s="135">
        <v>2.3632032450766698E-3</v>
      </c>
      <c r="J221" s="135">
        <v>2.3005245395236202E-3</v>
      </c>
      <c r="K221" s="135">
        <v>2.2379495480711799E-3</v>
      </c>
      <c r="L221" s="135">
        <v>3.09259525161986E-3</v>
      </c>
      <c r="M221" s="135">
        <v>9.1705487534274807E-3</v>
      </c>
      <c r="N221" s="135">
        <v>1.9124038051290201E-2</v>
      </c>
      <c r="O221" s="135">
        <v>1.19353305923015E-2</v>
      </c>
      <c r="P221" s="135">
        <v>1.4570903356548299E-2</v>
      </c>
      <c r="Q221" s="135">
        <v>1.4910074518072899E-2</v>
      </c>
      <c r="R221" s="135">
        <v>2.34057057130636E-2</v>
      </c>
      <c r="S221" s="135">
        <v>3.0488433718737801E-2</v>
      </c>
      <c r="T221" s="135">
        <v>2.46129198449304E-2</v>
      </c>
      <c r="U221" s="135">
        <v>2.1327492842706498E-2</v>
      </c>
      <c r="V221" s="135">
        <v>3.2580125931838101E-2</v>
      </c>
      <c r="W221" s="135">
        <v>0.13550958258030801</v>
      </c>
      <c r="X221" s="135">
        <v>0.27001407493264301</v>
      </c>
      <c r="Y221" s="135">
        <v>0.20003167238748301</v>
      </c>
      <c r="Z221" s="135">
        <v>0.13360785570137401</v>
      </c>
      <c r="AA221" s="135">
        <v>5.4679294162278499E-2</v>
      </c>
      <c r="AB221" s="135">
        <v>1.8907726496440298E-2</v>
      </c>
      <c r="AC221" s="135">
        <v>8.9180207249639296E-3</v>
      </c>
      <c r="AD221" s="135">
        <v>6.1114831815918102E-3</v>
      </c>
      <c r="AF221" s="243">
        <f t="shared" si="1"/>
        <v>0.28283433514965728</v>
      </c>
      <c r="AG221" s="275">
        <f t="shared" si="2"/>
        <v>0.28619073113625126</v>
      </c>
      <c r="AH221" s="391">
        <f t="shared" si="3"/>
        <v>0.76118667591149536</v>
      </c>
      <c r="AI221" s="135">
        <f t="shared" si="4"/>
        <v>1.0473774070477466</v>
      </c>
    </row>
    <row r="222" spans="1:35" ht="12.6">
      <c r="A222" s="10" t="s">
        <v>186</v>
      </c>
      <c r="B222" s="10">
        <v>221</v>
      </c>
      <c r="C222" s="10" t="s">
        <v>1514</v>
      </c>
      <c r="D222" s="388">
        <v>45147</v>
      </c>
      <c r="E222" s="389">
        <v>45147</v>
      </c>
      <c r="F222" s="390" t="str">
        <f t="shared" si="0"/>
        <v>Cooking</v>
      </c>
      <c r="G222" s="135">
        <v>4.6553328674984696E-3</v>
      </c>
      <c r="H222" s="135">
        <v>2.82251810595737E-3</v>
      </c>
      <c r="I222" s="135">
        <v>2.3632032450766698E-3</v>
      </c>
      <c r="J222" s="135">
        <v>2.3005245395236202E-3</v>
      </c>
      <c r="K222" s="135">
        <v>2.2379495480711799E-3</v>
      </c>
      <c r="L222" s="135">
        <v>3.09259525161986E-3</v>
      </c>
      <c r="M222" s="135">
        <v>9.1705487534274807E-3</v>
      </c>
      <c r="N222" s="135">
        <v>1.9124038051290201E-2</v>
      </c>
      <c r="O222" s="135">
        <v>1.19353305923015E-2</v>
      </c>
      <c r="P222" s="135">
        <v>1.4570903356548299E-2</v>
      </c>
      <c r="Q222" s="135">
        <v>1.4910074518072899E-2</v>
      </c>
      <c r="R222" s="135">
        <v>2.34057057130636E-2</v>
      </c>
      <c r="S222" s="135">
        <v>3.0488433718737801E-2</v>
      </c>
      <c r="T222" s="135">
        <v>2.46129198449304E-2</v>
      </c>
      <c r="U222" s="135">
        <v>2.1327492842706498E-2</v>
      </c>
      <c r="V222" s="135">
        <v>3.2580125931838101E-2</v>
      </c>
      <c r="W222" s="135">
        <v>0.13550958258030801</v>
      </c>
      <c r="X222" s="135">
        <v>0.27001407493264301</v>
      </c>
      <c r="Y222" s="135">
        <v>0.20003167238748301</v>
      </c>
      <c r="Z222" s="135">
        <v>0.13360785570137401</v>
      </c>
      <c r="AA222" s="135">
        <v>5.4679294162278499E-2</v>
      </c>
      <c r="AB222" s="135">
        <v>1.8907726496440298E-2</v>
      </c>
      <c r="AC222" s="135">
        <v>8.9180207249639296E-3</v>
      </c>
      <c r="AD222" s="135">
        <v>6.1114831815918102E-3</v>
      </c>
      <c r="AF222" s="243">
        <f t="shared" si="1"/>
        <v>0.28283433514965728</v>
      </c>
      <c r="AG222" s="275">
        <f t="shared" si="2"/>
        <v>0.28619073113625126</v>
      </c>
      <c r="AH222" s="391">
        <f t="shared" si="3"/>
        <v>0.76118667591149536</v>
      </c>
      <c r="AI222" s="135">
        <f t="shared" si="4"/>
        <v>1.0473774070477466</v>
      </c>
    </row>
    <row r="223" spans="1:35" ht="12.6">
      <c r="A223" s="10" t="s">
        <v>186</v>
      </c>
      <c r="B223" s="10">
        <v>222</v>
      </c>
      <c r="C223" s="10" t="s">
        <v>1514</v>
      </c>
      <c r="D223" s="388">
        <v>45148</v>
      </c>
      <c r="E223" s="389">
        <v>45148</v>
      </c>
      <c r="F223" s="390" t="str">
        <f t="shared" si="0"/>
        <v>Cooking</v>
      </c>
      <c r="G223" s="135">
        <v>4.6553328674984696E-3</v>
      </c>
      <c r="H223" s="135">
        <v>2.82251810595737E-3</v>
      </c>
      <c r="I223" s="135">
        <v>2.3632032450766698E-3</v>
      </c>
      <c r="J223" s="135">
        <v>2.3005245395236202E-3</v>
      </c>
      <c r="K223" s="135">
        <v>2.2379495480711799E-3</v>
      </c>
      <c r="L223" s="135">
        <v>3.09259525161986E-3</v>
      </c>
      <c r="M223" s="135">
        <v>9.1705487534274807E-3</v>
      </c>
      <c r="N223" s="135">
        <v>1.9124038051290201E-2</v>
      </c>
      <c r="O223" s="135">
        <v>1.19353305923015E-2</v>
      </c>
      <c r="P223" s="135">
        <v>1.4570903356548299E-2</v>
      </c>
      <c r="Q223" s="135">
        <v>1.4910074518072899E-2</v>
      </c>
      <c r="R223" s="135">
        <v>2.34057057130636E-2</v>
      </c>
      <c r="S223" s="135">
        <v>3.0488433718737801E-2</v>
      </c>
      <c r="T223" s="135">
        <v>2.46129198449304E-2</v>
      </c>
      <c r="U223" s="135">
        <v>2.1327492842706498E-2</v>
      </c>
      <c r="V223" s="135">
        <v>3.2580125931838101E-2</v>
      </c>
      <c r="W223" s="135">
        <v>0.13550958258030801</v>
      </c>
      <c r="X223" s="135">
        <v>0.27001407493264301</v>
      </c>
      <c r="Y223" s="135">
        <v>0.20003167238748301</v>
      </c>
      <c r="Z223" s="135">
        <v>0.13360785570137401</v>
      </c>
      <c r="AA223" s="135">
        <v>5.4679294162278499E-2</v>
      </c>
      <c r="AB223" s="135">
        <v>1.8907726496440298E-2</v>
      </c>
      <c r="AC223" s="135">
        <v>8.9180207249639296E-3</v>
      </c>
      <c r="AD223" s="135">
        <v>6.1114831815918102E-3</v>
      </c>
      <c r="AF223" s="243">
        <f t="shared" si="1"/>
        <v>0.28283433514965728</v>
      </c>
      <c r="AG223" s="275">
        <f t="shared" si="2"/>
        <v>0.28619073113625126</v>
      </c>
      <c r="AH223" s="391">
        <f t="shared" si="3"/>
        <v>0.76118667591149536</v>
      </c>
      <c r="AI223" s="135">
        <f t="shared" si="4"/>
        <v>1.0473774070477466</v>
      </c>
    </row>
    <row r="224" spans="1:35" ht="12.6">
      <c r="A224" s="10" t="s">
        <v>186</v>
      </c>
      <c r="B224" s="10">
        <v>223</v>
      </c>
      <c r="C224" s="10" t="s">
        <v>1514</v>
      </c>
      <c r="D224" s="388">
        <v>45149</v>
      </c>
      <c r="E224" s="389">
        <v>45149</v>
      </c>
      <c r="F224" s="390" t="str">
        <f t="shared" si="0"/>
        <v>Cooking</v>
      </c>
      <c r="G224" s="135">
        <v>4.6553328674984696E-3</v>
      </c>
      <c r="H224" s="135">
        <v>2.82251810595737E-3</v>
      </c>
      <c r="I224" s="135">
        <v>2.3632032450766698E-3</v>
      </c>
      <c r="J224" s="135">
        <v>2.3005245395236202E-3</v>
      </c>
      <c r="K224" s="135">
        <v>2.2379495480711799E-3</v>
      </c>
      <c r="L224" s="135">
        <v>3.09259525161986E-3</v>
      </c>
      <c r="M224" s="135">
        <v>9.1705487534274807E-3</v>
      </c>
      <c r="N224" s="135">
        <v>1.9124038051290201E-2</v>
      </c>
      <c r="O224" s="135">
        <v>1.19353305923015E-2</v>
      </c>
      <c r="P224" s="135">
        <v>1.4570903356548299E-2</v>
      </c>
      <c r="Q224" s="135">
        <v>1.4910074518072899E-2</v>
      </c>
      <c r="R224" s="135">
        <v>2.34057057130636E-2</v>
      </c>
      <c r="S224" s="135">
        <v>3.0488433718737801E-2</v>
      </c>
      <c r="T224" s="135">
        <v>2.46129198449304E-2</v>
      </c>
      <c r="U224" s="135">
        <v>2.1327492842706498E-2</v>
      </c>
      <c r="V224" s="135">
        <v>3.2580125931838101E-2</v>
      </c>
      <c r="W224" s="135">
        <v>0.13550958258030801</v>
      </c>
      <c r="X224" s="135">
        <v>0.27001407493264301</v>
      </c>
      <c r="Y224" s="135">
        <v>0.20003167238748301</v>
      </c>
      <c r="Z224" s="135">
        <v>0.13360785570137401</v>
      </c>
      <c r="AA224" s="135">
        <v>5.4679294162278499E-2</v>
      </c>
      <c r="AB224" s="135">
        <v>1.8907726496440298E-2</v>
      </c>
      <c r="AC224" s="135">
        <v>8.9180207249639296E-3</v>
      </c>
      <c r="AD224" s="135">
        <v>6.1114831815918102E-3</v>
      </c>
      <c r="AF224" s="243">
        <f t="shared" si="1"/>
        <v>0.28283433514965728</v>
      </c>
      <c r="AG224" s="275">
        <f t="shared" si="2"/>
        <v>0.28619073113625126</v>
      </c>
      <c r="AH224" s="391">
        <f t="shared" si="3"/>
        <v>0.76118667591149536</v>
      </c>
      <c r="AI224" s="135">
        <f t="shared" si="4"/>
        <v>1.0473774070477466</v>
      </c>
    </row>
    <row r="225" spans="1:35" ht="12.6">
      <c r="A225" s="10" t="s">
        <v>186</v>
      </c>
      <c r="B225" s="10">
        <v>224</v>
      </c>
      <c r="C225" s="10" t="s">
        <v>1514</v>
      </c>
      <c r="D225" s="388">
        <v>45150</v>
      </c>
      <c r="E225" s="389">
        <v>45150</v>
      </c>
      <c r="F225" s="390" t="str">
        <f t="shared" si="0"/>
        <v>Cooking</v>
      </c>
      <c r="G225" s="135">
        <v>4.5012922669470101E-3</v>
      </c>
      <c r="H225" s="135">
        <v>2.69038530734951E-3</v>
      </c>
      <c r="I225" s="135">
        <v>2.23547492362128E-3</v>
      </c>
      <c r="J225" s="135">
        <v>2.3112600189637601E-3</v>
      </c>
      <c r="K225" s="135">
        <v>2.2111740396937299E-3</v>
      </c>
      <c r="L225" s="135">
        <v>2.4038699548199101E-3</v>
      </c>
      <c r="M225" s="135">
        <v>4.60107737557062E-3</v>
      </c>
      <c r="N225" s="135">
        <v>1.2376042571051E-2</v>
      </c>
      <c r="O225" s="135">
        <v>2.53213620647036E-2</v>
      </c>
      <c r="P225" s="135">
        <v>3.7513015239511199E-2</v>
      </c>
      <c r="Q225" s="135">
        <v>4.97235976464643E-2</v>
      </c>
      <c r="R225" s="135">
        <v>6.0820835462887399E-2</v>
      </c>
      <c r="S225" s="135">
        <v>5.67892558027931E-2</v>
      </c>
      <c r="T225" s="135">
        <v>5.0221995099371301E-2</v>
      </c>
      <c r="U225" s="135">
        <v>4.38225365606527E-2</v>
      </c>
      <c r="V225" s="135">
        <v>5.4291742744822798E-2</v>
      </c>
      <c r="W225" s="135">
        <v>0.10760611470284601</v>
      </c>
      <c r="X225" s="135">
        <v>0.23460491207052001</v>
      </c>
      <c r="Y225" s="135">
        <v>0.15982131993624801</v>
      </c>
      <c r="Z225" s="135">
        <v>8.6325375242444102E-2</v>
      </c>
      <c r="AA225" s="135">
        <v>3.8075643740350301E-2</v>
      </c>
      <c r="AB225" s="135">
        <v>1.72545139385211E-2</v>
      </c>
      <c r="AC225" s="135">
        <v>6.83099366873181E-3</v>
      </c>
      <c r="AD225" s="135">
        <v>4.28290391472517E-3</v>
      </c>
      <c r="AF225" s="243">
        <f t="shared" si="1"/>
        <v>0.42327607801983758</v>
      </c>
      <c r="AG225" s="275">
        <f t="shared" si="2"/>
        <v>0.34480007638090882</v>
      </c>
      <c r="AH225" s="391">
        <f t="shared" si="3"/>
        <v>0.72183661791270104</v>
      </c>
      <c r="AI225" s="135">
        <f t="shared" si="4"/>
        <v>1.0666366942936099</v>
      </c>
    </row>
    <row r="226" spans="1:35" ht="12.6">
      <c r="A226" s="10" t="s">
        <v>186</v>
      </c>
      <c r="B226" s="10">
        <v>225</v>
      </c>
      <c r="C226" s="10" t="s">
        <v>1514</v>
      </c>
      <c r="D226" s="388">
        <v>45151</v>
      </c>
      <c r="E226" s="389">
        <v>45151</v>
      </c>
      <c r="F226" s="390" t="str">
        <f t="shared" si="0"/>
        <v>Cooking</v>
      </c>
      <c r="G226" s="135">
        <v>4.5012922669470101E-3</v>
      </c>
      <c r="H226" s="135">
        <v>2.69038530734951E-3</v>
      </c>
      <c r="I226" s="135">
        <v>2.23547492362128E-3</v>
      </c>
      <c r="J226" s="135">
        <v>2.3112600189637601E-3</v>
      </c>
      <c r="K226" s="135">
        <v>2.2111740396937299E-3</v>
      </c>
      <c r="L226" s="135">
        <v>2.4038699548199101E-3</v>
      </c>
      <c r="M226" s="135">
        <v>4.60107737557062E-3</v>
      </c>
      <c r="N226" s="135">
        <v>1.2376042571051E-2</v>
      </c>
      <c r="O226" s="135">
        <v>2.53213620647036E-2</v>
      </c>
      <c r="P226" s="135">
        <v>3.7513015239511199E-2</v>
      </c>
      <c r="Q226" s="135">
        <v>4.97235976464643E-2</v>
      </c>
      <c r="R226" s="135">
        <v>6.0820835462887399E-2</v>
      </c>
      <c r="S226" s="135">
        <v>5.67892558027931E-2</v>
      </c>
      <c r="T226" s="135">
        <v>5.0221995099371301E-2</v>
      </c>
      <c r="U226" s="135">
        <v>4.38225365606527E-2</v>
      </c>
      <c r="V226" s="135">
        <v>5.4291742744822798E-2</v>
      </c>
      <c r="W226" s="135">
        <v>0.10760611470284601</v>
      </c>
      <c r="X226" s="135">
        <v>0.23460491207052001</v>
      </c>
      <c r="Y226" s="135">
        <v>0.15982131993624801</v>
      </c>
      <c r="Z226" s="135">
        <v>8.6325375242444102E-2</v>
      </c>
      <c r="AA226" s="135">
        <v>3.8075643740350301E-2</v>
      </c>
      <c r="AB226" s="135">
        <v>1.72545139385211E-2</v>
      </c>
      <c r="AC226" s="135">
        <v>6.83099366873181E-3</v>
      </c>
      <c r="AD226" s="135">
        <v>4.28290391472517E-3</v>
      </c>
      <c r="AF226" s="243">
        <f t="shared" si="1"/>
        <v>0.42327607801983758</v>
      </c>
      <c r="AG226" s="275">
        <f t="shared" si="2"/>
        <v>0.34480007638090882</v>
      </c>
      <c r="AH226" s="391">
        <f t="shared" si="3"/>
        <v>0.72183661791270104</v>
      </c>
      <c r="AI226" s="135">
        <f t="shared" si="4"/>
        <v>1.0666366942936099</v>
      </c>
    </row>
    <row r="227" spans="1:35" ht="12.6">
      <c r="A227" s="10" t="s">
        <v>186</v>
      </c>
      <c r="B227" s="10">
        <v>226</v>
      </c>
      <c r="C227" s="10" t="s">
        <v>1514</v>
      </c>
      <c r="D227" s="388">
        <v>45152</v>
      </c>
      <c r="E227" s="389">
        <v>45152</v>
      </c>
      <c r="F227" s="390" t="str">
        <f t="shared" si="0"/>
        <v>Cooking</v>
      </c>
      <c r="G227" s="135">
        <v>4.6553328674984696E-3</v>
      </c>
      <c r="H227" s="135">
        <v>2.82251810595737E-3</v>
      </c>
      <c r="I227" s="135">
        <v>2.3632032450766698E-3</v>
      </c>
      <c r="J227" s="135">
        <v>2.3005245395236202E-3</v>
      </c>
      <c r="K227" s="135">
        <v>2.2379495480711799E-3</v>
      </c>
      <c r="L227" s="135">
        <v>3.09259525161986E-3</v>
      </c>
      <c r="M227" s="135">
        <v>9.1705487534274807E-3</v>
      </c>
      <c r="N227" s="135">
        <v>1.9124038051290201E-2</v>
      </c>
      <c r="O227" s="135">
        <v>1.19353305923015E-2</v>
      </c>
      <c r="P227" s="135">
        <v>1.4570903356548299E-2</v>
      </c>
      <c r="Q227" s="135">
        <v>1.4910074518072899E-2</v>
      </c>
      <c r="R227" s="135">
        <v>2.34057057130636E-2</v>
      </c>
      <c r="S227" s="135">
        <v>3.0488433718737801E-2</v>
      </c>
      <c r="T227" s="135">
        <v>2.46129198449304E-2</v>
      </c>
      <c r="U227" s="135">
        <v>2.1327492842706498E-2</v>
      </c>
      <c r="V227" s="135">
        <v>3.2580125931838101E-2</v>
      </c>
      <c r="W227" s="135">
        <v>0.13550958258030801</v>
      </c>
      <c r="X227" s="135">
        <v>0.27001407493264301</v>
      </c>
      <c r="Y227" s="135">
        <v>0.20003167238748301</v>
      </c>
      <c r="Z227" s="135">
        <v>0.13360785570137401</v>
      </c>
      <c r="AA227" s="135">
        <v>5.4679294162278499E-2</v>
      </c>
      <c r="AB227" s="135">
        <v>1.8907726496440298E-2</v>
      </c>
      <c r="AC227" s="135">
        <v>8.9180207249639296E-3</v>
      </c>
      <c r="AD227" s="135">
        <v>6.1114831815918102E-3</v>
      </c>
      <c r="AF227" s="243">
        <f t="shared" si="1"/>
        <v>0.28283433514965728</v>
      </c>
      <c r="AG227" s="275">
        <f t="shared" si="2"/>
        <v>0.28619073113625126</v>
      </c>
      <c r="AH227" s="391">
        <f t="shared" si="3"/>
        <v>0.76118667591149536</v>
      </c>
      <c r="AI227" s="135">
        <f t="shared" si="4"/>
        <v>1.0473774070477466</v>
      </c>
    </row>
    <row r="228" spans="1:35" ht="12.6">
      <c r="A228" s="10" t="s">
        <v>186</v>
      </c>
      <c r="B228" s="10">
        <v>227</v>
      </c>
      <c r="C228" s="10" t="s">
        <v>1514</v>
      </c>
      <c r="D228" s="388">
        <v>45153</v>
      </c>
      <c r="E228" s="389">
        <v>45153</v>
      </c>
      <c r="F228" s="390" t="str">
        <f t="shared" si="0"/>
        <v>Cooking</v>
      </c>
      <c r="G228" s="135">
        <v>4.6553328674984696E-3</v>
      </c>
      <c r="H228" s="135">
        <v>2.82251810595737E-3</v>
      </c>
      <c r="I228" s="135">
        <v>2.3632032450766698E-3</v>
      </c>
      <c r="J228" s="135">
        <v>2.3005245395236202E-3</v>
      </c>
      <c r="K228" s="135">
        <v>2.2379495480711799E-3</v>
      </c>
      <c r="L228" s="135">
        <v>3.09259525161986E-3</v>
      </c>
      <c r="M228" s="135">
        <v>9.1705487534274807E-3</v>
      </c>
      <c r="N228" s="135">
        <v>1.9124038051290201E-2</v>
      </c>
      <c r="O228" s="135">
        <v>1.19353305923015E-2</v>
      </c>
      <c r="P228" s="135">
        <v>1.4570903356548299E-2</v>
      </c>
      <c r="Q228" s="135">
        <v>1.4910074518072899E-2</v>
      </c>
      <c r="R228" s="135">
        <v>2.34057057130636E-2</v>
      </c>
      <c r="S228" s="135">
        <v>3.0488433718737801E-2</v>
      </c>
      <c r="T228" s="135">
        <v>2.46129198449304E-2</v>
      </c>
      <c r="U228" s="135">
        <v>2.1327492842706498E-2</v>
      </c>
      <c r="V228" s="135">
        <v>3.2580125931838101E-2</v>
      </c>
      <c r="W228" s="135">
        <v>0.13550958258030801</v>
      </c>
      <c r="X228" s="135">
        <v>0.27001407493264301</v>
      </c>
      <c r="Y228" s="135">
        <v>0.20003167238748301</v>
      </c>
      <c r="Z228" s="135">
        <v>0.13360785570137401</v>
      </c>
      <c r="AA228" s="135">
        <v>5.4679294162278499E-2</v>
      </c>
      <c r="AB228" s="135">
        <v>1.8907726496440298E-2</v>
      </c>
      <c r="AC228" s="135">
        <v>8.9180207249639296E-3</v>
      </c>
      <c r="AD228" s="135">
        <v>6.1114831815918102E-3</v>
      </c>
      <c r="AF228" s="243">
        <f t="shared" si="1"/>
        <v>0.28283433514965728</v>
      </c>
      <c r="AG228" s="275">
        <f t="shared" si="2"/>
        <v>0.28619073113625126</v>
      </c>
      <c r="AH228" s="391">
        <f t="shared" si="3"/>
        <v>0.76118667591149536</v>
      </c>
      <c r="AI228" s="135">
        <f t="shared" si="4"/>
        <v>1.0473774070477466</v>
      </c>
    </row>
    <row r="229" spans="1:35" ht="12.6">
      <c r="A229" s="10" t="s">
        <v>186</v>
      </c>
      <c r="B229" s="10">
        <v>228</v>
      </c>
      <c r="C229" s="10" t="s">
        <v>1514</v>
      </c>
      <c r="D229" s="388">
        <v>45154</v>
      </c>
      <c r="E229" s="389">
        <v>45154</v>
      </c>
      <c r="F229" s="390" t="str">
        <f t="shared" si="0"/>
        <v>Cooking</v>
      </c>
      <c r="G229" s="135">
        <v>4.6553328674984696E-3</v>
      </c>
      <c r="H229" s="135">
        <v>2.82251810595737E-3</v>
      </c>
      <c r="I229" s="135">
        <v>2.3632032450766698E-3</v>
      </c>
      <c r="J229" s="135">
        <v>2.3005245395236202E-3</v>
      </c>
      <c r="K229" s="135">
        <v>2.2379495480711799E-3</v>
      </c>
      <c r="L229" s="135">
        <v>3.09259525161986E-3</v>
      </c>
      <c r="M229" s="135">
        <v>9.1705487534274807E-3</v>
      </c>
      <c r="N229" s="135">
        <v>1.9124038051290201E-2</v>
      </c>
      <c r="O229" s="135">
        <v>1.19353305923015E-2</v>
      </c>
      <c r="P229" s="135">
        <v>1.4570903356548299E-2</v>
      </c>
      <c r="Q229" s="135">
        <v>1.4910074518072899E-2</v>
      </c>
      <c r="R229" s="135">
        <v>2.34057057130636E-2</v>
      </c>
      <c r="S229" s="135">
        <v>3.0488433718737801E-2</v>
      </c>
      <c r="T229" s="135">
        <v>2.46129198449304E-2</v>
      </c>
      <c r="U229" s="135">
        <v>2.1327492842706498E-2</v>
      </c>
      <c r="V229" s="135">
        <v>3.2580125931838101E-2</v>
      </c>
      <c r="W229" s="135">
        <v>0.13550958258030801</v>
      </c>
      <c r="X229" s="135">
        <v>0.27001407493264301</v>
      </c>
      <c r="Y229" s="135">
        <v>0.20003167238748301</v>
      </c>
      <c r="Z229" s="135">
        <v>0.13360785570137401</v>
      </c>
      <c r="AA229" s="135">
        <v>5.4679294162278499E-2</v>
      </c>
      <c r="AB229" s="135">
        <v>1.8907726496440298E-2</v>
      </c>
      <c r="AC229" s="135">
        <v>8.9180207249639296E-3</v>
      </c>
      <c r="AD229" s="135">
        <v>6.1114831815918102E-3</v>
      </c>
      <c r="AF229" s="243">
        <f t="shared" si="1"/>
        <v>0.28283433514965728</v>
      </c>
      <c r="AG229" s="275">
        <f t="shared" si="2"/>
        <v>0.28619073113625126</v>
      </c>
      <c r="AH229" s="391">
        <f t="shared" si="3"/>
        <v>0.76118667591149536</v>
      </c>
      <c r="AI229" s="135">
        <f t="shared" si="4"/>
        <v>1.0473774070477466</v>
      </c>
    </row>
    <row r="230" spans="1:35" ht="12.6">
      <c r="A230" s="10" t="s">
        <v>186</v>
      </c>
      <c r="B230" s="10">
        <v>229</v>
      </c>
      <c r="C230" s="10" t="s">
        <v>1514</v>
      </c>
      <c r="D230" s="388">
        <v>45155</v>
      </c>
      <c r="E230" s="389">
        <v>45155</v>
      </c>
      <c r="F230" s="390" t="str">
        <f t="shared" si="0"/>
        <v>Cooking</v>
      </c>
      <c r="G230" s="135">
        <v>4.6553328674984696E-3</v>
      </c>
      <c r="H230" s="135">
        <v>2.82251810595737E-3</v>
      </c>
      <c r="I230" s="135">
        <v>2.3632032450766698E-3</v>
      </c>
      <c r="J230" s="135">
        <v>2.3005245395236202E-3</v>
      </c>
      <c r="K230" s="135">
        <v>2.2379495480711799E-3</v>
      </c>
      <c r="L230" s="135">
        <v>3.09259525161986E-3</v>
      </c>
      <c r="M230" s="135">
        <v>9.1705487534274807E-3</v>
      </c>
      <c r="N230" s="135">
        <v>1.9124038051290201E-2</v>
      </c>
      <c r="O230" s="135">
        <v>1.19353305923015E-2</v>
      </c>
      <c r="P230" s="135">
        <v>1.4570903356548299E-2</v>
      </c>
      <c r="Q230" s="135">
        <v>1.4910074518072899E-2</v>
      </c>
      <c r="R230" s="135">
        <v>2.34057057130636E-2</v>
      </c>
      <c r="S230" s="135">
        <v>3.0488433718737801E-2</v>
      </c>
      <c r="T230" s="135">
        <v>2.46129198449304E-2</v>
      </c>
      <c r="U230" s="135">
        <v>2.1327492842706498E-2</v>
      </c>
      <c r="V230" s="135">
        <v>3.2580125931838101E-2</v>
      </c>
      <c r="W230" s="135">
        <v>0.13550958258030801</v>
      </c>
      <c r="X230" s="135">
        <v>0.27001407493264301</v>
      </c>
      <c r="Y230" s="135">
        <v>0.20003167238748301</v>
      </c>
      <c r="Z230" s="135">
        <v>0.13360785570137401</v>
      </c>
      <c r="AA230" s="135">
        <v>5.4679294162278499E-2</v>
      </c>
      <c r="AB230" s="135">
        <v>1.8907726496440298E-2</v>
      </c>
      <c r="AC230" s="135">
        <v>8.9180207249639296E-3</v>
      </c>
      <c r="AD230" s="135">
        <v>6.1114831815918102E-3</v>
      </c>
      <c r="AF230" s="243">
        <f t="shared" si="1"/>
        <v>0.28283433514965728</v>
      </c>
      <c r="AG230" s="275">
        <f t="shared" si="2"/>
        <v>0.28619073113625126</v>
      </c>
      <c r="AH230" s="391">
        <f t="shared" si="3"/>
        <v>0.76118667591149536</v>
      </c>
      <c r="AI230" s="135">
        <f t="shared" si="4"/>
        <v>1.0473774070477466</v>
      </c>
    </row>
    <row r="231" spans="1:35" ht="12.6">
      <c r="A231" s="10" t="s">
        <v>186</v>
      </c>
      <c r="B231" s="10">
        <v>230</v>
      </c>
      <c r="C231" s="10" t="s">
        <v>1514</v>
      </c>
      <c r="D231" s="388">
        <v>45156</v>
      </c>
      <c r="E231" s="389">
        <v>45156</v>
      </c>
      <c r="F231" s="390" t="str">
        <f t="shared" si="0"/>
        <v>Cooking</v>
      </c>
      <c r="G231" s="135">
        <v>4.6553328674984696E-3</v>
      </c>
      <c r="H231" s="135">
        <v>2.82251810595737E-3</v>
      </c>
      <c r="I231" s="135">
        <v>2.3632032450766698E-3</v>
      </c>
      <c r="J231" s="135">
        <v>2.3005245395236202E-3</v>
      </c>
      <c r="K231" s="135">
        <v>2.2379495480711799E-3</v>
      </c>
      <c r="L231" s="135">
        <v>3.09259525161986E-3</v>
      </c>
      <c r="M231" s="135">
        <v>9.1705487534274807E-3</v>
      </c>
      <c r="N231" s="135">
        <v>1.9124038051290201E-2</v>
      </c>
      <c r="O231" s="135">
        <v>1.19353305923015E-2</v>
      </c>
      <c r="P231" s="135">
        <v>1.4570903356548299E-2</v>
      </c>
      <c r="Q231" s="135">
        <v>1.4910074518072899E-2</v>
      </c>
      <c r="R231" s="135">
        <v>2.34057057130636E-2</v>
      </c>
      <c r="S231" s="135">
        <v>3.0488433718737801E-2</v>
      </c>
      <c r="T231" s="135">
        <v>2.46129198449304E-2</v>
      </c>
      <c r="U231" s="135">
        <v>2.1327492842706498E-2</v>
      </c>
      <c r="V231" s="135">
        <v>3.2580125931838101E-2</v>
      </c>
      <c r="W231" s="135">
        <v>0.13550958258030801</v>
      </c>
      <c r="X231" s="135">
        <v>0.27001407493264301</v>
      </c>
      <c r="Y231" s="135">
        <v>0.20003167238748301</v>
      </c>
      <c r="Z231" s="135">
        <v>0.13360785570137401</v>
      </c>
      <c r="AA231" s="135">
        <v>5.4679294162278499E-2</v>
      </c>
      <c r="AB231" s="135">
        <v>1.8907726496440298E-2</v>
      </c>
      <c r="AC231" s="135">
        <v>8.9180207249639296E-3</v>
      </c>
      <c r="AD231" s="135">
        <v>6.1114831815918102E-3</v>
      </c>
      <c r="AF231" s="243">
        <f t="shared" si="1"/>
        <v>0.28283433514965728</v>
      </c>
      <c r="AG231" s="275">
        <f t="shared" si="2"/>
        <v>0.28619073113625126</v>
      </c>
      <c r="AH231" s="391">
        <f t="shared" si="3"/>
        <v>0.76118667591149536</v>
      </c>
      <c r="AI231" s="135">
        <f t="shared" si="4"/>
        <v>1.0473774070477466</v>
      </c>
    </row>
    <row r="232" spans="1:35" ht="12.6">
      <c r="A232" s="10" t="s">
        <v>186</v>
      </c>
      <c r="B232" s="10">
        <v>231</v>
      </c>
      <c r="C232" s="10" t="s">
        <v>1514</v>
      </c>
      <c r="D232" s="388">
        <v>45157</v>
      </c>
      <c r="E232" s="389">
        <v>45157</v>
      </c>
      <c r="F232" s="390" t="str">
        <f t="shared" si="0"/>
        <v>Cooking</v>
      </c>
      <c r="G232" s="135">
        <v>4.5012922669470101E-3</v>
      </c>
      <c r="H232" s="135">
        <v>2.69038530734951E-3</v>
      </c>
      <c r="I232" s="135">
        <v>2.23547492362128E-3</v>
      </c>
      <c r="J232" s="135">
        <v>2.3112600189637601E-3</v>
      </c>
      <c r="K232" s="135">
        <v>2.2111740396937299E-3</v>
      </c>
      <c r="L232" s="135">
        <v>2.4038699548199101E-3</v>
      </c>
      <c r="M232" s="135">
        <v>4.60107737557062E-3</v>
      </c>
      <c r="N232" s="135">
        <v>1.2376042571051E-2</v>
      </c>
      <c r="O232" s="135">
        <v>2.53213620647036E-2</v>
      </c>
      <c r="P232" s="135">
        <v>3.7513015239511199E-2</v>
      </c>
      <c r="Q232" s="135">
        <v>4.97235976464643E-2</v>
      </c>
      <c r="R232" s="135">
        <v>6.0820835462887399E-2</v>
      </c>
      <c r="S232" s="135">
        <v>5.67892558027931E-2</v>
      </c>
      <c r="T232" s="135">
        <v>5.0221995099371301E-2</v>
      </c>
      <c r="U232" s="135">
        <v>4.38225365606527E-2</v>
      </c>
      <c r="V232" s="135">
        <v>5.4291742744822798E-2</v>
      </c>
      <c r="W232" s="135">
        <v>0.10760611470284601</v>
      </c>
      <c r="X232" s="135">
        <v>0.23460491207052001</v>
      </c>
      <c r="Y232" s="135">
        <v>0.15982131993624801</v>
      </c>
      <c r="Z232" s="135">
        <v>8.6325375242444102E-2</v>
      </c>
      <c r="AA232" s="135">
        <v>3.8075643740350301E-2</v>
      </c>
      <c r="AB232" s="135">
        <v>1.72545139385211E-2</v>
      </c>
      <c r="AC232" s="135">
        <v>6.83099366873181E-3</v>
      </c>
      <c r="AD232" s="135">
        <v>4.28290391472517E-3</v>
      </c>
      <c r="AF232" s="243">
        <f t="shared" si="1"/>
        <v>0.42327607801983758</v>
      </c>
      <c r="AG232" s="275">
        <f t="shared" si="2"/>
        <v>0.34480007638090882</v>
      </c>
      <c r="AH232" s="391">
        <f t="shared" si="3"/>
        <v>0.72183661791270104</v>
      </c>
      <c r="AI232" s="135">
        <f t="shared" si="4"/>
        <v>1.0666366942936099</v>
      </c>
    </row>
    <row r="233" spans="1:35" ht="12.6">
      <c r="A233" s="10" t="s">
        <v>186</v>
      </c>
      <c r="B233" s="10">
        <v>232</v>
      </c>
      <c r="C233" s="10" t="s">
        <v>1514</v>
      </c>
      <c r="D233" s="388">
        <v>45158</v>
      </c>
      <c r="E233" s="389">
        <v>45158</v>
      </c>
      <c r="F233" s="390" t="str">
        <f t="shared" si="0"/>
        <v>Cooking</v>
      </c>
      <c r="G233" s="135">
        <v>4.5012922669470101E-3</v>
      </c>
      <c r="H233" s="135">
        <v>2.69038530734951E-3</v>
      </c>
      <c r="I233" s="135">
        <v>2.23547492362128E-3</v>
      </c>
      <c r="J233" s="135">
        <v>2.3112600189637601E-3</v>
      </c>
      <c r="K233" s="135">
        <v>2.2111740396937299E-3</v>
      </c>
      <c r="L233" s="135">
        <v>2.4038699548199101E-3</v>
      </c>
      <c r="M233" s="135">
        <v>4.60107737557062E-3</v>
      </c>
      <c r="N233" s="135">
        <v>1.2376042571051E-2</v>
      </c>
      <c r="O233" s="135">
        <v>2.53213620647036E-2</v>
      </c>
      <c r="P233" s="135">
        <v>3.7513015239511199E-2</v>
      </c>
      <c r="Q233" s="135">
        <v>4.97235976464643E-2</v>
      </c>
      <c r="R233" s="135">
        <v>6.0820835462887399E-2</v>
      </c>
      <c r="S233" s="135">
        <v>5.67892558027931E-2</v>
      </c>
      <c r="T233" s="135">
        <v>5.0221995099371301E-2</v>
      </c>
      <c r="U233" s="135">
        <v>4.38225365606527E-2</v>
      </c>
      <c r="V233" s="135">
        <v>5.4291742744822798E-2</v>
      </c>
      <c r="W233" s="135">
        <v>0.10760611470284601</v>
      </c>
      <c r="X233" s="135">
        <v>0.23460491207052001</v>
      </c>
      <c r="Y233" s="135">
        <v>0.15982131993624801</v>
      </c>
      <c r="Z233" s="135">
        <v>8.6325375242444102E-2</v>
      </c>
      <c r="AA233" s="135">
        <v>3.8075643740350301E-2</v>
      </c>
      <c r="AB233" s="135">
        <v>1.72545139385211E-2</v>
      </c>
      <c r="AC233" s="135">
        <v>6.83099366873181E-3</v>
      </c>
      <c r="AD233" s="135">
        <v>4.28290391472517E-3</v>
      </c>
      <c r="AF233" s="243">
        <f t="shared" si="1"/>
        <v>0.42327607801983758</v>
      </c>
      <c r="AG233" s="275">
        <f t="shared" si="2"/>
        <v>0.34480007638090882</v>
      </c>
      <c r="AH233" s="391">
        <f t="shared" si="3"/>
        <v>0.72183661791270104</v>
      </c>
      <c r="AI233" s="135">
        <f t="shared" si="4"/>
        <v>1.0666366942936099</v>
      </c>
    </row>
    <row r="234" spans="1:35" ht="12.6">
      <c r="A234" s="10" t="s">
        <v>186</v>
      </c>
      <c r="B234" s="10">
        <v>233</v>
      </c>
      <c r="C234" s="10" t="s">
        <v>1514</v>
      </c>
      <c r="D234" s="388">
        <v>45159</v>
      </c>
      <c r="E234" s="389">
        <v>45159</v>
      </c>
      <c r="F234" s="390" t="str">
        <f t="shared" si="0"/>
        <v>Cooking</v>
      </c>
      <c r="G234" s="135">
        <v>4.6553328674984696E-3</v>
      </c>
      <c r="H234" s="135">
        <v>2.82251810595737E-3</v>
      </c>
      <c r="I234" s="135">
        <v>2.3632032450766698E-3</v>
      </c>
      <c r="J234" s="135">
        <v>2.3005245395236202E-3</v>
      </c>
      <c r="K234" s="135">
        <v>2.2379495480711799E-3</v>
      </c>
      <c r="L234" s="135">
        <v>3.09259525161986E-3</v>
      </c>
      <c r="M234" s="135">
        <v>9.1705487534274807E-3</v>
      </c>
      <c r="N234" s="135">
        <v>1.9124038051290201E-2</v>
      </c>
      <c r="O234" s="135">
        <v>1.19353305923015E-2</v>
      </c>
      <c r="P234" s="135">
        <v>1.4570903356548299E-2</v>
      </c>
      <c r="Q234" s="135">
        <v>1.4910074518072899E-2</v>
      </c>
      <c r="R234" s="135">
        <v>2.34057057130636E-2</v>
      </c>
      <c r="S234" s="135">
        <v>3.0488433718737801E-2</v>
      </c>
      <c r="T234" s="135">
        <v>2.46129198449304E-2</v>
      </c>
      <c r="U234" s="135">
        <v>2.1327492842706498E-2</v>
      </c>
      <c r="V234" s="135">
        <v>3.2580125931838101E-2</v>
      </c>
      <c r="W234" s="135">
        <v>0.13550958258030801</v>
      </c>
      <c r="X234" s="135">
        <v>0.27001407493264301</v>
      </c>
      <c r="Y234" s="135">
        <v>0.20003167238748301</v>
      </c>
      <c r="Z234" s="135">
        <v>0.13360785570137401</v>
      </c>
      <c r="AA234" s="135">
        <v>5.4679294162278499E-2</v>
      </c>
      <c r="AB234" s="135">
        <v>1.8907726496440298E-2</v>
      </c>
      <c r="AC234" s="135">
        <v>8.9180207249639296E-3</v>
      </c>
      <c r="AD234" s="135">
        <v>6.1114831815918102E-3</v>
      </c>
      <c r="AF234" s="243">
        <f t="shared" si="1"/>
        <v>0.28283433514965728</v>
      </c>
      <c r="AG234" s="275">
        <f t="shared" si="2"/>
        <v>0.28619073113625126</v>
      </c>
      <c r="AH234" s="391">
        <f t="shared" si="3"/>
        <v>0.76118667591149536</v>
      </c>
      <c r="AI234" s="135">
        <f t="shared" si="4"/>
        <v>1.0473774070477466</v>
      </c>
    </row>
    <row r="235" spans="1:35" ht="12.6">
      <c r="A235" s="10" t="s">
        <v>186</v>
      </c>
      <c r="B235" s="10">
        <v>234</v>
      </c>
      <c r="C235" s="10" t="s">
        <v>1514</v>
      </c>
      <c r="D235" s="388">
        <v>45160</v>
      </c>
      <c r="E235" s="389">
        <v>45160</v>
      </c>
      <c r="F235" s="390" t="str">
        <f t="shared" si="0"/>
        <v>Cooking</v>
      </c>
      <c r="G235" s="135">
        <v>4.6553328674984696E-3</v>
      </c>
      <c r="H235" s="135">
        <v>2.82251810595737E-3</v>
      </c>
      <c r="I235" s="135">
        <v>2.3632032450766698E-3</v>
      </c>
      <c r="J235" s="135">
        <v>2.3005245395236202E-3</v>
      </c>
      <c r="K235" s="135">
        <v>2.2379495480711799E-3</v>
      </c>
      <c r="L235" s="135">
        <v>3.09259525161986E-3</v>
      </c>
      <c r="M235" s="135">
        <v>9.1705487534274807E-3</v>
      </c>
      <c r="N235" s="135">
        <v>1.9124038051290201E-2</v>
      </c>
      <c r="O235" s="135">
        <v>1.19353305923015E-2</v>
      </c>
      <c r="P235" s="135">
        <v>1.4570903356548299E-2</v>
      </c>
      <c r="Q235" s="135">
        <v>1.4910074518072899E-2</v>
      </c>
      <c r="R235" s="135">
        <v>2.34057057130636E-2</v>
      </c>
      <c r="S235" s="135">
        <v>3.0488433718737801E-2</v>
      </c>
      <c r="T235" s="135">
        <v>2.46129198449304E-2</v>
      </c>
      <c r="U235" s="135">
        <v>2.1327492842706498E-2</v>
      </c>
      <c r="V235" s="135">
        <v>3.2580125931838101E-2</v>
      </c>
      <c r="W235" s="135">
        <v>0.13550958258030801</v>
      </c>
      <c r="X235" s="135">
        <v>0.27001407493264301</v>
      </c>
      <c r="Y235" s="135">
        <v>0.20003167238748301</v>
      </c>
      <c r="Z235" s="135">
        <v>0.13360785570137401</v>
      </c>
      <c r="AA235" s="135">
        <v>5.4679294162278499E-2</v>
      </c>
      <c r="AB235" s="135">
        <v>1.8907726496440298E-2</v>
      </c>
      <c r="AC235" s="135">
        <v>8.9180207249639296E-3</v>
      </c>
      <c r="AD235" s="135">
        <v>6.1114831815918102E-3</v>
      </c>
      <c r="AF235" s="243">
        <f t="shared" si="1"/>
        <v>0.28283433514965728</v>
      </c>
      <c r="AG235" s="275">
        <f t="shared" si="2"/>
        <v>0.28619073113625126</v>
      </c>
      <c r="AH235" s="391">
        <f t="shared" si="3"/>
        <v>0.76118667591149536</v>
      </c>
      <c r="AI235" s="135">
        <f t="shared" si="4"/>
        <v>1.0473774070477466</v>
      </c>
    </row>
    <row r="236" spans="1:35" ht="12.6">
      <c r="A236" s="10" t="s">
        <v>186</v>
      </c>
      <c r="B236" s="10">
        <v>235</v>
      </c>
      <c r="C236" s="10" t="s">
        <v>1514</v>
      </c>
      <c r="D236" s="388">
        <v>45161</v>
      </c>
      <c r="E236" s="389">
        <v>45161</v>
      </c>
      <c r="F236" s="390" t="str">
        <f t="shared" si="0"/>
        <v>Cooking</v>
      </c>
      <c r="G236" s="135">
        <v>4.6553328674984696E-3</v>
      </c>
      <c r="H236" s="135">
        <v>2.82251810595737E-3</v>
      </c>
      <c r="I236" s="135">
        <v>2.3632032450766698E-3</v>
      </c>
      <c r="J236" s="135">
        <v>2.3005245395236202E-3</v>
      </c>
      <c r="K236" s="135">
        <v>2.2379495480711799E-3</v>
      </c>
      <c r="L236" s="135">
        <v>3.09259525161986E-3</v>
      </c>
      <c r="M236" s="135">
        <v>9.1705487534274807E-3</v>
      </c>
      <c r="N236" s="135">
        <v>1.9124038051290201E-2</v>
      </c>
      <c r="O236" s="135">
        <v>1.19353305923015E-2</v>
      </c>
      <c r="P236" s="135">
        <v>1.4570903356548299E-2</v>
      </c>
      <c r="Q236" s="135">
        <v>1.4910074518072899E-2</v>
      </c>
      <c r="R236" s="135">
        <v>2.34057057130636E-2</v>
      </c>
      <c r="S236" s="135">
        <v>3.0488433718737801E-2</v>
      </c>
      <c r="T236" s="135">
        <v>2.46129198449304E-2</v>
      </c>
      <c r="U236" s="135">
        <v>2.1327492842706498E-2</v>
      </c>
      <c r="V236" s="135">
        <v>3.2580125931838101E-2</v>
      </c>
      <c r="W236" s="135">
        <v>0.13550958258030801</v>
      </c>
      <c r="X236" s="135">
        <v>0.27001407493264301</v>
      </c>
      <c r="Y236" s="135">
        <v>0.20003167238748301</v>
      </c>
      <c r="Z236" s="135">
        <v>0.13360785570137401</v>
      </c>
      <c r="AA236" s="135">
        <v>5.4679294162278499E-2</v>
      </c>
      <c r="AB236" s="135">
        <v>1.8907726496440298E-2</v>
      </c>
      <c r="AC236" s="135">
        <v>8.9180207249639296E-3</v>
      </c>
      <c r="AD236" s="135">
        <v>6.1114831815918102E-3</v>
      </c>
      <c r="AF236" s="243">
        <f t="shared" si="1"/>
        <v>0.28283433514965728</v>
      </c>
      <c r="AG236" s="275">
        <f t="shared" si="2"/>
        <v>0.28619073113625126</v>
      </c>
      <c r="AH236" s="391">
        <f t="shared" si="3"/>
        <v>0.76118667591149536</v>
      </c>
      <c r="AI236" s="135">
        <f t="shared" si="4"/>
        <v>1.0473774070477466</v>
      </c>
    </row>
    <row r="237" spans="1:35" ht="12.6">
      <c r="A237" s="10" t="s">
        <v>186</v>
      </c>
      <c r="B237" s="10">
        <v>236</v>
      </c>
      <c r="C237" s="10" t="s">
        <v>1514</v>
      </c>
      <c r="D237" s="388">
        <v>45162</v>
      </c>
      <c r="E237" s="389">
        <v>45162</v>
      </c>
      <c r="F237" s="390" t="str">
        <f t="shared" si="0"/>
        <v>Cooking</v>
      </c>
      <c r="G237" s="135">
        <v>4.6553328674984696E-3</v>
      </c>
      <c r="H237" s="135">
        <v>2.82251810595737E-3</v>
      </c>
      <c r="I237" s="135">
        <v>2.3632032450766698E-3</v>
      </c>
      <c r="J237" s="135">
        <v>2.3005245395236202E-3</v>
      </c>
      <c r="K237" s="135">
        <v>2.2379495480711799E-3</v>
      </c>
      <c r="L237" s="135">
        <v>3.09259525161986E-3</v>
      </c>
      <c r="M237" s="135">
        <v>9.1705487534274807E-3</v>
      </c>
      <c r="N237" s="135">
        <v>1.9124038051290201E-2</v>
      </c>
      <c r="O237" s="135">
        <v>1.19353305923015E-2</v>
      </c>
      <c r="P237" s="135">
        <v>1.4570903356548299E-2</v>
      </c>
      <c r="Q237" s="135">
        <v>1.4910074518072899E-2</v>
      </c>
      <c r="R237" s="135">
        <v>2.34057057130636E-2</v>
      </c>
      <c r="S237" s="135">
        <v>3.0488433718737801E-2</v>
      </c>
      <c r="T237" s="135">
        <v>2.46129198449304E-2</v>
      </c>
      <c r="U237" s="135">
        <v>2.1327492842706498E-2</v>
      </c>
      <c r="V237" s="135">
        <v>3.2580125931838101E-2</v>
      </c>
      <c r="W237" s="135">
        <v>0.13550958258030801</v>
      </c>
      <c r="X237" s="135">
        <v>0.27001407493264301</v>
      </c>
      <c r="Y237" s="135">
        <v>0.20003167238748301</v>
      </c>
      <c r="Z237" s="135">
        <v>0.13360785570137401</v>
      </c>
      <c r="AA237" s="135">
        <v>5.4679294162278499E-2</v>
      </c>
      <c r="AB237" s="135">
        <v>1.8907726496440298E-2</v>
      </c>
      <c r="AC237" s="135">
        <v>8.9180207249639296E-3</v>
      </c>
      <c r="AD237" s="135">
        <v>6.1114831815918102E-3</v>
      </c>
      <c r="AF237" s="243">
        <f t="shared" si="1"/>
        <v>0.28283433514965728</v>
      </c>
      <c r="AG237" s="275">
        <f t="shared" si="2"/>
        <v>0.28619073113625126</v>
      </c>
      <c r="AH237" s="391">
        <f t="shared" si="3"/>
        <v>0.76118667591149536</v>
      </c>
      <c r="AI237" s="135">
        <f t="shared" si="4"/>
        <v>1.0473774070477466</v>
      </c>
    </row>
    <row r="238" spans="1:35" ht="12.6">
      <c r="A238" s="10" t="s">
        <v>186</v>
      </c>
      <c r="B238" s="10">
        <v>237</v>
      </c>
      <c r="C238" s="10" t="s">
        <v>1514</v>
      </c>
      <c r="D238" s="388">
        <v>45163</v>
      </c>
      <c r="E238" s="389">
        <v>45163</v>
      </c>
      <c r="F238" s="390" t="str">
        <f t="shared" si="0"/>
        <v>Cooking</v>
      </c>
      <c r="G238" s="135">
        <v>4.6553328674984696E-3</v>
      </c>
      <c r="H238" s="135">
        <v>2.82251810595737E-3</v>
      </c>
      <c r="I238" s="135">
        <v>2.3632032450766698E-3</v>
      </c>
      <c r="J238" s="135">
        <v>2.3005245395236202E-3</v>
      </c>
      <c r="K238" s="135">
        <v>2.2379495480711799E-3</v>
      </c>
      <c r="L238" s="135">
        <v>3.09259525161986E-3</v>
      </c>
      <c r="M238" s="135">
        <v>9.1705487534274807E-3</v>
      </c>
      <c r="N238" s="135">
        <v>1.9124038051290201E-2</v>
      </c>
      <c r="O238" s="135">
        <v>1.19353305923015E-2</v>
      </c>
      <c r="P238" s="135">
        <v>1.4570903356548299E-2</v>
      </c>
      <c r="Q238" s="135">
        <v>1.4910074518072899E-2</v>
      </c>
      <c r="R238" s="135">
        <v>2.34057057130636E-2</v>
      </c>
      <c r="S238" s="135">
        <v>3.0488433718737801E-2</v>
      </c>
      <c r="T238" s="135">
        <v>2.46129198449304E-2</v>
      </c>
      <c r="U238" s="135">
        <v>2.1327492842706498E-2</v>
      </c>
      <c r="V238" s="135">
        <v>3.2580125931838101E-2</v>
      </c>
      <c r="W238" s="135">
        <v>0.13550958258030801</v>
      </c>
      <c r="X238" s="135">
        <v>0.27001407493264301</v>
      </c>
      <c r="Y238" s="135">
        <v>0.20003167238748301</v>
      </c>
      <c r="Z238" s="135">
        <v>0.13360785570137401</v>
      </c>
      <c r="AA238" s="135">
        <v>5.4679294162278499E-2</v>
      </c>
      <c r="AB238" s="135">
        <v>1.8907726496440298E-2</v>
      </c>
      <c r="AC238" s="135">
        <v>8.9180207249639296E-3</v>
      </c>
      <c r="AD238" s="135">
        <v>6.1114831815918102E-3</v>
      </c>
      <c r="AF238" s="243">
        <f t="shared" si="1"/>
        <v>0.28283433514965728</v>
      </c>
      <c r="AG238" s="275">
        <f t="shared" si="2"/>
        <v>0.28619073113625126</v>
      </c>
      <c r="AH238" s="391">
        <f t="shared" si="3"/>
        <v>0.76118667591149536</v>
      </c>
      <c r="AI238" s="135">
        <f t="shared" si="4"/>
        <v>1.0473774070477466</v>
      </c>
    </row>
    <row r="239" spans="1:35" ht="12.6">
      <c r="A239" s="10" t="s">
        <v>186</v>
      </c>
      <c r="B239" s="10">
        <v>238</v>
      </c>
      <c r="C239" s="10" t="s">
        <v>1514</v>
      </c>
      <c r="D239" s="388">
        <v>45164</v>
      </c>
      <c r="E239" s="389">
        <v>45164</v>
      </c>
      <c r="F239" s="390" t="str">
        <f t="shared" si="0"/>
        <v>Cooking</v>
      </c>
      <c r="G239" s="135">
        <v>4.5012922669470101E-3</v>
      </c>
      <c r="H239" s="135">
        <v>2.69038530734951E-3</v>
      </c>
      <c r="I239" s="135">
        <v>2.23547492362128E-3</v>
      </c>
      <c r="J239" s="135">
        <v>2.3112600189637601E-3</v>
      </c>
      <c r="K239" s="135">
        <v>2.2111740396937299E-3</v>
      </c>
      <c r="L239" s="135">
        <v>2.4038699548199101E-3</v>
      </c>
      <c r="M239" s="135">
        <v>4.60107737557062E-3</v>
      </c>
      <c r="N239" s="135">
        <v>1.2376042571051E-2</v>
      </c>
      <c r="O239" s="135">
        <v>2.53213620647036E-2</v>
      </c>
      <c r="P239" s="135">
        <v>3.7513015239511199E-2</v>
      </c>
      <c r="Q239" s="135">
        <v>4.97235976464643E-2</v>
      </c>
      <c r="R239" s="135">
        <v>6.0820835462887399E-2</v>
      </c>
      <c r="S239" s="135">
        <v>5.67892558027931E-2</v>
      </c>
      <c r="T239" s="135">
        <v>5.0221995099371301E-2</v>
      </c>
      <c r="U239" s="135">
        <v>4.38225365606527E-2</v>
      </c>
      <c r="V239" s="135">
        <v>5.4291742744822798E-2</v>
      </c>
      <c r="W239" s="135">
        <v>0.10760611470284601</v>
      </c>
      <c r="X239" s="135">
        <v>0.23460491207052001</v>
      </c>
      <c r="Y239" s="135">
        <v>0.15982131993624801</v>
      </c>
      <c r="Z239" s="135">
        <v>8.6325375242444102E-2</v>
      </c>
      <c r="AA239" s="135">
        <v>3.8075643740350301E-2</v>
      </c>
      <c r="AB239" s="135">
        <v>1.72545139385211E-2</v>
      </c>
      <c r="AC239" s="135">
        <v>6.83099366873181E-3</v>
      </c>
      <c r="AD239" s="135">
        <v>4.28290391472517E-3</v>
      </c>
      <c r="AF239" s="243">
        <f t="shared" si="1"/>
        <v>0.42327607801983758</v>
      </c>
      <c r="AG239" s="275">
        <f t="shared" si="2"/>
        <v>0.34480007638090882</v>
      </c>
      <c r="AH239" s="391">
        <f t="shared" si="3"/>
        <v>0.72183661791270104</v>
      </c>
      <c r="AI239" s="135">
        <f t="shared" si="4"/>
        <v>1.0666366942936099</v>
      </c>
    </row>
    <row r="240" spans="1:35" ht="12.6">
      <c r="A240" s="10" t="s">
        <v>186</v>
      </c>
      <c r="B240" s="10">
        <v>239</v>
      </c>
      <c r="C240" s="10" t="s">
        <v>1514</v>
      </c>
      <c r="D240" s="388">
        <v>45165</v>
      </c>
      <c r="E240" s="389">
        <v>45165</v>
      </c>
      <c r="F240" s="390" t="str">
        <f t="shared" si="0"/>
        <v>Cooking</v>
      </c>
      <c r="G240" s="135">
        <v>4.5012922669470101E-3</v>
      </c>
      <c r="H240" s="135">
        <v>2.69038530734951E-3</v>
      </c>
      <c r="I240" s="135">
        <v>2.23547492362128E-3</v>
      </c>
      <c r="J240" s="135">
        <v>2.3112600189637601E-3</v>
      </c>
      <c r="K240" s="135">
        <v>2.2111740396937299E-3</v>
      </c>
      <c r="L240" s="135">
        <v>2.4038699548199101E-3</v>
      </c>
      <c r="M240" s="135">
        <v>4.60107737557062E-3</v>
      </c>
      <c r="N240" s="135">
        <v>1.2376042571051E-2</v>
      </c>
      <c r="O240" s="135">
        <v>2.53213620647036E-2</v>
      </c>
      <c r="P240" s="135">
        <v>3.7513015239511199E-2</v>
      </c>
      <c r="Q240" s="135">
        <v>4.97235976464643E-2</v>
      </c>
      <c r="R240" s="135">
        <v>6.0820835462887399E-2</v>
      </c>
      <c r="S240" s="135">
        <v>5.67892558027931E-2</v>
      </c>
      <c r="T240" s="135">
        <v>5.0221995099371301E-2</v>
      </c>
      <c r="U240" s="135">
        <v>4.38225365606527E-2</v>
      </c>
      <c r="V240" s="135">
        <v>5.4291742744822798E-2</v>
      </c>
      <c r="W240" s="135">
        <v>0.10760611470284601</v>
      </c>
      <c r="X240" s="135">
        <v>0.23460491207052001</v>
      </c>
      <c r="Y240" s="135">
        <v>0.15982131993624801</v>
      </c>
      <c r="Z240" s="135">
        <v>8.6325375242444102E-2</v>
      </c>
      <c r="AA240" s="135">
        <v>3.8075643740350301E-2</v>
      </c>
      <c r="AB240" s="135">
        <v>1.72545139385211E-2</v>
      </c>
      <c r="AC240" s="135">
        <v>6.83099366873181E-3</v>
      </c>
      <c r="AD240" s="135">
        <v>4.28290391472517E-3</v>
      </c>
      <c r="AF240" s="243">
        <f t="shared" si="1"/>
        <v>0.42327607801983758</v>
      </c>
      <c r="AG240" s="275">
        <f t="shared" si="2"/>
        <v>0.34480007638090882</v>
      </c>
      <c r="AH240" s="391">
        <f t="shared" si="3"/>
        <v>0.72183661791270104</v>
      </c>
      <c r="AI240" s="135">
        <f t="shared" si="4"/>
        <v>1.0666366942936099</v>
      </c>
    </row>
    <row r="241" spans="1:35" ht="12.6">
      <c r="A241" s="10" t="s">
        <v>186</v>
      </c>
      <c r="B241" s="10">
        <v>240</v>
      </c>
      <c r="C241" s="10" t="s">
        <v>1514</v>
      </c>
      <c r="D241" s="388">
        <v>45166</v>
      </c>
      <c r="E241" s="389">
        <v>45166</v>
      </c>
      <c r="F241" s="390" t="str">
        <f t="shared" si="0"/>
        <v>Cooking</v>
      </c>
      <c r="G241" s="135">
        <v>4.6553328674984696E-3</v>
      </c>
      <c r="H241" s="135">
        <v>2.82251810595737E-3</v>
      </c>
      <c r="I241" s="135">
        <v>2.3632032450766698E-3</v>
      </c>
      <c r="J241" s="135">
        <v>2.3005245395236202E-3</v>
      </c>
      <c r="K241" s="135">
        <v>2.2379495480711799E-3</v>
      </c>
      <c r="L241" s="135">
        <v>3.09259525161986E-3</v>
      </c>
      <c r="M241" s="135">
        <v>9.1705487534274807E-3</v>
      </c>
      <c r="N241" s="135">
        <v>1.9124038051290201E-2</v>
      </c>
      <c r="O241" s="135">
        <v>1.19353305923015E-2</v>
      </c>
      <c r="P241" s="135">
        <v>1.4570903356548299E-2</v>
      </c>
      <c r="Q241" s="135">
        <v>1.4910074518072899E-2</v>
      </c>
      <c r="R241" s="135">
        <v>2.34057057130636E-2</v>
      </c>
      <c r="S241" s="135">
        <v>3.0488433718737801E-2</v>
      </c>
      <c r="T241" s="135">
        <v>2.46129198449304E-2</v>
      </c>
      <c r="U241" s="135">
        <v>2.1327492842706498E-2</v>
      </c>
      <c r="V241" s="135">
        <v>3.2580125931838101E-2</v>
      </c>
      <c r="W241" s="135">
        <v>0.13550958258030801</v>
      </c>
      <c r="X241" s="135">
        <v>0.27001407493264301</v>
      </c>
      <c r="Y241" s="135">
        <v>0.20003167238748301</v>
      </c>
      <c r="Z241" s="135">
        <v>0.13360785570137401</v>
      </c>
      <c r="AA241" s="135">
        <v>5.4679294162278499E-2</v>
      </c>
      <c r="AB241" s="135">
        <v>1.8907726496440298E-2</v>
      </c>
      <c r="AC241" s="135">
        <v>8.9180207249639296E-3</v>
      </c>
      <c r="AD241" s="135">
        <v>6.1114831815918102E-3</v>
      </c>
      <c r="AF241" s="243">
        <f t="shared" si="1"/>
        <v>0.28283433514965728</v>
      </c>
      <c r="AG241" s="275">
        <f t="shared" si="2"/>
        <v>0.28619073113625126</v>
      </c>
      <c r="AH241" s="391">
        <f t="shared" si="3"/>
        <v>0.76118667591149536</v>
      </c>
      <c r="AI241" s="135">
        <f t="shared" si="4"/>
        <v>1.0473774070477466</v>
      </c>
    </row>
    <row r="242" spans="1:35" ht="12.6">
      <c r="A242" s="10" t="s">
        <v>186</v>
      </c>
      <c r="B242" s="10">
        <v>241</v>
      </c>
      <c r="C242" s="10" t="s">
        <v>1514</v>
      </c>
      <c r="D242" s="388">
        <v>45167</v>
      </c>
      <c r="E242" s="389">
        <v>45167</v>
      </c>
      <c r="F242" s="390" t="str">
        <f t="shared" si="0"/>
        <v>Cooking</v>
      </c>
      <c r="G242" s="135">
        <v>4.6553328674984696E-3</v>
      </c>
      <c r="H242" s="135">
        <v>2.82251810595737E-3</v>
      </c>
      <c r="I242" s="135">
        <v>2.3632032450766698E-3</v>
      </c>
      <c r="J242" s="135">
        <v>2.3005245395236202E-3</v>
      </c>
      <c r="K242" s="135">
        <v>2.2379495480711799E-3</v>
      </c>
      <c r="L242" s="135">
        <v>3.09259525161986E-3</v>
      </c>
      <c r="M242" s="135">
        <v>9.1705487534274807E-3</v>
      </c>
      <c r="N242" s="135">
        <v>1.9124038051290201E-2</v>
      </c>
      <c r="O242" s="135">
        <v>1.19353305923015E-2</v>
      </c>
      <c r="P242" s="135">
        <v>1.4570903356548299E-2</v>
      </c>
      <c r="Q242" s="135">
        <v>1.4910074518072899E-2</v>
      </c>
      <c r="R242" s="135">
        <v>2.34057057130636E-2</v>
      </c>
      <c r="S242" s="135">
        <v>3.0488433718737801E-2</v>
      </c>
      <c r="T242" s="135">
        <v>2.46129198449304E-2</v>
      </c>
      <c r="U242" s="135">
        <v>2.1327492842706498E-2</v>
      </c>
      <c r="V242" s="135">
        <v>3.2580125931838101E-2</v>
      </c>
      <c r="W242" s="135">
        <v>0.13550958258030801</v>
      </c>
      <c r="X242" s="135">
        <v>0.27001407493264301</v>
      </c>
      <c r="Y242" s="135">
        <v>0.20003167238748301</v>
      </c>
      <c r="Z242" s="135">
        <v>0.13360785570137401</v>
      </c>
      <c r="AA242" s="135">
        <v>5.4679294162278499E-2</v>
      </c>
      <c r="AB242" s="135">
        <v>1.8907726496440298E-2</v>
      </c>
      <c r="AC242" s="135">
        <v>8.9180207249639296E-3</v>
      </c>
      <c r="AD242" s="135">
        <v>6.1114831815918102E-3</v>
      </c>
      <c r="AF242" s="243">
        <f t="shared" si="1"/>
        <v>0.28283433514965728</v>
      </c>
      <c r="AG242" s="275">
        <f t="shared" si="2"/>
        <v>0.28619073113625126</v>
      </c>
      <c r="AH242" s="391">
        <f t="shared" si="3"/>
        <v>0.76118667591149536</v>
      </c>
      <c r="AI242" s="135">
        <f t="shared" si="4"/>
        <v>1.0473774070477466</v>
      </c>
    </row>
    <row r="243" spans="1:35" ht="12.6">
      <c r="A243" s="10" t="s">
        <v>186</v>
      </c>
      <c r="B243" s="10">
        <v>242</v>
      </c>
      <c r="C243" s="10" t="s">
        <v>1514</v>
      </c>
      <c r="D243" s="388">
        <v>45168</v>
      </c>
      <c r="E243" s="389">
        <v>45168</v>
      </c>
      <c r="F243" s="390" t="str">
        <f t="shared" si="0"/>
        <v>Cooking</v>
      </c>
      <c r="G243" s="135">
        <v>4.6553328674984696E-3</v>
      </c>
      <c r="H243" s="135">
        <v>2.82251810595737E-3</v>
      </c>
      <c r="I243" s="135">
        <v>2.3632032450766698E-3</v>
      </c>
      <c r="J243" s="135">
        <v>2.3005245395236202E-3</v>
      </c>
      <c r="K243" s="135">
        <v>2.2379495480711799E-3</v>
      </c>
      <c r="L243" s="135">
        <v>3.09259525161986E-3</v>
      </c>
      <c r="M243" s="135">
        <v>9.1705487534274807E-3</v>
      </c>
      <c r="N243" s="135">
        <v>1.9124038051290201E-2</v>
      </c>
      <c r="O243" s="135">
        <v>1.19353305923015E-2</v>
      </c>
      <c r="P243" s="135">
        <v>1.4570903356548299E-2</v>
      </c>
      <c r="Q243" s="135">
        <v>1.4910074518072899E-2</v>
      </c>
      <c r="R243" s="135">
        <v>2.34057057130636E-2</v>
      </c>
      <c r="S243" s="135">
        <v>3.0488433718737801E-2</v>
      </c>
      <c r="T243" s="135">
        <v>2.46129198449304E-2</v>
      </c>
      <c r="U243" s="135">
        <v>2.1327492842706498E-2</v>
      </c>
      <c r="V243" s="135">
        <v>3.2580125931838101E-2</v>
      </c>
      <c r="W243" s="135">
        <v>0.13550958258030801</v>
      </c>
      <c r="X243" s="135">
        <v>0.27001407493264301</v>
      </c>
      <c r="Y243" s="135">
        <v>0.20003167238748301</v>
      </c>
      <c r="Z243" s="135">
        <v>0.13360785570137401</v>
      </c>
      <c r="AA243" s="135">
        <v>5.4679294162278499E-2</v>
      </c>
      <c r="AB243" s="135">
        <v>1.8907726496440298E-2</v>
      </c>
      <c r="AC243" s="135">
        <v>8.9180207249639296E-3</v>
      </c>
      <c r="AD243" s="135">
        <v>6.1114831815918102E-3</v>
      </c>
      <c r="AF243" s="243">
        <f t="shared" si="1"/>
        <v>0.28283433514965728</v>
      </c>
      <c r="AG243" s="275">
        <f t="shared" si="2"/>
        <v>0.28619073113625126</v>
      </c>
      <c r="AH243" s="391">
        <f t="shared" si="3"/>
        <v>0.76118667591149536</v>
      </c>
      <c r="AI243" s="135">
        <f t="shared" si="4"/>
        <v>1.0473774070477466</v>
      </c>
    </row>
    <row r="244" spans="1:35" ht="12.6">
      <c r="A244" s="10" t="s">
        <v>186</v>
      </c>
      <c r="B244" s="10">
        <v>243</v>
      </c>
      <c r="C244" s="10" t="s">
        <v>1514</v>
      </c>
      <c r="D244" s="388">
        <v>45169</v>
      </c>
      <c r="E244" s="389">
        <v>45169</v>
      </c>
      <c r="F244" s="390" t="str">
        <f t="shared" si="0"/>
        <v>Cooking</v>
      </c>
      <c r="G244" s="135">
        <v>4.6553328674984696E-3</v>
      </c>
      <c r="H244" s="135">
        <v>2.82251810595737E-3</v>
      </c>
      <c r="I244" s="135">
        <v>2.3632032450766698E-3</v>
      </c>
      <c r="J244" s="135">
        <v>2.3005245395236202E-3</v>
      </c>
      <c r="K244" s="135">
        <v>2.2379495480711799E-3</v>
      </c>
      <c r="L244" s="135">
        <v>3.09259525161986E-3</v>
      </c>
      <c r="M244" s="135">
        <v>9.1705487534274807E-3</v>
      </c>
      <c r="N244" s="135">
        <v>1.9124038051290201E-2</v>
      </c>
      <c r="O244" s="135">
        <v>1.19353305923015E-2</v>
      </c>
      <c r="P244" s="135">
        <v>1.4570903356548299E-2</v>
      </c>
      <c r="Q244" s="135">
        <v>1.4910074518072899E-2</v>
      </c>
      <c r="R244" s="135">
        <v>2.34057057130636E-2</v>
      </c>
      <c r="S244" s="135">
        <v>3.0488433718737801E-2</v>
      </c>
      <c r="T244" s="135">
        <v>2.46129198449304E-2</v>
      </c>
      <c r="U244" s="135">
        <v>2.1327492842706498E-2</v>
      </c>
      <c r="V244" s="135">
        <v>3.2580125931838101E-2</v>
      </c>
      <c r="W244" s="135">
        <v>0.13550958258030801</v>
      </c>
      <c r="X244" s="135">
        <v>0.27001407493264301</v>
      </c>
      <c r="Y244" s="135">
        <v>0.20003167238748301</v>
      </c>
      <c r="Z244" s="135">
        <v>0.13360785570137401</v>
      </c>
      <c r="AA244" s="135">
        <v>5.4679294162278499E-2</v>
      </c>
      <c r="AB244" s="135">
        <v>1.8907726496440298E-2</v>
      </c>
      <c r="AC244" s="135">
        <v>8.9180207249639296E-3</v>
      </c>
      <c r="AD244" s="135">
        <v>6.1114831815918102E-3</v>
      </c>
      <c r="AF244" s="243">
        <f t="shared" si="1"/>
        <v>0.28283433514965728</v>
      </c>
      <c r="AG244" s="275">
        <f t="shared" si="2"/>
        <v>0.28619073113625126</v>
      </c>
      <c r="AH244" s="391">
        <f t="shared" si="3"/>
        <v>0.76118667591149536</v>
      </c>
      <c r="AI244" s="135">
        <f t="shared" si="4"/>
        <v>1.0473774070477466</v>
      </c>
    </row>
    <row r="245" spans="1:35" ht="12.6">
      <c r="A245" s="10" t="s">
        <v>186</v>
      </c>
      <c r="B245" s="10">
        <v>244</v>
      </c>
      <c r="C245" s="10" t="s">
        <v>1515</v>
      </c>
      <c r="D245" s="388">
        <v>45170</v>
      </c>
      <c r="E245" s="389">
        <v>45170</v>
      </c>
      <c r="F245" s="390" t="str">
        <f t="shared" si="0"/>
        <v>Cooking</v>
      </c>
      <c r="G245" s="135">
        <v>3.3573202859812998E-3</v>
      </c>
      <c r="H245" s="135">
        <v>2.0128763147679398E-3</v>
      </c>
      <c r="I245" s="135">
        <v>1.9625891602909301E-3</v>
      </c>
      <c r="J245" s="135">
        <v>1.98343193776847E-3</v>
      </c>
      <c r="K245" s="135">
        <v>2.07802086437204E-3</v>
      </c>
      <c r="L245" s="135">
        <v>5.4922382010370498E-3</v>
      </c>
      <c r="M245" s="135">
        <v>1.5656397455901201E-2</v>
      </c>
      <c r="N245" s="135">
        <v>1.29478473734667E-2</v>
      </c>
      <c r="O245" s="135">
        <v>1.32404138115824E-2</v>
      </c>
      <c r="P245" s="135">
        <v>1.3655349852800799E-2</v>
      </c>
      <c r="Q245" s="135">
        <v>1.7209894363396702E-2</v>
      </c>
      <c r="R245" s="135">
        <v>2.5582112795448201E-2</v>
      </c>
      <c r="S245" s="135">
        <v>2.6192536493968001E-2</v>
      </c>
      <c r="T245" s="135">
        <v>2.3707733196663801E-2</v>
      </c>
      <c r="U245" s="135">
        <v>3.4456160399687297E-2</v>
      </c>
      <c r="V245" s="135">
        <v>0.111724035474196</v>
      </c>
      <c r="W245" s="135">
        <v>0.234848331021316</v>
      </c>
      <c r="X245" s="135">
        <v>0.20364196294480399</v>
      </c>
      <c r="Y245" s="135">
        <v>0.15410236808321801</v>
      </c>
      <c r="Z245" s="135">
        <v>9.3400276185943695E-2</v>
      </c>
      <c r="AA245" s="135">
        <v>3.1447768652104399E-2</v>
      </c>
      <c r="AB245" s="135">
        <v>1.13462976164963E-2</v>
      </c>
      <c r="AC245" s="135">
        <v>6.1717464094372997E-3</v>
      </c>
      <c r="AD245" s="135">
        <v>5.3492219888298196E-3</v>
      </c>
      <c r="AF245" s="243">
        <f t="shared" si="1"/>
        <v>0.47372080374467596</v>
      </c>
      <c r="AG245" s="275">
        <f t="shared" si="2"/>
        <v>0.47499263920421686</v>
      </c>
      <c r="AH245" s="391">
        <f t="shared" si="3"/>
        <v>0.57657429167926122</v>
      </c>
      <c r="AI245" s="135">
        <f t="shared" si="4"/>
        <v>1.0515669308834781</v>
      </c>
    </row>
    <row r="246" spans="1:35" ht="12.6">
      <c r="A246" s="10" t="s">
        <v>186</v>
      </c>
      <c r="B246" s="10">
        <v>245</v>
      </c>
      <c r="C246" s="10" t="s">
        <v>1515</v>
      </c>
      <c r="D246" s="388">
        <v>45171</v>
      </c>
      <c r="E246" s="389">
        <v>45171</v>
      </c>
      <c r="F246" s="390" t="str">
        <f t="shared" si="0"/>
        <v>Cooking</v>
      </c>
      <c r="G246" s="135">
        <v>2.14385861780368E-3</v>
      </c>
      <c r="H246" s="135">
        <v>1.84115209948154E-3</v>
      </c>
      <c r="I246" s="135">
        <v>1.8036476238196401E-3</v>
      </c>
      <c r="J246" s="135">
        <v>1.83430294723959E-3</v>
      </c>
      <c r="K246" s="135">
        <v>1.8424860841083099E-3</v>
      </c>
      <c r="L246" s="135">
        <v>6.3365276272887103E-3</v>
      </c>
      <c r="M246" s="135">
        <v>1.3428253910507001E-2</v>
      </c>
      <c r="N246" s="135">
        <v>2.57318324639054E-2</v>
      </c>
      <c r="O246" s="135">
        <v>3.4365866596057698E-2</v>
      </c>
      <c r="P246" s="135">
        <v>3.9392826178607197E-2</v>
      </c>
      <c r="Q246" s="135">
        <v>5.46605903788972E-2</v>
      </c>
      <c r="R246" s="135">
        <v>6.13761761207453E-2</v>
      </c>
      <c r="S246" s="135">
        <v>5.71710484003672E-2</v>
      </c>
      <c r="T246" s="135">
        <v>5.3510464480555901E-2</v>
      </c>
      <c r="U246" s="135">
        <v>5.3674061014556199E-2</v>
      </c>
      <c r="V246" s="135">
        <v>8.6962361028018506E-2</v>
      </c>
      <c r="W246" s="135">
        <v>0.18577062091833799</v>
      </c>
      <c r="X246" s="135">
        <v>0.17171267171069901</v>
      </c>
      <c r="Y246" s="135">
        <v>0.115375522355307</v>
      </c>
      <c r="Z246" s="135">
        <v>5.7651072279798703E-2</v>
      </c>
      <c r="AA246" s="135">
        <v>2.1048606530868801E-2</v>
      </c>
      <c r="AB246" s="135">
        <v>9.2943319961321293E-3</v>
      </c>
      <c r="AC246" s="135">
        <v>4.51267157400107E-3</v>
      </c>
      <c r="AD246" s="135">
        <v>3.2029867800939102E-3</v>
      </c>
      <c r="AF246" s="243">
        <f t="shared" si="1"/>
        <v>0.55312532234147826</v>
      </c>
      <c r="AG246" s="275">
        <f t="shared" si="2"/>
        <v>0.47403444310617937</v>
      </c>
      <c r="AH246" s="391">
        <f t="shared" si="3"/>
        <v>0.59060949661101847</v>
      </c>
      <c r="AI246" s="135">
        <f t="shared" si="4"/>
        <v>1.0646439397171978</v>
      </c>
    </row>
    <row r="247" spans="1:35" ht="12.6">
      <c r="A247" s="10" t="s">
        <v>186</v>
      </c>
      <c r="B247" s="10">
        <v>246</v>
      </c>
      <c r="C247" s="10" t="s">
        <v>1515</v>
      </c>
      <c r="D247" s="388">
        <v>45172</v>
      </c>
      <c r="E247" s="389">
        <v>45172</v>
      </c>
      <c r="F247" s="390" t="str">
        <f t="shared" si="0"/>
        <v>Cooking</v>
      </c>
      <c r="G247" s="135">
        <v>2.14385861780368E-3</v>
      </c>
      <c r="H247" s="135">
        <v>1.84115209948154E-3</v>
      </c>
      <c r="I247" s="135">
        <v>1.8036476238196401E-3</v>
      </c>
      <c r="J247" s="135">
        <v>1.83430294723959E-3</v>
      </c>
      <c r="K247" s="135">
        <v>1.8424860841083099E-3</v>
      </c>
      <c r="L247" s="135">
        <v>6.3365276272887103E-3</v>
      </c>
      <c r="M247" s="135">
        <v>1.3428253910507001E-2</v>
      </c>
      <c r="N247" s="135">
        <v>2.57318324639054E-2</v>
      </c>
      <c r="O247" s="135">
        <v>3.4365866596057698E-2</v>
      </c>
      <c r="P247" s="135">
        <v>3.9392826178607197E-2</v>
      </c>
      <c r="Q247" s="135">
        <v>5.46605903788972E-2</v>
      </c>
      <c r="R247" s="135">
        <v>6.13761761207453E-2</v>
      </c>
      <c r="S247" s="135">
        <v>5.71710484003672E-2</v>
      </c>
      <c r="T247" s="135">
        <v>5.3510464480555901E-2</v>
      </c>
      <c r="U247" s="135">
        <v>5.3674061014556199E-2</v>
      </c>
      <c r="V247" s="135">
        <v>8.6962361028018506E-2</v>
      </c>
      <c r="W247" s="135">
        <v>0.18577062091833799</v>
      </c>
      <c r="X247" s="135">
        <v>0.17171267171069901</v>
      </c>
      <c r="Y247" s="135">
        <v>0.115375522355307</v>
      </c>
      <c r="Z247" s="135">
        <v>5.7651072279798703E-2</v>
      </c>
      <c r="AA247" s="135">
        <v>2.1048606530868801E-2</v>
      </c>
      <c r="AB247" s="135">
        <v>9.2943319961321293E-3</v>
      </c>
      <c r="AC247" s="135">
        <v>4.51267157400107E-3</v>
      </c>
      <c r="AD247" s="135">
        <v>3.2029867800939102E-3</v>
      </c>
      <c r="AF247" s="243">
        <f t="shared" si="1"/>
        <v>0.55312532234147826</v>
      </c>
      <c r="AG247" s="275">
        <f t="shared" si="2"/>
        <v>0.47403444310617937</v>
      </c>
      <c r="AH247" s="391">
        <f t="shared" si="3"/>
        <v>0.59060949661101847</v>
      </c>
      <c r="AI247" s="135">
        <f t="shared" si="4"/>
        <v>1.0646439397171978</v>
      </c>
    </row>
    <row r="248" spans="1:35" ht="12.6">
      <c r="A248" s="10" t="s">
        <v>186</v>
      </c>
      <c r="B248" s="10">
        <v>247</v>
      </c>
      <c r="C248" s="10" t="s">
        <v>1515</v>
      </c>
      <c r="D248" s="388">
        <v>45173</v>
      </c>
      <c r="E248" s="389">
        <v>45173</v>
      </c>
      <c r="F248" s="390" t="str">
        <f t="shared" si="0"/>
        <v>Cooking</v>
      </c>
      <c r="G248" s="135">
        <v>3.3573202859812998E-3</v>
      </c>
      <c r="H248" s="135">
        <v>2.0128763147679398E-3</v>
      </c>
      <c r="I248" s="135">
        <v>1.9625891602909301E-3</v>
      </c>
      <c r="J248" s="135">
        <v>1.98343193776847E-3</v>
      </c>
      <c r="K248" s="135">
        <v>2.07802086437204E-3</v>
      </c>
      <c r="L248" s="135">
        <v>5.4922382010370498E-3</v>
      </c>
      <c r="M248" s="135">
        <v>1.5656397455901201E-2</v>
      </c>
      <c r="N248" s="135">
        <v>1.29478473734667E-2</v>
      </c>
      <c r="O248" s="135">
        <v>1.32404138115824E-2</v>
      </c>
      <c r="P248" s="135">
        <v>1.3655349852800799E-2</v>
      </c>
      <c r="Q248" s="135">
        <v>1.7209894363396702E-2</v>
      </c>
      <c r="R248" s="135">
        <v>2.5582112795448201E-2</v>
      </c>
      <c r="S248" s="135">
        <v>2.6192536493968001E-2</v>
      </c>
      <c r="T248" s="135">
        <v>2.3707733196663801E-2</v>
      </c>
      <c r="U248" s="135">
        <v>3.4456160399687297E-2</v>
      </c>
      <c r="V248" s="135">
        <v>0.111724035474196</v>
      </c>
      <c r="W248" s="135">
        <v>0.234848331021316</v>
      </c>
      <c r="X248" s="135">
        <v>0.20364196294480399</v>
      </c>
      <c r="Y248" s="135">
        <v>0.15410236808321801</v>
      </c>
      <c r="Z248" s="135">
        <v>9.3400276185943695E-2</v>
      </c>
      <c r="AA248" s="135">
        <v>3.1447768652104399E-2</v>
      </c>
      <c r="AB248" s="135">
        <v>1.13462976164963E-2</v>
      </c>
      <c r="AC248" s="135">
        <v>6.1717464094372997E-3</v>
      </c>
      <c r="AD248" s="135">
        <v>5.3492219888298196E-3</v>
      </c>
      <c r="AF248" s="243">
        <f t="shared" si="1"/>
        <v>0.47372080374467596</v>
      </c>
      <c r="AG248" s="275">
        <f t="shared" si="2"/>
        <v>0.47499263920421686</v>
      </c>
      <c r="AH248" s="391">
        <f t="shared" si="3"/>
        <v>0.57657429167926122</v>
      </c>
      <c r="AI248" s="135">
        <f t="shared" si="4"/>
        <v>1.0515669308834781</v>
      </c>
    </row>
    <row r="249" spans="1:35" ht="12.6">
      <c r="A249" s="10" t="s">
        <v>186</v>
      </c>
      <c r="B249" s="10">
        <v>248</v>
      </c>
      <c r="C249" s="10" t="s">
        <v>1515</v>
      </c>
      <c r="D249" s="388">
        <v>45174</v>
      </c>
      <c r="E249" s="389">
        <v>45174</v>
      </c>
      <c r="F249" s="390" t="str">
        <f t="shared" si="0"/>
        <v>Cooking</v>
      </c>
      <c r="G249" s="135">
        <v>3.3573202859812998E-3</v>
      </c>
      <c r="H249" s="135">
        <v>2.0128763147679398E-3</v>
      </c>
      <c r="I249" s="135">
        <v>1.9625891602909301E-3</v>
      </c>
      <c r="J249" s="135">
        <v>1.98343193776847E-3</v>
      </c>
      <c r="K249" s="135">
        <v>2.07802086437204E-3</v>
      </c>
      <c r="L249" s="135">
        <v>5.4922382010370498E-3</v>
      </c>
      <c r="M249" s="135">
        <v>1.5656397455901201E-2</v>
      </c>
      <c r="N249" s="135">
        <v>1.29478473734667E-2</v>
      </c>
      <c r="O249" s="135">
        <v>1.32404138115824E-2</v>
      </c>
      <c r="P249" s="135">
        <v>1.3655349852800799E-2</v>
      </c>
      <c r="Q249" s="135">
        <v>1.7209894363396702E-2</v>
      </c>
      <c r="R249" s="135">
        <v>2.5582112795448201E-2</v>
      </c>
      <c r="S249" s="135">
        <v>2.6192536493968001E-2</v>
      </c>
      <c r="T249" s="135">
        <v>2.3707733196663801E-2</v>
      </c>
      <c r="U249" s="135">
        <v>3.4456160399687297E-2</v>
      </c>
      <c r="V249" s="135">
        <v>0.111724035474196</v>
      </c>
      <c r="W249" s="135">
        <v>0.234848331021316</v>
      </c>
      <c r="X249" s="135">
        <v>0.20364196294480399</v>
      </c>
      <c r="Y249" s="135">
        <v>0.15410236808321801</v>
      </c>
      <c r="Z249" s="135">
        <v>9.3400276185943695E-2</v>
      </c>
      <c r="AA249" s="135">
        <v>3.1447768652104399E-2</v>
      </c>
      <c r="AB249" s="135">
        <v>1.13462976164963E-2</v>
      </c>
      <c r="AC249" s="135">
        <v>6.1717464094372997E-3</v>
      </c>
      <c r="AD249" s="135">
        <v>5.3492219888298196E-3</v>
      </c>
      <c r="AF249" s="243">
        <f t="shared" si="1"/>
        <v>0.47372080374467596</v>
      </c>
      <c r="AG249" s="275">
        <f t="shared" si="2"/>
        <v>0.47499263920421686</v>
      </c>
      <c r="AH249" s="391">
        <f t="shared" si="3"/>
        <v>0.57657429167926122</v>
      </c>
      <c r="AI249" s="135">
        <f t="shared" si="4"/>
        <v>1.0515669308834781</v>
      </c>
    </row>
    <row r="250" spans="1:35" ht="12.6">
      <c r="A250" s="10" t="s">
        <v>186</v>
      </c>
      <c r="B250" s="10">
        <v>249</v>
      </c>
      <c r="C250" s="10" t="s">
        <v>1515</v>
      </c>
      <c r="D250" s="388">
        <v>45175</v>
      </c>
      <c r="E250" s="389">
        <v>45175</v>
      </c>
      <c r="F250" s="390" t="str">
        <f t="shared" si="0"/>
        <v>Cooking</v>
      </c>
      <c r="G250" s="135">
        <v>3.3573202859812998E-3</v>
      </c>
      <c r="H250" s="135">
        <v>2.0128763147679398E-3</v>
      </c>
      <c r="I250" s="135">
        <v>1.9625891602909301E-3</v>
      </c>
      <c r="J250" s="135">
        <v>1.98343193776847E-3</v>
      </c>
      <c r="K250" s="135">
        <v>2.07802086437204E-3</v>
      </c>
      <c r="L250" s="135">
        <v>5.4922382010370498E-3</v>
      </c>
      <c r="M250" s="135">
        <v>1.5656397455901201E-2</v>
      </c>
      <c r="N250" s="135">
        <v>1.29478473734667E-2</v>
      </c>
      <c r="O250" s="135">
        <v>1.32404138115824E-2</v>
      </c>
      <c r="P250" s="135">
        <v>1.3655349852800799E-2</v>
      </c>
      <c r="Q250" s="135">
        <v>1.7209894363396702E-2</v>
      </c>
      <c r="R250" s="135">
        <v>2.5582112795448201E-2</v>
      </c>
      <c r="S250" s="135">
        <v>2.6192536493968001E-2</v>
      </c>
      <c r="T250" s="135">
        <v>2.3707733196663801E-2</v>
      </c>
      <c r="U250" s="135">
        <v>3.4456160399687297E-2</v>
      </c>
      <c r="V250" s="135">
        <v>0.111724035474196</v>
      </c>
      <c r="W250" s="135">
        <v>0.234848331021316</v>
      </c>
      <c r="X250" s="135">
        <v>0.20364196294480399</v>
      </c>
      <c r="Y250" s="135">
        <v>0.15410236808321801</v>
      </c>
      <c r="Z250" s="135">
        <v>9.3400276185943695E-2</v>
      </c>
      <c r="AA250" s="135">
        <v>3.1447768652104399E-2</v>
      </c>
      <c r="AB250" s="135">
        <v>1.13462976164963E-2</v>
      </c>
      <c r="AC250" s="135">
        <v>6.1717464094372997E-3</v>
      </c>
      <c r="AD250" s="135">
        <v>5.3492219888298196E-3</v>
      </c>
      <c r="AF250" s="243">
        <f t="shared" si="1"/>
        <v>0.47372080374467596</v>
      </c>
      <c r="AG250" s="275">
        <f t="shared" si="2"/>
        <v>0.47499263920421686</v>
      </c>
      <c r="AH250" s="391">
        <f t="shared" si="3"/>
        <v>0.57657429167926122</v>
      </c>
      <c r="AI250" s="135">
        <f t="shared" si="4"/>
        <v>1.0515669308834781</v>
      </c>
    </row>
    <row r="251" spans="1:35" ht="12.6">
      <c r="A251" s="10" t="s">
        <v>186</v>
      </c>
      <c r="B251" s="10">
        <v>250</v>
      </c>
      <c r="C251" s="10" t="s">
        <v>1515</v>
      </c>
      <c r="D251" s="388">
        <v>45176</v>
      </c>
      <c r="E251" s="389">
        <v>45176</v>
      </c>
      <c r="F251" s="390" t="str">
        <f t="shared" si="0"/>
        <v>Cooking</v>
      </c>
      <c r="G251" s="135">
        <v>3.3573202859812998E-3</v>
      </c>
      <c r="H251" s="135">
        <v>2.0128763147679398E-3</v>
      </c>
      <c r="I251" s="135">
        <v>1.9625891602909301E-3</v>
      </c>
      <c r="J251" s="135">
        <v>1.98343193776847E-3</v>
      </c>
      <c r="K251" s="135">
        <v>2.07802086437204E-3</v>
      </c>
      <c r="L251" s="135">
        <v>5.4922382010370498E-3</v>
      </c>
      <c r="M251" s="135">
        <v>1.5656397455901201E-2</v>
      </c>
      <c r="N251" s="135">
        <v>1.29478473734667E-2</v>
      </c>
      <c r="O251" s="135">
        <v>1.32404138115824E-2</v>
      </c>
      <c r="P251" s="135">
        <v>1.3655349852800799E-2</v>
      </c>
      <c r="Q251" s="135">
        <v>1.7209894363396702E-2</v>
      </c>
      <c r="R251" s="135">
        <v>2.5582112795448201E-2</v>
      </c>
      <c r="S251" s="135">
        <v>2.6192536493968001E-2</v>
      </c>
      <c r="T251" s="135">
        <v>2.3707733196663801E-2</v>
      </c>
      <c r="U251" s="135">
        <v>3.4456160399687297E-2</v>
      </c>
      <c r="V251" s="135">
        <v>0.111724035474196</v>
      </c>
      <c r="W251" s="135">
        <v>0.234848331021316</v>
      </c>
      <c r="X251" s="135">
        <v>0.20364196294480399</v>
      </c>
      <c r="Y251" s="135">
        <v>0.15410236808321801</v>
      </c>
      <c r="Z251" s="135">
        <v>9.3400276185943695E-2</v>
      </c>
      <c r="AA251" s="135">
        <v>3.1447768652104399E-2</v>
      </c>
      <c r="AB251" s="135">
        <v>1.13462976164963E-2</v>
      </c>
      <c r="AC251" s="135">
        <v>6.1717464094372997E-3</v>
      </c>
      <c r="AD251" s="135">
        <v>5.3492219888298196E-3</v>
      </c>
      <c r="AF251" s="243">
        <f t="shared" si="1"/>
        <v>0.47372080374467596</v>
      </c>
      <c r="AG251" s="275">
        <f t="shared" si="2"/>
        <v>0.47499263920421686</v>
      </c>
      <c r="AH251" s="391">
        <f t="shared" si="3"/>
        <v>0.57657429167926122</v>
      </c>
      <c r="AI251" s="135">
        <f t="shared" si="4"/>
        <v>1.0515669308834781</v>
      </c>
    </row>
    <row r="252" spans="1:35" ht="12.6">
      <c r="A252" s="10" t="s">
        <v>186</v>
      </c>
      <c r="B252" s="10">
        <v>251</v>
      </c>
      <c r="C252" s="10" t="s">
        <v>1515</v>
      </c>
      <c r="D252" s="388">
        <v>45177</v>
      </c>
      <c r="E252" s="389">
        <v>45177</v>
      </c>
      <c r="F252" s="390" t="str">
        <f t="shared" si="0"/>
        <v>Cooking</v>
      </c>
      <c r="G252" s="135">
        <v>3.3573202859812998E-3</v>
      </c>
      <c r="H252" s="135">
        <v>2.0128763147679398E-3</v>
      </c>
      <c r="I252" s="135">
        <v>1.9625891602909301E-3</v>
      </c>
      <c r="J252" s="135">
        <v>1.98343193776847E-3</v>
      </c>
      <c r="K252" s="135">
        <v>2.07802086437204E-3</v>
      </c>
      <c r="L252" s="135">
        <v>5.4922382010370498E-3</v>
      </c>
      <c r="M252" s="135">
        <v>1.5656397455901201E-2</v>
      </c>
      <c r="N252" s="135">
        <v>1.29478473734667E-2</v>
      </c>
      <c r="O252" s="135">
        <v>1.32404138115824E-2</v>
      </c>
      <c r="P252" s="135">
        <v>1.3655349852800799E-2</v>
      </c>
      <c r="Q252" s="135">
        <v>1.7209894363396702E-2</v>
      </c>
      <c r="R252" s="135">
        <v>2.5582112795448201E-2</v>
      </c>
      <c r="S252" s="135">
        <v>2.6192536493968001E-2</v>
      </c>
      <c r="T252" s="135">
        <v>2.3707733196663801E-2</v>
      </c>
      <c r="U252" s="135">
        <v>3.4456160399687297E-2</v>
      </c>
      <c r="V252" s="135">
        <v>0.111724035474196</v>
      </c>
      <c r="W252" s="135">
        <v>0.234848331021316</v>
      </c>
      <c r="X252" s="135">
        <v>0.20364196294480399</v>
      </c>
      <c r="Y252" s="135">
        <v>0.15410236808321801</v>
      </c>
      <c r="Z252" s="135">
        <v>9.3400276185943695E-2</v>
      </c>
      <c r="AA252" s="135">
        <v>3.1447768652104399E-2</v>
      </c>
      <c r="AB252" s="135">
        <v>1.13462976164963E-2</v>
      </c>
      <c r="AC252" s="135">
        <v>6.1717464094372997E-3</v>
      </c>
      <c r="AD252" s="135">
        <v>5.3492219888298196E-3</v>
      </c>
      <c r="AF252" s="243">
        <f t="shared" si="1"/>
        <v>0.47372080374467596</v>
      </c>
      <c r="AG252" s="275">
        <f t="shared" si="2"/>
        <v>0.47499263920421686</v>
      </c>
      <c r="AH252" s="391">
        <f t="shared" si="3"/>
        <v>0.57657429167926122</v>
      </c>
      <c r="AI252" s="135">
        <f t="shared" si="4"/>
        <v>1.0515669308834781</v>
      </c>
    </row>
    <row r="253" spans="1:35" ht="12.6">
      <c r="A253" s="10" t="s">
        <v>186</v>
      </c>
      <c r="B253" s="10">
        <v>252</v>
      </c>
      <c r="C253" s="10" t="s">
        <v>1515</v>
      </c>
      <c r="D253" s="388">
        <v>45178</v>
      </c>
      <c r="E253" s="389">
        <v>45178</v>
      </c>
      <c r="F253" s="390" t="str">
        <f t="shared" si="0"/>
        <v>Cooking</v>
      </c>
      <c r="G253" s="135">
        <v>2.14385861780368E-3</v>
      </c>
      <c r="H253" s="135">
        <v>1.84115209948154E-3</v>
      </c>
      <c r="I253" s="135">
        <v>1.8036476238196401E-3</v>
      </c>
      <c r="J253" s="135">
        <v>1.83430294723959E-3</v>
      </c>
      <c r="K253" s="135">
        <v>1.8424860841083099E-3</v>
      </c>
      <c r="L253" s="135">
        <v>6.3365276272887103E-3</v>
      </c>
      <c r="M253" s="135">
        <v>1.3428253910507001E-2</v>
      </c>
      <c r="N253" s="135">
        <v>2.57318324639054E-2</v>
      </c>
      <c r="O253" s="135">
        <v>3.4365866596057698E-2</v>
      </c>
      <c r="P253" s="135">
        <v>3.9392826178607197E-2</v>
      </c>
      <c r="Q253" s="135">
        <v>5.46605903788972E-2</v>
      </c>
      <c r="R253" s="135">
        <v>6.13761761207453E-2</v>
      </c>
      <c r="S253" s="135">
        <v>5.71710484003672E-2</v>
      </c>
      <c r="T253" s="135">
        <v>5.3510464480555901E-2</v>
      </c>
      <c r="U253" s="135">
        <v>5.3674061014556199E-2</v>
      </c>
      <c r="V253" s="135">
        <v>8.6962361028018506E-2</v>
      </c>
      <c r="W253" s="135">
        <v>0.18577062091833799</v>
      </c>
      <c r="X253" s="135">
        <v>0.17171267171069901</v>
      </c>
      <c r="Y253" s="135">
        <v>0.115375522355307</v>
      </c>
      <c r="Z253" s="135">
        <v>5.7651072279798703E-2</v>
      </c>
      <c r="AA253" s="135">
        <v>2.1048606530868801E-2</v>
      </c>
      <c r="AB253" s="135">
        <v>9.2943319961321293E-3</v>
      </c>
      <c r="AC253" s="135">
        <v>4.51267157400107E-3</v>
      </c>
      <c r="AD253" s="135">
        <v>3.2029867800939102E-3</v>
      </c>
      <c r="AF253" s="243">
        <f t="shared" si="1"/>
        <v>0.55312532234147826</v>
      </c>
      <c r="AG253" s="275">
        <f t="shared" si="2"/>
        <v>0.47403444310617937</v>
      </c>
      <c r="AH253" s="391">
        <f t="shared" si="3"/>
        <v>0.59060949661101847</v>
      </c>
      <c r="AI253" s="135">
        <f t="shared" si="4"/>
        <v>1.0646439397171978</v>
      </c>
    </row>
    <row r="254" spans="1:35" ht="12.6">
      <c r="A254" s="10" t="s">
        <v>186</v>
      </c>
      <c r="B254" s="10">
        <v>253</v>
      </c>
      <c r="C254" s="10" t="s">
        <v>1515</v>
      </c>
      <c r="D254" s="388">
        <v>45179</v>
      </c>
      <c r="E254" s="389">
        <v>45179</v>
      </c>
      <c r="F254" s="390" t="str">
        <f t="shared" si="0"/>
        <v>Cooking</v>
      </c>
      <c r="G254" s="135">
        <v>2.14385861780368E-3</v>
      </c>
      <c r="H254" s="135">
        <v>1.84115209948154E-3</v>
      </c>
      <c r="I254" s="135">
        <v>1.8036476238196401E-3</v>
      </c>
      <c r="J254" s="135">
        <v>1.83430294723959E-3</v>
      </c>
      <c r="K254" s="135">
        <v>1.8424860841083099E-3</v>
      </c>
      <c r="L254" s="135">
        <v>6.3365276272887103E-3</v>
      </c>
      <c r="M254" s="135">
        <v>1.3428253910507001E-2</v>
      </c>
      <c r="N254" s="135">
        <v>2.57318324639054E-2</v>
      </c>
      <c r="O254" s="135">
        <v>3.4365866596057698E-2</v>
      </c>
      <c r="P254" s="135">
        <v>3.9392826178607197E-2</v>
      </c>
      <c r="Q254" s="135">
        <v>5.46605903788972E-2</v>
      </c>
      <c r="R254" s="135">
        <v>6.13761761207453E-2</v>
      </c>
      <c r="S254" s="135">
        <v>5.71710484003672E-2</v>
      </c>
      <c r="T254" s="135">
        <v>5.3510464480555901E-2</v>
      </c>
      <c r="U254" s="135">
        <v>5.3674061014556199E-2</v>
      </c>
      <c r="V254" s="135">
        <v>8.6962361028018506E-2</v>
      </c>
      <c r="W254" s="135">
        <v>0.18577062091833799</v>
      </c>
      <c r="X254" s="135">
        <v>0.17171267171069901</v>
      </c>
      <c r="Y254" s="135">
        <v>0.115375522355307</v>
      </c>
      <c r="Z254" s="135">
        <v>5.7651072279798703E-2</v>
      </c>
      <c r="AA254" s="135">
        <v>2.1048606530868801E-2</v>
      </c>
      <c r="AB254" s="135">
        <v>9.2943319961321293E-3</v>
      </c>
      <c r="AC254" s="135">
        <v>4.51267157400107E-3</v>
      </c>
      <c r="AD254" s="135">
        <v>3.2029867800939102E-3</v>
      </c>
      <c r="AF254" s="243">
        <f t="shared" si="1"/>
        <v>0.55312532234147826</v>
      </c>
      <c r="AG254" s="275">
        <f t="shared" si="2"/>
        <v>0.47403444310617937</v>
      </c>
      <c r="AH254" s="391">
        <f t="shared" si="3"/>
        <v>0.59060949661101847</v>
      </c>
      <c r="AI254" s="135">
        <f t="shared" si="4"/>
        <v>1.0646439397171978</v>
      </c>
    </row>
    <row r="255" spans="1:35" ht="12.6">
      <c r="A255" s="10" t="s">
        <v>186</v>
      </c>
      <c r="B255" s="10">
        <v>254</v>
      </c>
      <c r="C255" s="10" t="s">
        <v>1515</v>
      </c>
      <c r="D255" s="388">
        <v>45180</v>
      </c>
      <c r="E255" s="389">
        <v>45180</v>
      </c>
      <c r="F255" s="390" t="str">
        <f t="shared" si="0"/>
        <v>Cooking</v>
      </c>
      <c r="G255" s="135">
        <v>3.3573202859812998E-3</v>
      </c>
      <c r="H255" s="135">
        <v>2.0128763147679398E-3</v>
      </c>
      <c r="I255" s="135">
        <v>1.9625891602909301E-3</v>
      </c>
      <c r="J255" s="135">
        <v>1.98343193776847E-3</v>
      </c>
      <c r="K255" s="135">
        <v>2.07802086437204E-3</v>
      </c>
      <c r="L255" s="135">
        <v>5.4922382010370498E-3</v>
      </c>
      <c r="M255" s="135">
        <v>1.5656397455901201E-2</v>
      </c>
      <c r="N255" s="135">
        <v>1.29478473734667E-2</v>
      </c>
      <c r="O255" s="135">
        <v>1.32404138115824E-2</v>
      </c>
      <c r="P255" s="135">
        <v>1.3655349852800799E-2</v>
      </c>
      <c r="Q255" s="135">
        <v>1.7209894363396702E-2</v>
      </c>
      <c r="R255" s="135">
        <v>2.5582112795448201E-2</v>
      </c>
      <c r="S255" s="135">
        <v>2.6192536493968001E-2</v>
      </c>
      <c r="T255" s="135">
        <v>2.3707733196663801E-2</v>
      </c>
      <c r="U255" s="135">
        <v>3.4456160399687297E-2</v>
      </c>
      <c r="V255" s="135">
        <v>0.111724035474196</v>
      </c>
      <c r="W255" s="135">
        <v>0.234848331021316</v>
      </c>
      <c r="X255" s="135">
        <v>0.20364196294480399</v>
      </c>
      <c r="Y255" s="135">
        <v>0.15410236808321801</v>
      </c>
      <c r="Z255" s="135">
        <v>9.3400276185943695E-2</v>
      </c>
      <c r="AA255" s="135">
        <v>3.1447768652104399E-2</v>
      </c>
      <c r="AB255" s="135">
        <v>1.13462976164963E-2</v>
      </c>
      <c r="AC255" s="135">
        <v>6.1717464094372997E-3</v>
      </c>
      <c r="AD255" s="135">
        <v>5.3492219888298196E-3</v>
      </c>
      <c r="AF255" s="243">
        <f t="shared" si="1"/>
        <v>0.47372080374467596</v>
      </c>
      <c r="AG255" s="275">
        <f t="shared" si="2"/>
        <v>0.47499263920421686</v>
      </c>
      <c r="AH255" s="391">
        <f t="shared" si="3"/>
        <v>0.57657429167926122</v>
      </c>
      <c r="AI255" s="135">
        <f t="shared" si="4"/>
        <v>1.0515669308834781</v>
      </c>
    </row>
    <row r="256" spans="1:35" ht="12.6">
      <c r="A256" s="10" t="s">
        <v>186</v>
      </c>
      <c r="B256" s="10">
        <v>255</v>
      </c>
      <c r="C256" s="10" t="s">
        <v>1515</v>
      </c>
      <c r="D256" s="388">
        <v>45181</v>
      </c>
      <c r="E256" s="389">
        <v>45181</v>
      </c>
      <c r="F256" s="390" t="str">
        <f t="shared" ref="F256:F510" si="5">A256</f>
        <v>Cooking</v>
      </c>
      <c r="G256" s="135">
        <v>3.3573202859812998E-3</v>
      </c>
      <c r="H256" s="135">
        <v>2.0128763147679398E-3</v>
      </c>
      <c r="I256" s="135">
        <v>1.9625891602909301E-3</v>
      </c>
      <c r="J256" s="135">
        <v>1.98343193776847E-3</v>
      </c>
      <c r="K256" s="135">
        <v>2.07802086437204E-3</v>
      </c>
      <c r="L256" s="135">
        <v>5.4922382010370498E-3</v>
      </c>
      <c r="M256" s="135">
        <v>1.5656397455901201E-2</v>
      </c>
      <c r="N256" s="135">
        <v>1.29478473734667E-2</v>
      </c>
      <c r="O256" s="135">
        <v>1.32404138115824E-2</v>
      </c>
      <c r="P256" s="135">
        <v>1.3655349852800799E-2</v>
      </c>
      <c r="Q256" s="135">
        <v>1.7209894363396702E-2</v>
      </c>
      <c r="R256" s="135">
        <v>2.5582112795448201E-2</v>
      </c>
      <c r="S256" s="135">
        <v>2.6192536493968001E-2</v>
      </c>
      <c r="T256" s="135">
        <v>2.3707733196663801E-2</v>
      </c>
      <c r="U256" s="135">
        <v>3.4456160399687297E-2</v>
      </c>
      <c r="V256" s="135">
        <v>0.111724035474196</v>
      </c>
      <c r="W256" s="135">
        <v>0.234848331021316</v>
      </c>
      <c r="X256" s="135">
        <v>0.20364196294480399</v>
      </c>
      <c r="Y256" s="135">
        <v>0.15410236808321801</v>
      </c>
      <c r="Z256" s="135">
        <v>9.3400276185943695E-2</v>
      </c>
      <c r="AA256" s="135">
        <v>3.1447768652104399E-2</v>
      </c>
      <c r="AB256" s="135">
        <v>1.13462976164963E-2</v>
      </c>
      <c r="AC256" s="135">
        <v>6.1717464094372997E-3</v>
      </c>
      <c r="AD256" s="135">
        <v>5.3492219888298196E-3</v>
      </c>
      <c r="AF256" s="243">
        <f t="shared" si="1"/>
        <v>0.47372080374467596</v>
      </c>
      <c r="AG256" s="275">
        <f t="shared" si="2"/>
        <v>0.47499263920421686</v>
      </c>
      <c r="AH256" s="391">
        <f t="shared" si="3"/>
        <v>0.57657429167926122</v>
      </c>
      <c r="AI256" s="135">
        <f t="shared" si="4"/>
        <v>1.0515669308834781</v>
      </c>
    </row>
    <row r="257" spans="1:35" ht="12.6">
      <c r="A257" s="10" t="s">
        <v>186</v>
      </c>
      <c r="B257" s="10">
        <v>256</v>
      </c>
      <c r="C257" s="10" t="s">
        <v>1515</v>
      </c>
      <c r="D257" s="388">
        <v>45182</v>
      </c>
      <c r="E257" s="389">
        <v>45182</v>
      </c>
      <c r="F257" s="390" t="str">
        <f t="shared" si="5"/>
        <v>Cooking</v>
      </c>
      <c r="G257" s="135">
        <v>3.3573202859812998E-3</v>
      </c>
      <c r="H257" s="135">
        <v>2.0128763147679398E-3</v>
      </c>
      <c r="I257" s="135">
        <v>1.9625891602909301E-3</v>
      </c>
      <c r="J257" s="135">
        <v>1.98343193776847E-3</v>
      </c>
      <c r="K257" s="135">
        <v>2.07802086437204E-3</v>
      </c>
      <c r="L257" s="135">
        <v>5.4922382010370498E-3</v>
      </c>
      <c r="M257" s="135">
        <v>1.5656397455901201E-2</v>
      </c>
      <c r="N257" s="135">
        <v>1.29478473734667E-2</v>
      </c>
      <c r="O257" s="135">
        <v>1.32404138115824E-2</v>
      </c>
      <c r="P257" s="135">
        <v>1.3655349852800799E-2</v>
      </c>
      <c r="Q257" s="135">
        <v>1.7209894363396702E-2</v>
      </c>
      <c r="R257" s="135">
        <v>2.5582112795448201E-2</v>
      </c>
      <c r="S257" s="135">
        <v>2.6192536493968001E-2</v>
      </c>
      <c r="T257" s="135">
        <v>2.3707733196663801E-2</v>
      </c>
      <c r="U257" s="135">
        <v>3.4456160399687297E-2</v>
      </c>
      <c r="V257" s="135">
        <v>0.111724035474196</v>
      </c>
      <c r="W257" s="135">
        <v>0.234848331021316</v>
      </c>
      <c r="X257" s="135">
        <v>0.20364196294480399</v>
      </c>
      <c r="Y257" s="135">
        <v>0.15410236808321801</v>
      </c>
      <c r="Z257" s="135">
        <v>9.3400276185943695E-2</v>
      </c>
      <c r="AA257" s="135">
        <v>3.1447768652104399E-2</v>
      </c>
      <c r="AB257" s="135">
        <v>1.13462976164963E-2</v>
      </c>
      <c r="AC257" s="135">
        <v>6.1717464094372997E-3</v>
      </c>
      <c r="AD257" s="135">
        <v>5.3492219888298196E-3</v>
      </c>
      <c r="AF257" s="243">
        <f t="shared" ref="AF257:AF511" si="6">SUM(Q257:W257)</f>
        <v>0.47372080374467596</v>
      </c>
      <c r="AG257" s="275">
        <f t="shared" ref="AG257:AG511" si="7">SUM(G257:AD257)-AH257</f>
        <v>0.47499263920421686</v>
      </c>
      <c r="AH257" s="391">
        <f t="shared" ref="AH257:AH511" si="8">SUM(N257:R257,X257:AB257)</f>
        <v>0.57657429167926122</v>
      </c>
      <c r="AI257" s="135">
        <f t="shared" ref="AI257:AI511" si="9">SUM(G257:AD257)</f>
        <v>1.0515669308834781</v>
      </c>
    </row>
    <row r="258" spans="1:35" ht="12.6">
      <c r="A258" s="10" t="s">
        <v>186</v>
      </c>
      <c r="B258" s="10">
        <v>257</v>
      </c>
      <c r="C258" s="10" t="s">
        <v>1515</v>
      </c>
      <c r="D258" s="388">
        <v>45183</v>
      </c>
      <c r="E258" s="389">
        <v>45183</v>
      </c>
      <c r="F258" s="390" t="str">
        <f t="shared" si="5"/>
        <v>Cooking</v>
      </c>
      <c r="G258" s="135">
        <v>3.3573202859812998E-3</v>
      </c>
      <c r="H258" s="135">
        <v>2.0128763147679398E-3</v>
      </c>
      <c r="I258" s="135">
        <v>1.9625891602909301E-3</v>
      </c>
      <c r="J258" s="135">
        <v>1.98343193776847E-3</v>
      </c>
      <c r="K258" s="135">
        <v>2.07802086437204E-3</v>
      </c>
      <c r="L258" s="135">
        <v>5.4922382010370498E-3</v>
      </c>
      <c r="M258" s="135">
        <v>1.5656397455901201E-2</v>
      </c>
      <c r="N258" s="135">
        <v>1.29478473734667E-2</v>
      </c>
      <c r="O258" s="135">
        <v>1.32404138115824E-2</v>
      </c>
      <c r="P258" s="135">
        <v>1.3655349852800799E-2</v>
      </c>
      <c r="Q258" s="135">
        <v>1.7209894363396702E-2</v>
      </c>
      <c r="R258" s="135">
        <v>2.5582112795448201E-2</v>
      </c>
      <c r="S258" s="135">
        <v>2.6192536493968001E-2</v>
      </c>
      <c r="T258" s="135">
        <v>2.3707733196663801E-2</v>
      </c>
      <c r="U258" s="135">
        <v>3.4456160399687297E-2</v>
      </c>
      <c r="V258" s="135">
        <v>0.111724035474196</v>
      </c>
      <c r="W258" s="135">
        <v>0.234848331021316</v>
      </c>
      <c r="X258" s="135">
        <v>0.20364196294480399</v>
      </c>
      <c r="Y258" s="135">
        <v>0.15410236808321801</v>
      </c>
      <c r="Z258" s="135">
        <v>9.3400276185943695E-2</v>
      </c>
      <c r="AA258" s="135">
        <v>3.1447768652104399E-2</v>
      </c>
      <c r="AB258" s="135">
        <v>1.13462976164963E-2</v>
      </c>
      <c r="AC258" s="135">
        <v>6.1717464094372997E-3</v>
      </c>
      <c r="AD258" s="135">
        <v>5.3492219888298196E-3</v>
      </c>
      <c r="AF258" s="243">
        <f t="shared" si="6"/>
        <v>0.47372080374467596</v>
      </c>
      <c r="AG258" s="275">
        <f t="shared" si="7"/>
        <v>0.47499263920421686</v>
      </c>
      <c r="AH258" s="391">
        <f t="shared" si="8"/>
        <v>0.57657429167926122</v>
      </c>
      <c r="AI258" s="135">
        <f t="shared" si="9"/>
        <v>1.0515669308834781</v>
      </c>
    </row>
    <row r="259" spans="1:35" ht="12.6">
      <c r="A259" s="10" t="s">
        <v>186</v>
      </c>
      <c r="B259" s="10">
        <v>258</v>
      </c>
      <c r="C259" s="10" t="s">
        <v>1515</v>
      </c>
      <c r="D259" s="388">
        <v>45184</v>
      </c>
      <c r="E259" s="389">
        <v>45184</v>
      </c>
      <c r="F259" s="390" t="str">
        <f t="shared" si="5"/>
        <v>Cooking</v>
      </c>
      <c r="G259" s="135">
        <v>3.3573202859812998E-3</v>
      </c>
      <c r="H259" s="135">
        <v>2.0128763147679398E-3</v>
      </c>
      <c r="I259" s="135">
        <v>1.9625891602909301E-3</v>
      </c>
      <c r="J259" s="135">
        <v>1.98343193776847E-3</v>
      </c>
      <c r="K259" s="135">
        <v>2.07802086437204E-3</v>
      </c>
      <c r="L259" s="135">
        <v>5.4922382010370498E-3</v>
      </c>
      <c r="M259" s="135">
        <v>1.5656397455901201E-2</v>
      </c>
      <c r="N259" s="135">
        <v>1.29478473734667E-2</v>
      </c>
      <c r="O259" s="135">
        <v>1.32404138115824E-2</v>
      </c>
      <c r="P259" s="135">
        <v>1.3655349852800799E-2</v>
      </c>
      <c r="Q259" s="135">
        <v>1.7209894363396702E-2</v>
      </c>
      <c r="R259" s="135">
        <v>2.5582112795448201E-2</v>
      </c>
      <c r="S259" s="135">
        <v>2.6192536493968001E-2</v>
      </c>
      <c r="T259" s="135">
        <v>2.3707733196663801E-2</v>
      </c>
      <c r="U259" s="135">
        <v>3.4456160399687297E-2</v>
      </c>
      <c r="V259" s="135">
        <v>0.111724035474196</v>
      </c>
      <c r="W259" s="135">
        <v>0.234848331021316</v>
      </c>
      <c r="X259" s="135">
        <v>0.20364196294480399</v>
      </c>
      <c r="Y259" s="135">
        <v>0.15410236808321801</v>
      </c>
      <c r="Z259" s="135">
        <v>9.3400276185943695E-2</v>
      </c>
      <c r="AA259" s="135">
        <v>3.1447768652104399E-2</v>
      </c>
      <c r="AB259" s="135">
        <v>1.13462976164963E-2</v>
      </c>
      <c r="AC259" s="135">
        <v>6.1717464094372997E-3</v>
      </c>
      <c r="AD259" s="135">
        <v>5.3492219888298196E-3</v>
      </c>
      <c r="AF259" s="243">
        <f t="shared" si="6"/>
        <v>0.47372080374467596</v>
      </c>
      <c r="AG259" s="275">
        <f t="shared" si="7"/>
        <v>0.47499263920421686</v>
      </c>
      <c r="AH259" s="391">
        <f t="shared" si="8"/>
        <v>0.57657429167926122</v>
      </c>
      <c r="AI259" s="135">
        <f t="shared" si="9"/>
        <v>1.0515669308834781</v>
      </c>
    </row>
    <row r="260" spans="1:35" ht="12.6">
      <c r="A260" s="10" t="s">
        <v>186</v>
      </c>
      <c r="B260" s="10">
        <v>259</v>
      </c>
      <c r="C260" s="10" t="s">
        <v>1515</v>
      </c>
      <c r="D260" s="388">
        <v>45185</v>
      </c>
      <c r="E260" s="389">
        <v>45185</v>
      </c>
      <c r="F260" s="390" t="str">
        <f t="shared" si="5"/>
        <v>Cooking</v>
      </c>
      <c r="G260" s="135">
        <v>2.14385861780368E-3</v>
      </c>
      <c r="H260" s="135">
        <v>1.84115209948154E-3</v>
      </c>
      <c r="I260" s="135">
        <v>1.8036476238196401E-3</v>
      </c>
      <c r="J260" s="135">
        <v>1.83430294723959E-3</v>
      </c>
      <c r="K260" s="135">
        <v>1.8424860841083099E-3</v>
      </c>
      <c r="L260" s="135">
        <v>6.3365276272887103E-3</v>
      </c>
      <c r="M260" s="135">
        <v>1.3428253910507001E-2</v>
      </c>
      <c r="N260" s="135">
        <v>2.57318324639054E-2</v>
      </c>
      <c r="O260" s="135">
        <v>3.4365866596057698E-2</v>
      </c>
      <c r="P260" s="135">
        <v>3.9392826178607197E-2</v>
      </c>
      <c r="Q260" s="135">
        <v>5.46605903788972E-2</v>
      </c>
      <c r="R260" s="135">
        <v>6.13761761207453E-2</v>
      </c>
      <c r="S260" s="135">
        <v>5.71710484003672E-2</v>
      </c>
      <c r="T260" s="135">
        <v>5.3510464480555901E-2</v>
      </c>
      <c r="U260" s="135">
        <v>5.3674061014556199E-2</v>
      </c>
      <c r="V260" s="135">
        <v>8.6962361028018506E-2</v>
      </c>
      <c r="W260" s="135">
        <v>0.18577062091833799</v>
      </c>
      <c r="X260" s="135">
        <v>0.17171267171069901</v>
      </c>
      <c r="Y260" s="135">
        <v>0.115375522355307</v>
      </c>
      <c r="Z260" s="135">
        <v>5.7651072279798703E-2</v>
      </c>
      <c r="AA260" s="135">
        <v>2.1048606530868801E-2</v>
      </c>
      <c r="AB260" s="135">
        <v>9.2943319961321293E-3</v>
      </c>
      <c r="AC260" s="135">
        <v>4.51267157400107E-3</v>
      </c>
      <c r="AD260" s="135">
        <v>3.2029867800939102E-3</v>
      </c>
      <c r="AF260" s="243">
        <f t="shared" si="6"/>
        <v>0.55312532234147826</v>
      </c>
      <c r="AG260" s="275">
        <f t="shared" si="7"/>
        <v>0.47403444310617937</v>
      </c>
      <c r="AH260" s="391">
        <f t="shared" si="8"/>
        <v>0.59060949661101847</v>
      </c>
      <c r="AI260" s="135">
        <f t="shared" si="9"/>
        <v>1.0646439397171978</v>
      </c>
    </row>
    <row r="261" spans="1:35" ht="12.6">
      <c r="A261" s="10" t="s">
        <v>186</v>
      </c>
      <c r="B261" s="10">
        <v>260</v>
      </c>
      <c r="C261" s="10" t="s">
        <v>1515</v>
      </c>
      <c r="D261" s="388">
        <v>45186</v>
      </c>
      <c r="E261" s="389">
        <v>45186</v>
      </c>
      <c r="F261" s="390" t="str">
        <f t="shared" si="5"/>
        <v>Cooking</v>
      </c>
      <c r="G261" s="135">
        <v>2.14385861780368E-3</v>
      </c>
      <c r="H261" s="135">
        <v>1.84115209948154E-3</v>
      </c>
      <c r="I261" s="135">
        <v>1.8036476238196401E-3</v>
      </c>
      <c r="J261" s="135">
        <v>1.83430294723959E-3</v>
      </c>
      <c r="K261" s="135">
        <v>1.8424860841083099E-3</v>
      </c>
      <c r="L261" s="135">
        <v>6.3365276272887103E-3</v>
      </c>
      <c r="M261" s="135">
        <v>1.3428253910507001E-2</v>
      </c>
      <c r="N261" s="135">
        <v>2.57318324639054E-2</v>
      </c>
      <c r="O261" s="135">
        <v>3.4365866596057698E-2</v>
      </c>
      <c r="P261" s="135">
        <v>3.9392826178607197E-2</v>
      </c>
      <c r="Q261" s="135">
        <v>5.46605903788972E-2</v>
      </c>
      <c r="R261" s="135">
        <v>6.13761761207453E-2</v>
      </c>
      <c r="S261" s="135">
        <v>5.71710484003672E-2</v>
      </c>
      <c r="T261" s="135">
        <v>5.3510464480555901E-2</v>
      </c>
      <c r="U261" s="135">
        <v>5.3674061014556199E-2</v>
      </c>
      <c r="V261" s="135">
        <v>8.6962361028018506E-2</v>
      </c>
      <c r="W261" s="135">
        <v>0.18577062091833799</v>
      </c>
      <c r="X261" s="135">
        <v>0.17171267171069901</v>
      </c>
      <c r="Y261" s="135">
        <v>0.115375522355307</v>
      </c>
      <c r="Z261" s="135">
        <v>5.7651072279798703E-2</v>
      </c>
      <c r="AA261" s="135">
        <v>2.1048606530868801E-2</v>
      </c>
      <c r="AB261" s="135">
        <v>9.2943319961321293E-3</v>
      </c>
      <c r="AC261" s="135">
        <v>4.51267157400107E-3</v>
      </c>
      <c r="AD261" s="135">
        <v>3.2029867800939102E-3</v>
      </c>
      <c r="AF261" s="243">
        <f t="shared" si="6"/>
        <v>0.55312532234147826</v>
      </c>
      <c r="AG261" s="275">
        <f t="shared" si="7"/>
        <v>0.47403444310617937</v>
      </c>
      <c r="AH261" s="391">
        <f t="shared" si="8"/>
        <v>0.59060949661101847</v>
      </c>
      <c r="AI261" s="135">
        <f t="shared" si="9"/>
        <v>1.0646439397171978</v>
      </c>
    </row>
    <row r="262" spans="1:35" ht="12.6">
      <c r="A262" s="10" t="s">
        <v>186</v>
      </c>
      <c r="B262" s="10">
        <v>261</v>
      </c>
      <c r="C262" s="10" t="s">
        <v>1515</v>
      </c>
      <c r="D262" s="388">
        <v>45187</v>
      </c>
      <c r="E262" s="389">
        <v>45187</v>
      </c>
      <c r="F262" s="390" t="str">
        <f t="shared" si="5"/>
        <v>Cooking</v>
      </c>
      <c r="G262" s="135">
        <v>3.3573202859812998E-3</v>
      </c>
      <c r="H262" s="135">
        <v>2.0128763147679398E-3</v>
      </c>
      <c r="I262" s="135">
        <v>1.9625891602909301E-3</v>
      </c>
      <c r="J262" s="135">
        <v>1.98343193776847E-3</v>
      </c>
      <c r="K262" s="135">
        <v>2.07802086437204E-3</v>
      </c>
      <c r="L262" s="135">
        <v>5.4922382010370498E-3</v>
      </c>
      <c r="M262" s="135">
        <v>1.5656397455901201E-2</v>
      </c>
      <c r="N262" s="135">
        <v>1.29478473734667E-2</v>
      </c>
      <c r="O262" s="135">
        <v>1.32404138115824E-2</v>
      </c>
      <c r="P262" s="135">
        <v>1.3655349852800799E-2</v>
      </c>
      <c r="Q262" s="135">
        <v>1.7209894363396702E-2</v>
      </c>
      <c r="R262" s="135">
        <v>2.5582112795448201E-2</v>
      </c>
      <c r="S262" s="135">
        <v>2.6192536493968001E-2</v>
      </c>
      <c r="T262" s="135">
        <v>2.3707733196663801E-2</v>
      </c>
      <c r="U262" s="135">
        <v>3.4456160399687297E-2</v>
      </c>
      <c r="V262" s="135">
        <v>0.111724035474196</v>
      </c>
      <c r="W262" s="135">
        <v>0.234848331021316</v>
      </c>
      <c r="X262" s="135">
        <v>0.20364196294480399</v>
      </c>
      <c r="Y262" s="135">
        <v>0.15410236808321801</v>
      </c>
      <c r="Z262" s="135">
        <v>9.3400276185943695E-2</v>
      </c>
      <c r="AA262" s="135">
        <v>3.1447768652104399E-2</v>
      </c>
      <c r="AB262" s="135">
        <v>1.13462976164963E-2</v>
      </c>
      <c r="AC262" s="135">
        <v>6.1717464094372997E-3</v>
      </c>
      <c r="AD262" s="135">
        <v>5.3492219888298196E-3</v>
      </c>
      <c r="AF262" s="243">
        <f t="shared" si="6"/>
        <v>0.47372080374467596</v>
      </c>
      <c r="AG262" s="275">
        <f t="shared" si="7"/>
        <v>0.47499263920421686</v>
      </c>
      <c r="AH262" s="391">
        <f t="shared" si="8"/>
        <v>0.57657429167926122</v>
      </c>
      <c r="AI262" s="135">
        <f t="shared" si="9"/>
        <v>1.0515669308834781</v>
      </c>
    </row>
    <row r="263" spans="1:35" ht="12.6">
      <c r="A263" s="10" t="s">
        <v>186</v>
      </c>
      <c r="B263" s="10">
        <v>262</v>
      </c>
      <c r="C263" s="10" t="s">
        <v>1515</v>
      </c>
      <c r="D263" s="388">
        <v>45188</v>
      </c>
      <c r="E263" s="389">
        <v>45188</v>
      </c>
      <c r="F263" s="390" t="str">
        <f t="shared" si="5"/>
        <v>Cooking</v>
      </c>
      <c r="G263" s="135">
        <v>3.3573202859812998E-3</v>
      </c>
      <c r="H263" s="135">
        <v>2.0128763147679398E-3</v>
      </c>
      <c r="I263" s="135">
        <v>1.9625891602909301E-3</v>
      </c>
      <c r="J263" s="135">
        <v>1.98343193776847E-3</v>
      </c>
      <c r="K263" s="135">
        <v>2.07802086437204E-3</v>
      </c>
      <c r="L263" s="135">
        <v>5.4922382010370498E-3</v>
      </c>
      <c r="M263" s="135">
        <v>1.5656397455901201E-2</v>
      </c>
      <c r="N263" s="135">
        <v>1.29478473734667E-2</v>
      </c>
      <c r="O263" s="135">
        <v>1.32404138115824E-2</v>
      </c>
      <c r="P263" s="135">
        <v>1.3655349852800799E-2</v>
      </c>
      <c r="Q263" s="135">
        <v>1.7209894363396702E-2</v>
      </c>
      <c r="R263" s="135">
        <v>2.5582112795448201E-2</v>
      </c>
      <c r="S263" s="135">
        <v>2.6192536493968001E-2</v>
      </c>
      <c r="T263" s="135">
        <v>2.3707733196663801E-2</v>
      </c>
      <c r="U263" s="135">
        <v>3.4456160399687297E-2</v>
      </c>
      <c r="V263" s="135">
        <v>0.111724035474196</v>
      </c>
      <c r="W263" s="135">
        <v>0.234848331021316</v>
      </c>
      <c r="X263" s="135">
        <v>0.20364196294480399</v>
      </c>
      <c r="Y263" s="135">
        <v>0.15410236808321801</v>
      </c>
      <c r="Z263" s="135">
        <v>9.3400276185943695E-2</v>
      </c>
      <c r="AA263" s="135">
        <v>3.1447768652104399E-2</v>
      </c>
      <c r="AB263" s="135">
        <v>1.13462976164963E-2</v>
      </c>
      <c r="AC263" s="135">
        <v>6.1717464094372997E-3</v>
      </c>
      <c r="AD263" s="135">
        <v>5.3492219888298196E-3</v>
      </c>
      <c r="AF263" s="243">
        <f t="shared" si="6"/>
        <v>0.47372080374467596</v>
      </c>
      <c r="AG263" s="275">
        <f t="shared" si="7"/>
        <v>0.47499263920421686</v>
      </c>
      <c r="AH263" s="391">
        <f t="shared" si="8"/>
        <v>0.57657429167926122</v>
      </c>
      <c r="AI263" s="135">
        <f t="shared" si="9"/>
        <v>1.0515669308834781</v>
      </c>
    </row>
    <row r="264" spans="1:35" ht="12.6">
      <c r="A264" s="10" t="s">
        <v>186</v>
      </c>
      <c r="B264" s="10">
        <v>263</v>
      </c>
      <c r="C264" s="10" t="s">
        <v>1515</v>
      </c>
      <c r="D264" s="388">
        <v>45189</v>
      </c>
      <c r="E264" s="389">
        <v>45189</v>
      </c>
      <c r="F264" s="390" t="str">
        <f t="shared" si="5"/>
        <v>Cooking</v>
      </c>
      <c r="G264" s="135">
        <v>3.3573202859812998E-3</v>
      </c>
      <c r="H264" s="135">
        <v>2.0128763147679398E-3</v>
      </c>
      <c r="I264" s="135">
        <v>1.9625891602909301E-3</v>
      </c>
      <c r="J264" s="135">
        <v>1.98343193776847E-3</v>
      </c>
      <c r="K264" s="135">
        <v>2.07802086437204E-3</v>
      </c>
      <c r="L264" s="135">
        <v>5.4922382010370498E-3</v>
      </c>
      <c r="M264" s="135">
        <v>1.5656397455901201E-2</v>
      </c>
      <c r="N264" s="135">
        <v>1.29478473734667E-2</v>
      </c>
      <c r="O264" s="135">
        <v>1.32404138115824E-2</v>
      </c>
      <c r="P264" s="135">
        <v>1.3655349852800799E-2</v>
      </c>
      <c r="Q264" s="135">
        <v>1.7209894363396702E-2</v>
      </c>
      <c r="R264" s="135">
        <v>2.5582112795448201E-2</v>
      </c>
      <c r="S264" s="135">
        <v>2.6192536493968001E-2</v>
      </c>
      <c r="T264" s="135">
        <v>2.3707733196663801E-2</v>
      </c>
      <c r="U264" s="135">
        <v>3.4456160399687297E-2</v>
      </c>
      <c r="V264" s="135">
        <v>0.111724035474196</v>
      </c>
      <c r="W264" s="135">
        <v>0.234848331021316</v>
      </c>
      <c r="X264" s="135">
        <v>0.20364196294480399</v>
      </c>
      <c r="Y264" s="135">
        <v>0.15410236808321801</v>
      </c>
      <c r="Z264" s="135">
        <v>9.3400276185943695E-2</v>
      </c>
      <c r="AA264" s="135">
        <v>3.1447768652104399E-2</v>
      </c>
      <c r="AB264" s="135">
        <v>1.13462976164963E-2</v>
      </c>
      <c r="AC264" s="135">
        <v>6.1717464094372997E-3</v>
      </c>
      <c r="AD264" s="135">
        <v>5.3492219888298196E-3</v>
      </c>
      <c r="AF264" s="243">
        <f t="shared" si="6"/>
        <v>0.47372080374467596</v>
      </c>
      <c r="AG264" s="275">
        <f t="shared" si="7"/>
        <v>0.47499263920421686</v>
      </c>
      <c r="AH264" s="391">
        <f t="shared" si="8"/>
        <v>0.57657429167926122</v>
      </c>
      <c r="AI264" s="135">
        <f t="shared" si="9"/>
        <v>1.0515669308834781</v>
      </c>
    </row>
    <row r="265" spans="1:35" ht="12.6">
      <c r="A265" s="10" t="s">
        <v>186</v>
      </c>
      <c r="B265" s="10">
        <v>264</v>
      </c>
      <c r="C265" s="10" t="s">
        <v>1515</v>
      </c>
      <c r="D265" s="388">
        <v>45190</v>
      </c>
      <c r="E265" s="389">
        <v>45190</v>
      </c>
      <c r="F265" s="390" t="str">
        <f t="shared" si="5"/>
        <v>Cooking</v>
      </c>
      <c r="G265" s="135">
        <v>3.3573202859812998E-3</v>
      </c>
      <c r="H265" s="135">
        <v>2.0128763147679398E-3</v>
      </c>
      <c r="I265" s="135">
        <v>1.9625891602909301E-3</v>
      </c>
      <c r="J265" s="135">
        <v>1.98343193776847E-3</v>
      </c>
      <c r="K265" s="135">
        <v>2.07802086437204E-3</v>
      </c>
      <c r="L265" s="135">
        <v>5.4922382010370498E-3</v>
      </c>
      <c r="M265" s="135">
        <v>1.5656397455901201E-2</v>
      </c>
      <c r="N265" s="135">
        <v>1.29478473734667E-2</v>
      </c>
      <c r="O265" s="135">
        <v>1.32404138115824E-2</v>
      </c>
      <c r="P265" s="135">
        <v>1.3655349852800799E-2</v>
      </c>
      <c r="Q265" s="135">
        <v>1.7209894363396702E-2</v>
      </c>
      <c r="R265" s="135">
        <v>2.5582112795448201E-2</v>
      </c>
      <c r="S265" s="135">
        <v>2.6192536493968001E-2</v>
      </c>
      <c r="T265" s="135">
        <v>2.3707733196663801E-2</v>
      </c>
      <c r="U265" s="135">
        <v>3.4456160399687297E-2</v>
      </c>
      <c r="V265" s="135">
        <v>0.111724035474196</v>
      </c>
      <c r="W265" s="135">
        <v>0.234848331021316</v>
      </c>
      <c r="X265" s="135">
        <v>0.20364196294480399</v>
      </c>
      <c r="Y265" s="135">
        <v>0.15410236808321801</v>
      </c>
      <c r="Z265" s="135">
        <v>9.3400276185943695E-2</v>
      </c>
      <c r="AA265" s="135">
        <v>3.1447768652104399E-2</v>
      </c>
      <c r="AB265" s="135">
        <v>1.13462976164963E-2</v>
      </c>
      <c r="AC265" s="135">
        <v>6.1717464094372997E-3</v>
      </c>
      <c r="AD265" s="135">
        <v>5.3492219888298196E-3</v>
      </c>
      <c r="AF265" s="243">
        <f t="shared" si="6"/>
        <v>0.47372080374467596</v>
      </c>
      <c r="AG265" s="275">
        <f t="shared" si="7"/>
        <v>0.47499263920421686</v>
      </c>
      <c r="AH265" s="391">
        <f t="shared" si="8"/>
        <v>0.57657429167926122</v>
      </c>
      <c r="AI265" s="135">
        <f t="shared" si="9"/>
        <v>1.0515669308834781</v>
      </c>
    </row>
    <row r="266" spans="1:35" ht="12.6">
      <c r="A266" s="10" t="s">
        <v>186</v>
      </c>
      <c r="B266" s="10">
        <v>265</v>
      </c>
      <c r="C266" s="10" t="s">
        <v>1515</v>
      </c>
      <c r="D266" s="388">
        <v>45191</v>
      </c>
      <c r="E266" s="389">
        <v>45191</v>
      </c>
      <c r="F266" s="390" t="str">
        <f t="shared" si="5"/>
        <v>Cooking</v>
      </c>
      <c r="G266" s="135">
        <v>3.3573202859812998E-3</v>
      </c>
      <c r="H266" s="135">
        <v>2.0128763147679398E-3</v>
      </c>
      <c r="I266" s="135">
        <v>1.9625891602909301E-3</v>
      </c>
      <c r="J266" s="135">
        <v>1.98343193776847E-3</v>
      </c>
      <c r="K266" s="135">
        <v>2.07802086437204E-3</v>
      </c>
      <c r="L266" s="135">
        <v>5.4922382010370498E-3</v>
      </c>
      <c r="M266" s="135">
        <v>1.5656397455901201E-2</v>
      </c>
      <c r="N266" s="135">
        <v>1.29478473734667E-2</v>
      </c>
      <c r="O266" s="135">
        <v>1.32404138115824E-2</v>
      </c>
      <c r="P266" s="135">
        <v>1.3655349852800799E-2</v>
      </c>
      <c r="Q266" s="135">
        <v>1.7209894363396702E-2</v>
      </c>
      <c r="R266" s="135">
        <v>2.5582112795448201E-2</v>
      </c>
      <c r="S266" s="135">
        <v>2.6192536493968001E-2</v>
      </c>
      <c r="T266" s="135">
        <v>2.3707733196663801E-2</v>
      </c>
      <c r="U266" s="135">
        <v>3.4456160399687297E-2</v>
      </c>
      <c r="V266" s="135">
        <v>0.111724035474196</v>
      </c>
      <c r="W266" s="135">
        <v>0.234848331021316</v>
      </c>
      <c r="X266" s="135">
        <v>0.20364196294480399</v>
      </c>
      <c r="Y266" s="135">
        <v>0.15410236808321801</v>
      </c>
      <c r="Z266" s="135">
        <v>9.3400276185943695E-2</v>
      </c>
      <c r="AA266" s="135">
        <v>3.1447768652104399E-2</v>
      </c>
      <c r="AB266" s="135">
        <v>1.13462976164963E-2</v>
      </c>
      <c r="AC266" s="135">
        <v>6.1717464094372997E-3</v>
      </c>
      <c r="AD266" s="135">
        <v>5.3492219888298196E-3</v>
      </c>
      <c r="AF266" s="243">
        <f t="shared" si="6"/>
        <v>0.47372080374467596</v>
      </c>
      <c r="AG266" s="275">
        <f t="shared" si="7"/>
        <v>0.47499263920421686</v>
      </c>
      <c r="AH266" s="391">
        <f t="shared" si="8"/>
        <v>0.57657429167926122</v>
      </c>
      <c r="AI266" s="135">
        <f t="shared" si="9"/>
        <v>1.0515669308834781</v>
      </c>
    </row>
    <row r="267" spans="1:35" ht="12.6">
      <c r="A267" s="10" t="s">
        <v>186</v>
      </c>
      <c r="B267" s="10">
        <v>266</v>
      </c>
      <c r="C267" s="10" t="s">
        <v>1515</v>
      </c>
      <c r="D267" s="388">
        <v>45192</v>
      </c>
      <c r="E267" s="389">
        <v>45192</v>
      </c>
      <c r="F267" s="390" t="str">
        <f t="shared" si="5"/>
        <v>Cooking</v>
      </c>
      <c r="G267" s="135">
        <v>2.14385861780368E-3</v>
      </c>
      <c r="H267" s="135">
        <v>1.84115209948154E-3</v>
      </c>
      <c r="I267" s="135">
        <v>1.8036476238196401E-3</v>
      </c>
      <c r="J267" s="135">
        <v>1.83430294723959E-3</v>
      </c>
      <c r="K267" s="135">
        <v>1.8424860841083099E-3</v>
      </c>
      <c r="L267" s="135">
        <v>6.3365276272887103E-3</v>
      </c>
      <c r="M267" s="135">
        <v>1.3428253910507001E-2</v>
      </c>
      <c r="N267" s="135">
        <v>2.57318324639054E-2</v>
      </c>
      <c r="O267" s="135">
        <v>3.4365866596057698E-2</v>
      </c>
      <c r="P267" s="135">
        <v>3.9392826178607197E-2</v>
      </c>
      <c r="Q267" s="135">
        <v>5.46605903788972E-2</v>
      </c>
      <c r="R267" s="135">
        <v>6.13761761207453E-2</v>
      </c>
      <c r="S267" s="135">
        <v>5.71710484003672E-2</v>
      </c>
      <c r="T267" s="135">
        <v>5.3510464480555901E-2</v>
      </c>
      <c r="U267" s="135">
        <v>5.3674061014556199E-2</v>
      </c>
      <c r="V267" s="135">
        <v>8.6962361028018506E-2</v>
      </c>
      <c r="W267" s="135">
        <v>0.18577062091833799</v>
      </c>
      <c r="X267" s="135">
        <v>0.17171267171069901</v>
      </c>
      <c r="Y267" s="135">
        <v>0.115375522355307</v>
      </c>
      <c r="Z267" s="135">
        <v>5.7651072279798703E-2</v>
      </c>
      <c r="AA267" s="135">
        <v>2.1048606530868801E-2</v>
      </c>
      <c r="AB267" s="135">
        <v>9.2943319961321293E-3</v>
      </c>
      <c r="AC267" s="135">
        <v>4.51267157400107E-3</v>
      </c>
      <c r="AD267" s="135">
        <v>3.2029867800939102E-3</v>
      </c>
      <c r="AF267" s="243">
        <f t="shared" si="6"/>
        <v>0.55312532234147826</v>
      </c>
      <c r="AG267" s="275">
        <f t="shared" si="7"/>
        <v>0.47403444310617937</v>
      </c>
      <c r="AH267" s="391">
        <f t="shared" si="8"/>
        <v>0.59060949661101847</v>
      </c>
      <c r="AI267" s="135">
        <f t="shared" si="9"/>
        <v>1.0646439397171978</v>
      </c>
    </row>
    <row r="268" spans="1:35" ht="12.6">
      <c r="A268" s="10" t="s">
        <v>186</v>
      </c>
      <c r="B268" s="10">
        <v>267</v>
      </c>
      <c r="C268" s="10" t="s">
        <v>1515</v>
      </c>
      <c r="D268" s="388">
        <v>45193</v>
      </c>
      <c r="E268" s="389">
        <v>45193</v>
      </c>
      <c r="F268" s="390" t="str">
        <f t="shared" si="5"/>
        <v>Cooking</v>
      </c>
      <c r="G268" s="135">
        <v>2.14385861780368E-3</v>
      </c>
      <c r="H268" s="135">
        <v>1.84115209948154E-3</v>
      </c>
      <c r="I268" s="135">
        <v>1.8036476238196401E-3</v>
      </c>
      <c r="J268" s="135">
        <v>1.83430294723959E-3</v>
      </c>
      <c r="K268" s="135">
        <v>1.8424860841083099E-3</v>
      </c>
      <c r="L268" s="135">
        <v>6.3365276272887103E-3</v>
      </c>
      <c r="M268" s="135">
        <v>1.3428253910507001E-2</v>
      </c>
      <c r="N268" s="135">
        <v>2.57318324639054E-2</v>
      </c>
      <c r="O268" s="135">
        <v>3.4365866596057698E-2</v>
      </c>
      <c r="P268" s="135">
        <v>3.9392826178607197E-2</v>
      </c>
      <c r="Q268" s="135">
        <v>5.46605903788972E-2</v>
      </c>
      <c r="R268" s="135">
        <v>6.13761761207453E-2</v>
      </c>
      <c r="S268" s="135">
        <v>5.71710484003672E-2</v>
      </c>
      <c r="T268" s="135">
        <v>5.3510464480555901E-2</v>
      </c>
      <c r="U268" s="135">
        <v>5.3674061014556199E-2</v>
      </c>
      <c r="V268" s="135">
        <v>8.6962361028018506E-2</v>
      </c>
      <c r="W268" s="135">
        <v>0.18577062091833799</v>
      </c>
      <c r="X268" s="135">
        <v>0.17171267171069901</v>
      </c>
      <c r="Y268" s="135">
        <v>0.115375522355307</v>
      </c>
      <c r="Z268" s="135">
        <v>5.7651072279798703E-2</v>
      </c>
      <c r="AA268" s="135">
        <v>2.1048606530868801E-2</v>
      </c>
      <c r="AB268" s="135">
        <v>9.2943319961321293E-3</v>
      </c>
      <c r="AC268" s="135">
        <v>4.51267157400107E-3</v>
      </c>
      <c r="AD268" s="135">
        <v>3.2029867800939102E-3</v>
      </c>
      <c r="AF268" s="243">
        <f t="shared" si="6"/>
        <v>0.55312532234147826</v>
      </c>
      <c r="AG268" s="275">
        <f t="shared" si="7"/>
        <v>0.47403444310617937</v>
      </c>
      <c r="AH268" s="391">
        <f t="shared" si="8"/>
        <v>0.59060949661101847</v>
      </c>
      <c r="AI268" s="135">
        <f t="shared" si="9"/>
        <v>1.0646439397171978</v>
      </c>
    </row>
    <row r="269" spans="1:35" ht="12.6">
      <c r="A269" s="10" t="s">
        <v>186</v>
      </c>
      <c r="B269" s="10">
        <v>268</v>
      </c>
      <c r="C269" s="10" t="s">
        <v>1515</v>
      </c>
      <c r="D269" s="388">
        <v>45194</v>
      </c>
      <c r="E269" s="389">
        <v>45194</v>
      </c>
      <c r="F269" s="390" t="str">
        <f t="shared" si="5"/>
        <v>Cooking</v>
      </c>
      <c r="G269" s="135">
        <v>3.3573202859812998E-3</v>
      </c>
      <c r="H269" s="135">
        <v>2.0128763147679398E-3</v>
      </c>
      <c r="I269" s="135">
        <v>1.9625891602909301E-3</v>
      </c>
      <c r="J269" s="135">
        <v>1.98343193776847E-3</v>
      </c>
      <c r="K269" s="135">
        <v>2.07802086437204E-3</v>
      </c>
      <c r="L269" s="135">
        <v>5.4922382010370498E-3</v>
      </c>
      <c r="M269" s="135">
        <v>1.5656397455901201E-2</v>
      </c>
      <c r="N269" s="135">
        <v>1.29478473734667E-2</v>
      </c>
      <c r="O269" s="135">
        <v>1.32404138115824E-2</v>
      </c>
      <c r="P269" s="135">
        <v>1.3655349852800799E-2</v>
      </c>
      <c r="Q269" s="135">
        <v>1.7209894363396702E-2</v>
      </c>
      <c r="R269" s="135">
        <v>2.5582112795448201E-2</v>
      </c>
      <c r="S269" s="135">
        <v>2.6192536493968001E-2</v>
      </c>
      <c r="T269" s="135">
        <v>2.3707733196663801E-2</v>
      </c>
      <c r="U269" s="135">
        <v>3.4456160399687297E-2</v>
      </c>
      <c r="V269" s="135">
        <v>0.111724035474196</v>
      </c>
      <c r="W269" s="135">
        <v>0.234848331021316</v>
      </c>
      <c r="X269" s="135">
        <v>0.20364196294480399</v>
      </c>
      <c r="Y269" s="135">
        <v>0.15410236808321801</v>
      </c>
      <c r="Z269" s="135">
        <v>9.3400276185943695E-2</v>
      </c>
      <c r="AA269" s="135">
        <v>3.1447768652104399E-2</v>
      </c>
      <c r="AB269" s="135">
        <v>1.13462976164963E-2</v>
      </c>
      <c r="AC269" s="135">
        <v>6.1717464094372997E-3</v>
      </c>
      <c r="AD269" s="135">
        <v>5.3492219888298196E-3</v>
      </c>
      <c r="AF269" s="243">
        <f t="shared" si="6"/>
        <v>0.47372080374467596</v>
      </c>
      <c r="AG269" s="275">
        <f t="shared" si="7"/>
        <v>0.47499263920421686</v>
      </c>
      <c r="AH269" s="391">
        <f t="shared" si="8"/>
        <v>0.57657429167926122</v>
      </c>
      <c r="AI269" s="135">
        <f t="shared" si="9"/>
        <v>1.0515669308834781</v>
      </c>
    </row>
    <row r="270" spans="1:35" ht="12.6">
      <c r="A270" s="10" t="s">
        <v>186</v>
      </c>
      <c r="B270" s="10">
        <v>269</v>
      </c>
      <c r="C270" s="10" t="s">
        <v>1515</v>
      </c>
      <c r="D270" s="388">
        <v>45195</v>
      </c>
      <c r="E270" s="389">
        <v>45195</v>
      </c>
      <c r="F270" s="390" t="str">
        <f t="shared" si="5"/>
        <v>Cooking</v>
      </c>
      <c r="G270" s="135">
        <v>3.3573202859812998E-3</v>
      </c>
      <c r="H270" s="135">
        <v>2.0128763147679398E-3</v>
      </c>
      <c r="I270" s="135">
        <v>1.9625891602909301E-3</v>
      </c>
      <c r="J270" s="135">
        <v>1.98343193776847E-3</v>
      </c>
      <c r="K270" s="135">
        <v>2.07802086437204E-3</v>
      </c>
      <c r="L270" s="135">
        <v>5.4922382010370498E-3</v>
      </c>
      <c r="M270" s="135">
        <v>1.5656397455901201E-2</v>
      </c>
      <c r="N270" s="135">
        <v>1.29478473734667E-2</v>
      </c>
      <c r="O270" s="135">
        <v>1.32404138115824E-2</v>
      </c>
      <c r="P270" s="135">
        <v>1.3655349852800799E-2</v>
      </c>
      <c r="Q270" s="135">
        <v>1.7209894363396702E-2</v>
      </c>
      <c r="R270" s="135">
        <v>2.5582112795448201E-2</v>
      </c>
      <c r="S270" s="135">
        <v>2.6192536493968001E-2</v>
      </c>
      <c r="T270" s="135">
        <v>2.3707733196663801E-2</v>
      </c>
      <c r="U270" s="135">
        <v>3.4456160399687297E-2</v>
      </c>
      <c r="V270" s="135">
        <v>0.111724035474196</v>
      </c>
      <c r="W270" s="135">
        <v>0.234848331021316</v>
      </c>
      <c r="X270" s="135">
        <v>0.20364196294480399</v>
      </c>
      <c r="Y270" s="135">
        <v>0.15410236808321801</v>
      </c>
      <c r="Z270" s="135">
        <v>9.3400276185943695E-2</v>
      </c>
      <c r="AA270" s="135">
        <v>3.1447768652104399E-2</v>
      </c>
      <c r="AB270" s="135">
        <v>1.13462976164963E-2</v>
      </c>
      <c r="AC270" s="135">
        <v>6.1717464094372997E-3</v>
      </c>
      <c r="AD270" s="135">
        <v>5.3492219888298196E-3</v>
      </c>
      <c r="AF270" s="243">
        <f t="shared" si="6"/>
        <v>0.47372080374467596</v>
      </c>
      <c r="AG270" s="275">
        <f t="shared" si="7"/>
        <v>0.47499263920421686</v>
      </c>
      <c r="AH270" s="391">
        <f t="shared" si="8"/>
        <v>0.57657429167926122</v>
      </c>
      <c r="AI270" s="135">
        <f t="shared" si="9"/>
        <v>1.0515669308834781</v>
      </c>
    </row>
    <row r="271" spans="1:35" ht="12.6">
      <c r="A271" s="10" t="s">
        <v>186</v>
      </c>
      <c r="B271" s="10">
        <v>270</v>
      </c>
      <c r="C271" s="10" t="s">
        <v>1515</v>
      </c>
      <c r="D271" s="388">
        <v>45196</v>
      </c>
      <c r="E271" s="389">
        <v>45196</v>
      </c>
      <c r="F271" s="390" t="str">
        <f t="shared" si="5"/>
        <v>Cooking</v>
      </c>
      <c r="G271" s="135">
        <v>3.3573202859812998E-3</v>
      </c>
      <c r="H271" s="135">
        <v>2.0128763147679398E-3</v>
      </c>
      <c r="I271" s="135">
        <v>1.9625891602909301E-3</v>
      </c>
      <c r="J271" s="135">
        <v>1.98343193776847E-3</v>
      </c>
      <c r="K271" s="135">
        <v>2.07802086437204E-3</v>
      </c>
      <c r="L271" s="135">
        <v>5.4922382010370498E-3</v>
      </c>
      <c r="M271" s="135">
        <v>1.5656397455901201E-2</v>
      </c>
      <c r="N271" s="135">
        <v>1.29478473734667E-2</v>
      </c>
      <c r="O271" s="135">
        <v>1.32404138115824E-2</v>
      </c>
      <c r="P271" s="135">
        <v>1.3655349852800799E-2</v>
      </c>
      <c r="Q271" s="135">
        <v>1.7209894363396702E-2</v>
      </c>
      <c r="R271" s="135">
        <v>2.5582112795448201E-2</v>
      </c>
      <c r="S271" s="135">
        <v>2.6192536493968001E-2</v>
      </c>
      <c r="T271" s="135">
        <v>2.3707733196663801E-2</v>
      </c>
      <c r="U271" s="135">
        <v>3.4456160399687297E-2</v>
      </c>
      <c r="V271" s="135">
        <v>0.111724035474196</v>
      </c>
      <c r="W271" s="135">
        <v>0.234848331021316</v>
      </c>
      <c r="X271" s="135">
        <v>0.20364196294480399</v>
      </c>
      <c r="Y271" s="135">
        <v>0.15410236808321801</v>
      </c>
      <c r="Z271" s="135">
        <v>9.3400276185943695E-2</v>
      </c>
      <c r="AA271" s="135">
        <v>3.1447768652104399E-2</v>
      </c>
      <c r="AB271" s="135">
        <v>1.13462976164963E-2</v>
      </c>
      <c r="AC271" s="135">
        <v>6.1717464094372997E-3</v>
      </c>
      <c r="AD271" s="135">
        <v>5.3492219888298196E-3</v>
      </c>
      <c r="AF271" s="243">
        <f t="shared" si="6"/>
        <v>0.47372080374467596</v>
      </c>
      <c r="AG271" s="275">
        <f t="shared" si="7"/>
        <v>0.47499263920421686</v>
      </c>
      <c r="AH271" s="391">
        <f t="shared" si="8"/>
        <v>0.57657429167926122</v>
      </c>
      <c r="AI271" s="135">
        <f t="shared" si="9"/>
        <v>1.0515669308834781</v>
      </c>
    </row>
    <row r="272" spans="1:35" ht="12.6">
      <c r="A272" s="10" t="s">
        <v>186</v>
      </c>
      <c r="B272" s="10">
        <v>271</v>
      </c>
      <c r="C272" s="10" t="s">
        <v>1515</v>
      </c>
      <c r="D272" s="388">
        <v>45197</v>
      </c>
      <c r="E272" s="389">
        <v>45197</v>
      </c>
      <c r="F272" s="390" t="str">
        <f t="shared" si="5"/>
        <v>Cooking</v>
      </c>
      <c r="G272" s="135">
        <v>3.3573202859812998E-3</v>
      </c>
      <c r="H272" s="135">
        <v>2.0128763147679398E-3</v>
      </c>
      <c r="I272" s="135">
        <v>1.9625891602909301E-3</v>
      </c>
      <c r="J272" s="135">
        <v>1.98343193776847E-3</v>
      </c>
      <c r="K272" s="135">
        <v>2.07802086437204E-3</v>
      </c>
      <c r="L272" s="135">
        <v>5.4922382010370498E-3</v>
      </c>
      <c r="M272" s="135">
        <v>1.5656397455901201E-2</v>
      </c>
      <c r="N272" s="135">
        <v>1.29478473734667E-2</v>
      </c>
      <c r="O272" s="135">
        <v>1.32404138115824E-2</v>
      </c>
      <c r="P272" s="135">
        <v>1.3655349852800799E-2</v>
      </c>
      <c r="Q272" s="135">
        <v>1.7209894363396702E-2</v>
      </c>
      <c r="R272" s="135">
        <v>2.5582112795448201E-2</v>
      </c>
      <c r="S272" s="135">
        <v>2.6192536493968001E-2</v>
      </c>
      <c r="T272" s="135">
        <v>2.3707733196663801E-2</v>
      </c>
      <c r="U272" s="135">
        <v>3.4456160399687297E-2</v>
      </c>
      <c r="V272" s="135">
        <v>0.111724035474196</v>
      </c>
      <c r="W272" s="135">
        <v>0.234848331021316</v>
      </c>
      <c r="X272" s="135">
        <v>0.20364196294480399</v>
      </c>
      <c r="Y272" s="135">
        <v>0.15410236808321801</v>
      </c>
      <c r="Z272" s="135">
        <v>9.3400276185943695E-2</v>
      </c>
      <c r="AA272" s="135">
        <v>3.1447768652104399E-2</v>
      </c>
      <c r="AB272" s="135">
        <v>1.13462976164963E-2</v>
      </c>
      <c r="AC272" s="135">
        <v>6.1717464094372997E-3</v>
      </c>
      <c r="AD272" s="135">
        <v>5.3492219888298196E-3</v>
      </c>
      <c r="AF272" s="243">
        <f t="shared" si="6"/>
        <v>0.47372080374467596</v>
      </c>
      <c r="AG272" s="275">
        <f t="shared" si="7"/>
        <v>0.47499263920421686</v>
      </c>
      <c r="AH272" s="391">
        <f t="shared" si="8"/>
        <v>0.57657429167926122</v>
      </c>
      <c r="AI272" s="135">
        <f t="shared" si="9"/>
        <v>1.0515669308834781</v>
      </c>
    </row>
    <row r="273" spans="1:35" ht="12.6">
      <c r="A273" s="10" t="s">
        <v>186</v>
      </c>
      <c r="B273" s="10">
        <v>272</v>
      </c>
      <c r="C273" s="10" t="s">
        <v>1515</v>
      </c>
      <c r="D273" s="388">
        <v>45198</v>
      </c>
      <c r="E273" s="389">
        <v>45198</v>
      </c>
      <c r="F273" s="390" t="str">
        <f t="shared" si="5"/>
        <v>Cooking</v>
      </c>
      <c r="G273" s="135">
        <v>3.3573202859812998E-3</v>
      </c>
      <c r="H273" s="135">
        <v>2.0128763147679398E-3</v>
      </c>
      <c r="I273" s="135">
        <v>1.9625891602909301E-3</v>
      </c>
      <c r="J273" s="135">
        <v>1.98343193776847E-3</v>
      </c>
      <c r="K273" s="135">
        <v>2.07802086437204E-3</v>
      </c>
      <c r="L273" s="135">
        <v>5.4922382010370498E-3</v>
      </c>
      <c r="M273" s="135">
        <v>1.5656397455901201E-2</v>
      </c>
      <c r="N273" s="135">
        <v>1.29478473734667E-2</v>
      </c>
      <c r="O273" s="135">
        <v>1.32404138115824E-2</v>
      </c>
      <c r="P273" s="135">
        <v>1.3655349852800799E-2</v>
      </c>
      <c r="Q273" s="135">
        <v>1.7209894363396702E-2</v>
      </c>
      <c r="R273" s="135">
        <v>2.5582112795448201E-2</v>
      </c>
      <c r="S273" s="135">
        <v>2.6192536493968001E-2</v>
      </c>
      <c r="T273" s="135">
        <v>2.3707733196663801E-2</v>
      </c>
      <c r="U273" s="135">
        <v>3.4456160399687297E-2</v>
      </c>
      <c r="V273" s="135">
        <v>0.111724035474196</v>
      </c>
      <c r="W273" s="135">
        <v>0.234848331021316</v>
      </c>
      <c r="X273" s="135">
        <v>0.20364196294480399</v>
      </c>
      <c r="Y273" s="135">
        <v>0.15410236808321801</v>
      </c>
      <c r="Z273" s="135">
        <v>9.3400276185943695E-2</v>
      </c>
      <c r="AA273" s="135">
        <v>3.1447768652104399E-2</v>
      </c>
      <c r="AB273" s="135">
        <v>1.13462976164963E-2</v>
      </c>
      <c r="AC273" s="135">
        <v>6.1717464094372997E-3</v>
      </c>
      <c r="AD273" s="135">
        <v>5.3492219888298196E-3</v>
      </c>
      <c r="AF273" s="243">
        <f t="shared" si="6"/>
        <v>0.47372080374467596</v>
      </c>
      <c r="AG273" s="275">
        <f t="shared" si="7"/>
        <v>0.47499263920421686</v>
      </c>
      <c r="AH273" s="391">
        <f t="shared" si="8"/>
        <v>0.57657429167926122</v>
      </c>
      <c r="AI273" s="135">
        <f t="shared" si="9"/>
        <v>1.0515669308834781</v>
      </c>
    </row>
    <row r="274" spans="1:35" ht="12.6">
      <c r="A274" s="10" t="s">
        <v>186</v>
      </c>
      <c r="B274" s="10">
        <v>273</v>
      </c>
      <c r="C274" s="10" t="s">
        <v>1515</v>
      </c>
      <c r="D274" s="388">
        <v>45199</v>
      </c>
      <c r="E274" s="389">
        <v>45199</v>
      </c>
      <c r="F274" s="390" t="str">
        <f t="shared" si="5"/>
        <v>Cooking</v>
      </c>
      <c r="G274" s="135">
        <v>2.14385861780368E-3</v>
      </c>
      <c r="H274" s="135">
        <v>1.84115209948154E-3</v>
      </c>
      <c r="I274" s="135">
        <v>1.8036476238196401E-3</v>
      </c>
      <c r="J274" s="135">
        <v>1.83430294723959E-3</v>
      </c>
      <c r="K274" s="135">
        <v>1.8424860841083099E-3</v>
      </c>
      <c r="L274" s="135">
        <v>6.3365276272887103E-3</v>
      </c>
      <c r="M274" s="135">
        <v>1.3428253910507001E-2</v>
      </c>
      <c r="N274" s="135">
        <v>2.57318324639054E-2</v>
      </c>
      <c r="O274" s="135">
        <v>3.4365866596057698E-2</v>
      </c>
      <c r="P274" s="135">
        <v>3.9392826178607197E-2</v>
      </c>
      <c r="Q274" s="135">
        <v>5.46605903788972E-2</v>
      </c>
      <c r="R274" s="135">
        <v>6.13761761207453E-2</v>
      </c>
      <c r="S274" s="135">
        <v>5.71710484003672E-2</v>
      </c>
      <c r="T274" s="135">
        <v>5.3510464480555901E-2</v>
      </c>
      <c r="U274" s="135">
        <v>5.3674061014556199E-2</v>
      </c>
      <c r="V274" s="135">
        <v>8.6962361028018506E-2</v>
      </c>
      <c r="W274" s="135">
        <v>0.18577062091833799</v>
      </c>
      <c r="X274" s="135">
        <v>0.17171267171069901</v>
      </c>
      <c r="Y274" s="135">
        <v>0.115375522355307</v>
      </c>
      <c r="Z274" s="135">
        <v>5.7651072279798703E-2</v>
      </c>
      <c r="AA274" s="135">
        <v>2.1048606530868801E-2</v>
      </c>
      <c r="AB274" s="135">
        <v>9.2943319961321293E-3</v>
      </c>
      <c r="AC274" s="135">
        <v>4.51267157400107E-3</v>
      </c>
      <c r="AD274" s="135">
        <v>3.2029867800939102E-3</v>
      </c>
      <c r="AF274" s="243">
        <f t="shared" si="6"/>
        <v>0.55312532234147826</v>
      </c>
      <c r="AG274" s="275">
        <f t="shared" si="7"/>
        <v>0.47403444310617937</v>
      </c>
      <c r="AH274" s="391">
        <f t="shared" si="8"/>
        <v>0.59060949661101847</v>
      </c>
      <c r="AI274" s="135">
        <f t="shared" si="9"/>
        <v>1.0646439397171978</v>
      </c>
    </row>
    <row r="275" spans="1:35" ht="12.6">
      <c r="A275" s="10" t="s">
        <v>186</v>
      </c>
      <c r="B275" s="10">
        <v>274</v>
      </c>
      <c r="C275" s="10" t="s">
        <v>1515</v>
      </c>
      <c r="D275" s="388">
        <v>45200</v>
      </c>
      <c r="E275" s="389">
        <v>45200</v>
      </c>
      <c r="F275" s="390" t="str">
        <f t="shared" si="5"/>
        <v>Cooking</v>
      </c>
      <c r="G275" s="135">
        <v>2.14385861780368E-3</v>
      </c>
      <c r="H275" s="135">
        <v>1.84115209948154E-3</v>
      </c>
      <c r="I275" s="135">
        <v>1.8036476238196401E-3</v>
      </c>
      <c r="J275" s="135">
        <v>1.83430294723959E-3</v>
      </c>
      <c r="K275" s="135">
        <v>1.8424860841083099E-3</v>
      </c>
      <c r="L275" s="135">
        <v>6.3365276272887103E-3</v>
      </c>
      <c r="M275" s="135">
        <v>1.3428253910507001E-2</v>
      </c>
      <c r="N275" s="135">
        <v>2.57318324639054E-2</v>
      </c>
      <c r="O275" s="135">
        <v>3.4365866596057698E-2</v>
      </c>
      <c r="P275" s="135">
        <v>3.9392826178607197E-2</v>
      </c>
      <c r="Q275" s="135">
        <v>5.46605903788972E-2</v>
      </c>
      <c r="R275" s="135">
        <v>6.13761761207453E-2</v>
      </c>
      <c r="S275" s="135">
        <v>5.71710484003672E-2</v>
      </c>
      <c r="T275" s="135">
        <v>5.3510464480555901E-2</v>
      </c>
      <c r="U275" s="135">
        <v>5.3674061014556199E-2</v>
      </c>
      <c r="V275" s="135">
        <v>8.6962361028018506E-2</v>
      </c>
      <c r="W275" s="135">
        <v>0.18577062091833799</v>
      </c>
      <c r="X275" s="135">
        <v>0.17171267171069901</v>
      </c>
      <c r="Y275" s="135">
        <v>0.115375522355307</v>
      </c>
      <c r="Z275" s="135">
        <v>5.7651072279798703E-2</v>
      </c>
      <c r="AA275" s="135">
        <v>2.1048606530868801E-2</v>
      </c>
      <c r="AB275" s="135">
        <v>9.2943319961321293E-3</v>
      </c>
      <c r="AC275" s="135">
        <v>4.51267157400107E-3</v>
      </c>
      <c r="AD275" s="135">
        <v>3.2029867800939102E-3</v>
      </c>
      <c r="AF275" s="243">
        <f t="shared" si="6"/>
        <v>0.55312532234147826</v>
      </c>
      <c r="AG275" s="275">
        <f t="shared" si="7"/>
        <v>0.47403444310617937</v>
      </c>
      <c r="AH275" s="391">
        <f t="shared" si="8"/>
        <v>0.59060949661101847</v>
      </c>
      <c r="AI275" s="135">
        <f t="shared" si="9"/>
        <v>1.0646439397171978</v>
      </c>
    </row>
    <row r="276" spans="1:35" ht="12.6">
      <c r="A276" s="10" t="s">
        <v>186</v>
      </c>
      <c r="B276" s="10">
        <v>275</v>
      </c>
      <c r="C276" s="10" t="s">
        <v>1515</v>
      </c>
      <c r="D276" s="388">
        <v>45201</v>
      </c>
      <c r="E276" s="389">
        <v>45201</v>
      </c>
      <c r="F276" s="390" t="str">
        <f t="shared" si="5"/>
        <v>Cooking</v>
      </c>
      <c r="G276" s="135">
        <v>3.3573202859812998E-3</v>
      </c>
      <c r="H276" s="135">
        <v>2.0128763147679398E-3</v>
      </c>
      <c r="I276" s="135">
        <v>1.9625891602909301E-3</v>
      </c>
      <c r="J276" s="135">
        <v>1.98343193776847E-3</v>
      </c>
      <c r="K276" s="135">
        <v>2.07802086437204E-3</v>
      </c>
      <c r="L276" s="135">
        <v>5.4922382010370498E-3</v>
      </c>
      <c r="M276" s="135">
        <v>1.5656397455901201E-2</v>
      </c>
      <c r="N276" s="135">
        <v>1.29478473734667E-2</v>
      </c>
      <c r="O276" s="135">
        <v>1.32404138115824E-2</v>
      </c>
      <c r="P276" s="135">
        <v>1.3655349852800799E-2</v>
      </c>
      <c r="Q276" s="135">
        <v>1.7209894363396702E-2</v>
      </c>
      <c r="R276" s="135">
        <v>2.5582112795448201E-2</v>
      </c>
      <c r="S276" s="135">
        <v>2.6192536493968001E-2</v>
      </c>
      <c r="T276" s="135">
        <v>2.3707733196663801E-2</v>
      </c>
      <c r="U276" s="135">
        <v>3.4456160399687297E-2</v>
      </c>
      <c r="V276" s="135">
        <v>0.111724035474196</v>
      </c>
      <c r="W276" s="135">
        <v>0.234848331021316</v>
      </c>
      <c r="X276" s="135">
        <v>0.20364196294480399</v>
      </c>
      <c r="Y276" s="135">
        <v>0.15410236808321801</v>
      </c>
      <c r="Z276" s="135">
        <v>9.3400276185943695E-2</v>
      </c>
      <c r="AA276" s="135">
        <v>3.1447768652104399E-2</v>
      </c>
      <c r="AB276" s="135">
        <v>1.13462976164963E-2</v>
      </c>
      <c r="AC276" s="135">
        <v>6.1717464094372997E-3</v>
      </c>
      <c r="AD276" s="135">
        <v>5.3492219888298196E-3</v>
      </c>
      <c r="AF276" s="243">
        <f t="shared" si="6"/>
        <v>0.47372080374467596</v>
      </c>
      <c r="AG276" s="275">
        <f t="shared" si="7"/>
        <v>0.47499263920421686</v>
      </c>
      <c r="AH276" s="391">
        <f t="shared" si="8"/>
        <v>0.57657429167926122</v>
      </c>
      <c r="AI276" s="135">
        <f t="shared" si="9"/>
        <v>1.0515669308834781</v>
      </c>
    </row>
    <row r="277" spans="1:35" ht="12.6">
      <c r="A277" s="10" t="s">
        <v>186</v>
      </c>
      <c r="B277" s="10">
        <v>276</v>
      </c>
      <c r="C277" s="10" t="s">
        <v>1515</v>
      </c>
      <c r="D277" s="388">
        <v>45202</v>
      </c>
      <c r="E277" s="389">
        <v>45202</v>
      </c>
      <c r="F277" s="390" t="str">
        <f t="shared" si="5"/>
        <v>Cooking</v>
      </c>
      <c r="G277" s="135">
        <v>3.3573202859812998E-3</v>
      </c>
      <c r="H277" s="135">
        <v>2.0128763147679398E-3</v>
      </c>
      <c r="I277" s="135">
        <v>1.9625891602909301E-3</v>
      </c>
      <c r="J277" s="135">
        <v>1.98343193776847E-3</v>
      </c>
      <c r="K277" s="135">
        <v>2.07802086437204E-3</v>
      </c>
      <c r="L277" s="135">
        <v>5.4922382010370498E-3</v>
      </c>
      <c r="M277" s="135">
        <v>1.5656397455901201E-2</v>
      </c>
      <c r="N277" s="135">
        <v>1.29478473734667E-2</v>
      </c>
      <c r="O277" s="135">
        <v>1.32404138115824E-2</v>
      </c>
      <c r="P277" s="135">
        <v>1.3655349852800799E-2</v>
      </c>
      <c r="Q277" s="135">
        <v>1.7209894363396702E-2</v>
      </c>
      <c r="R277" s="135">
        <v>2.5582112795448201E-2</v>
      </c>
      <c r="S277" s="135">
        <v>2.6192536493968001E-2</v>
      </c>
      <c r="T277" s="135">
        <v>2.3707733196663801E-2</v>
      </c>
      <c r="U277" s="135">
        <v>3.4456160399687297E-2</v>
      </c>
      <c r="V277" s="135">
        <v>0.111724035474196</v>
      </c>
      <c r="W277" s="135">
        <v>0.234848331021316</v>
      </c>
      <c r="X277" s="135">
        <v>0.20364196294480399</v>
      </c>
      <c r="Y277" s="135">
        <v>0.15410236808321801</v>
      </c>
      <c r="Z277" s="135">
        <v>9.3400276185943695E-2</v>
      </c>
      <c r="AA277" s="135">
        <v>3.1447768652104399E-2</v>
      </c>
      <c r="AB277" s="135">
        <v>1.13462976164963E-2</v>
      </c>
      <c r="AC277" s="135">
        <v>6.1717464094372997E-3</v>
      </c>
      <c r="AD277" s="135">
        <v>5.3492219888298196E-3</v>
      </c>
      <c r="AF277" s="243">
        <f t="shared" si="6"/>
        <v>0.47372080374467596</v>
      </c>
      <c r="AG277" s="275">
        <f t="shared" si="7"/>
        <v>0.47499263920421686</v>
      </c>
      <c r="AH277" s="391">
        <f t="shared" si="8"/>
        <v>0.57657429167926122</v>
      </c>
      <c r="AI277" s="135">
        <f t="shared" si="9"/>
        <v>1.0515669308834781</v>
      </c>
    </row>
    <row r="278" spans="1:35" ht="12.6">
      <c r="A278" s="10" t="s">
        <v>186</v>
      </c>
      <c r="B278" s="10">
        <v>277</v>
      </c>
      <c r="C278" s="10" t="s">
        <v>1515</v>
      </c>
      <c r="D278" s="388">
        <v>45203</v>
      </c>
      <c r="E278" s="389">
        <v>45203</v>
      </c>
      <c r="F278" s="390" t="str">
        <f t="shared" si="5"/>
        <v>Cooking</v>
      </c>
      <c r="G278" s="135">
        <v>3.3573202859812998E-3</v>
      </c>
      <c r="H278" s="135">
        <v>2.0128763147679398E-3</v>
      </c>
      <c r="I278" s="135">
        <v>1.9625891602909301E-3</v>
      </c>
      <c r="J278" s="135">
        <v>1.98343193776847E-3</v>
      </c>
      <c r="K278" s="135">
        <v>2.07802086437204E-3</v>
      </c>
      <c r="L278" s="135">
        <v>5.4922382010370498E-3</v>
      </c>
      <c r="M278" s="135">
        <v>1.5656397455901201E-2</v>
      </c>
      <c r="N278" s="135">
        <v>1.29478473734667E-2</v>
      </c>
      <c r="O278" s="135">
        <v>1.32404138115824E-2</v>
      </c>
      <c r="P278" s="135">
        <v>1.3655349852800799E-2</v>
      </c>
      <c r="Q278" s="135">
        <v>1.7209894363396702E-2</v>
      </c>
      <c r="R278" s="135">
        <v>2.5582112795448201E-2</v>
      </c>
      <c r="S278" s="135">
        <v>2.6192536493968001E-2</v>
      </c>
      <c r="T278" s="135">
        <v>2.3707733196663801E-2</v>
      </c>
      <c r="U278" s="135">
        <v>3.4456160399687297E-2</v>
      </c>
      <c r="V278" s="135">
        <v>0.111724035474196</v>
      </c>
      <c r="W278" s="135">
        <v>0.234848331021316</v>
      </c>
      <c r="X278" s="135">
        <v>0.20364196294480399</v>
      </c>
      <c r="Y278" s="135">
        <v>0.15410236808321801</v>
      </c>
      <c r="Z278" s="135">
        <v>9.3400276185943695E-2</v>
      </c>
      <c r="AA278" s="135">
        <v>3.1447768652104399E-2</v>
      </c>
      <c r="AB278" s="135">
        <v>1.13462976164963E-2</v>
      </c>
      <c r="AC278" s="135">
        <v>6.1717464094372997E-3</v>
      </c>
      <c r="AD278" s="135">
        <v>5.3492219888298196E-3</v>
      </c>
      <c r="AF278" s="243">
        <f t="shared" si="6"/>
        <v>0.47372080374467596</v>
      </c>
      <c r="AG278" s="275">
        <f t="shared" si="7"/>
        <v>0.47499263920421686</v>
      </c>
      <c r="AH278" s="391">
        <f t="shared" si="8"/>
        <v>0.57657429167926122</v>
      </c>
      <c r="AI278" s="135">
        <f t="shared" si="9"/>
        <v>1.0515669308834781</v>
      </c>
    </row>
    <row r="279" spans="1:35" ht="12.6">
      <c r="A279" s="10" t="s">
        <v>186</v>
      </c>
      <c r="B279" s="10">
        <v>278</v>
      </c>
      <c r="C279" s="10" t="s">
        <v>1515</v>
      </c>
      <c r="D279" s="388">
        <v>45204</v>
      </c>
      <c r="E279" s="389">
        <v>45204</v>
      </c>
      <c r="F279" s="390" t="str">
        <f t="shared" si="5"/>
        <v>Cooking</v>
      </c>
      <c r="G279" s="135">
        <v>3.3573202859812998E-3</v>
      </c>
      <c r="H279" s="135">
        <v>2.0128763147679398E-3</v>
      </c>
      <c r="I279" s="135">
        <v>1.9625891602909301E-3</v>
      </c>
      <c r="J279" s="135">
        <v>1.98343193776847E-3</v>
      </c>
      <c r="K279" s="135">
        <v>2.07802086437204E-3</v>
      </c>
      <c r="L279" s="135">
        <v>5.4922382010370498E-3</v>
      </c>
      <c r="M279" s="135">
        <v>1.5656397455901201E-2</v>
      </c>
      <c r="N279" s="135">
        <v>1.29478473734667E-2</v>
      </c>
      <c r="O279" s="135">
        <v>1.32404138115824E-2</v>
      </c>
      <c r="P279" s="135">
        <v>1.3655349852800799E-2</v>
      </c>
      <c r="Q279" s="135">
        <v>1.7209894363396702E-2</v>
      </c>
      <c r="R279" s="135">
        <v>2.5582112795448201E-2</v>
      </c>
      <c r="S279" s="135">
        <v>2.6192536493968001E-2</v>
      </c>
      <c r="T279" s="135">
        <v>2.3707733196663801E-2</v>
      </c>
      <c r="U279" s="135">
        <v>3.4456160399687297E-2</v>
      </c>
      <c r="V279" s="135">
        <v>0.111724035474196</v>
      </c>
      <c r="W279" s="135">
        <v>0.234848331021316</v>
      </c>
      <c r="X279" s="135">
        <v>0.20364196294480399</v>
      </c>
      <c r="Y279" s="135">
        <v>0.15410236808321801</v>
      </c>
      <c r="Z279" s="135">
        <v>9.3400276185943695E-2</v>
      </c>
      <c r="AA279" s="135">
        <v>3.1447768652104399E-2</v>
      </c>
      <c r="AB279" s="135">
        <v>1.13462976164963E-2</v>
      </c>
      <c r="AC279" s="135">
        <v>6.1717464094372997E-3</v>
      </c>
      <c r="AD279" s="135">
        <v>5.3492219888298196E-3</v>
      </c>
      <c r="AF279" s="243">
        <f t="shared" si="6"/>
        <v>0.47372080374467596</v>
      </c>
      <c r="AG279" s="275">
        <f t="shared" si="7"/>
        <v>0.47499263920421686</v>
      </c>
      <c r="AH279" s="391">
        <f t="shared" si="8"/>
        <v>0.57657429167926122</v>
      </c>
      <c r="AI279" s="135">
        <f t="shared" si="9"/>
        <v>1.0515669308834781</v>
      </c>
    </row>
    <row r="280" spans="1:35" ht="12.6">
      <c r="A280" s="10" t="s">
        <v>186</v>
      </c>
      <c r="B280" s="10">
        <v>279</v>
      </c>
      <c r="C280" s="10" t="s">
        <v>1515</v>
      </c>
      <c r="D280" s="388">
        <v>45205</v>
      </c>
      <c r="E280" s="389">
        <v>45205</v>
      </c>
      <c r="F280" s="390" t="str">
        <f t="shared" si="5"/>
        <v>Cooking</v>
      </c>
      <c r="G280" s="135">
        <v>3.3573202859812998E-3</v>
      </c>
      <c r="H280" s="135">
        <v>2.0128763147679398E-3</v>
      </c>
      <c r="I280" s="135">
        <v>1.9625891602909301E-3</v>
      </c>
      <c r="J280" s="135">
        <v>1.98343193776847E-3</v>
      </c>
      <c r="K280" s="135">
        <v>2.07802086437204E-3</v>
      </c>
      <c r="L280" s="135">
        <v>5.4922382010370498E-3</v>
      </c>
      <c r="M280" s="135">
        <v>1.5656397455901201E-2</v>
      </c>
      <c r="N280" s="135">
        <v>1.29478473734667E-2</v>
      </c>
      <c r="O280" s="135">
        <v>1.32404138115824E-2</v>
      </c>
      <c r="P280" s="135">
        <v>1.3655349852800799E-2</v>
      </c>
      <c r="Q280" s="135">
        <v>1.7209894363396702E-2</v>
      </c>
      <c r="R280" s="135">
        <v>2.5582112795448201E-2</v>
      </c>
      <c r="S280" s="135">
        <v>2.6192536493968001E-2</v>
      </c>
      <c r="T280" s="135">
        <v>2.3707733196663801E-2</v>
      </c>
      <c r="U280" s="135">
        <v>3.4456160399687297E-2</v>
      </c>
      <c r="V280" s="135">
        <v>0.111724035474196</v>
      </c>
      <c r="W280" s="135">
        <v>0.234848331021316</v>
      </c>
      <c r="X280" s="135">
        <v>0.20364196294480399</v>
      </c>
      <c r="Y280" s="135">
        <v>0.15410236808321801</v>
      </c>
      <c r="Z280" s="135">
        <v>9.3400276185943695E-2</v>
      </c>
      <c r="AA280" s="135">
        <v>3.1447768652104399E-2</v>
      </c>
      <c r="AB280" s="135">
        <v>1.13462976164963E-2</v>
      </c>
      <c r="AC280" s="135">
        <v>6.1717464094372997E-3</v>
      </c>
      <c r="AD280" s="135">
        <v>5.3492219888298196E-3</v>
      </c>
      <c r="AF280" s="243">
        <f t="shared" si="6"/>
        <v>0.47372080374467596</v>
      </c>
      <c r="AG280" s="275">
        <f t="shared" si="7"/>
        <v>0.47499263920421686</v>
      </c>
      <c r="AH280" s="391">
        <f t="shared" si="8"/>
        <v>0.57657429167926122</v>
      </c>
      <c r="AI280" s="135">
        <f t="shared" si="9"/>
        <v>1.0515669308834781</v>
      </c>
    </row>
    <row r="281" spans="1:35" ht="12.6">
      <c r="A281" s="10" t="s">
        <v>186</v>
      </c>
      <c r="B281" s="10">
        <v>280</v>
      </c>
      <c r="C281" s="10" t="s">
        <v>1515</v>
      </c>
      <c r="D281" s="388">
        <v>45206</v>
      </c>
      <c r="E281" s="389">
        <v>45206</v>
      </c>
      <c r="F281" s="390" t="str">
        <f t="shared" si="5"/>
        <v>Cooking</v>
      </c>
      <c r="G281" s="135">
        <v>2.14385861780368E-3</v>
      </c>
      <c r="H281" s="135">
        <v>1.84115209948154E-3</v>
      </c>
      <c r="I281" s="135">
        <v>1.8036476238196401E-3</v>
      </c>
      <c r="J281" s="135">
        <v>1.83430294723959E-3</v>
      </c>
      <c r="K281" s="135">
        <v>1.8424860841083099E-3</v>
      </c>
      <c r="L281" s="135">
        <v>6.3365276272887103E-3</v>
      </c>
      <c r="M281" s="135">
        <v>1.3428253910507001E-2</v>
      </c>
      <c r="N281" s="135">
        <v>2.57318324639054E-2</v>
      </c>
      <c r="O281" s="135">
        <v>3.4365866596057698E-2</v>
      </c>
      <c r="P281" s="135">
        <v>3.9392826178607197E-2</v>
      </c>
      <c r="Q281" s="135">
        <v>5.46605903788972E-2</v>
      </c>
      <c r="R281" s="135">
        <v>6.13761761207453E-2</v>
      </c>
      <c r="S281" s="135">
        <v>5.71710484003672E-2</v>
      </c>
      <c r="T281" s="135">
        <v>5.3510464480555901E-2</v>
      </c>
      <c r="U281" s="135">
        <v>5.3674061014556199E-2</v>
      </c>
      <c r="V281" s="135">
        <v>8.6962361028018506E-2</v>
      </c>
      <c r="W281" s="135">
        <v>0.18577062091833799</v>
      </c>
      <c r="X281" s="135">
        <v>0.17171267171069901</v>
      </c>
      <c r="Y281" s="135">
        <v>0.115375522355307</v>
      </c>
      <c r="Z281" s="135">
        <v>5.7651072279798703E-2</v>
      </c>
      <c r="AA281" s="135">
        <v>2.1048606530868801E-2</v>
      </c>
      <c r="AB281" s="135">
        <v>9.2943319961321293E-3</v>
      </c>
      <c r="AC281" s="135">
        <v>4.51267157400107E-3</v>
      </c>
      <c r="AD281" s="135">
        <v>3.2029867800939102E-3</v>
      </c>
      <c r="AF281" s="243">
        <f t="shared" si="6"/>
        <v>0.55312532234147826</v>
      </c>
      <c r="AG281" s="275">
        <f t="shared" si="7"/>
        <v>0.47403444310617937</v>
      </c>
      <c r="AH281" s="391">
        <f t="shared" si="8"/>
        <v>0.59060949661101847</v>
      </c>
      <c r="AI281" s="135">
        <f t="shared" si="9"/>
        <v>1.0646439397171978</v>
      </c>
    </row>
    <row r="282" spans="1:35" ht="12.6">
      <c r="A282" s="10" t="s">
        <v>186</v>
      </c>
      <c r="B282" s="10">
        <v>281</v>
      </c>
      <c r="C282" s="10" t="s">
        <v>1515</v>
      </c>
      <c r="D282" s="388">
        <v>45207</v>
      </c>
      <c r="E282" s="389">
        <v>45207</v>
      </c>
      <c r="F282" s="390" t="str">
        <f t="shared" si="5"/>
        <v>Cooking</v>
      </c>
      <c r="G282" s="135">
        <v>2.14385861780368E-3</v>
      </c>
      <c r="H282" s="135">
        <v>1.84115209948154E-3</v>
      </c>
      <c r="I282" s="135">
        <v>1.8036476238196401E-3</v>
      </c>
      <c r="J282" s="135">
        <v>1.83430294723959E-3</v>
      </c>
      <c r="K282" s="135">
        <v>1.8424860841083099E-3</v>
      </c>
      <c r="L282" s="135">
        <v>6.3365276272887103E-3</v>
      </c>
      <c r="M282" s="135">
        <v>1.3428253910507001E-2</v>
      </c>
      <c r="N282" s="135">
        <v>2.57318324639054E-2</v>
      </c>
      <c r="O282" s="135">
        <v>3.4365866596057698E-2</v>
      </c>
      <c r="P282" s="135">
        <v>3.9392826178607197E-2</v>
      </c>
      <c r="Q282" s="135">
        <v>5.46605903788972E-2</v>
      </c>
      <c r="R282" s="135">
        <v>6.13761761207453E-2</v>
      </c>
      <c r="S282" s="135">
        <v>5.71710484003672E-2</v>
      </c>
      <c r="T282" s="135">
        <v>5.3510464480555901E-2</v>
      </c>
      <c r="U282" s="135">
        <v>5.3674061014556199E-2</v>
      </c>
      <c r="V282" s="135">
        <v>8.6962361028018506E-2</v>
      </c>
      <c r="W282" s="135">
        <v>0.18577062091833799</v>
      </c>
      <c r="X282" s="135">
        <v>0.17171267171069901</v>
      </c>
      <c r="Y282" s="135">
        <v>0.115375522355307</v>
      </c>
      <c r="Z282" s="135">
        <v>5.7651072279798703E-2</v>
      </c>
      <c r="AA282" s="135">
        <v>2.1048606530868801E-2</v>
      </c>
      <c r="AB282" s="135">
        <v>9.2943319961321293E-3</v>
      </c>
      <c r="AC282" s="135">
        <v>4.51267157400107E-3</v>
      </c>
      <c r="AD282" s="135">
        <v>3.2029867800939102E-3</v>
      </c>
      <c r="AF282" s="243">
        <f t="shared" si="6"/>
        <v>0.55312532234147826</v>
      </c>
      <c r="AG282" s="275">
        <f t="shared" si="7"/>
        <v>0.47403444310617937</v>
      </c>
      <c r="AH282" s="391">
        <f t="shared" si="8"/>
        <v>0.59060949661101847</v>
      </c>
      <c r="AI282" s="135">
        <f t="shared" si="9"/>
        <v>1.0646439397171978</v>
      </c>
    </row>
    <row r="283" spans="1:35" ht="12.6">
      <c r="A283" s="10" t="s">
        <v>186</v>
      </c>
      <c r="B283" s="10">
        <v>282</v>
      </c>
      <c r="C283" s="10" t="s">
        <v>1515</v>
      </c>
      <c r="D283" s="388">
        <v>45208</v>
      </c>
      <c r="E283" s="389">
        <v>45208</v>
      </c>
      <c r="F283" s="390" t="str">
        <f t="shared" si="5"/>
        <v>Cooking</v>
      </c>
      <c r="G283" s="135">
        <v>3.3573202859812998E-3</v>
      </c>
      <c r="H283" s="135">
        <v>2.0128763147679398E-3</v>
      </c>
      <c r="I283" s="135">
        <v>1.9625891602909301E-3</v>
      </c>
      <c r="J283" s="135">
        <v>1.98343193776847E-3</v>
      </c>
      <c r="K283" s="135">
        <v>2.07802086437204E-3</v>
      </c>
      <c r="L283" s="135">
        <v>5.4922382010370498E-3</v>
      </c>
      <c r="M283" s="135">
        <v>1.5656397455901201E-2</v>
      </c>
      <c r="N283" s="135">
        <v>1.29478473734667E-2</v>
      </c>
      <c r="O283" s="135">
        <v>1.32404138115824E-2</v>
      </c>
      <c r="P283" s="135">
        <v>1.3655349852800799E-2</v>
      </c>
      <c r="Q283" s="135">
        <v>1.7209894363396702E-2</v>
      </c>
      <c r="R283" s="135">
        <v>2.5582112795448201E-2</v>
      </c>
      <c r="S283" s="135">
        <v>2.6192536493968001E-2</v>
      </c>
      <c r="T283" s="135">
        <v>2.3707733196663801E-2</v>
      </c>
      <c r="U283" s="135">
        <v>3.4456160399687297E-2</v>
      </c>
      <c r="V283" s="135">
        <v>0.111724035474196</v>
      </c>
      <c r="W283" s="135">
        <v>0.234848331021316</v>
      </c>
      <c r="X283" s="135">
        <v>0.20364196294480399</v>
      </c>
      <c r="Y283" s="135">
        <v>0.15410236808321801</v>
      </c>
      <c r="Z283" s="135">
        <v>9.3400276185943695E-2</v>
      </c>
      <c r="AA283" s="135">
        <v>3.1447768652104399E-2</v>
      </c>
      <c r="AB283" s="135">
        <v>1.13462976164963E-2</v>
      </c>
      <c r="AC283" s="135">
        <v>6.1717464094372997E-3</v>
      </c>
      <c r="AD283" s="135">
        <v>5.3492219888298196E-3</v>
      </c>
      <c r="AF283" s="243">
        <f t="shared" si="6"/>
        <v>0.47372080374467596</v>
      </c>
      <c r="AG283" s="275">
        <f t="shared" si="7"/>
        <v>0.47499263920421686</v>
      </c>
      <c r="AH283" s="391">
        <f t="shared" si="8"/>
        <v>0.57657429167926122</v>
      </c>
      <c r="AI283" s="135">
        <f t="shared" si="9"/>
        <v>1.0515669308834781</v>
      </c>
    </row>
    <row r="284" spans="1:35" ht="12.6">
      <c r="A284" s="10" t="s">
        <v>186</v>
      </c>
      <c r="B284" s="10">
        <v>283</v>
      </c>
      <c r="C284" s="10" t="s">
        <v>1515</v>
      </c>
      <c r="D284" s="388">
        <v>45209</v>
      </c>
      <c r="E284" s="389">
        <v>45209</v>
      </c>
      <c r="F284" s="390" t="str">
        <f t="shared" si="5"/>
        <v>Cooking</v>
      </c>
      <c r="G284" s="135">
        <v>3.3573202859812998E-3</v>
      </c>
      <c r="H284" s="135">
        <v>2.0128763147679398E-3</v>
      </c>
      <c r="I284" s="135">
        <v>1.9625891602909301E-3</v>
      </c>
      <c r="J284" s="135">
        <v>1.98343193776847E-3</v>
      </c>
      <c r="K284" s="135">
        <v>2.07802086437204E-3</v>
      </c>
      <c r="L284" s="135">
        <v>5.4922382010370498E-3</v>
      </c>
      <c r="M284" s="135">
        <v>1.5656397455901201E-2</v>
      </c>
      <c r="N284" s="135">
        <v>1.29478473734667E-2</v>
      </c>
      <c r="O284" s="135">
        <v>1.32404138115824E-2</v>
      </c>
      <c r="P284" s="135">
        <v>1.3655349852800799E-2</v>
      </c>
      <c r="Q284" s="135">
        <v>1.7209894363396702E-2</v>
      </c>
      <c r="R284" s="135">
        <v>2.5582112795448201E-2</v>
      </c>
      <c r="S284" s="135">
        <v>2.6192536493968001E-2</v>
      </c>
      <c r="T284" s="135">
        <v>2.3707733196663801E-2</v>
      </c>
      <c r="U284" s="135">
        <v>3.4456160399687297E-2</v>
      </c>
      <c r="V284" s="135">
        <v>0.111724035474196</v>
      </c>
      <c r="W284" s="135">
        <v>0.234848331021316</v>
      </c>
      <c r="X284" s="135">
        <v>0.20364196294480399</v>
      </c>
      <c r="Y284" s="135">
        <v>0.15410236808321801</v>
      </c>
      <c r="Z284" s="135">
        <v>9.3400276185943695E-2</v>
      </c>
      <c r="AA284" s="135">
        <v>3.1447768652104399E-2</v>
      </c>
      <c r="AB284" s="135">
        <v>1.13462976164963E-2</v>
      </c>
      <c r="AC284" s="135">
        <v>6.1717464094372997E-3</v>
      </c>
      <c r="AD284" s="135">
        <v>5.3492219888298196E-3</v>
      </c>
      <c r="AF284" s="243">
        <f t="shared" si="6"/>
        <v>0.47372080374467596</v>
      </c>
      <c r="AG284" s="275">
        <f t="shared" si="7"/>
        <v>0.47499263920421686</v>
      </c>
      <c r="AH284" s="391">
        <f t="shared" si="8"/>
        <v>0.57657429167926122</v>
      </c>
      <c r="AI284" s="135">
        <f t="shared" si="9"/>
        <v>1.0515669308834781</v>
      </c>
    </row>
    <row r="285" spans="1:35" ht="12.6">
      <c r="A285" s="10" t="s">
        <v>186</v>
      </c>
      <c r="B285" s="10">
        <v>284</v>
      </c>
      <c r="C285" s="10" t="s">
        <v>1515</v>
      </c>
      <c r="D285" s="388">
        <v>45210</v>
      </c>
      <c r="E285" s="389">
        <v>45210</v>
      </c>
      <c r="F285" s="390" t="str">
        <f t="shared" si="5"/>
        <v>Cooking</v>
      </c>
      <c r="G285" s="135">
        <v>3.3573202859812998E-3</v>
      </c>
      <c r="H285" s="135">
        <v>2.0128763147679398E-3</v>
      </c>
      <c r="I285" s="135">
        <v>1.9625891602909301E-3</v>
      </c>
      <c r="J285" s="135">
        <v>1.98343193776847E-3</v>
      </c>
      <c r="K285" s="135">
        <v>2.07802086437204E-3</v>
      </c>
      <c r="L285" s="135">
        <v>5.4922382010370498E-3</v>
      </c>
      <c r="M285" s="135">
        <v>1.5656397455901201E-2</v>
      </c>
      <c r="N285" s="135">
        <v>1.29478473734667E-2</v>
      </c>
      <c r="O285" s="135">
        <v>1.32404138115824E-2</v>
      </c>
      <c r="P285" s="135">
        <v>1.3655349852800799E-2</v>
      </c>
      <c r="Q285" s="135">
        <v>1.7209894363396702E-2</v>
      </c>
      <c r="R285" s="135">
        <v>2.5582112795448201E-2</v>
      </c>
      <c r="S285" s="135">
        <v>2.6192536493968001E-2</v>
      </c>
      <c r="T285" s="135">
        <v>2.3707733196663801E-2</v>
      </c>
      <c r="U285" s="135">
        <v>3.4456160399687297E-2</v>
      </c>
      <c r="V285" s="135">
        <v>0.111724035474196</v>
      </c>
      <c r="W285" s="135">
        <v>0.234848331021316</v>
      </c>
      <c r="X285" s="135">
        <v>0.20364196294480399</v>
      </c>
      <c r="Y285" s="135">
        <v>0.15410236808321801</v>
      </c>
      <c r="Z285" s="135">
        <v>9.3400276185943695E-2</v>
      </c>
      <c r="AA285" s="135">
        <v>3.1447768652104399E-2</v>
      </c>
      <c r="AB285" s="135">
        <v>1.13462976164963E-2</v>
      </c>
      <c r="AC285" s="135">
        <v>6.1717464094372997E-3</v>
      </c>
      <c r="AD285" s="135">
        <v>5.3492219888298196E-3</v>
      </c>
      <c r="AF285" s="243">
        <f t="shared" si="6"/>
        <v>0.47372080374467596</v>
      </c>
      <c r="AG285" s="275">
        <f t="shared" si="7"/>
        <v>0.47499263920421686</v>
      </c>
      <c r="AH285" s="391">
        <f t="shared" si="8"/>
        <v>0.57657429167926122</v>
      </c>
      <c r="AI285" s="135">
        <f t="shared" si="9"/>
        <v>1.0515669308834781</v>
      </c>
    </row>
    <row r="286" spans="1:35" ht="12.6">
      <c r="A286" s="10" t="s">
        <v>186</v>
      </c>
      <c r="B286" s="10">
        <v>285</v>
      </c>
      <c r="C286" s="10" t="s">
        <v>1515</v>
      </c>
      <c r="D286" s="388">
        <v>45211</v>
      </c>
      <c r="E286" s="389">
        <v>45211</v>
      </c>
      <c r="F286" s="390" t="str">
        <f t="shared" si="5"/>
        <v>Cooking</v>
      </c>
      <c r="G286" s="135">
        <v>3.3573202859812998E-3</v>
      </c>
      <c r="H286" s="135">
        <v>2.0128763147679398E-3</v>
      </c>
      <c r="I286" s="135">
        <v>1.9625891602909301E-3</v>
      </c>
      <c r="J286" s="135">
        <v>1.98343193776847E-3</v>
      </c>
      <c r="K286" s="135">
        <v>2.07802086437204E-3</v>
      </c>
      <c r="L286" s="135">
        <v>5.4922382010370498E-3</v>
      </c>
      <c r="M286" s="135">
        <v>1.5656397455901201E-2</v>
      </c>
      <c r="N286" s="135">
        <v>1.29478473734667E-2</v>
      </c>
      <c r="O286" s="135">
        <v>1.32404138115824E-2</v>
      </c>
      <c r="P286" s="135">
        <v>1.3655349852800799E-2</v>
      </c>
      <c r="Q286" s="135">
        <v>1.7209894363396702E-2</v>
      </c>
      <c r="R286" s="135">
        <v>2.5582112795448201E-2</v>
      </c>
      <c r="S286" s="135">
        <v>2.6192536493968001E-2</v>
      </c>
      <c r="T286" s="135">
        <v>2.3707733196663801E-2</v>
      </c>
      <c r="U286" s="135">
        <v>3.4456160399687297E-2</v>
      </c>
      <c r="V286" s="135">
        <v>0.111724035474196</v>
      </c>
      <c r="W286" s="135">
        <v>0.234848331021316</v>
      </c>
      <c r="X286" s="135">
        <v>0.20364196294480399</v>
      </c>
      <c r="Y286" s="135">
        <v>0.15410236808321801</v>
      </c>
      <c r="Z286" s="135">
        <v>9.3400276185943695E-2</v>
      </c>
      <c r="AA286" s="135">
        <v>3.1447768652104399E-2</v>
      </c>
      <c r="AB286" s="135">
        <v>1.13462976164963E-2</v>
      </c>
      <c r="AC286" s="135">
        <v>6.1717464094372997E-3</v>
      </c>
      <c r="AD286" s="135">
        <v>5.3492219888298196E-3</v>
      </c>
      <c r="AF286" s="243">
        <f t="shared" si="6"/>
        <v>0.47372080374467596</v>
      </c>
      <c r="AG286" s="275">
        <f t="shared" si="7"/>
        <v>0.47499263920421686</v>
      </c>
      <c r="AH286" s="391">
        <f t="shared" si="8"/>
        <v>0.57657429167926122</v>
      </c>
      <c r="AI286" s="135">
        <f t="shared" si="9"/>
        <v>1.0515669308834781</v>
      </c>
    </row>
    <row r="287" spans="1:35" ht="12.6">
      <c r="A287" s="10" t="s">
        <v>186</v>
      </c>
      <c r="B287" s="10">
        <v>286</v>
      </c>
      <c r="C287" s="10" t="s">
        <v>1515</v>
      </c>
      <c r="D287" s="388">
        <v>45212</v>
      </c>
      <c r="E287" s="389">
        <v>45212</v>
      </c>
      <c r="F287" s="390" t="str">
        <f t="shared" si="5"/>
        <v>Cooking</v>
      </c>
      <c r="G287" s="135">
        <v>3.3573202859812998E-3</v>
      </c>
      <c r="H287" s="135">
        <v>2.0128763147679398E-3</v>
      </c>
      <c r="I287" s="135">
        <v>1.9625891602909301E-3</v>
      </c>
      <c r="J287" s="135">
        <v>1.98343193776847E-3</v>
      </c>
      <c r="K287" s="135">
        <v>2.07802086437204E-3</v>
      </c>
      <c r="L287" s="135">
        <v>5.4922382010370498E-3</v>
      </c>
      <c r="M287" s="135">
        <v>1.5656397455901201E-2</v>
      </c>
      <c r="N287" s="135">
        <v>1.29478473734667E-2</v>
      </c>
      <c r="O287" s="135">
        <v>1.32404138115824E-2</v>
      </c>
      <c r="P287" s="135">
        <v>1.3655349852800799E-2</v>
      </c>
      <c r="Q287" s="135">
        <v>1.7209894363396702E-2</v>
      </c>
      <c r="R287" s="135">
        <v>2.5582112795448201E-2</v>
      </c>
      <c r="S287" s="135">
        <v>2.6192536493968001E-2</v>
      </c>
      <c r="T287" s="135">
        <v>2.3707733196663801E-2</v>
      </c>
      <c r="U287" s="135">
        <v>3.4456160399687297E-2</v>
      </c>
      <c r="V287" s="135">
        <v>0.111724035474196</v>
      </c>
      <c r="W287" s="135">
        <v>0.234848331021316</v>
      </c>
      <c r="X287" s="135">
        <v>0.20364196294480399</v>
      </c>
      <c r="Y287" s="135">
        <v>0.15410236808321801</v>
      </c>
      <c r="Z287" s="135">
        <v>9.3400276185943695E-2</v>
      </c>
      <c r="AA287" s="135">
        <v>3.1447768652104399E-2</v>
      </c>
      <c r="AB287" s="135">
        <v>1.13462976164963E-2</v>
      </c>
      <c r="AC287" s="135">
        <v>6.1717464094372997E-3</v>
      </c>
      <c r="AD287" s="135">
        <v>5.3492219888298196E-3</v>
      </c>
      <c r="AF287" s="243">
        <f t="shared" si="6"/>
        <v>0.47372080374467596</v>
      </c>
      <c r="AG287" s="275">
        <f t="shared" si="7"/>
        <v>0.47499263920421686</v>
      </c>
      <c r="AH287" s="391">
        <f t="shared" si="8"/>
        <v>0.57657429167926122</v>
      </c>
      <c r="AI287" s="135">
        <f t="shared" si="9"/>
        <v>1.0515669308834781</v>
      </c>
    </row>
    <row r="288" spans="1:35" ht="12.6">
      <c r="A288" s="10" t="s">
        <v>186</v>
      </c>
      <c r="B288" s="10">
        <v>287</v>
      </c>
      <c r="C288" s="10" t="s">
        <v>1515</v>
      </c>
      <c r="D288" s="388">
        <v>45213</v>
      </c>
      <c r="E288" s="389">
        <v>45213</v>
      </c>
      <c r="F288" s="390" t="str">
        <f t="shared" si="5"/>
        <v>Cooking</v>
      </c>
      <c r="G288" s="135">
        <v>2.14385861780368E-3</v>
      </c>
      <c r="H288" s="135">
        <v>1.84115209948154E-3</v>
      </c>
      <c r="I288" s="135">
        <v>1.8036476238196401E-3</v>
      </c>
      <c r="J288" s="135">
        <v>1.83430294723959E-3</v>
      </c>
      <c r="K288" s="135">
        <v>1.8424860841083099E-3</v>
      </c>
      <c r="L288" s="135">
        <v>6.3365276272887103E-3</v>
      </c>
      <c r="M288" s="135">
        <v>1.3428253910507001E-2</v>
      </c>
      <c r="N288" s="135">
        <v>2.57318324639054E-2</v>
      </c>
      <c r="O288" s="135">
        <v>3.4365866596057698E-2</v>
      </c>
      <c r="P288" s="135">
        <v>3.9392826178607197E-2</v>
      </c>
      <c r="Q288" s="135">
        <v>5.46605903788972E-2</v>
      </c>
      <c r="R288" s="135">
        <v>6.13761761207453E-2</v>
      </c>
      <c r="S288" s="135">
        <v>5.71710484003672E-2</v>
      </c>
      <c r="T288" s="135">
        <v>5.3510464480555901E-2</v>
      </c>
      <c r="U288" s="135">
        <v>5.3674061014556199E-2</v>
      </c>
      <c r="V288" s="135">
        <v>8.6962361028018506E-2</v>
      </c>
      <c r="W288" s="135">
        <v>0.18577062091833799</v>
      </c>
      <c r="X288" s="135">
        <v>0.17171267171069901</v>
      </c>
      <c r="Y288" s="135">
        <v>0.115375522355307</v>
      </c>
      <c r="Z288" s="135">
        <v>5.7651072279798703E-2</v>
      </c>
      <c r="AA288" s="135">
        <v>2.1048606530868801E-2</v>
      </c>
      <c r="AB288" s="135">
        <v>9.2943319961321293E-3</v>
      </c>
      <c r="AC288" s="135">
        <v>4.51267157400107E-3</v>
      </c>
      <c r="AD288" s="135">
        <v>3.2029867800939102E-3</v>
      </c>
      <c r="AF288" s="243">
        <f t="shared" si="6"/>
        <v>0.55312532234147826</v>
      </c>
      <c r="AG288" s="275">
        <f t="shared" si="7"/>
        <v>0.47403444310617937</v>
      </c>
      <c r="AH288" s="391">
        <f t="shared" si="8"/>
        <v>0.59060949661101847</v>
      </c>
      <c r="AI288" s="135">
        <f t="shared" si="9"/>
        <v>1.0646439397171978</v>
      </c>
    </row>
    <row r="289" spans="1:35" ht="12.6">
      <c r="A289" s="10" t="s">
        <v>186</v>
      </c>
      <c r="B289" s="10">
        <v>288</v>
      </c>
      <c r="C289" s="10" t="s">
        <v>1515</v>
      </c>
      <c r="D289" s="388">
        <v>45214</v>
      </c>
      <c r="E289" s="389">
        <v>45214</v>
      </c>
      <c r="F289" s="390" t="str">
        <f t="shared" si="5"/>
        <v>Cooking</v>
      </c>
      <c r="G289" s="135">
        <v>2.14385861780368E-3</v>
      </c>
      <c r="H289" s="135">
        <v>1.84115209948154E-3</v>
      </c>
      <c r="I289" s="135">
        <v>1.8036476238196401E-3</v>
      </c>
      <c r="J289" s="135">
        <v>1.83430294723959E-3</v>
      </c>
      <c r="K289" s="135">
        <v>1.8424860841083099E-3</v>
      </c>
      <c r="L289" s="135">
        <v>6.3365276272887103E-3</v>
      </c>
      <c r="M289" s="135">
        <v>1.3428253910507001E-2</v>
      </c>
      <c r="N289" s="135">
        <v>2.57318324639054E-2</v>
      </c>
      <c r="O289" s="135">
        <v>3.4365866596057698E-2</v>
      </c>
      <c r="P289" s="135">
        <v>3.9392826178607197E-2</v>
      </c>
      <c r="Q289" s="135">
        <v>5.46605903788972E-2</v>
      </c>
      <c r="R289" s="135">
        <v>6.13761761207453E-2</v>
      </c>
      <c r="S289" s="135">
        <v>5.71710484003672E-2</v>
      </c>
      <c r="T289" s="135">
        <v>5.3510464480555901E-2</v>
      </c>
      <c r="U289" s="135">
        <v>5.3674061014556199E-2</v>
      </c>
      <c r="V289" s="135">
        <v>8.6962361028018506E-2</v>
      </c>
      <c r="W289" s="135">
        <v>0.18577062091833799</v>
      </c>
      <c r="X289" s="135">
        <v>0.17171267171069901</v>
      </c>
      <c r="Y289" s="135">
        <v>0.115375522355307</v>
      </c>
      <c r="Z289" s="135">
        <v>5.7651072279798703E-2</v>
      </c>
      <c r="AA289" s="135">
        <v>2.1048606530868801E-2</v>
      </c>
      <c r="AB289" s="135">
        <v>9.2943319961321293E-3</v>
      </c>
      <c r="AC289" s="135">
        <v>4.51267157400107E-3</v>
      </c>
      <c r="AD289" s="135">
        <v>3.2029867800939102E-3</v>
      </c>
      <c r="AF289" s="243">
        <f t="shared" si="6"/>
        <v>0.55312532234147826</v>
      </c>
      <c r="AG289" s="275">
        <f t="shared" si="7"/>
        <v>0.47403444310617937</v>
      </c>
      <c r="AH289" s="391">
        <f t="shared" si="8"/>
        <v>0.59060949661101847</v>
      </c>
      <c r="AI289" s="135">
        <f t="shared" si="9"/>
        <v>1.0646439397171978</v>
      </c>
    </row>
    <row r="290" spans="1:35" ht="12.6">
      <c r="A290" s="10" t="s">
        <v>186</v>
      </c>
      <c r="B290" s="10">
        <v>289</v>
      </c>
      <c r="C290" s="10" t="s">
        <v>1515</v>
      </c>
      <c r="D290" s="388">
        <v>45215</v>
      </c>
      <c r="E290" s="389">
        <v>45215</v>
      </c>
      <c r="F290" s="390" t="str">
        <f t="shared" si="5"/>
        <v>Cooking</v>
      </c>
      <c r="G290" s="135">
        <v>3.3573202859812998E-3</v>
      </c>
      <c r="H290" s="135">
        <v>2.0128763147679398E-3</v>
      </c>
      <c r="I290" s="135">
        <v>1.9625891602909301E-3</v>
      </c>
      <c r="J290" s="135">
        <v>1.98343193776847E-3</v>
      </c>
      <c r="K290" s="135">
        <v>2.07802086437204E-3</v>
      </c>
      <c r="L290" s="135">
        <v>5.4922382010370498E-3</v>
      </c>
      <c r="M290" s="135">
        <v>1.5656397455901201E-2</v>
      </c>
      <c r="N290" s="135">
        <v>1.29478473734667E-2</v>
      </c>
      <c r="O290" s="135">
        <v>1.32404138115824E-2</v>
      </c>
      <c r="P290" s="135">
        <v>1.3655349852800799E-2</v>
      </c>
      <c r="Q290" s="135">
        <v>1.7209894363396702E-2</v>
      </c>
      <c r="R290" s="135">
        <v>2.5582112795448201E-2</v>
      </c>
      <c r="S290" s="135">
        <v>2.6192536493968001E-2</v>
      </c>
      <c r="T290" s="135">
        <v>2.3707733196663801E-2</v>
      </c>
      <c r="U290" s="135">
        <v>3.4456160399687297E-2</v>
      </c>
      <c r="V290" s="135">
        <v>0.111724035474196</v>
      </c>
      <c r="W290" s="135">
        <v>0.234848331021316</v>
      </c>
      <c r="X290" s="135">
        <v>0.20364196294480399</v>
      </c>
      <c r="Y290" s="135">
        <v>0.15410236808321801</v>
      </c>
      <c r="Z290" s="135">
        <v>9.3400276185943695E-2</v>
      </c>
      <c r="AA290" s="135">
        <v>3.1447768652104399E-2</v>
      </c>
      <c r="AB290" s="135">
        <v>1.13462976164963E-2</v>
      </c>
      <c r="AC290" s="135">
        <v>6.1717464094372997E-3</v>
      </c>
      <c r="AD290" s="135">
        <v>5.3492219888298196E-3</v>
      </c>
      <c r="AF290" s="243">
        <f t="shared" si="6"/>
        <v>0.47372080374467596</v>
      </c>
      <c r="AG290" s="275">
        <f t="shared" si="7"/>
        <v>0.47499263920421686</v>
      </c>
      <c r="AH290" s="391">
        <f t="shared" si="8"/>
        <v>0.57657429167926122</v>
      </c>
      <c r="AI290" s="135">
        <f t="shared" si="9"/>
        <v>1.0515669308834781</v>
      </c>
    </row>
    <row r="291" spans="1:35" ht="12.6">
      <c r="A291" s="10" t="s">
        <v>186</v>
      </c>
      <c r="B291" s="10">
        <v>290</v>
      </c>
      <c r="C291" s="10" t="s">
        <v>1515</v>
      </c>
      <c r="D291" s="388">
        <v>45216</v>
      </c>
      <c r="E291" s="389">
        <v>45216</v>
      </c>
      <c r="F291" s="390" t="str">
        <f t="shared" si="5"/>
        <v>Cooking</v>
      </c>
      <c r="G291" s="135">
        <v>3.3573202859812998E-3</v>
      </c>
      <c r="H291" s="135">
        <v>2.0128763147679398E-3</v>
      </c>
      <c r="I291" s="135">
        <v>1.9625891602909301E-3</v>
      </c>
      <c r="J291" s="135">
        <v>1.98343193776847E-3</v>
      </c>
      <c r="K291" s="135">
        <v>2.07802086437204E-3</v>
      </c>
      <c r="L291" s="135">
        <v>5.4922382010370498E-3</v>
      </c>
      <c r="M291" s="135">
        <v>1.5656397455901201E-2</v>
      </c>
      <c r="N291" s="135">
        <v>1.29478473734667E-2</v>
      </c>
      <c r="O291" s="135">
        <v>1.32404138115824E-2</v>
      </c>
      <c r="P291" s="135">
        <v>1.3655349852800799E-2</v>
      </c>
      <c r="Q291" s="135">
        <v>1.7209894363396702E-2</v>
      </c>
      <c r="R291" s="135">
        <v>2.5582112795448201E-2</v>
      </c>
      <c r="S291" s="135">
        <v>2.6192536493968001E-2</v>
      </c>
      <c r="T291" s="135">
        <v>2.3707733196663801E-2</v>
      </c>
      <c r="U291" s="135">
        <v>3.4456160399687297E-2</v>
      </c>
      <c r="V291" s="135">
        <v>0.111724035474196</v>
      </c>
      <c r="W291" s="135">
        <v>0.234848331021316</v>
      </c>
      <c r="X291" s="135">
        <v>0.20364196294480399</v>
      </c>
      <c r="Y291" s="135">
        <v>0.15410236808321801</v>
      </c>
      <c r="Z291" s="135">
        <v>9.3400276185943695E-2</v>
      </c>
      <c r="AA291" s="135">
        <v>3.1447768652104399E-2</v>
      </c>
      <c r="AB291" s="135">
        <v>1.13462976164963E-2</v>
      </c>
      <c r="AC291" s="135">
        <v>6.1717464094372997E-3</v>
      </c>
      <c r="AD291" s="135">
        <v>5.3492219888298196E-3</v>
      </c>
      <c r="AF291" s="243">
        <f t="shared" si="6"/>
        <v>0.47372080374467596</v>
      </c>
      <c r="AG291" s="275">
        <f t="shared" si="7"/>
        <v>0.47499263920421686</v>
      </c>
      <c r="AH291" s="391">
        <f t="shared" si="8"/>
        <v>0.57657429167926122</v>
      </c>
      <c r="AI291" s="135">
        <f t="shared" si="9"/>
        <v>1.0515669308834781</v>
      </c>
    </row>
    <row r="292" spans="1:35" ht="12.6">
      <c r="A292" s="10" t="s">
        <v>186</v>
      </c>
      <c r="B292" s="10">
        <v>291</v>
      </c>
      <c r="C292" s="10" t="s">
        <v>1515</v>
      </c>
      <c r="D292" s="388">
        <v>45217</v>
      </c>
      <c r="E292" s="389">
        <v>45217</v>
      </c>
      <c r="F292" s="390" t="str">
        <f t="shared" si="5"/>
        <v>Cooking</v>
      </c>
      <c r="G292" s="135">
        <v>3.3573202859812998E-3</v>
      </c>
      <c r="H292" s="135">
        <v>2.0128763147679398E-3</v>
      </c>
      <c r="I292" s="135">
        <v>1.9625891602909301E-3</v>
      </c>
      <c r="J292" s="135">
        <v>1.98343193776847E-3</v>
      </c>
      <c r="K292" s="135">
        <v>2.07802086437204E-3</v>
      </c>
      <c r="L292" s="135">
        <v>5.4922382010370498E-3</v>
      </c>
      <c r="M292" s="135">
        <v>1.5656397455901201E-2</v>
      </c>
      <c r="N292" s="135">
        <v>1.29478473734667E-2</v>
      </c>
      <c r="O292" s="135">
        <v>1.32404138115824E-2</v>
      </c>
      <c r="P292" s="135">
        <v>1.3655349852800799E-2</v>
      </c>
      <c r="Q292" s="135">
        <v>1.7209894363396702E-2</v>
      </c>
      <c r="R292" s="135">
        <v>2.5582112795448201E-2</v>
      </c>
      <c r="S292" s="135">
        <v>2.6192536493968001E-2</v>
      </c>
      <c r="T292" s="135">
        <v>2.3707733196663801E-2</v>
      </c>
      <c r="U292" s="135">
        <v>3.4456160399687297E-2</v>
      </c>
      <c r="V292" s="135">
        <v>0.111724035474196</v>
      </c>
      <c r="W292" s="135">
        <v>0.234848331021316</v>
      </c>
      <c r="X292" s="135">
        <v>0.20364196294480399</v>
      </c>
      <c r="Y292" s="135">
        <v>0.15410236808321801</v>
      </c>
      <c r="Z292" s="135">
        <v>9.3400276185943695E-2</v>
      </c>
      <c r="AA292" s="135">
        <v>3.1447768652104399E-2</v>
      </c>
      <c r="AB292" s="135">
        <v>1.13462976164963E-2</v>
      </c>
      <c r="AC292" s="135">
        <v>6.1717464094372997E-3</v>
      </c>
      <c r="AD292" s="135">
        <v>5.3492219888298196E-3</v>
      </c>
      <c r="AF292" s="243">
        <f t="shared" si="6"/>
        <v>0.47372080374467596</v>
      </c>
      <c r="AG292" s="275">
        <f t="shared" si="7"/>
        <v>0.47499263920421686</v>
      </c>
      <c r="AH292" s="391">
        <f t="shared" si="8"/>
        <v>0.57657429167926122</v>
      </c>
      <c r="AI292" s="135">
        <f t="shared" si="9"/>
        <v>1.0515669308834781</v>
      </c>
    </row>
    <row r="293" spans="1:35" ht="12.6">
      <c r="A293" s="10" t="s">
        <v>186</v>
      </c>
      <c r="B293" s="10">
        <v>292</v>
      </c>
      <c r="C293" s="10" t="s">
        <v>1515</v>
      </c>
      <c r="D293" s="388">
        <v>45218</v>
      </c>
      <c r="E293" s="389">
        <v>45218</v>
      </c>
      <c r="F293" s="390" t="str">
        <f t="shared" si="5"/>
        <v>Cooking</v>
      </c>
      <c r="G293" s="135">
        <v>3.3573202859812998E-3</v>
      </c>
      <c r="H293" s="135">
        <v>2.0128763147679398E-3</v>
      </c>
      <c r="I293" s="135">
        <v>1.9625891602909301E-3</v>
      </c>
      <c r="J293" s="135">
        <v>1.98343193776847E-3</v>
      </c>
      <c r="K293" s="135">
        <v>2.07802086437204E-3</v>
      </c>
      <c r="L293" s="135">
        <v>5.4922382010370498E-3</v>
      </c>
      <c r="M293" s="135">
        <v>1.5656397455901201E-2</v>
      </c>
      <c r="N293" s="135">
        <v>1.29478473734667E-2</v>
      </c>
      <c r="O293" s="135">
        <v>1.32404138115824E-2</v>
      </c>
      <c r="P293" s="135">
        <v>1.3655349852800799E-2</v>
      </c>
      <c r="Q293" s="135">
        <v>1.7209894363396702E-2</v>
      </c>
      <c r="R293" s="135">
        <v>2.5582112795448201E-2</v>
      </c>
      <c r="S293" s="135">
        <v>2.6192536493968001E-2</v>
      </c>
      <c r="T293" s="135">
        <v>2.3707733196663801E-2</v>
      </c>
      <c r="U293" s="135">
        <v>3.4456160399687297E-2</v>
      </c>
      <c r="V293" s="135">
        <v>0.111724035474196</v>
      </c>
      <c r="W293" s="135">
        <v>0.234848331021316</v>
      </c>
      <c r="X293" s="135">
        <v>0.20364196294480399</v>
      </c>
      <c r="Y293" s="135">
        <v>0.15410236808321801</v>
      </c>
      <c r="Z293" s="135">
        <v>9.3400276185943695E-2</v>
      </c>
      <c r="AA293" s="135">
        <v>3.1447768652104399E-2</v>
      </c>
      <c r="AB293" s="135">
        <v>1.13462976164963E-2</v>
      </c>
      <c r="AC293" s="135">
        <v>6.1717464094372997E-3</v>
      </c>
      <c r="AD293" s="135">
        <v>5.3492219888298196E-3</v>
      </c>
      <c r="AF293" s="243">
        <f t="shared" si="6"/>
        <v>0.47372080374467596</v>
      </c>
      <c r="AG293" s="275">
        <f t="shared" si="7"/>
        <v>0.47499263920421686</v>
      </c>
      <c r="AH293" s="391">
        <f t="shared" si="8"/>
        <v>0.57657429167926122</v>
      </c>
      <c r="AI293" s="135">
        <f t="shared" si="9"/>
        <v>1.0515669308834781</v>
      </c>
    </row>
    <row r="294" spans="1:35" ht="12.6">
      <c r="A294" s="10" t="s">
        <v>186</v>
      </c>
      <c r="B294" s="10">
        <v>293</v>
      </c>
      <c r="C294" s="10" t="s">
        <v>1515</v>
      </c>
      <c r="D294" s="388">
        <v>45219</v>
      </c>
      <c r="E294" s="389">
        <v>45219</v>
      </c>
      <c r="F294" s="390" t="str">
        <f t="shared" si="5"/>
        <v>Cooking</v>
      </c>
      <c r="G294" s="135">
        <v>3.3573202859812998E-3</v>
      </c>
      <c r="H294" s="135">
        <v>2.0128763147679398E-3</v>
      </c>
      <c r="I294" s="135">
        <v>1.9625891602909301E-3</v>
      </c>
      <c r="J294" s="135">
        <v>1.98343193776847E-3</v>
      </c>
      <c r="K294" s="135">
        <v>2.07802086437204E-3</v>
      </c>
      <c r="L294" s="135">
        <v>5.4922382010370498E-3</v>
      </c>
      <c r="M294" s="135">
        <v>1.5656397455901201E-2</v>
      </c>
      <c r="N294" s="135">
        <v>1.29478473734667E-2</v>
      </c>
      <c r="O294" s="135">
        <v>1.32404138115824E-2</v>
      </c>
      <c r="P294" s="135">
        <v>1.3655349852800799E-2</v>
      </c>
      <c r="Q294" s="135">
        <v>1.7209894363396702E-2</v>
      </c>
      <c r="R294" s="135">
        <v>2.5582112795448201E-2</v>
      </c>
      <c r="S294" s="135">
        <v>2.6192536493968001E-2</v>
      </c>
      <c r="T294" s="135">
        <v>2.3707733196663801E-2</v>
      </c>
      <c r="U294" s="135">
        <v>3.4456160399687297E-2</v>
      </c>
      <c r="V294" s="135">
        <v>0.111724035474196</v>
      </c>
      <c r="W294" s="135">
        <v>0.234848331021316</v>
      </c>
      <c r="X294" s="135">
        <v>0.20364196294480399</v>
      </c>
      <c r="Y294" s="135">
        <v>0.15410236808321801</v>
      </c>
      <c r="Z294" s="135">
        <v>9.3400276185943695E-2</v>
      </c>
      <c r="AA294" s="135">
        <v>3.1447768652104399E-2</v>
      </c>
      <c r="AB294" s="135">
        <v>1.13462976164963E-2</v>
      </c>
      <c r="AC294" s="135">
        <v>6.1717464094372997E-3</v>
      </c>
      <c r="AD294" s="135">
        <v>5.3492219888298196E-3</v>
      </c>
      <c r="AF294" s="243">
        <f t="shared" si="6"/>
        <v>0.47372080374467596</v>
      </c>
      <c r="AG294" s="275">
        <f t="shared" si="7"/>
        <v>0.47499263920421686</v>
      </c>
      <c r="AH294" s="391">
        <f t="shared" si="8"/>
        <v>0.57657429167926122</v>
      </c>
      <c r="AI294" s="135">
        <f t="shared" si="9"/>
        <v>1.0515669308834781</v>
      </c>
    </row>
    <row r="295" spans="1:35" ht="12.6">
      <c r="A295" s="10" t="s">
        <v>186</v>
      </c>
      <c r="B295" s="10">
        <v>294</v>
      </c>
      <c r="C295" s="10" t="s">
        <v>1515</v>
      </c>
      <c r="D295" s="388">
        <v>45220</v>
      </c>
      <c r="E295" s="389">
        <v>45220</v>
      </c>
      <c r="F295" s="390" t="str">
        <f t="shared" si="5"/>
        <v>Cooking</v>
      </c>
      <c r="G295" s="135">
        <v>2.14385861780368E-3</v>
      </c>
      <c r="H295" s="135">
        <v>1.84115209948154E-3</v>
      </c>
      <c r="I295" s="135">
        <v>1.8036476238196401E-3</v>
      </c>
      <c r="J295" s="135">
        <v>1.83430294723959E-3</v>
      </c>
      <c r="K295" s="135">
        <v>1.8424860841083099E-3</v>
      </c>
      <c r="L295" s="135">
        <v>6.3365276272887103E-3</v>
      </c>
      <c r="M295" s="135">
        <v>1.3428253910507001E-2</v>
      </c>
      <c r="N295" s="135">
        <v>2.57318324639054E-2</v>
      </c>
      <c r="O295" s="135">
        <v>3.4365866596057698E-2</v>
      </c>
      <c r="P295" s="135">
        <v>3.9392826178607197E-2</v>
      </c>
      <c r="Q295" s="135">
        <v>5.46605903788972E-2</v>
      </c>
      <c r="R295" s="135">
        <v>6.13761761207453E-2</v>
      </c>
      <c r="S295" s="135">
        <v>5.71710484003672E-2</v>
      </c>
      <c r="T295" s="135">
        <v>5.3510464480555901E-2</v>
      </c>
      <c r="U295" s="135">
        <v>5.3674061014556199E-2</v>
      </c>
      <c r="V295" s="135">
        <v>8.6962361028018506E-2</v>
      </c>
      <c r="W295" s="135">
        <v>0.18577062091833799</v>
      </c>
      <c r="X295" s="135">
        <v>0.17171267171069901</v>
      </c>
      <c r="Y295" s="135">
        <v>0.115375522355307</v>
      </c>
      <c r="Z295" s="135">
        <v>5.7651072279798703E-2</v>
      </c>
      <c r="AA295" s="135">
        <v>2.1048606530868801E-2</v>
      </c>
      <c r="AB295" s="135">
        <v>9.2943319961321293E-3</v>
      </c>
      <c r="AC295" s="135">
        <v>4.51267157400107E-3</v>
      </c>
      <c r="AD295" s="135">
        <v>3.2029867800939102E-3</v>
      </c>
      <c r="AF295" s="243">
        <f t="shared" si="6"/>
        <v>0.55312532234147826</v>
      </c>
      <c r="AG295" s="275">
        <f t="shared" si="7"/>
        <v>0.47403444310617937</v>
      </c>
      <c r="AH295" s="391">
        <f t="shared" si="8"/>
        <v>0.59060949661101847</v>
      </c>
      <c r="AI295" s="135">
        <f t="shared" si="9"/>
        <v>1.0646439397171978</v>
      </c>
    </row>
    <row r="296" spans="1:35" ht="12.6">
      <c r="A296" s="10" t="s">
        <v>186</v>
      </c>
      <c r="B296" s="10">
        <v>295</v>
      </c>
      <c r="C296" s="10" t="s">
        <v>1515</v>
      </c>
      <c r="D296" s="388">
        <v>45221</v>
      </c>
      <c r="E296" s="389">
        <v>45221</v>
      </c>
      <c r="F296" s="390" t="str">
        <f t="shared" si="5"/>
        <v>Cooking</v>
      </c>
      <c r="G296" s="135">
        <v>2.14385861780368E-3</v>
      </c>
      <c r="H296" s="135">
        <v>1.84115209948154E-3</v>
      </c>
      <c r="I296" s="135">
        <v>1.8036476238196401E-3</v>
      </c>
      <c r="J296" s="135">
        <v>1.83430294723959E-3</v>
      </c>
      <c r="K296" s="135">
        <v>1.8424860841083099E-3</v>
      </c>
      <c r="L296" s="135">
        <v>6.3365276272887103E-3</v>
      </c>
      <c r="M296" s="135">
        <v>1.3428253910507001E-2</v>
      </c>
      <c r="N296" s="135">
        <v>2.57318324639054E-2</v>
      </c>
      <c r="O296" s="135">
        <v>3.4365866596057698E-2</v>
      </c>
      <c r="P296" s="135">
        <v>3.9392826178607197E-2</v>
      </c>
      <c r="Q296" s="135">
        <v>5.46605903788972E-2</v>
      </c>
      <c r="R296" s="135">
        <v>6.13761761207453E-2</v>
      </c>
      <c r="S296" s="135">
        <v>5.71710484003672E-2</v>
      </c>
      <c r="T296" s="135">
        <v>5.3510464480555901E-2</v>
      </c>
      <c r="U296" s="135">
        <v>5.3674061014556199E-2</v>
      </c>
      <c r="V296" s="135">
        <v>8.6962361028018506E-2</v>
      </c>
      <c r="W296" s="135">
        <v>0.18577062091833799</v>
      </c>
      <c r="X296" s="135">
        <v>0.17171267171069901</v>
      </c>
      <c r="Y296" s="135">
        <v>0.115375522355307</v>
      </c>
      <c r="Z296" s="135">
        <v>5.7651072279798703E-2</v>
      </c>
      <c r="AA296" s="135">
        <v>2.1048606530868801E-2</v>
      </c>
      <c r="AB296" s="135">
        <v>9.2943319961321293E-3</v>
      </c>
      <c r="AC296" s="135">
        <v>4.51267157400107E-3</v>
      </c>
      <c r="AD296" s="135">
        <v>3.2029867800939102E-3</v>
      </c>
      <c r="AF296" s="243">
        <f t="shared" si="6"/>
        <v>0.55312532234147826</v>
      </c>
      <c r="AG296" s="275">
        <f t="shared" si="7"/>
        <v>0.47403444310617937</v>
      </c>
      <c r="AH296" s="391">
        <f t="shared" si="8"/>
        <v>0.59060949661101847</v>
      </c>
      <c r="AI296" s="135">
        <f t="shared" si="9"/>
        <v>1.0646439397171978</v>
      </c>
    </row>
    <row r="297" spans="1:35" ht="12.6">
      <c r="A297" s="10" t="s">
        <v>186</v>
      </c>
      <c r="B297" s="10">
        <v>296</v>
      </c>
      <c r="C297" s="10" t="s">
        <v>1515</v>
      </c>
      <c r="D297" s="388">
        <v>45222</v>
      </c>
      <c r="E297" s="389">
        <v>45222</v>
      </c>
      <c r="F297" s="390" t="str">
        <f t="shared" si="5"/>
        <v>Cooking</v>
      </c>
      <c r="G297" s="135">
        <v>3.3573202859812998E-3</v>
      </c>
      <c r="H297" s="135">
        <v>2.0128763147679398E-3</v>
      </c>
      <c r="I297" s="135">
        <v>1.9625891602909301E-3</v>
      </c>
      <c r="J297" s="135">
        <v>1.98343193776847E-3</v>
      </c>
      <c r="K297" s="135">
        <v>2.07802086437204E-3</v>
      </c>
      <c r="L297" s="135">
        <v>5.4922382010370498E-3</v>
      </c>
      <c r="M297" s="135">
        <v>1.5656397455901201E-2</v>
      </c>
      <c r="N297" s="135">
        <v>1.29478473734667E-2</v>
      </c>
      <c r="O297" s="135">
        <v>1.32404138115824E-2</v>
      </c>
      <c r="P297" s="135">
        <v>1.3655349852800799E-2</v>
      </c>
      <c r="Q297" s="135">
        <v>1.7209894363396702E-2</v>
      </c>
      <c r="R297" s="135">
        <v>2.5582112795448201E-2</v>
      </c>
      <c r="S297" s="135">
        <v>2.6192536493968001E-2</v>
      </c>
      <c r="T297" s="135">
        <v>2.3707733196663801E-2</v>
      </c>
      <c r="U297" s="135">
        <v>3.4456160399687297E-2</v>
      </c>
      <c r="V297" s="135">
        <v>0.111724035474196</v>
      </c>
      <c r="W297" s="135">
        <v>0.234848331021316</v>
      </c>
      <c r="X297" s="135">
        <v>0.20364196294480399</v>
      </c>
      <c r="Y297" s="135">
        <v>0.15410236808321801</v>
      </c>
      <c r="Z297" s="135">
        <v>9.3400276185943695E-2</v>
      </c>
      <c r="AA297" s="135">
        <v>3.1447768652104399E-2</v>
      </c>
      <c r="AB297" s="135">
        <v>1.13462976164963E-2</v>
      </c>
      <c r="AC297" s="135">
        <v>6.1717464094372997E-3</v>
      </c>
      <c r="AD297" s="135">
        <v>5.3492219888298196E-3</v>
      </c>
      <c r="AF297" s="243">
        <f t="shared" si="6"/>
        <v>0.47372080374467596</v>
      </c>
      <c r="AG297" s="275">
        <f t="shared" si="7"/>
        <v>0.47499263920421686</v>
      </c>
      <c r="AH297" s="391">
        <f t="shared" si="8"/>
        <v>0.57657429167926122</v>
      </c>
      <c r="AI297" s="135">
        <f t="shared" si="9"/>
        <v>1.0515669308834781</v>
      </c>
    </row>
    <row r="298" spans="1:35" ht="12.6">
      <c r="A298" s="10" t="s">
        <v>186</v>
      </c>
      <c r="B298" s="10">
        <v>297</v>
      </c>
      <c r="C298" s="10" t="s">
        <v>1515</v>
      </c>
      <c r="D298" s="388">
        <v>45223</v>
      </c>
      <c r="E298" s="389">
        <v>45223</v>
      </c>
      <c r="F298" s="390" t="str">
        <f t="shared" si="5"/>
        <v>Cooking</v>
      </c>
      <c r="G298" s="135">
        <v>3.3573202859812998E-3</v>
      </c>
      <c r="H298" s="135">
        <v>2.0128763147679398E-3</v>
      </c>
      <c r="I298" s="135">
        <v>1.9625891602909301E-3</v>
      </c>
      <c r="J298" s="135">
        <v>1.98343193776847E-3</v>
      </c>
      <c r="K298" s="135">
        <v>2.07802086437204E-3</v>
      </c>
      <c r="L298" s="135">
        <v>5.4922382010370498E-3</v>
      </c>
      <c r="M298" s="135">
        <v>1.5656397455901201E-2</v>
      </c>
      <c r="N298" s="135">
        <v>1.29478473734667E-2</v>
      </c>
      <c r="O298" s="135">
        <v>1.32404138115824E-2</v>
      </c>
      <c r="P298" s="135">
        <v>1.3655349852800799E-2</v>
      </c>
      <c r="Q298" s="135">
        <v>1.7209894363396702E-2</v>
      </c>
      <c r="R298" s="135">
        <v>2.5582112795448201E-2</v>
      </c>
      <c r="S298" s="135">
        <v>2.6192536493968001E-2</v>
      </c>
      <c r="T298" s="135">
        <v>2.3707733196663801E-2</v>
      </c>
      <c r="U298" s="135">
        <v>3.4456160399687297E-2</v>
      </c>
      <c r="V298" s="135">
        <v>0.111724035474196</v>
      </c>
      <c r="W298" s="135">
        <v>0.234848331021316</v>
      </c>
      <c r="X298" s="135">
        <v>0.20364196294480399</v>
      </c>
      <c r="Y298" s="135">
        <v>0.15410236808321801</v>
      </c>
      <c r="Z298" s="135">
        <v>9.3400276185943695E-2</v>
      </c>
      <c r="AA298" s="135">
        <v>3.1447768652104399E-2</v>
      </c>
      <c r="AB298" s="135">
        <v>1.13462976164963E-2</v>
      </c>
      <c r="AC298" s="135">
        <v>6.1717464094372997E-3</v>
      </c>
      <c r="AD298" s="135">
        <v>5.3492219888298196E-3</v>
      </c>
      <c r="AF298" s="243">
        <f t="shared" si="6"/>
        <v>0.47372080374467596</v>
      </c>
      <c r="AG298" s="275">
        <f t="shared" si="7"/>
        <v>0.47499263920421686</v>
      </c>
      <c r="AH298" s="391">
        <f t="shared" si="8"/>
        <v>0.57657429167926122</v>
      </c>
      <c r="AI298" s="135">
        <f t="shared" si="9"/>
        <v>1.0515669308834781</v>
      </c>
    </row>
    <row r="299" spans="1:35" ht="12.6">
      <c r="A299" s="10" t="s">
        <v>186</v>
      </c>
      <c r="B299" s="10">
        <v>298</v>
      </c>
      <c r="C299" s="10" t="s">
        <v>1515</v>
      </c>
      <c r="D299" s="388">
        <v>45224</v>
      </c>
      <c r="E299" s="389">
        <v>45224</v>
      </c>
      <c r="F299" s="390" t="str">
        <f t="shared" si="5"/>
        <v>Cooking</v>
      </c>
      <c r="G299" s="135">
        <v>3.3573202859812998E-3</v>
      </c>
      <c r="H299" s="135">
        <v>2.0128763147679398E-3</v>
      </c>
      <c r="I299" s="135">
        <v>1.9625891602909301E-3</v>
      </c>
      <c r="J299" s="135">
        <v>1.98343193776847E-3</v>
      </c>
      <c r="K299" s="135">
        <v>2.07802086437204E-3</v>
      </c>
      <c r="L299" s="135">
        <v>5.4922382010370498E-3</v>
      </c>
      <c r="M299" s="135">
        <v>1.5656397455901201E-2</v>
      </c>
      <c r="N299" s="135">
        <v>1.29478473734667E-2</v>
      </c>
      <c r="O299" s="135">
        <v>1.32404138115824E-2</v>
      </c>
      <c r="P299" s="135">
        <v>1.3655349852800799E-2</v>
      </c>
      <c r="Q299" s="135">
        <v>1.7209894363396702E-2</v>
      </c>
      <c r="R299" s="135">
        <v>2.5582112795448201E-2</v>
      </c>
      <c r="S299" s="135">
        <v>2.6192536493968001E-2</v>
      </c>
      <c r="T299" s="135">
        <v>2.3707733196663801E-2</v>
      </c>
      <c r="U299" s="135">
        <v>3.4456160399687297E-2</v>
      </c>
      <c r="V299" s="135">
        <v>0.111724035474196</v>
      </c>
      <c r="W299" s="135">
        <v>0.234848331021316</v>
      </c>
      <c r="X299" s="135">
        <v>0.20364196294480399</v>
      </c>
      <c r="Y299" s="135">
        <v>0.15410236808321801</v>
      </c>
      <c r="Z299" s="135">
        <v>9.3400276185943695E-2</v>
      </c>
      <c r="AA299" s="135">
        <v>3.1447768652104399E-2</v>
      </c>
      <c r="AB299" s="135">
        <v>1.13462976164963E-2</v>
      </c>
      <c r="AC299" s="135">
        <v>6.1717464094372997E-3</v>
      </c>
      <c r="AD299" s="135">
        <v>5.3492219888298196E-3</v>
      </c>
      <c r="AF299" s="243">
        <f t="shared" si="6"/>
        <v>0.47372080374467596</v>
      </c>
      <c r="AG299" s="275">
        <f t="shared" si="7"/>
        <v>0.47499263920421686</v>
      </c>
      <c r="AH299" s="391">
        <f t="shared" si="8"/>
        <v>0.57657429167926122</v>
      </c>
      <c r="AI299" s="135">
        <f t="shared" si="9"/>
        <v>1.0515669308834781</v>
      </c>
    </row>
    <row r="300" spans="1:35" ht="12.6">
      <c r="A300" s="10" t="s">
        <v>186</v>
      </c>
      <c r="B300" s="10">
        <v>299</v>
      </c>
      <c r="C300" s="10" t="s">
        <v>1515</v>
      </c>
      <c r="D300" s="388">
        <v>45225</v>
      </c>
      <c r="E300" s="389">
        <v>45225</v>
      </c>
      <c r="F300" s="390" t="str">
        <f t="shared" si="5"/>
        <v>Cooking</v>
      </c>
      <c r="G300" s="135">
        <v>3.3573202859812998E-3</v>
      </c>
      <c r="H300" s="135">
        <v>2.0128763147679398E-3</v>
      </c>
      <c r="I300" s="135">
        <v>1.9625891602909301E-3</v>
      </c>
      <c r="J300" s="135">
        <v>1.98343193776847E-3</v>
      </c>
      <c r="K300" s="135">
        <v>2.07802086437204E-3</v>
      </c>
      <c r="L300" s="135">
        <v>5.4922382010370498E-3</v>
      </c>
      <c r="M300" s="135">
        <v>1.5656397455901201E-2</v>
      </c>
      <c r="N300" s="135">
        <v>1.29478473734667E-2</v>
      </c>
      <c r="O300" s="135">
        <v>1.32404138115824E-2</v>
      </c>
      <c r="P300" s="135">
        <v>1.3655349852800799E-2</v>
      </c>
      <c r="Q300" s="135">
        <v>1.7209894363396702E-2</v>
      </c>
      <c r="R300" s="135">
        <v>2.5582112795448201E-2</v>
      </c>
      <c r="S300" s="135">
        <v>2.6192536493968001E-2</v>
      </c>
      <c r="T300" s="135">
        <v>2.3707733196663801E-2</v>
      </c>
      <c r="U300" s="135">
        <v>3.4456160399687297E-2</v>
      </c>
      <c r="V300" s="135">
        <v>0.111724035474196</v>
      </c>
      <c r="W300" s="135">
        <v>0.234848331021316</v>
      </c>
      <c r="X300" s="135">
        <v>0.20364196294480399</v>
      </c>
      <c r="Y300" s="135">
        <v>0.15410236808321801</v>
      </c>
      <c r="Z300" s="135">
        <v>9.3400276185943695E-2</v>
      </c>
      <c r="AA300" s="135">
        <v>3.1447768652104399E-2</v>
      </c>
      <c r="AB300" s="135">
        <v>1.13462976164963E-2</v>
      </c>
      <c r="AC300" s="135">
        <v>6.1717464094372997E-3</v>
      </c>
      <c r="AD300" s="135">
        <v>5.3492219888298196E-3</v>
      </c>
      <c r="AF300" s="243">
        <f t="shared" si="6"/>
        <v>0.47372080374467596</v>
      </c>
      <c r="AG300" s="275">
        <f t="shared" si="7"/>
        <v>0.47499263920421686</v>
      </c>
      <c r="AH300" s="391">
        <f t="shared" si="8"/>
        <v>0.57657429167926122</v>
      </c>
      <c r="AI300" s="135">
        <f t="shared" si="9"/>
        <v>1.0515669308834781</v>
      </c>
    </row>
    <row r="301" spans="1:35" ht="12.6">
      <c r="A301" s="10" t="s">
        <v>186</v>
      </c>
      <c r="B301" s="10">
        <v>300</v>
      </c>
      <c r="C301" s="10" t="s">
        <v>1515</v>
      </c>
      <c r="D301" s="388">
        <v>45226</v>
      </c>
      <c r="E301" s="389">
        <v>45226</v>
      </c>
      <c r="F301" s="390" t="str">
        <f t="shared" si="5"/>
        <v>Cooking</v>
      </c>
      <c r="G301" s="135">
        <v>3.3573202859812998E-3</v>
      </c>
      <c r="H301" s="135">
        <v>2.0128763147679398E-3</v>
      </c>
      <c r="I301" s="135">
        <v>1.9625891602909301E-3</v>
      </c>
      <c r="J301" s="135">
        <v>1.98343193776847E-3</v>
      </c>
      <c r="K301" s="135">
        <v>2.07802086437204E-3</v>
      </c>
      <c r="L301" s="135">
        <v>5.4922382010370498E-3</v>
      </c>
      <c r="M301" s="135">
        <v>1.5656397455901201E-2</v>
      </c>
      <c r="N301" s="135">
        <v>1.29478473734667E-2</v>
      </c>
      <c r="O301" s="135">
        <v>1.32404138115824E-2</v>
      </c>
      <c r="P301" s="135">
        <v>1.3655349852800799E-2</v>
      </c>
      <c r="Q301" s="135">
        <v>1.7209894363396702E-2</v>
      </c>
      <c r="R301" s="135">
        <v>2.5582112795448201E-2</v>
      </c>
      <c r="S301" s="135">
        <v>2.6192536493968001E-2</v>
      </c>
      <c r="T301" s="135">
        <v>2.3707733196663801E-2</v>
      </c>
      <c r="U301" s="135">
        <v>3.4456160399687297E-2</v>
      </c>
      <c r="V301" s="135">
        <v>0.111724035474196</v>
      </c>
      <c r="W301" s="135">
        <v>0.234848331021316</v>
      </c>
      <c r="X301" s="135">
        <v>0.20364196294480399</v>
      </c>
      <c r="Y301" s="135">
        <v>0.15410236808321801</v>
      </c>
      <c r="Z301" s="135">
        <v>9.3400276185943695E-2</v>
      </c>
      <c r="AA301" s="135">
        <v>3.1447768652104399E-2</v>
      </c>
      <c r="AB301" s="135">
        <v>1.13462976164963E-2</v>
      </c>
      <c r="AC301" s="135">
        <v>6.1717464094372997E-3</v>
      </c>
      <c r="AD301" s="135">
        <v>5.3492219888298196E-3</v>
      </c>
      <c r="AF301" s="243">
        <f t="shared" si="6"/>
        <v>0.47372080374467596</v>
      </c>
      <c r="AG301" s="275">
        <f t="shared" si="7"/>
        <v>0.47499263920421686</v>
      </c>
      <c r="AH301" s="391">
        <f t="shared" si="8"/>
        <v>0.57657429167926122</v>
      </c>
      <c r="AI301" s="135">
        <f t="shared" si="9"/>
        <v>1.0515669308834781</v>
      </c>
    </row>
    <row r="302" spans="1:35" ht="12.6">
      <c r="A302" s="10" t="s">
        <v>186</v>
      </c>
      <c r="B302" s="10">
        <v>301</v>
      </c>
      <c r="C302" s="10" t="s">
        <v>1515</v>
      </c>
      <c r="D302" s="388">
        <v>45227</v>
      </c>
      <c r="E302" s="389">
        <v>45227</v>
      </c>
      <c r="F302" s="390" t="str">
        <f t="shared" si="5"/>
        <v>Cooking</v>
      </c>
      <c r="G302" s="135">
        <v>2.14385861780368E-3</v>
      </c>
      <c r="H302" s="135">
        <v>1.84115209948154E-3</v>
      </c>
      <c r="I302" s="135">
        <v>1.8036476238196401E-3</v>
      </c>
      <c r="J302" s="135">
        <v>1.83430294723959E-3</v>
      </c>
      <c r="K302" s="135">
        <v>1.8424860841083099E-3</v>
      </c>
      <c r="L302" s="135">
        <v>6.3365276272887103E-3</v>
      </c>
      <c r="M302" s="135">
        <v>1.3428253910507001E-2</v>
      </c>
      <c r="N302" s="135">
        <v>2.57318324639054E-2</v>
      </c>
      <c r="O302" s="135">
        <v>3.4365866596057698E-2</v>
      </c>
      <c r="P302" s="135">
        <v>3.9392826178607197E-2</v>
      </c>
      <c r="Q302" s="135">
        <v>5.46605903788972E-2</v>
      </c>
      <c r="R302" s="135">
        <v>6.13761761207453E-2</v>
      </c>
      <c r="S302" s="135">
        <v>5.71710484003672E-2</v>
      </c>
      <c r="T302" s="135">
        <v>5.3510464480555901E-2</v>
      </c>
      <c r="U302" s="135">
        <v>5.3674061014556199E-2</v>
      </c>
      <c r="V302" s="135">
        <v>8.6962361028018506E-2</v>
      </c>
      <c r="W302" s="135">
        <v>0.18577062091833799</v>
      </c>
      <c r="X302" s="135">
        <v>0.17171267171069901</v>
      </c>
      <c r="Y302" s="135">
        <v>0.115375522355307</v>
      </c>
      <c r="Z302" s="135">
        <v>5.7651072279798703E-2</v>
      </c>
      <c r="AA302" s="135">
        <v>2.1048606530868801E-2</v>
      </c>
      <c r="AB302" s="135">
        <v>9.2943319961321293E-3</v>
      </c>
      <c r="AC302" s="135">
        <v>4.51267157400107E-3</v>
      </c>
      <c r="AD302" s="135">
        <v>3.2029867800939102E-3</v>
      </c>
      <c r="AF302" s="243">
        <f t="shared" si="6"/>
        <v>0.55312532234147826</v>
      </c>
      <c r="AG302" s="275">
        <f t="shared" si="7"/>
        <v>0.47403444310617937</v>
      </c>
      <c r="AH302" s="391">
        <f t="shared" si="8"/>
        <v>0.59060949661101847</v>
      </c>
      <c r="AI302" s="135">
        <f t="shared" si="9"/>
        <v>1.0646439397171978</v>
      </c>
    </row>
    <row r="303" spans="1:35" ht="12.6">
      <c r="A303" s="10" t="s">
        <v>186</v>
      </c>
      <c r="B303" s="10">
        <v>302</v>
      </c>
      <c r="C303" s="10" t="s">
        <v>1515</v>
      </c>
      <c r="D303" s="388">
        <v>45228</v>
      </c>
      <c r="E303" s="389">
        <v>45228</v>
      </c>
      <c r="F303" s="390" t="str">
        <f t="shared" si="5"/>
        <v>Cooking</v>
      </c>
      <c r="G303" s="135">
        <v>2.14385861780368E-3</v>
      </c>
      <c r="H303" s="135">
        <v>1.84115209948154E-3</v>
      </c>
      <c r="I303" s="135">
        <v>1.8036476238196401E-3</v>
      </c>
      <c r="J303" s="135">
        <v>1.83430294723959E-3</v>
      </c>
      <c r="K303" s="135">
        <v>1.8424860841083099E-3</v>
      </c>
      <c r="L303" s="135">
        <v>6.3365276272887103E-3</v>
      </c>
      <c r="M303" s="135">
        <v>1.3428253910507001E-2</v>
      </c>
      <c r="N303" s="135">
        <v>2.57318324639054E-2</v>
      </c>
      <c r="O303" s="135">
        <v>3.4365866596057698E-2</v>
      </c>
      <c r="P303" s="135">
        <v>3.9392826178607197E-2</v>
      </c>
      <c r="Q303" s="135">
        <v>5.46605903788972E-2</v>
      </c>
      <c r="R303" s="135">
        <v>6.13761761207453E-2</v>
      </c>
      <c r="S303" s="135">
        <v>5.71710484003672E-2</v>
      </c>
      <c r="T303" s="135">
        <v>5.3510464480555901E-2</v>
      </c>
      <c r="U303" s="135">
        <v>5.3674061014556199E-2</v>
      </c>
      <c r="V303" s="135">
        <v>8.6962361028018506E-2</v>
      </c>
      <c r="W303" s="135">
        <v>0.18577062091833799</v>
      </c>
      <c r="X303" s="135">
        <v>0.17171267171069901</v>
      </c>
      <c r="Y303" s="135">
        <v>0.115375522355307</v>
      </c>
      <c r="Z303" s="135">
        <v>5.7651072279798703E-2</v>
      </c>
      <c r="AA303" s="135">
        <v>2.1048606530868801E-2</v>
      </c>
      <c r="AB303" s="135">
        <v>9.2943319961321293E-3</v>
      </c>
      <c r="AC303" s="135">
        <v>4.51267157400107E-3</v>
      </c>
      <c r="AD303" s="135">
        <v>3.2029867800939102E-3</v>
      </c>
      <c r="AF303" s="243">
        <f t="shared" si="6"/>
        <v>0.55312532234147826</v>
      </c>
      <c r="AG303" s="275">
        <f t="shared" si="7"/>
        <v>0.47403444310617937</v>
      </c>
      <c r="AH303" s="391">
        <f t="shared" si="8"/>
        <v>0.59060949661101847</v>
      </c>
      <c r="AI303" s="135">
        <f t="shared" si="9"/>
        <v>1.0646439397171978</v>
      </c>
    </row>
    <row r="304" spans="1:35" ht="12.6">
      <c r="A304" s="10" t="s">
        <v>186</v>
      </c>
      <c r="B304" s="10">
        <v>303</v>
      </c>
      <c r="C304" s="10" t="s">
        <v>1515</v>
      </c>
      <c r="D304" s="388">
        <v>45229</v>
      </c>
      <c r="E304" s="389">
        <v>45229</v>
      </c>
      <c r="F304" s="390" t="str">
        <f t="shared" si="5"/>
        <v>Cooking</v>
      </c>
      <c r="G304" s="135">
        <v>3.3573202859812998E-3</v>
      </c>
      <c r="H304" s="135">
        <v>2.0128763147679398E-3</v>
      </c>
      <c r="I304" s="135">
        <v>1.9625891602909301E-3</v>
      </c>
      <c r="J304" s="135">
        <v>1.98343193776847E-3</v>
      </c>
      <c r="K304" s="135">
        <v>2.07802086437204E-3</v>
      </c>
      <c r="L304" s="135">
        <v>5.4922382010370498E-3</v>
      </c>
      <c r="M304" s="135">
        <v>1.5656397455901201E-2</v>
      </c>
      <c r="N304" s="135">
        <v>1.29478473734667E-2</v>
      </c>
      <c r="O304" s="135">
        <v>1.32404138115824E-2</v>
      </c>
      <c r="P304" s="135">
        <v>1.3655349852800799E-2</v>
      </c>
      <c r="Q304" s="135">
        <v>1.7209894363396702E-2</v>
      </c>
      <c r="R304" s="135">
        <v>2.5582112795448201E-2</v>
      </c>
      <c r="S304" s="135">
        <v>2.6192536493968001E-2</v>
      </c>
      <c r="T304" s="135">
        <v>2.3707733196663801E-2</v>
      </c>
      <c r="U304" s="135">
        <v>3.4456160399687297E-2</v>
      </c>
      <c r="V304" s="135">
        <v>0.111724035474196</v>
      </c>
      <c r="W304" s="135">
        <v>0.234848331021316</v>
      </c>
      <c r="X304" s="135">
        <v>0.20364196294480399</v>
      </c>
      <c r="Y304" s="135">
        <v>0.15410236808321801</v>
      </c>
      <c r="Z304" s="135">
        <v>9.3400276185943695E-2</v>
      </c>
      <c r="AA304" s="135">
        <v>3.1447768652104399E-2</v>
      </c>
      <c r="AB304" s="135">
        <v>1.13462976164963E-2</v>
      </c>
      <c r="AC304" s="135">
        <v>6.1717464094372997E-3</v>
      </c>
      <c r="AD304" s="135">
        <v>5.3492219888298196E-3</v>
      </c>
      <c r="AF304" s="243">
        <f t="shared" si="6"/>
        <v>0.47372080374467596</v>
      </c>
      <c r="AG304" s="275">
        <f t="shared" si="7"/>
        <v>0.47499263920421686</v>
      </c>
      <c r="AH304" s="391">
        <f t="shared" si="8"/>
        <v>0.57657429167926122</v>
      </c>
      <c r="AI304" s="135">
        <f t="shared" si="9"/>
        <v>1.0515669308834781</v>
      </c>
    </row>
    <row r="305" spans="1:35" ht="12.6">
      <c r="A305" s="10" t="s">
        <v>186</v>
      </c>
      <c r="B305" s="10">
        <v>304</v>
      </c>
      <c r="C305" s="10" t="s">
        <v>1515</v>
      </c>
      <c r="D305" s="388">
        <v>45230</v>
      </c>
      <c r="E305" s="389">
        <v>45230</v>
      </c>
      <c r="F305" s="390" t="str">
        <f t="shared" si="5"/>
        <v>Cooking</v>
      </c>
      <c r="G305" s="135">
        <v>3.3573202859812998E-3</v>
      </c>
      <c r="H305" s="135">
        <v>2.0128763147679398E-3</v>
      </c>
      <c r="I305" s="135">
        <v>1.9625891602909301E-3</v>
      </c>
      <c r="J305" s="135">
        <v>1.98343193776847E-3</v>
      </c>
      <c r="K305" s="135">
        <v>2.07802086437204E-3</v>
      </c>
      <c r="L305" s="135">
        <v>5.4922382010370498E-3</v>
      </c>
      <c r="M305" s="135">
        <v>1.5656397455901201E-2</v>
      </c>
      <c r="N305" s="135">
        <v>1.29478473734667E-2</v>
      </c>
      <c r="O305" s="135">
        <v>1.32404138115824E-2</v>
      </c>
      <c r="P305" s="135">
        <v>1.3655349852800799E-2</v>
      </c>
      <c r="Q305" s="135">
        <v>1.7209894363396702E-2</v>
      </c>
      <c r="R305" s="135">
        <v>2.5582112795448201E-2</v>
      </c>
      <c r="S305" s="135">
        <v>2.6192536493968001E-2</v>
      </c>
      <c r="T305" s="135">
        <v>2.3707733196663801E-2</v>
      </c>
      <c r="U305" s="135">
        <v>3.4456160399687297E-2</v>
      </c>
      <c r="V305" s="135">
        <v>0.111724035474196</v>
      </c>
      <c r="W305" s="135">
        <v>0.234848331021316</v>
      </c>
      <c r="X305" s="135">
        <v>0.20364196294480399</v>
      </c>
      <c r="Y305" s="135">
        <v>0.15410236808321801</v>
      </c>
      <c r="Z305" s="135">
        <v>9.3400276185943695E-2</v>
      </c>
      <c r="AA305" s="135">
        <v>3.1447768652104399E-2</v>
      </c>
      <c r="AB305" s="135">
        <v>1.13462976164963E-2</v>
      </c>
      <c r="AC305" s="135">
        <v>6.1717464094372997E-3</v>
      </c>
      <c r="AD305" s="135">
        <v>5.3492219888298196E-3</v>
      </c>
      <c r="AF305" s="243">
        <f t="shared" si="6"/>
        <v>0.47372080374467596</v>
      </c>
      <c r="AG305" s="275">
        <f t="shared" si="7"/>
        <v>0.47499263920421686</v>
      </c>
      <c r="AH305" s="391">
        <f t="shared" si="8"/>
        <v>0.57657429167926122</v>
      </c>
      <c r="AI305" s="135">
        <f t="shared" si="9"/>
        <v>1.0515669308834781</v>
      </c>
    </row>
    <row r="306" spans="1:35" ht="12.6">
      <c r="A306" s="10" t="s">
        <v>186</v>
      </c>
      <c r="B306" s="10">
        <v>305</v>
      </c>
      <c r="C306" s="10" t="s">
        <v>1515</v>
      </c>
      <c r="D306" s="388">
        <v>45231</v>
      </c>
      <c r="E306" s="389">
        <v>45231</v>
      </c>
      <c r="F306" s="390" t="str">
        <f t="shared" si="5"/>
        <v>Cooking</v>
      </c>
      <c r="G306" s="135">
        <v>3.3573202859812998E-3</v>
      </c>
      <c r="H306" s="135">
        <v>2.0128763147679398E-3</v>
      </c>
      <c r="I306" s="135">
        <v>1.9625891602909301E-3</v>
      </c>
      <c r="J306" s="135">
        <v>1.98343193776847E-3</v>
      </c>
      <c r="K306" s="135">
        <v>2.07802086437204E-3</v>
      </c>
      <c r="L306" s="135">
        <v>5.4922382010370498E-3</v>
      </c>
      <c r="M306" s="135">
        <v>1.5656397455901201E-2</v>
      </c>
      <c r="N306" s="135">
        <v>1.29478473734667E-2</v>
      </c>
      <c r="O306" s="135">
        <v>1.32404138115824E-2</v>
      </c>
      <c r="P306" s="135">
        <v>1.3655349852800799E-2</v>
      </c>
      <c r="Q306" s="135">
        <v>1.7209894363396702E-2</v>
      </c>
      <c r="R306" s="135">
        <v>2.5582112795448201E-2</v>
      </c>
      <c r="S306" s="135">
        <v>2.6192536493968001E-2</v>
      </c>
      <c r="T306" s="135">
        <v>2.3707733196663801E-2</v>
      </c>
      <c r="U306" s="135">
        <v>3.4456160399687297E-2</v>
      </c>
      <c r="V306" s="135">
        <v>0.111724035474196</v>
      </c>
      <c r="W306" s="135">
        <v>0.234848331021316</v>
      </c>
      <c r="X306" s="135">
        <v>0.20364196294480399</v>
      </c>
      <c r="Y306" s="135">
        <v>0.15410236808321801</v>
      </c>
      <c r="Z306" s="135">
        <v>9.3400276185943695E-2</v>
      </c>
      <c r="AA306" s="135">
        <v>3.1447768652104399E-2</v>
      </c>
      <c r="AB306" s="135">
        <v>1.13462976164963E-2</v>
      </c>
      <c r="AC306" s="135">
        <v>6.1717464094372997E-3</v>
      </c>
      <c r="AD306" s="135">
        <v>5.3492219888298196E-3</v>
      </c>
      <c r="AF306" s="243">
        <f t="shared" si="6"/>
        <v>0.47372080374467596</v>
      </c>
      <c r="AG306" s="275">
        <f t="shared" si="7"/>
        <v>0.47499263920421686</v>
      </c>
      <c r="AH306" s="391">
        <f t="shared" si="8"/>
        <v>0.57657429167926122</v>
      </c>
      <c r="AI306" s="135">
        <f t="shared" si="9"/>
        <v>1.0515669308834781</v>
      </c>
    </row>
    <row r="307" spans="1:35" ht="12.6">
      <c r="A307" s="10" t="s">
        <v>186</v>
      </c>
      <c r="B307" s="10">
        <v>306</v>
      </c>
      <c r="C307" s="10" t="s">
        <v>1515</v>
      </c>
      <c r="D307" s="388">
        <v>45232</v>
      </c>
      <c r="E307" s="389">
        <v>45232</v>
      </c>
      <c r="F307" s="390" t="str">
        <f t="shared" si="5"/>
        <v>Cooking</v>
      </c>
      <c r="G307" s="135">
        <v>3.3573202859812998E-3</v>
      </c>
      <c r="H307" s="135">
        <v>2.0128763147679398E-3</v>
      </c>
      <c r="I307" s="135">
        <v>1.9625891602909301E-3</v>
      </c>
      <c r="J307" s="135">
        <v>1.98343193776847E-3</v>
      </c>
      <c r="K307" s="135">
        <v>2.07802086437204E-3</v>
      </c>
      <c r="L307" s="135">
        <v>5.4922382010370498E-3</v>
      </c>
      <c r="M307" s="135">
        <v>1.5656397455901201E-2</v>
      </c>
      <c r="N307" s="135">
        <v>1.29478473734667E-2</v>
      </c>
      <c r="O307" s="135">
        <v>1.32404138115824E-2</v>
      </c>
      <c r="P307" s="135">
        <v>1.3655349852800799E-2</v>
      </c>
      <c r="Q307" s="135">
        <v>1.7209894363396702E-2</v>
      </c>
      <c r="R307" s="135">
        <v>2.5582112795448201E-2</v>
      </c>
      <c r="S307" s="135">
        <v>2.6192536493968001E-2</v>
      </c>
      <c r="T307" s="135">
        <v>2.3707733196663801E-2</v>
      </c>
      <c r="U307" s="135">
        <v>3.4456160399687297E-2</v>
      </c>
      <c r="V307" s="135">
        <v>0.111724035474196</v>
      </c>
      <c r="W307" s="135">
        <v>0.234848331021316</v>
      </c>
      <c r="X307" s="135">
        <v>0.20364196294480399</v>
      </c>
      <c r="Y307" s="135">
        <v>0.15410236808321801</v>
      </c>
      <c r="Z307" s="135">
        <v>9.3400276185943695E-2</v>
      </c>
      <c r="AA307" s="135">
        <v>3.1447768652104399E-2</v>
      </c>
      <c r="AB307" s="135">
        <v>1.13462976164963E-2</v>
      </c>
      <c r="AC307" s="135">
        <v>6.1717464094372997E-3</v>
      </c>
      <c r="AD307" s="135">
        <v>5.3492219888298196E-3</v>
      </c>
      <c r="AF307" s="243">
        <f t="shared" si="6"/>
        <v>0.47372080374467596</v>
      </c>
      <c r="AG307" s="275">
        <f t="shared" si="7"/>
        <v>0.47499263920421686</v>
      </c>
      <c r="AH307" s="391">
        <f t="shared" si="8"/>
        <v>0.57657429167926122</v>
      </c>
      <c r="AI307" s="135">
        <f t="shared" si="9"/>
        <v>1.0515669308834781</v>
      </c>
    </row>
    <row r="308" spans="1:35" ht="12.6">
      <c r="A308" s="10" t="s">
        <v>186</v>
      </c>
      <c r="B308" s="10">
        <v>307</v>
      </c>
      <c r="C308" s="10" t="s">
        <v>1515</v>
      </c>
      <c r="D308" s="388">
        <v>45233</v>
      </c>
      <c r="E308" s="389">
        <v>45233</v>
      </c>
      <c r="F308" s="390" t="str">
        <f t="shared" si="5"/>
        <v>Cooking</v>
      </c>
      <c r="G308" s="135">
        <v>3.3573202859812998E-3</v>
      </c>
      <c r="H308" s="135">
        <v>2.0128763147679398E-3</v>
      </c>
      <c r="I308" s="135">
        <v>1.9625891602909301E-3</v>
      </c>
      <c r="J308" s="135">
        <v>1.98343193776847E-3</v>
      </c>
      <c r="K308" s="135">
        <v>2.07802086437204E-3</v>
      </c>
      <c r="L308" s="135">
        <v>5.4922382010370498E-3</v>
      </c>
      <c r="M308" s="135">
        <v>1.5656397455901201E-2</v>
      </c>
      <c r="N308" s="135">
        <v>1.29478473734667E-2</v>
      </c>
      <c r="O308" s="135">
        <v>1.32404138115824E-2</v>
      </c>
      <c r="P308" s="135">
        <v>1.3655349852800799E-2</v>
      </c>
      <c r="Q308" s="135">
        <v>1.7209894363396702E-2</v>
      </c>
      <c r="R308" s="135">
        <v>2.5582112795448201E-2</v>
      </c>
      <c r="S308" s="135">
        <v>2.6192536493968001E-2</v>
      </c>
      <c r="T308" s="135">
        <v>2.3707733196663801E-2</v>
      </c>
      <c r="U308" s="135">
        <v>3.4456160399687297E-2</v>
      </c>
      <c r="V308" s="135">
        <v>0.111724035474196</v>
      </c>
      <c r="W308" s="135">
        <v>0.234848331021316</v>
      </c>
      <c r="X308" s="135">
        <v>0.20364196294480399</v>
      </c>
      <c r="Y308" s="135">
        <v>0.15410236808321801</v>
      </c>
      <c r="Z308" s="135">
        <v>9.3400276185943695E-2</v>
      </c>
      <c r="AA308" s="135">
        <v>3.1447768652104399E-2</v>
      </c>
      <c r="AB308" s="135">
        <v>1.13462976164963E-2</v>
      </c>
      <c r="AC308" s="135">
        <v>6.1717464094372997E-3</v>
      </c>
      <c r="AD308" s="135">
        <v>5.3492219888298196E-3</v>
      </c>
      <c r="AF308" s="243">
        <f t="shared" si="6"/>
        <v>0.47372080374467596</v>
      </c>
      <c r="AG308" s="275">
        <f t="shared" si="7"/>
        <v>0.47499263920421686</v>
      </c>
      <c r="AH308" s="391">
        <f t="shared" si="8"/>
        <v>0.57657429167926122</v>
      </c>
      <c r="AI308" s="135">
        <f t="shared" si="9"/>
        <v>1.0515669308834781</v>
      </c>
    </row>
    <row r="309" spans="1:35" ht="12.6">
      <c r="A309" s="10" t="s">
        <v>186</v>
      </c>
      <c r="B309" s="10">
        <v>308</v>
      </c>
      <c r="C309" s="10" t="s">
        <v>1515</v>
      </c>
      <c r="D309" s="388">
        <v>45234</v>
      </c>
      <c r="E309" s="389">
        <v>45234</v>
      </c>
      <c r="F309" s="390" t="str">
        <f t="shared" si="5"/>
        <v>Cooking</v>
      </c>
      <c r="G309" s="135">
        <v>2.14385861780368E-3</v>
      </c>
      <c r="H309" s="135">
        <v>1.84115209948154E-3</v>
      </c>
      <c r="I309" s="135">
        <v>1.8036476238196401E-3</v>
      </c>
      <c r="J309" s="135">
        <v>1.83430294723959E-3</v>
      </c>
      <c r="K309" s="135">
        <v>1.8424860841083099E-3</v>
      </c>
      <c r="L309" s="135">
        <v>6.3365276272887103E-3</v>
      </c>
      <c r="M309" s="135">
        <v>1.3428253910507001E-2</v>
      </c>
      <c r="N309" s="135">
        <v>2.57318324639054E-2</v>
      </c>
      <c r="O309" s="135">
        <v>3.4365866596057698E-2</v>
      </c>
      <c r="P309" s="135">
        <v>3.9392826178607197E-2</v>
      </c>
      <c r="Q309" s="135">
        <v>5.46605903788972E-2</v>
      </c>
      <c r="R309" s="135">
        <v>6.13761761207453E-2</v>
      </c>
      <c r="S309" s="135">
        <v>5.71710484003672E-2</v>
      </c>
      <c r="T309" s="135">
        <v>5.3510464480555901E-2</v>
      </c>
      <c r="U309" s="135">
        <v>5.3674061014556199E-2</v>
      </c>
      <c r="V309" s="135">
        <v>8.6962361028018506E-2</v>
      </c>
      <c r="W309" s="135">
        <v>0.18577062091833799</v>
      </c>
      <c r="X309" s="135">
        <v>0.17171267171069901</v>
      </c>
      <c r="Y309" s="135">
        <v>0.115375522355307</v>
      </c>
      <c r="Z309" s="135">
        <v>5.7651072279798703E-2</v>
      </c>
      <c r="AA309" s="135">
        <v>2.1048606530868801E-2</v>
      </c>
      <c r="AB309" s="135">
        <v>9.2943319961321293E-3</v>
      </c>
      <c r="AC309" s="135">
        <v>4.51267157400107E-3</v>
      </c>
      <c r="AD309" s="135">
        <v>3.2029867800939102E-3</v>
      </c>
      <c r="AF309" s="243">
        <f t="shared" si="6"/>
        <v>0.55312532234147826</v>
      </c>
      <c r="AG309" s="275">
        <f t="shared" si="7"/>
        <v>0.47403444310617937</v>
      </c>
      <c r="AH309" s="391">
        <f t="shared" si="8"/>
        <v>0.59060949661101847</v>
      </c>
      <c r="AI309" s="135">
        <f t="shared" si="9"/>
        <v>1.0646439397171978</v>
      </c>
    </row>
    <row r="310" spans="1:35" ht="12.6">
      <c r="A310" s="10" t="s">
        <v>186</v>
      </c>
      <c r="B310" s="10">
        <v>309</v>
      </c>
      <c r="C310" s="10" t="s">
        <v>1515</v>
      </c>
      <c r="D310" s="388">
        <v>45235</v>
      </c>
      <c r="E310" s="389">
        <v>45235</v>
      </c>
      <c r="F310" s="390" t="str">
        <f t="shared" si="5"/>
        <v>Cooking</v>
      </c>
      <c r="G310" s="135">
        <v>2.14385861780368E-3</v>
      </c>
      <c r="H310" s="135">
        <v>1.84115209948154E-3</v>
      </c>
      <c r="I310" s="135">
        <v>1.8036476238196401E-3</v>
      </c>
      <c r="J310" s="135">
        <v>1.83430294723959E-3</v>
      </c>
      <c r="K310" s="135">
        <v>1.8424860841083099E-3</v>
      </c>
      <c r="L310" s="135">
        <v>6.3365276272887103E-3</v>
      </c>
      <c r="M310" s="135">
        <v>1.3428253910507001E-2</v>
      </c>
      <c r="N310" s="135">
        <v>2.57318324639054E-2</v>
      </c>
      <c r="O310" s="135">
        <v>3.4365866596057698E-2</v>
      </c>
      <c r="P310" s="135">
        <v>3.9392826178607197E-2</v>
      </c>
      <c r="Q310" s="135">
        <v>5.46605903788972E-2</v>
      </c>
      <c r="R310" s="135">
        <v>6.13761761207453E-2</v>
      </c>
      <c r="S310" s="135">
        <v>5.71710484003672E-2</v>
      </c>
      <c r="T310" s="135">
        <v>5.3510464480555901E-2</v>
      </c>
      <c r="U310" s="135">
        <v>5.3674061014556199E-2</v>
      </c>
      <c r="V310" s="135">
        <v>8.6962361028018506E-2</v>
      </c>
      <c r="W310" s="135">
        <v>0.18577062091833799</v>
      </c>
      <c r="X310" s="135">
        <v>0.17171267171069901</v>
      </c>
      <c r="Y310" s="135">
        <v>0.115375522355307</v>
      </c>
      <c r="Z310" s="135">
        <v>5.7651072279798703E-2</v>
      </c>
      <c r="AA310" s="135">
        <v>2.1048606530868801E-2</v>
      </c>
      <c r="AB310" s="135">
        <v>9.2943319961321293E-3</v>
      </c>
      <c r="AC310" s="135">
        <v>4.51267157400107E-3</v>
      </c>
      <c r="AD310" s="135">
        <v>3.2029867800939102E-3</v>
      </c>
      <c r="AF310" s="243">
        <f t="shared" si="6"/>
        <v>0.55312532234147826</v>
      </c>
      <c r="AG310" s="275">
        <f t="shared" si="7"/>
        <v>0.47403444310617937</v>
      </c>
      <c r="AH310" s="391">
        <f t="shared" si="8"/>
        <v>0.59060949661101847</v>
      </c>
      <c r="AI310" s="135">
        <f t="shared" si="9"/>
        <v>1.0646439397171978</v>
      </c>
    </row>
    <row r="311" spans="1:35" ht="12.6">
      <c r="A311" s="10" t="s">
        <v>186</v>
      </c>
      <c r="B311" s="10">
        <v>310</v>
      </c>
      <c r="C311" s="10" t="s">
        <v>1515</v>
      </c>
      <c r="D311" s="388">
        <v>45236</v>
      </c>
      <c r="E311" s="389">
        <v>45236</v>
      </c>
      <c r="F311" s="390" t="str">
        <f t="shared" si="5"/>
        <v>Cooking</v>
      </c>
      <c r="G311" s="135">
        <v>3.3573202859812998E-3</v>
      </c>
      <c r="H311" s="135">
        <v>2.0128763147679398E-3</v>
      </c>
      <c r="I311" s="135">
        <v>1.9625891602909301E-3</v>
      </c>
      <c r="J311" s="135">
        <v>1.98343193776847E-3</v>
      </c>
      <c r="K311" s="135">
        <v>2.07802086437204E-3</v>
      </c>
      <c r="L311" s="135">
        <v>5.4922382010370498E-3</v>
      </c>
      <c r="M311" s="135">
        <v>1.5656397455901201E-2</v>
      </c>
      <c r="N311" s="135">
        <v>1.29478473734667E-2</v>
      </c>
      <c r="O311" s="135">
        <v>1.32404138115824E-2</v>
      </c>
      <c r="P311" s="135">
        <v>1.3655349852800799E-2</v>
      </c>
      <c r="Q311" s="135">
        <v>1.7209894363396702E-2</v>
      </c>
      <c r="R311" s="135">
        <v>2.5582112795448201E-2</v>
      </c>
      <c r="S311" s="135">
        <v>2.6192536493968001E-2</v>
      </c>
      <c r="T311" s="135">
        <v>2.3707733196663801E-2</v>
      </c>
      <c r="U311" s="135">
        <v>3.4456160399687297E-2</v>
      </c>
      <c r="V311" s="135">
        <v>0.111724035474196</v>
      </c>
      <c r="W311" s="135">
        <v>0.234848331021316</v>
      </c>
      <c r="X311" s="135">
        <v>0.20364196294480399</v>
      </c>
      <c r="Y311" s="135">
        <v>0.15410236808321801</v>
      </c>
      <c r="Z311" s="135">
        <v>9.3400276185943695E-2</v>
      </c>
      <c r="AA311" s="135">
        <v>3.1447768652104399E-2</v>
      </c>
      <c r="AB311" s="135">
        <v>1.13462976164963E-2</v>
      </c>
      <c r="AC311" s="135">
        <v>6.1717464094372997E-3</v>
      </c>
      <c r="AD311" s="135">
        <v>5.3492219888298196E-3</v>
      </c>
      <c r="AF311" s="243">
        <f t="shared" si="6"/>
        <v>0.47372080374467596</v>
      </c>
      <c r="AG311" s="275">
        <f t="shared" si="7"/>
        <v>0.47499263920421686</v>
      </c>
      <c r="AH311" s="391">
        <f t="shared" si="8"/>
        <v>0.57657429167926122</v>
      </c>
      <c r="AI311" s="135">
        <f t="shared" si="9"/>
        <v>1.0515669308834781</v>
      </c>
    </row>
    <row r="312" spans="1:35" ht="12.6">
      <c r="A312" s="10" t="s">
        <v>186</v>
      </c>
      <c r="B312" s="10">
        <v>311</v>
      </c>
      <c r="C312" s="10" t="s">
        <v>1515</v>
      </c>
      <c r="D312" s="388">
        <v>45237</v>
      </c>
      <c r="E312" s="389">
        <v>45237</v>
      </c>
      <c r="F312" s="390" t="str">
        <f t="shared" si="5"/>
        <v>Cooking</v>
      </c>
      <c r="G312" s="135">
        <v>3.3573202859812998E-3</v>
      </c>
      <c r="H312" s="135">
        <v>2.0128763147679398E-3</v>
      </c>
      <c r="I312" s="135">
        <v>1.9625891602909301E-3</v>
      </c>
      <c r="J312" s="135">
        <v>1.98343193776847E-3</v>
      </c>
      <c r="K312" s="135">
        <v>2.07802086437204E-3</v>
      </c>
      <c r="L312" s="135">
        <v>5.4922382010370498E-3</v>
      </c>
      <c r="M312" s="135">
        <v>1.5656397455901201E-2</v>
      </c>
      <c r="N312" s="135">
        <v>1.29478473734667E-2</v>
      </c>
      <c r="O312" s="135">
        <v>1.32404138115824E-2</v>
      </c>
      <c r="P312" s="135">
        <v>1.3655349852800799E-2</v>
      </c>
      <c r="Q312" s="135">
        <v>1.7209894363396702E-2</v>
      </c>
      <c r="R312" s="135">
        <v>2.5582112795448201E-2</v>
      </c>
      <c r="S312" s="135">
        <v>2.6192536493968001E-2</v>
      </c>
      <c r="T312" s="135">
        <v>2.3707733196663801E-2</v>
      </c>
      <c r="U312" s="135">
        <v>3.4456160399687297E-2</v>
      </c>
      <c r="V312" s="135">
        <v>0.111724035474196</v>
      </c>
      <c r="W312" s="135">
        <v>0.234848331021316</v>
      </c>
      <c r="X312" s="135">
        <v>0.20364196294480399</v>
      </c>
      <c r="Y312" s="135">
        <v>0.15410236808321801</v>
      </c>
      <c r="Z312" s="135">
        <v>9.3400276185943695E-2</v>
      </c>
      <c r="AA312" s="135">
        <v>3.1447768652104399E-2</v>
      </c>
      <c r="AB312" s="135">
        <v>1.13462976164963E-2</v>
      </c>
      <c r="AC312" s="135">
        <v>6.1717464094372997E-3</v>
      </c>
      <c r="AD312" s="135">
        <v>5.3492219888298196E-3</v>
      </c>
      <c r="AF312" s="243">
        <f t="shared" si="6"/>
        <v>0.47372080374467596</v>
      </c>
      <c r="AG312" s="275">
        <f t="shared" si="7"/>
        <v>0.47499263920421686</v>
      </c>
      <c r="AH312" s="391">
        <f t="shared" si="8"/>
        <v>0.57657429167926122</v>
      </c>
      <c r="AI312" s="135">
        <f t="shared" si="9"/>
        <v>1.0515669308834781</v>
      </c>
    </row>
    <row r="313" spans="1:35" ht="12.6">
      <c r="A313" s="10" t="s">
        <v>186</v>
      </c>
      <c r="B313" s="10">
        <v>312</v>
      </c>
      <c r="C313" s="10" t="s">
        <v>1515</v>
      </c>
      <c r="D313" s="388">
        <v>45238</v>
      </c>
      <c r="E313" s="389">
        <v>45238</v>
      </c>
      <c r="F313" s="390" t="str">
        <f t="shared" si="5"/>
        <v>Cooking</v>
      </c>
      <c r="G313" s="135">
        <v>3.3573202859812998E-3</v>
      </c>
      <c r="H313" s="135">
        <v>2.0128763147679398E-3</v>
      </c>
      <c r="I313" s="135">
        <v>1.9625891602909301E-3</v>
      </c>
      <c r="J313" s="135">
        <v>1.98343193776847E-3</v>
      </c>
      <c r="K313" s="135">
        <v>2.07802086437204E-3</v>
      </c>
      <c r="L313" s="135">
        <v>5.4922382010370498E-3</v>
      </c>
      <c r="M313" s="135">
        <v>1.5656397455901201E-2</v>
      </c>
      <c r="N313" s="135">
        <v>1.29478473734667E-2</v>
      </c>
      <c r="O313" s="135">
        <v>1.32404138115824E-2</v>
      </c>
      <c r="P313" s="135">
        <v>1.3655349852800799E-2</v>
      </c>
      <c r="Q313" s="135">
        <v>1.7209894363396702E-2</v>
      </c>
      <c r="R313" s="135">
        <v>2.5582112795448201E-2</v>
      </c>
      <c r="S313" s="135">
        <v>2.6192536493968001E-2</v>
      </c>
      <c r="T313" s="135">
        <v>2.3707733196663801E-2</v>
      </c>
      <c r="U313" s="135">
        <v>3.4456160399687297E-2</v>
      </c>
      <c r="V313" s="135">
        <v>0.111724035474196</v>
      </c>
      <c r="W313" s="135">
        <v>0.234848331021316</v>
      </c>
      <c r="X313" s="135">
        <v>0.20364196294480399</v>
      </c>
      <c r="Y313" s="135">
        <v>0.15410236808321801</v>
      </c>
      <c r="Z313" s="135">
        <v>9.3400276185943695E-2</v>
      </c>
      <c r="AA313" s="135">
        <v>3.1447768652104399E-2</v>
      </c>
      <c r="AB313" s="135">
        <v>1.13462976164963E-2</v>
      </c>
      <c r="AC313" s="135">
        <v>6.1717464094372997E-3</v>
      </c>
      <c r="AD313" s="135">
        <v>5.3492219888298196E-3</v>
      </c>
      <c r="AF313" s="243">
        <f t="shared" si="6"/>
        <v>0.47372080374467596</v>
      </c>
      <c r="AG313" s="275">
        <f t="shared" si="7"/>
        <v>0.47499263920421686</v>
      </c>
      <c r="AH313" s="391">
        <f t="shared" si="8"/>
        <v>0.57657429167926122</v>
      </c>
      <c r="AI313" s="135">
        <f t="shared" si="9"/>
        <v>1.0515669308834781</v>
      </c>
    </row>
    <row r="314" spans="1:35" ht="12.6">
      <c r="A314" s="10" t="s">
        <v>186</v>
      </c>
      <c r="B314" s="10">
        <v>313</v>
      </c>
      <c r="C314" s="10" t="s">
        <v>1515</v>
      </c>
      <c r="D314" s="388">
        <v>45239</v>
      </c>
      <c r="E314" s="389">
        <v>45239</v>
      </c>
      <c r="F314" s="390" t="str">
        <f t="shared" si="5"/>
        <v>Cooking</v>
      </c>
      <c r="G314" s="135">
        <v>3.3573202859812998E-3</v>
      </c>
      <c r="H314" s="135">
        <v>2.0128763147679398E-3</v>
      </c>
      <c r="I314" s="135">
        <v>1.9625891602909301E-3</v>
      </c>
      <c r="J314" s="135">
        <v>1.98343193776847E-3</v>
      </c>
      <c r="K314" s="135">
        <v>2.07802086437204E-3</v>
      </c>
      <c r="L314" s="135">
        <v>5.4922382010370498E-3</v>
      </c>
      <c r="M314" s="135">
        <v>1.5656397455901201E-2</v>
      </c>
      <c r="N314" s="135">
        <v>1.29478473734667E-2</v>
      </c>
      <c r="O314" s="135">
        <v>1.32404138115824E-2</v>
      </c>
      <c r="P314" s="135">
        <v>1.3655349852800799E-2</v>
      </c>
      <c r="Q314" s="135">
        <v>1.7209894363396702E-2</v>
      </c>
      <c r="R314" s="135">
        <v>2.5582112795448201E-2</v>
      </c>
      <c r="S314" s="135">
        <v>2.6192536493968001E-2</v>
      </c>
      <c r="T314" s="135">
        <v>2.3707733196663801E-2</v>
      </c>
      <c r="U314" s="135">
        <v>3.4456160399687297E-2</v>
      </c>
      <c r="V314" s="135">
        <v>0.111724035474196</v>
      </c>
      <c r="W314" s="135">
        <v>0.234848331021316</v>
      </c>
      <c r="X314" s="135">
        <v>0.20364196294480399</v>
      </c>
      <c r="Y314" s="135">
        <v>0.15410236808321801</v>
      </c>
      <c r="Z314" s="135">
        <v>9.3400276185943695E-2</v>
      </c>
      <c r="AA314" s="135">
        <v>3.1447768652104399E-2</v>
      </c>
      <c r="AB314" s="135">
        <v>1.13462976164963E-2</v>
      </c>
      <c r="AC314" s="135">
        <v>6.1717464094372997E-3</v>
      </c>
      <c r="AD314" s="135">
        <v>5.3492219888298196E-3</v>
      </c>
      <c r="AF314" s="243">
        <f t="shared" si="6"/>
        <v>0.47372080374467596</v>
      </c>
      <c r="AG314" s="275">
        <f t="shared" si="7"/>
        <v>0.47499263920421686</v>
      </c>
      <c r="AH314" s="391">
        <f t="shared" si="8"/>
        <v>0.57657429167926122</v>
      </c>
      <c r="AI314" s="135">
        <f t="shared" si="9"/>
        <v>1.0515669308834781</v>
      </c>
    </row>
    <row r="315" spans="1:35" ht="12.6">
      <c r="A315" s="10" t="s">
        <v>186</v>
      </c>
      <c r="B315" s="10">
        <v>314</v>
      </c>
      <c r="C315" s="10" t="s">
        <v>1515</v>
      </c>
      <c r="D315" s="388">
        <v>45240</v>
      </c>
      <c r="E315" s="389">
        <v>45240</v>
      </c>
      <c r="F315" s="390" t="str">
        <f t="shared" si="5"/>
        <v>Cooking</v>
      </c>
      <c r="G315" s="135">
        <v>3.3573202859812998E-3</v>
      </c>
      <c r="H315" s="135">
        <v>2.0128763147679398E-3</v>
      </c>
      <c r="I315" s="135">
        <v>1.9625891602909301E-3</v>
      </c>
      <c r="J315" s="135">
        <v>1.98343193776847E-3</v>
      </c>
      <c r="K315" s="135">
        <v>2.07802086437204E-3</v>
      </c>
      <c r="L315" s="135">
        <v>5.4922382010370498E-3</v>
      </c>
      <c r="M315" s="135">
        <v>1.5656397455901201E-2</v>
      </c>
      <c r="N315" s="135">
        <v>1.29478473734667E-2</v>
      </c>
      <c r="O315" s="135">
        <v>1.32404138115824E-2</v>
      </c>
      <c r="P315" s="135">
        <v>1.3655349852800799E-2</v>
      </c>
      <c r="Q315" s="135">
        <v>1.7209894363396702E-2</v>
      </c>
      <c r="R315" s="135">
        <v>2.5582112795448201E-2</v>
      </c>
      <c r="S315" s="135">
        <v>2.6192536493968001E-2</v>
      </c>
      <c r="T315" s="135">
        <v>2.3707733196663801E-2</v>
      </c>
      <c r="U315" s="135">
        <v>3.4456160399687297E-2</v>
      </c>
      <c r="V315" s="135">
        <v>0.111724035474196</v>
      </c>
      <c r="W315" s="135">
        <v>0.234848331021316</v>
      </c>
      <c r="X315" s="135">
        <v>0.20364196294480399</v>
      </c>
      <c r="Y315" s="135">
        <v>0.15410236808321801</v>
      </c>
      <c r="Z315" s="135">
        <v>9.3400276185943695E-2</v>
      </c>
      <c r="AA315" s="135">
        <v>3.1447768652104399E-2</v>
      </c>
      <c r="AB315" s="135">
        <v>1.13462976164963E-2</v>
      </c>
      <c r="AC315" s="135">
        <v>6.1717464094372997E-3</v>
      </c>
      <c r="AD315" s="135">
        <v>5.3492219888298196E-3</v>
      </c>
      <c r="AF315" s="243">
        <f t="shared" si="6"/>
        <v>0.47372080374467596</v>
      </c>
      <c r="AG315" s="275">
        <f t="shared" si="7"/>
        <v>0.47499263920421686</v>
      </c>
      <c r="AH315" s="391">
        <f t="shared" si="8"/>
        <v>0.57657429167926122</v>
      </c>
      <c r="AI315" s="135">
        <f t="shared" si="9"/>
        <v>1.0515669308834781</v>
      </c>
    </row>
    <row r="316" spans="1:35" ht="12.6">
      <c r="A316" s="10" t="s">
        <v>186</v>
      </c>
      <c r="B316" s="10">
        <v>315</v>
      </c>
      <c r="C316" s="10" t="s">
        <v>1515</v>
      </c>
      <c r="D316" s="388">
        <v>45241</v>
      </c>
      <c r="E316" s="389">
        <v>45241</v>
      </c>
      <c r="F316" s="390" t="str">
        <f t="shared" si="5"/>
        <v>Cooking</v>
      </c>
      <c r="G316" s="135">
        <v>2.14385861780368E-3</v>
      </c>
      <c r="H316" s="135">
        <v>1.84115209948154E-3</v>
      </c>
      <c r="I316" s="135">
        <v>1.8036476238196401E-3</v>
      </c>
      <c r="J316" s="135">
        <v>1.83430294723959E-3</v>
      </c>
      <c r="K316" s="135">
        <v>1.8424860841083099E-3</v>
      </c>
      <c r="L316" s="135">
        <v>6.3365276272887103E-3</v>
      </c>
      <c r="M316" s="135">
        <v>1.3428253910507001E-2</v>
      </c>
      <c r="N316" s="135">
        <v>2.57318324639054E-2</v>
      </c>
      <c r="O316" s="135">
        <v>3.4365866596057698E-2</v>
      </c>
      <c r="P316" s="135">
        <v>3.9392826178607197E-2</v>
      </c>
      <c r="Q316" s="135">
        <v>5.46605903788972E-2</v>
      </c>
      <c r="R316" s="135">
        <v>6.13761761207453E-2</v>
      </c>
      <c r="S316" s="135">
        <v>5.71710484003672E-2</v>
      </c>
      <c r="T316" s="135">
        <v>5.3510464480555901E-2</v>
      </c>
      <c r="U316" s="135">
        <v>5.3674061014556199E-2</v>
      </c>
      <c r="V316" s="135">
        <v>8.6962361028018506E-2</v>
      </c>
      <c r="W316" s="135">
        <v>0.18577062091833799</v>
      </c>
      <c r="X316" s="135">
        <v>0.17171267171069901</v>
      </c>
      <c r="Y316" s="135">
        <v>0.115375522355307</v>
      </c>
      <c r="Z316" s="135">
        <v>5.7651072279798703E-2</v>
      </c>
      <c r="AA316" s="135">
        <v>2.1048606530868801E-2</v>
      </c>
      <c r="AB316" s="135">
        <v>9.2943319961321293E-3</v>
      </c>
      <c r="AC316" s="135">
        <v>4.51267157400107E-3</v>
      </c>
      <c r="AD316" s="135">
        <v>3.2029867800939102E-3</v>
      </c>
      <c r="AF316" s="243">
        <f t="shared" si="6"/>
        <v>0.55312532234147826</v>
      </c>
      <c r="AG316" s="275">
        <f t="shared" si="7"/>
        <v>0.47403444310617937</v>
      </c>
      <c r="AH316" s="391">
        <f t="shared" si="8"/>
        <v>0.59060949661101847</v>
      </c>
      <c r="AI316" s="135">
        <f t="shared" si="9"/>
        <v>1.0646439397171978</v>
      </c>
    </row>
    <row r="317" spans="1:35" ht="12.6">
      <c r="A317" s="10" t="s">
        <v>186</v>
      </c>
      <c r="B317" s="10">
        <v>316</v>
      </c>
      <c r="C317" s="10" t="s">
        <v>1515</v>
      </c>
      <c r="D317" s="388">
        <v>45242</v>
      </c>
      <c r="E317" s="389">
        <v>45242</v>
      </c>
      <c r="F317" s="390" t="str">
        <f t="shared" si="5"/>
        <v>Cooking</v>
      </c>
      <c r="G317" s="135">
        <v>2.14385861780368E-3</v>
      </c>
      <c r="H317" s="135">
        <v>1.84115209948154E-3</v>
      </c>
      <c r="I317" s="135">
        <v>1.8036476238196401E-3</v>
      </c>
      <c r="J317" s="135">
        <v>1.83430294723959E-3</v>
      </c>
      <c r="K317" s="135">
        <v>1.8424860841083099E-3</v>
      </c>
      <c r="L317" s="135">
        <v>6.3365276272887103E-3</v>
      </c>
      <c r="M317" s="135">
        <v>1.3428253910507001E-2</v>
      </c>
      <c r="N317" s="135">
        <v>2.57318324639054E-2</v>
      </c>
      <c r="O317" s="135">
        <v>3.4365866596057698E-2</v>
      </c>
      <c r="P317" s="135">
        <v>3.9392826178607197E-2</v>
      </c>
      <c r="Q317" s="135">
        <v>5.46605903788972E-2</v>
      </c>
      <c r="R317" s="135">
        <v>6.13761761207453E-2</v>
      </c>
      <c r="S317" s="135">
        <v>5.71710484003672E-2</v>
      </c>
      <c r="T317" s="135">
        <v>5.3510464480555901E-2</v>
      </c>
      <c r="U317" s="135">
        <v>5.3674061014556199E-2</v>
      </c>
      <c r="V317" s="135">
        <v>8.6962361028018506E-2</v>
      </c>
      <c r="W317" s="135">
        <v>0.18577062091833799</v>
      </c>
      <c r="X317" s="135">
        <v>0.17171267171069901</v>
      </c>
      <c r="Y317" s="135">
        <v>0.115375522355307</v>
      </c>
      <c r="Z317" s="135">
        <v>5.7651072279798703E-2</v>
      </c>
      <c r="AA317" s="135">
        <v>2.1048606530868801E-2</v>
      </c>
      <c r="AB317" s="135">
        <v>9.2943319961321293E-3</v>
      </c>
      <c r="AC317" s="135">
        <v>4.51267157400107E-3</v>
      </c>
      <c r="AD317" s="135">
        <v>3.2029867800939102E-3</v>
      </c>
      <c r="AF317" s="243">
        <f t="shared" si="6"/>
        <v>0.55312532234147826</v>
      </c>
      <c r="AG317" s="275">
        <f t="shared" si="7"/>
        <v>0.47403444310617937</v>
      </c>
      <c r="AH317" s="391">
        <f t="shared" si="8"/>
        <v>0.59060949661101847</v>
      </c>
      <c r="AI317" s="135">
        <f t="shared" si="9"/>
        <v>1.0646439397171978</v>
      </c>
    </row>
    <row r="318" spans="1:35" ht="12.6">
      <c r="A318" s="10" t="s">
        <v>186</v>
      </c>
      <c r="B318" s="10">
        <v>317</v>
      </c>
      <c r="C318" s="10" t="s">
        <v>1515</v>
      </c>
      <c r="D318" s="388">
        <v>45243</v>
      </c>
      <c r="E318" s="389">
        <v>45243</v>
      </c>
      <c r="F318" s="390" t="str">
        <f t="shared" si="5"/>
        <v>Cooking</v>
      </c>
      <c r="G318" s="135">
        <v>3.3573202859812998E-3</v>
      </c>
      <c r="H318" s="135">
        <v>2.0128763147679398E-3</v>
      </c>
      <c r="I318" s="135">
        <v>1.9625891602909301E-3</v>
      </c>
      <c r="J318" s="135">
        <v>1.98343193776847E-3</v>
      </c>
      <c r="K318" s="135">
        <v>2.07802086437204E-3</v>
      </c>
      <c r="L318" s="135">
        <v>5.4922382010370498E-3</v>
      </c>
      <c r="M318" s="135">
        <v>1.5656397455901201E-2</v>
      </c>
      <c r="N318" s="135">
        <v>1.29478473734667E-2</v>
      </c>
      <c r="O318" s="135">
        <v>1.32404138115824E-2</v>
      </c>
      <c r="P318" s="135">
        <v>1.3655349852800799E-2</v>
      </c>
      <c r="Q318" s="135">
        <v>1.7209894363396702E-2</v>
      </c>
      <c r="R318" s="135">
        <v>2.5582112795448201E-2</v>
      </c>
      <c r="S318" s="135">
        <v>2.6192536493968001E-2</v>
      </c>
      <c r="T318" s="135">
        <v>2.3707733196663801E-2</v>
      </c>
      <c r="U318" s="135">
        <v>3.4456160399687297E-2</v>
      </c>
      <c r="V318" s="135">
        <v>0.111724035474196</v>
      </c>
      <c r="W318" s="135">
        <v>0.234848331021316</v>
      </c>
      <c r="X318" s="135">
        <v>0.20364196294480399</v>
      </c>
      <c r="Y318" s="135">
        <v>0.15410236808321801</v>
      </c>
      <c r="Z318" s="135">
        <v>9.3400276185943695E-2</v>
      </c>
      <c r="AA318" s="135">
        <v>3.1447768652104399E-2</v>
      </c>
      <c r="AB318" s="135">
        <v>1.13462976164963E-2</v>
      </c>
      <c r="AC318" s="135">
        <v>6.1717464094372997E-3</v>
      </c>
      <c r="AD318" s="135">
        <v>5.3492219888298196E-3</v>
      </c>
      <c r="AF318" s="243">
        <f t="shared" si="6"/>
        <v>0.47372080374467596</v>
      </c>
      <c r="AG318" s="275">
        <f t="shared" si="7"/>
        <v>0.47499263920421686</v>
      </c>
      <c r="AH318" s="391">
        <f t="shared" si="8"/>
        <v>0.57657429167926122</v>
      </c>
      <c r="AI318" s="135">
        <f t="shared" si="9"/>
        <v>1.0515669308834781</v>
      </c>
    </row>
    <row r="319" spans="1:35" ht="12.6">
      <c r="A319" s="10" t="s">
        <v>186</v>
      </c>
      <c r="B319" s="10">
        <v>318</v>
      </c>
      <c r="C319" s="10" t="s">
        <v>1515</v>
      </c>
      <c r="D319" s="388">
        <v>45244</v>
      </c>
      <c r="E319" s="389">
        <v>45244</v>
      </c>
      <c r="F319" s="390" t="str">
        <f t="shared" si="5"/>
        <v>Cooking</v>
      </c>
      <c r="G319" s="135">
        <v>3.3573202859812998E-3</v>
      </c>
      <c r="H319" s="135">
        <v>2.0128763147679398E-3</v>
      </c>
      <c r="I319" s="135">
        <v>1.9625891602909301E-3</v>
      </c>
      <c r="J319" s="135">
        <v>1.98343193776847E-3</v>
      </c>
      <c r="K319" s="135">
        <v>2.07802086437204E-3</v>
      </c>
      <c r="L319" s="135">
        <v>5.4922382010370498E-3</v>
      </c>
      <c r="M319" s="135">
        <v>1.5656397455901201E-2</v>
      </c>
      <c r="N319" s="135">
        <v>1.29478473734667E-2</v>
      </c>
      <c r="O319" s="135">
        <v>1.32404138115824E-2</v>
      </c>
      <c r="P319" s="135">
        <v>1.3655349852800799E-2</v>
      </c>
      <c r="Q319" s="135">
        <v>1.7209894363396702E-2</v>
      </c>
      <c r="R319" s="135">
        <v>2.5582112795448201E-2</v>
      </c>
      <c r="S319" s="135">
        <v>2.6192536493968001E-2</v>
      </c>
      <c r="T319" s="135">
        <v>2.3707733196663801E-2</v>
      </c>
      <c r="U319" s="135">
        <v>3.4456160399687297E-2</v>
      </c>
      <c r="V319" s="135">
        <v>0.111724035474196</v>
      </c>
      <c r="W319" s="135">
        <v>0.234848331021316</v>
      </c>
      <c r="X319" s="135">
        <v>0.20364196294480399</v>
      </c>
      <c r="Y319" s="135">
        <v>0.15410236808321801</v>
      </c>
      <c r="Z319" s="135">
        <v>9.3400276185943695E-2</v>
      </c>
      <c r="AA319" s="135">
        <v>3.1447768652104399E-2</v>
      </c>
      <c r="AB319" s="135">
        <v>1.13462976164963E-2</v>
      </c>
      <c r="AC319" s="135">
        <v>6.1717464094372997E-3</v>
      </c>
      <c r="AD319" s="135">
        <v>5.3492219888298196E-3</v>
      </c>
      <c r="AF319" s="243">
        <f t="shared" si="6"/>
        <v>0.47372080374467596</v>
      </c>
      <c r="AG319" s="275">
        <f t="shared" si="7"/>
        <v>0.47499263920421686</v>
      </c>
      <c r="AH319" s="391">
        <f t="shared" si="8"/>
        <v>0.57657429167926122</v>
      </c>
      <c r="AI319" s="135">
        <f t="shared" si="9"/>
        <v>1.0515669308834781</v>
      </c>
    </row>
    <row r="320" spans="1:35" ht="12.6">
      <c r="A320" s="10" t="s">
        <v>186</v>
      </c>
      <c r="B320" s="10">
        <v>319</v>
      </c>
      <c r="C320" s="10" t="s">
        <v>1515</v>
      </c>
      <c r="D320" s="388">
        <v>45245</v>
      </c>
      <c r="E320" s="389">
        <v>45245</v>
      </c>
      <c r="F320" s="390" t="str">
        <f t="shared" si="5"/>
        <v>Cooking</v>
      </c>
      <c r="G320" s="135">
        <v>3.3573202859812998E-3</v>
      </c>
      <c r="H320" s="135">
        <v>2.0128763147679398E-3</v>
      </c>
      <c r="I320" s="135">
        <v>1.9625891602909301E-3</v>
      </c>
      <c r="J320" s="135">
        <v>1.98343193776847E-3</v>
      </c>
      <c r="K320" s="135">
        <v>2.07802086437204E-3</v>
      </c>
      <c r="L320" s="135">
        <v>5.4922382010370498E-3</v>
      </c>
      <c r="M320" s="135">
        <v>1.5656397455901201E-2</v>
      </c>
      <c r="N320" s="135">
        <v>1.29478473734667E-2</v>
      </c>
      <c r="O320" s="135">
        <v>1.32404138115824E-2</v>
      </c>
      <c r="P320" s="135">
        <v>1.3655349852800799E-2</v>
      </c>
      <c r="Q320" s="135">
        <v>1.7209894363396702E-2</v>
      </c>
      <c r="R320" s="135">
        <v>2.5582112795448201E-2</v>
      </c>
      <c r="S320" s="135">
        <v>2.6192536493968001E-2</v>
      </c>
      <c r="T320" s="135">
        <v>2.3707733196663801E-2</v>
      </c>
      <c r="U320" s="135">
        <v>3.4456160399687297E-2</v>
      </c>
      <c r="V320" s="135">
        <v>0.111724035474196</v>
      </c>
      <c r="W320" s="135">
        <v>0.234848331021316</v>
      </c>
      <c r="X320" s="135">
        <v>0.20364196294480399</v>
      </c>
      <c r="Y320" s="135">
        <v>0.15410236808321801</v>
      </c>
      <c r="Z320" s="135">
        <v>9.3400276185943695E-2</v>
      </c>
      <c r="AA320" s="135">
        <v>3.1447768652104399E-2</v>
      </c>
      <c r="AB320" s="135">
        <v>1.13462976164963E-2</v>
      </c>
      <c r="AC320" s="135">
        <v>6.1717464094372997E-3</v>
      </c>
      <c r="AD320" s="135">
        <v>5.3492219888298196E-3</v>
      </c>
      <c r="AF320" s="243">
        <f t="shared" si="6"/>
        <v>0.47372080374467596</v>
      </c>
      <c r="AG320" s="275">
        <f t="shared" si="7"/>
        <v>0.47499263920421686</v>
      </c>
      <c r="AH320" s="391">
        <f t="shared" si="8"/>
        <v>0.57657429167926122</v>
      </c>
      <c r="AI320" s="135">
        <f t="shared" si="9"/>
        <v>1.0515669308834781</v>
      </c>
    </row>
    <row r="321" spans="1:35" ht="12.6">
      <c r="A321" s="10" t="s">
        <v>186</v>
      </c>
      <c r="B321" s="10">
        <v>320</v>
      </c>
      <c r="C321" s="10" t="s">
        <v>1515</v>
      </c>
      <c r="D321" s="388">
        <v>45246</v>
      </c>
      <c r="E321" s="389">
        <v>45246</v>
      </c>
      <c r="F321" s="390" t="str">
        <f t="shared" si="5"/>
        <v>Cooking</v>
      </c>
      <c r="G321" s="135">
        <v>3.3573202859812998E-3</v>
      </c>
      <c r="H321" s="135">
        <v>2.0128763147679398E-3</v>
      </c>
      <c r="I321" s="135">
        <v>1.9625891602909301E-3</v>
      </c>
      <c r="J321" s="135">
        <v>1.98343193776847E-3</v>
      </c>
      <c r="K321" s="135">
        <v>2.07802086437204E-3</v>
      </c>
      <c r="L321" s="135">
        <v>5.4922382010370498E-3</v>
      </c>
      <c r="M321" s="135">
        <v>1.5656397455901201E-2</v>
      </c>
      <c r="N321" s="135">
        <v>1.29478473734667E-2</v>
      </c>
      <c r="O321" s="135">
        <v>1.32404138115824E-2</v>
      </c>
      <c r="P321" s="135">
        <v>1.3655349852800799E-2</v>
      </c>
      <c r="Q321" s="135">
        <v>1.7209894363396702E-2</v>
      </c>
      <c r="R321" s="135">
        <v>2.5582112795448201E-2</v>
      </c>
      <c r="S321" s="135">
        <v>2.6192536493968001E-2</v>
      </c>
      <c r="T321" s="135">
        <v>2.3707733196663801E-2</v>
      </c>
      <c r="U321" s="135">
        <v>3.4456160399687297E-2</v>
      </c>
      <c r="V321" s="135">
        <v>0.111724035474196</v>
      </c>
      <c r="W321" s="135">
        <v>0.234848331021316</v>
      </c>
      <c r="X321" s="135">
        <v>0.20364196294480399</v>
      </c>
      <c r="Y321" s="135">
        <v>0.15410236808321801</v>
      </c>
      <c r="Z321" s="135">
        <v>9.3400276185943695E-2</v>
      </c>
      <c r="AA321" s="135">
        <v>3.1447768652104399E-2</v>
      </c>
      <c r="AB321" s="135">
        <v>1.13462976164963E-2</v>
      </c>
      <c r="AC321" s="135">
        <v>6.1717464094372997E-3</v>
      </c>
      <c r="AD321" s="135">
        <v>5.3492219888298196E-3</v>
      </c>
      <c r="AF321" s="243">
        <f t="shared" si="6"/>
        <v>0.47372080374467596</v>
      </c>
      <c r="AG321" s="275">
        <f t="shared" si="7"/>
        <v>0.47499263920421686</v>
      </c>
      <c r="AH321" s="391">
        <f t="shared" si="8"/>
        <v>0.57657429167926122</v>
      </c>
      <c r="AI321" s="135">
        <f t="shared" si="9"/>
        <v>1.0515669308834781</v>
      </c>
    </row>
    <row r="322" spans="1:35" ht="12.6">
      <c r="A322" s="10" t="s">
        <v>186</v>
      </c>
      <c r="B322" s="10">
        <v>321</v>
      </c>
      <c r="C322" s="10" t="s">
        <v>1515</v>
      </c>
      <c r="D322" s="388">
        <v>45247</v>
      </c>
      <c r="E322" s="389">
        <v>45247</v>
      </c>
      <c r="F322" s="390" t="str">
        <f t="shared" si="5"/>
        <v>Cooking</v>
      </c>
      <c r="G322" s="135">
        <v>3.3573202859812998E-3</v>
      </c>
      <c r="H322" s="135">
        <v>2.0128763147679398E-3</v>
      </c>
      <c r="I322" s="135">
        <v>1.9625891602909301E-3</v>
      </c>
      <c r="J322" s="135">
        <v>1.98343193776847E-3</v>
      </c>
      <c r="K322" s="135">
        <v>2.07802086437204E-3</v>
      </c>
      <c r="L322" s="135">
        <v>5.4922382010370498E-3</v>
      </c>
      <c r="M322" s="135">
        <v>1.5656397455901201E-2</v>
      </c>
      <c r="N322" s="135">
        <v>1.29478473734667E-2</v>
      </c>
      <c r="O322" s="135">
        <v>1.32404138115824E-2</v>
      </c>
      <c r="P322" s="135">
        <v>1.3655349852800799E-2</v>
      </c>
      <c r="Q322" s="135">
        <v>1.7209894363396702E-2</v>
      </c>
      <c r="R322" s="135">
        <v>2.5582112795448201E-2</v>
      </c>
      <c r="S322" s="135">
        <v>2.6192536493968001E-2</v>
      </c>
      <c r="T322" s="135">
        <v>2.3707733196663801E-2</v>
      </c>
      <c r="U322" s="135">
        <v>3.4456160399687297E-2</v>
      </c>
      <c r="V322" s="135">
        <v>0.111724035474196</v>
      </c>
      <c r="W322" s="135">
        <v>0.234848331021316</v>
      </c>
      <c r="X322" s="135">
        <v>0.20364196294480399</v>
      </c>
      <c r="Y322" s="135">
        <v>0.15410236808321801</v>
      </c>
      <c r="Z322" s="135">
        <v>9.3400276185943695E-2</v>
      </c>
      <c r="AA322" s="135">
        <v>3.1447768652104399E-2</v>
      </c>
      <c r="AB322" s="135">
        <v>1.13462976164963E-2</v>
      </c>
      <c r="AC322" s="135">
        <v>6.1717464094372997E-3</v>
      </c>
      <c r="AD322" s="135">
        <v>5.3492219888298196E-3</v>
      </c>
      <c r="AF322" s="243">
        <f t="shared" si="6"/>
        <v>0.47372080374467596</v>
      </c>
      <c r="AG322" s="275">
        <f t="shared" si="7"/>
        <v>0.47499263920421686</v>
      </c>
      <c r="AH322" s="391">
        <f t="shared" si="8"/>
        <v>0.57657429167926122</v>
      </c>
      <c r="AI322" s="135">
        <f t="shared" si="9"/>
        <v>1.0515669308834781</v>
      </c>
    </row>
    <row r="323" spans="1:35" ht="12.6">
      <c r="A323" s="10" t="s">
        <v>186</v>
      </c>
      <c r="B323" s="10">
        <v>322</v>
      </c>
      <c r="C323" s="10" t="s">
        <v>1515</v>
      </c>
      <c r="D323" s="388">
        <v>45248</v>
      </c>
      <c r="E323" s="389">
        <v>45248</v>
      </c>
      <c r="F323" s="390" t="str">
        <f t="shared" si="5"/>
        <v>Cooking</v>
      </c>
      <c r="G323" s="135">
        <v>2.14385861780368E-3</v>
      </c>
      <c r="H323" s="135">
        <v>1.84115209948154E-3</v>
      </c>
      <c r="I323" s="135">
        <v>1.8036476238196401E-3</v>
      </c>
      <c r="J323" s="135">
        <v>1.83430294723959E-3</v>
      </c>
      <c r="K323" s="135">
        <v>1.8424860841083099E-3</v>
      </c>
      <c r="L323" s="135">
        <v>6.3365276272887103E-3</v>
      </c>
      <c r="M323" s="135">
        <v>1.3428253910507001E-2</v>
      </c>
      <c r="N323" s="135">
        <v>2.57318324639054E-2</v>
      </c>
      <c r="O323" s="135">
        <v>3.4365866596057698E-2</v>
      </c>
      <c r="P323" s="135">
        <v>3.9392826178607197E-2</v>
      </c>
      <c r="Q323" s="135">
        <v>5.46605903788972E-2</v>
      </c>
      <c r="R323" s="135">
        <v>6.13761761207453E-2</v>
      </c>
      <c r="S323" s="135">
        <v>5.71710484003672E-2</v>
      </c>
      <c r="T323" s="135">
        <v>5.3510464480555901E-2</v>
      </c>
      <c r="U323" s="135">
        <v>5.3674061014556199E-2</v>
      </c>
      <c r="V323" s="135">
        <v>8.6962361028018506E-2</v>
      </c>
      <c r="W323" s="135">
        <v>0.18577062091833799</v>
      </c>
      <c r="X323" s="135">
        <v>0.17171267171069901</v>
      </c>
      <c r="Y323" s="135">
        <v>0.115375522355307</v>
      </c>
      <c r="Z323" s="135">
        <v>5.7651072279798703E-2</v>
      </c>
      <c r="AA323" s="135">
        <v>2.1048606530868801E-2</v>
      </c>
      <c r="AB323" s="135">
        <v>9.2943319961321293E-3</v>
      </c>
      <c r="AC323" s="135">
        <v>4.51267157400107E-3</v>
      </c>
      <c r="AD323" s="135">
        <v>3.2029867800939102E-3</v>
      </c>
      <c r="AF323" s="243">
        <f t="shared" si="6"/>
        <v>0.55312532234147826</v>
      </c>
      <c r="AG323" s="275">
        <f t="shared" si="7"/>
        <v>0.47403444310617937</v>
      </c>
      <c r="AH323" s="391">
        <f t="shared" si="8"/>
        <v>0.59060949661101847</v>
      </c>
      <c r="AI323" s="135">
        <f t="shared" si="9"/>
        <v>1.0646439397171978</v>
      </c>
    </row>
    <row r="324" spans="1:35" ht="12.6">
      <c r="A324" s="10" t="s">
        <v>186</v>
      </c>
      <c r="B324" s="10">
        <v>323</v>
      </c>
      <c r="C324" s="10" t="s">
        <v>1515</v>
      </c>
      <c r="D324" s="388">
        <v>45249</v>
      </c>
      <c r="E324" s="389">
        <v>45249</v>
      </c>
      <c r="F324" s="390" t="str">
        <f t="shared" si="5"/>
        <v>Cooking</v>
      </c>
      <c r="G324" s="135">
        <v>2.14385861780368E-3</v>
      </c>
      <c r="H324" s="135">
        <v>1.84115209948154E-3</v>
      </c>
      <c r="I324" s="135">
        <v>1.8036476238196401E-3</v>
      </c>
      <c r="J324" s="135">
        <v>1.83430294723959E-3</v>
      </c>
      <c r="K324" s="135">
        <v>1.8424860841083099E-3</v>
      </c>
      <c r="L324" s="135">
        <v>6.3365276272887103E-3</v>
      </c>
      <c r="M324" s="135">
        <v>1.3428253910507001E-2</v>
      </c>
      <c r="N324" s="135">
        <v>2.57318324639054E-2</v>
      </c>
      <c r="O324" s="135">
        <v>3.4365866596057698E-2</v>
      </c>
      <c r="P324" s="135">
        <v>3.9392826178607197E-2</v>
      </c>
      <c r="Q324" s="135">
        <v>5.46605903788972E-2</v>
      </c>
      <c r="R324" s="135">
        <v>6.13761761207453E-2</v>
      </c>
      <c r="S324" s="135">
        <v>5.71710484003672E-2</v>
      </c>
      <c r="T324" s="135">
        <v>5.3510464480555901E-2</v>
      </c>
      <c r="U324" s="135">
        <v>5.3674061014556199E-2</v>
      </c>
      <c r="V324" s="135">
        <v>8.6962361028018506E-2</v>
      </c>
      <c r="W324" s="135">
        <v>0.18577062091833799</v>
      </c>
      <c r="X324" s="135">
        <v>0.17171267171069901</v>
      </c>
      <c r="Y324" s="135">
        <v>0.115375522355307</v>
      </c>
      <c r="Z324" s="135">
        <v>5.7651072279798703E-2</v>
      </c>
      <c r="AA324" s="135">
        <v>2.1048606530868801E-2</v>
      </c>
      <c r="AB324" s="135">
        <v>9.2943319961321293E-3</v>
      </c>
      <c r="AC324" s="135">
        <v>4.51267157400107E-3</v>
      </c>
      <c r="AD324" s="135">
        <v>3.2029867800939102E-3</v>
      </c>
      <c r="AF324" s="243">
        <f t="shared" si="6"/>
        <v>0.55312532234147826</v>
      </c>
      <c r="AG324" s="275">
        <f t="shared" si="7"/>
        <v>0.47403444310617937</v>
      </c>
      <c r="AH324" s="391">
        <f t="shared" si="8"/>
        <v>0.59060949661101847</v>
      </c>
      <c r="AI324" s="135">
        <f t="shared" si="9"/>
        <v>1.0646439397171978</v>
      </c>
    </row>
    <row r="325" spans="1:35" ht="12.6">
      <c r="A325" s="10" t="s">
        <v>186</v>
      </c>
      <c r="B325" s="10">
        <v>324</v>
      </c>
      <c r="C325" s="10" t="s">
        <v>1515</v>
      </c>
      <c r="D325" s="388">
        <v>45250</v>
      </c>
      <c r="E325" s="389">
        <v>45250</v>
      </c>
      <c r="F325" s="390" t="str">
        <f t="shared" si="5"/>
        <v>Cooking</v>
      </c>
      <c r="G325" s="135">
        <v>3.3573202859812998E-3</v>
      </c>
      <c r="H325" s="135">
        <v>2.0128763147679398E-3</v>
      </c>
      <c r="I325" s="135">
        <v>1.9625891602909301E-3</v>
      </c>
      <c r="J325" s="135">
        <v>1.98343193776847E-3</v>
      </c>
      <c r="K325" s="135">
        <v>2.07802086437204E-3</v>
      </c>
      <c r="L325" s="135">
        <v>5.4922382010370498E-3</v>
      </c>
      <c r="M325" s="135">
        <v>1.5656397455901201E-2</v>
      </c>
      <c r="N325" s="135">
        <v>1.29478473734667E-2</v>
      </c>
      <c r="O325" s="135">
        <v>1.32404138115824E-2</v>
      </c>
      <c r="P325" s="135">
        <v>1.3655349852800799E-2</v>
      </c>
      <c r="Q325" s="135">
        <v>1.7209894363396702E-2</v>
      </c>
      <c r="R325" s="135">
        <v>2.5582112795448201E-2</v>
      </c>
      <c r="S325" s="135">
        <v>2.6192536493968001E-2</v>
      </c>
      <c r="T325" s="135">
        <v>2.3707733196663801E-2</v>
      </c>
      <c r="U325" s="135">
        <v>3.4456160399687297E-2</v>
      </c>
      <c r="V325" s="135">
        <v>0.111724035474196</v>
      </c>
      <c r="W325" s="135">
        <v>0.234848331021316</v>
      </c>
      <c r="X325" s="135">
        <v>0.20364196294480399</v>
      </c>
      <c r="Y325" s="135">
        <v>0.15410236808321801</v>
      </c>
      <c r="Z325" s="135">
        <v>9.3400276185943695E-2</v>
      </c>
      <c r="AA325" s="135">
        <v>3.1447768652104399E-2</v>
      </c>
      <c r="AB325" s="135">
        <v>1.13462976164963E-2</v>
      </c>
      <c r="AC325" s="135">
        <v>6.1717464094372997E-3</v>
      </c>
      <c r="AD325" s="135">
        <v>5.3492219888298196E-3</v>
      </c>
      <c r="AF325" s="243">
        <f t="shared" si="6"/>
        <v>0.47372080374467596</v>
      </c>
      <c r="AG325" s="275">
        <f t="shared" si="7"/>
        <v>0.47499263920421686</v>
      </c>
      <c r="AH325" s="391">
        <f t="shared" si="8"/>
        <v>0.57657429167926122</v>
      </c>
      <c r="AI325" s="135">
        <f t="shared" si="9"/>
        <v>1.0515669308834781</v>
      </c>
    </row>
    <row r="326" spans="1:35" ht="12.6">
      <c r="A326" s="10" t="s">
        <v>186</v>
      </c>
      <c r="B326" s="10">
        <v>325</v>
      </c>
      <c r="C326" s="10" t="s">
        <v>1515</v>
      </c>
      <c r="D326" s="388">
        <v>45251</v>
      </c>
      <c r="E326" s="389">
        <v>45251</v>
      </c>
      <c r="F326" s="390" t="str">
        <f t="shared" si="5"/>
        <v>Cooking</v>
      </c>
      <c r="G326" s="135">
        <v>3.3573202859812998E-3</v>
      </c>
      <c r="H326" s="135">
        <v>2.0128763147679398E-3</v>
      </c>
      <c r="I326" s="135">
        <v>1.9625891602909301E-3</v>
      </c>
      <c r="J326" s="135">
        <v>1.98343193776847E-3</v>
      </c>
      <c r="K326" s="135">
        <v>2.07802086437204E-3</v>
      </c>
      <c r="L326" s="135">
        <v>5.4922382010370498E-3</v>
      </c>
      <c r="M326" s="135">
        <v>1.5656397455901201E-2</v>
      </c>
      <c r="N326" s="135">
        <v>1.29478473734667E-2</v>
      </c>
      <c r="O326" s="135">
        <v>1.32404138115824E-2</v>
      </c>
      <c r="P326" s="135">
        <v>1.3655349852800799E-2</v>
      </c>
      <c r="Q326" s="135">
        <v>1.7209894363396702E-2</v>
      </c>
      <c r="R326" s="135">
        <v>2.5582112795448201E-2</v>
      </c>
      <c r="S326" s="135">
        <v>2.6192536493968001E-2</v>
      </c>
      <c r="T326" s="135">
        <v>2.3707733196663801E-2</v>
      </c>
      <c r="U326" s="135">
        <v>3.4456160399687297E-2</v>
      </c>
      <c r="V326" s="135">
        <v>0.111724035474196</v>
      </c>
      <c r="W326" s="135">
        <v>0.234848331021316</v>
      </c>
      <c r="X326" s="135">
        <v>0.20364196294480399</v>
      </c>
      <c r="Y326" s="135">
        <v>0.15410236808321801</v>
      </c>
      <c r="Z326" s="135">
        <v>9.3400276185943695E-2</v>
      </c>
      <c r="AA326" s="135">
        <v>3.1447768652104399E-2</v>
      </c>
      <c r="AB326" s="135">
        <v>1.13462976164963E-2</v>
      </c>
      <c r="AC326" s="135">
        <v>6.1717464094372997E-3</v>
      </c>
      <c r="AD326" s="135">
        <v>5.3492219888298196E-3</v>
      </c>
      <c r="AF326" s="243">
        <f t="shared" si="6"/>
        <v>0.47372080374467596</v>
      </c>
      <c r="AG326" s="275">
        <f t="shared" si="7"/>
        <v>0.47499263920421686</v>
      </c>
      <c r="AH326" s="391">
        <f t="shared" si="8"/>
        <v>0.57657429167926122</v>
      </c>
      <c r="AI326" s="135">
        <f t="shared" si="9"/>
        <v>1.0515669308834781</v>
      </c>
    </row>
    <row r="327" spans="1:35" ht="12.6">
      <c r="A327" s="10" t="s">
        <v>186</v>
      </c>
      <c r="B327" s="10">
        <v>326</v>
      </c>
      <c r="C327" s="10" t="s">
        <v>1515</v>
      </c>
      <c r="D327" s="388">
        <v>45252</v>
      </c>
      <c r="E327" s="389">
        <v>45252</v>
      </c>
      <c r="F327" s="390" t="str">
        <f t="shared" si="5"/>
        <v>Cooking</v>
      </c>
      <c r="G327" s="135">
        <v>3.3573202859812998E-3</v>
      </c>
      <c r="H327" s="135">
        <v>2.0128763147679398E-3</v>
      </c>
      <c r="I327" s="135">
        <v>1.9625891602909301E-3</v>
      </c>
      <c r="J327" s="135">
        <v>1.98343193776847E-3</v>
      </c>
      <c r="K327" s="135">
        <v>2.07802086437204E-3</v>
      </c>
      <c r="L327" s="135">
        <v>5.4922382010370498E-3</v>
      </c>
      <c r="M327" s="135">
        <v>1.5656397455901201E-2</v>
      </c>
      <c r="N327" s="135">
        <v>1.29478473734667E-2</v>
      </c>
      <c r="O327" s="135">
        <v>1.32404138115824E-2</v>
      </c>
      <c r="P327" s="135">
        <v>1.3655349852800799E-2</v>
      </c>
      <c r="Q327" s="135">
        <v>1.7209894363396702E-2</v>
      </c>
      <c r="R327" s="135">
        <v>2.5582112795448201E-2</v>
      </c>
      <c r="S327" s="135">
        <v>2.6192536493968001E-2</v>
      </c>
      <c r="T327" s="135">
        <v>2.3707733196663801E-2</v>
      </c>
      <c r="U327" s="135">
        <v>3.4456160399687297E-2</v>
      </c>
      <c r="V327" s="135">
        <v>0.111724035474196</v>
      </c>
      <c r="W327" s="135">
        <v>0.234848331021316</v>
      </c>
      <c r="X327" s="135">
        <v>0.20364196294480399</v>
      </c>
      <c r="Y327" s="135">
        <v>0.15410236808321801</v>
      </c>
      <c r="Z327" s="135">
        <v>9.3400276185943695E-2</v>
      </c>
      <c r="AA327" s="135">
        <v>3.1447768652104399E-2</v>
      </c>
      <c r="AB327" s="135">
        <v>1.13462976164963E-2</v>
      </c>
      <c r="AC327" s="135">
        <v>6.1717464094372997E-3</v>
      </c>
      <c r="AD327" s="135">
        <v>5.3492219888298196E-3</v>
      </c>
      <c r="AF327" s="243">
        <f t="shared" si="6"/>
        <v>0.47372080374467596</v>
      </c>
      <c r="AG327" s="275">
        <f t="shared" si="7"/>
        <v>0.47499263920421686</v>
      </c>
      <c r="AH327" s="391">
        <f t="shared" si="8"/>
        <v>0.57657429167926122</v>
      </c>
      <c r="AI327" s="135">
        <f t="shared" si="9"/>
        <v>1.0515669308834781</v>
      </c>
    </row>
    <row r="328" spans="1:35" ht="12.6">
      <c r="A328" s="10" t="s">
        <v>186</v>
      </c>
      <c r="B328" s="10">
        <v>327</v>
      </c>
      <c r="C328" s="10" t="s">
        <v>1515</v>
      </c>
      <c r="D328" s="388">
        <v>45253</v>
      </c>
      <c r="E328" s="389">
        <v>45253</v>
      </c>
      <c r="F328" s="390" t="str">
        <f t="shared" si="5"/>
        <v>Cooking</v>
      </c>
      <c r="G328" s="135">
        <v>3.3573202859812998E-3</v>
      </c>
      <c r="H328" s="135">
        <v>2.0128763147679398E-3</v>
      </c>
      <c r="I328" s="135">
        <v>1.9625891602909301E-3</v>
      </c>
      <c r="J328" s="135">
        <v>1.98343193776847E-3</v>
      </c>
      <c r="K328" s="135">
        <v>2.07802086437204E-3</v>
      </c>
      <c r="L328" s="135">
        <v>5.4922382010370498E-3</v>
      </c>
      <c r="M328" s="135">
        <v>1.5656397455901201E-2</v>
      </c>
      <c r="N328" s="135">
        <v>1.29478473734667E-2</v>
      </c>
      <c r="O328" s="135">
        <v>1.32404138115824E-2</v>
      </c>
      <c r="P328" s="135">
        <v>1.3655349852800799E-2</v>
      </c>
      <c r="Q328" s="135">
        <v>1.7209894363396702E-2</v>
      </c>
      <c r="R328" s="135">
        <v>2.5582112795448201E-2</v>
      </c>
      <c r="S328" s="135">
        <v>2.6192536493968001E-2</v>
      </c>
      <c r="T328" s="135">
        <v>2.3707733196663801E-2</v>
      </c>
      <c r="U328" s="135">
        <v>3.4456160399687297E-2</v>
      </c>
      <c r="V328" s="135">
        <v>0.111724035474196</v>
      </c>
      <c r="W328" s="135">
        <v>0.234848331021316</v>
      </c>
      <c r="X328" s="135">
        <v>0.20364196294480399</v>
      </c>
      <c r="Y328" s="135">
        <v>0.15410236808321801</v>
      </c>
      <c r="Z328" s="135">
        <v>9.3400276185943695E-2</v>
      </c>
      <c r="AA328" s="135">
        <v>3.1447768652104399E-2</v>
      </c>
      <c r="AB328" s="135">
        <v>1.13462976164963E-2</v>
      </c>
      <c r="AC328" s="135">
        <v>6.1717464094372997E-3</v>
      </c>
      <c r="AD328" s="135">
        <v>5.3492219888298196E-3</v>
      </c>
      <c r="AF328" s="243">
        <f t="shared" si="6"/>
        <v>0.47372080374467596</v>
      </c>
      <c r="AG328" s="275">
        <f t="shared" si="7"/>
        <v>0.47499263920421686</v>
      </c>
      <c r="AH328" s="391">
        <f t="shared" si="8"/>
        <v>0.57657429167926122</v>
      </c>
      <c r="AI328" s="135">
        <f t="shared" si="9"/>
        <v>1.0515669308834781</v>
      </c>
    </row>
    <row r="329" spans="1:35" ht="12.6">
      <c r="A329" s="10" t="s">
        <v>186</v>
      </c>
      <c r="B329" s="10">
        <v>328</v>
      </c>
      <c r="C329" s="10" t="s">
        <v>1515</v>
      </c>
      <c r="D329" s="388">
        <v>45254</v>
      </c>
      <c r="E329" s="389">
        <v>45254</v>
      </c>
      <c r="F329" s="390" t="str">
        <f t="shared" si="5"/>
        <v>Cooking</v>
      </c>
      <c r="G329" s="135">
        <v>3.3573202859812998E-3</v>
      </c>
      <c r="H329" s="135">
        <v>2.0128763147679398E-3</v>
      </c>
      <c r="I329" s="135">
        <v>1.9625891602909301E-3</v>
      </c>
      <c r="J329" s="135">
        <v>1.98343193776847E-3</v>
      </c>
      <c r="K329" s="135">
        <v>2.07802086437204E-3</v>
      </c>
      <c r="L329" s="135">
        <v>5.4922382010370498E-3</v>
      </c>
      <c r="M329" s="135">
        <v>1.5656397455901201E-2</v>
      </c>
      <c r="N329" s="135">
        <v>1.29478473734667E-2</v>
      </c>
      <c r="O329" s="135">
        <v>1.32404138115824E-2</v>
      </c>
      <c r="P329" s="135">
        <v>1.3655349852800799E-2</v>
      </c>
      <c r="Q329" s="135">
        <v>1.7209894363396702E-2</v>
      </c>
      <c r="R329" s="135">
        <v>2.5582112795448201E-2</v>
      </c>
      <c r="S329" s="135">
        <v>2.6192536493968001E-2</v>
      </c>
      <c r="T329" s="135">
        <v>2.3707733196663801E-2</v>
      </c>
      <c r="U329" s="135">
        <v>3.4456160399687297E-2</v>
      </c>
      <c r="V329" s="135">
        <v>0.111724035474196</v>
      </c>
      <c r="W329" s="135">
        <v>0.234848331021316</v>
      </c>
      <c r="X329" s="135">
        <v>0.20364196294480399</v>
      </c>
      <c r="Y329" s="135">
        <v>0.15410236808321801</v>
      </c>
      <c r="Z329" s="135">
        <v>9.3400276185943695E-2</v>
      </c>
      <c r="AA329" s="135">
        <v>3.1447768652104399E-2</v>
      </c>
      <c r="AB329" s="135">
        <v>1.13462976164963E-2</v>
      </c>
      <c r="AC329" s="135">
        <v>6.1717464094372997E-3</v>
      </c>
      <c r="AD329" s="135">
        <v>5.3492219888298196E-3</v>
      </c>
      <c r="AF329" s="243">
        <f t="shared" si="6"/>
        <v>0.47372080374467596</v>
      </c>
      <c r="AG329" s="275">
        <f t="shared" si="7"/>
        <v>0.47499263920421686</v>
      </c>
      <c r="AH329" s="391">
        <f t="shared" si="8"/>
        <v>0.57657429167926122</v>
      </c>
      <c r="AI329" s="135">
        <f t="shared" si="9"/>
        <v>1.0515669308834781</v>
      </c>
    </row>
    <row r="330" spans="1:35" ht="12.6">
      <c r="A330" s="10" t="s">
        <v>186</v>
      </c>
      <c r="B330" s="10">
        <v>329</v>
      </c>
      <c r="C330" s="10" t="s">
        <v>1515</v>
      </c>
      <c r="D330" s="388">
        <v>45255</v>
      </c>
      <c r="E330" s="389">
        <v>45255</v>
      </c>
      <c r="F330" s="390" t="str">
        <f t="shared" si="5"/>
        <v>Cooking</v>
      </c>
      <c r="G330" s="135">
        <v>2.14385861780368E-3</v>
      </c>
      <c r="H330" s="135">
        <v>1.84115209948154E-3</v>
      </c>
      <c r="I330" s="135">
        <v>1.8036476238196401E-3</v>
      </c>
      <c r="J330" s="135">
        <v>1.83430294723959E-3</v>
      </c>
      <c r="K330" s="135">
        <v>1.8424860841083099E-3</v>
      </c>
      <c r="L330" s="135">
        <v>6.3365276272887103E-3</v>
      </c>
      <c r="M330" s="135">
        <v>1.3428253910507001E-2</v>
      </c>
      <c r="N330" s="135">
        <v>2.57318324639054E-2</v>
      </c>
      <c r="O330" s="135">
        <v>3.4365866596057698E-2</v>
      </c>
      <c r="P330" s="135">
        <v>3.9392826178607197E-2</v>
      </c>
      <c r="Q330" s="135">
        <v>5.46605903788972E-2</v>
      </c>
      <c r="R330" s="135">
        <v>6.13761761207453E-2</v>
      </c>
      <c r="S330" s="135">
        <v>5.71710484003672E-2</v>
      </c>
      <c r="T330" s="135">
        <v>5.3510464480555901E-2</v>
      </c>
      <c r="U330" s="135">
        <v>5.3674061014556199E-2</v>
      </c>
      <c r="V330" s="135">
        <v>8.6962361028018506E-2</v>
      </c>
      <c r="W330" s="135">
        <v>0.18577062091833799</v>
      </c>
      <c r="X330" s="135">
        <v>0.17171267171069901</v>
      </c>
      <c r="Y330" s="135">
        <v>0.115375522355307</v>
      </c>
      <c r="Z330" s="135">
        <v>5.7651072279798703E-2</v>
      </c>
      <c r="AA330" s="135">
        <v>2.1048606530868801E-2</v>
      </c>
      <c r="AB330" s="135">
        <v>9.2943319961321293E-3</v>
      </c>
      <c r="AC330" s="135">
        <v>4.51267157400107E-3</v>
      </c>
      <c r="AD330" s="135">
        <v>3.2029867800939102E-3</v>
      </c>
      <c r="AF330" s="243">
        <f t="shared" si="6"/>
        <v>0.55312532234147826</v>
      </c>
      <c r="AG330" s="275">
        <f t="shared" si="7"/>
        <v>0.47403444310617937</v>
      </c>
      <c r="AH330" s="391">
        <f t="shared" si="8"/>
        <v>0.59060949661101847</v>
      </c>
      <c r="AI330" s="135">
        <f t="shared" si="9"/>
        <v>1.0646439397171978</v>
      </c>
    </row>
    <row r="331" spans="1:35" ht="12.6">
      <c r="A331" s="10" t="s">
        <v>186</v>
      </c>
      <c r="B331" s="10">
        <v>330</v>
      </c>
      <c r="C331" s="10" t="s">
        <v>1515</v>
      </c>
      <c r="D331" s="388">
        <v>45256</v>
      </c>
      <c r="E331" s="389">
        <v>45256</v>
      </c>
      <c r="F331" s="390" t="str">
        <f t="shared" si="5"/>
        <v>Cooking</v>
      </c>
      <c r="G331" s="135">
        <v>2.14385861780368E-3</v>
      </c>
      <c r="H331" s="135">
        <v>1.84115209948154E-3</v>
      </c>
      <c r="I331" s="135">
        <v>1.8036476238196401E-3</v>
      </c>
      <c r="J331" s="135">
        <v>1.83430294723959E-3</v>
      </c>
      <c r="K331" s="135">
        <v>1.8424860841083099E-3</v>
      </c>
      <c r="L331" s="135">
        <v>6.3365276272887103E-3</v>
      </c>
      <c r="M331" s="135">
        <v>1.3428253910507001E-2</v>
      </c>
      <c r="N331" s="135">
        <v>2.57318324639054E-2</v>
      </c>
      <c r="O331" s="135">
        <v>3.4365866596057698E-2</v>
      </c>
      <c r="P331" s="135">
        <v>3.9392826178607197E-2</v>
      </c>
      <c r="Q331" s="135">
        <v>5.46605903788972E-2</v>
      </c>
      <c r="R331" s="135">
        <v>6.13761761207453E-2</v>
      </c>
      <c r="S331" s="135">
        <v>5.71710484003672E-2</v>
      </c>
      <c r="T331" s="135">
        <v>5.3510464480555901E-2</v>
      </c>
      <c r="U331" s="135">
        <v>5.3674061014556199E-2</v>
      </c>
      <c r="V331" s="135">
        <v>8.6962361028018506E-2</v>
      </c>
      <c r="W331" s="135">
        <v>0.18577062091833799</v>
      </c>
      <c r="X331" s="135">
        <v>0.17171267171069901</v>
      </c>
      <c r="Y331" s="135">
        <v>0.115375522355307</v>
      </c>
      <c r="Z331" s="135">
        <v>5.7651072279798703E-2</v>
      </c>
      <c r="AA331" s="135">
        <v>2.1048606530868801E-2</v>
      </c>
      <c r="AB331" s="135">
        <v>9.2943319961321293E-3</v>
      </c>
      <c r="AC331" s="135">
        <v>4.51267157400107E-3</v>
      </c>
      <c r="AD331" s="135">
        <v>3.2029867800939102E-3</v>
      </c>
      <c r="AF331" s="243">
        <f t="shared" si="6"/>
        <v>0.55312532234147826</v>
      </c>
      <c r="AG331" s="275">
        <f t="shared" si="7"/>
        <v>0.47403444310617937</v>
      </c>
      <c r="AH331" s="391">
        <f t="shared" si="8"/>
        <v>0.59060949661101847</v>
      </c>
      <c r="AI331" s="135">
        <f t="shared" si="9"/>
        <v>1.0646439397171978</v>
      </c>
    </row>
    <row r="332" spans="1:35" ht="12.6">
      <c r="A332" s="10" t="s">
        <v>186</v>
      </c>
      <c r="B332" s="10">
        <v>331</v>
      </c>
      <c r="C332" s="10" t="s">
        <v>1515</v>
      </c>
      <c r="D332" s="388">
        <v>45257</v>
      </c>
      <c r="E332" s="389">
        <v>45257</v>
      </c>
      <c r="F332" s="390" t="str">
        <f t="shared" si="5"/>
        <v>Cooking</v>
      </c>
      <c r="G332" s="135">
        <v>3.3573202859812998E-3</v>
      </c>
      <c r="H332" s="135">
        <v>2.0128763147679398E-3</v>
      </c>
      <c r="I332" s="135">
        <v>1.9625891602909301E-3</v>
      </c>
      <c r="J332" s="135">
        <v>1.98343193776847E-3</v>
      </c>
      <c r="K332" s="135">
        <v>2.07802086437204E-3</v>
      </c>
      <c r="L332" s="135">
        <v>5.4922382010370498E-3</v>
      </c>
      <c r="M332" s="135">
        <v>1.5656397455901201E-2</v>
      </c>
      <c r="N332" s="135">
        <v>1.29478473734667E-2</v>
      </c>
      <c r="O332" s="135">
        <v>1.32404138115824E-2</v>
      </c>
      <c r="P332" s="135">
        <v>1.3655349852800799E-2</v>
      </c>
      <c r="Q332" s="135">
        <v>1.7209894363396702E-2</v>
      </c>
      <c r="R332" s="135">
        <v>2.5582112795448201E-2</v>
      </c>
      <c r="S332" s="135">
        <v>2.6192536493968001E-2</v>
      </c>
      <c r="T332" s="135">
        <v>2.3707733196663801E-2</v>
      </c>
      <c r="U332" s="135">
        <v>3.4456160399687297E-2</v>
      </c>
      <c r="V332" s="135">
        <v>0.111724035474196</v>
      </c>
      <c r="W332" s="135">
        <v>0.234848331021316</v>
      </c>
      <c r="X332" s="135">
        <v>0.20364196294480399</v>
      </c>
      <c r="Y332" s="135">
        <v>0.15410236808321801</v>
      </c>
      <c r="Z332" s="135">
        <v>9.3400276185943695E-2</v>
      </c>
      <c r="AA332" s="135">
        <v>3.1447768652104399E-2</v>
      </c>
      <c r="AB332" s="135">
        <v>1.13462976164963E-2</v>
      </c>
      <c r="AC332" s="135">
        <v>6.1717464094372997E-3</v>
      </c>
      <c r="AD332" s="135">
        <v>5.3492219888298196E-3</v>
      </c>
      <c r="AF332" s="243">
        <f t="shared" si="6"/>
        <v>0.47372080374467596</v>
      </c>
      <c r="AG332" s="275">
        <f t="shared" si="7"/>
        <v>0.47499263920421686</v>
      </c>
      <c r="AH332" s="391">
        <f t="shared" si="8"/>
        <v>0.57657429167926122</v>
      </c>
      <c r="AI332" s="135">
        <f t="shared" si="9"/>
        <v>1.0515669308834781</v>
      </c>
    </row>
    <row r="333" spans="1:35" ht="12.6">
      <c r="A333" s="10" t="s">
        <v>186</v>
      </c>
      <c r="B333" s="10">
        <v>332</v>
      </c>
      <c r="C333" s="10" t="s">
        <v>1515</v>
      </c>
      <c r="D333" s="388">
        <v>45258</v>
      </c>
      <c r="E333" s="389">
        <v>45258</v>
      </c>
      <c r="F333" s="390" t="str">
        <f t="shared" si="5"/>
        <v>Cooking</v>
      </c>
      <c r="G333" s="135">
        <v>3.3573202859812998E-3</v>
      </c>
      <c r="H333" s="135">
        <v>2.0128763147679398E-3</v>
      </c>
      <c r="I333" s="135">
        <v>1.9625891602909301E-3</v>
      </c>
      <c r="J333" s="135">
        <v>1.98343193776847E-3</v>
      </c>
      <c r="K333" s="135">
        <v>2.07802086437204E-3</v>
      </c>
      <c r="L333" s="135">
        <v>5.4922382010370498E-3</v>
      </c>
      <c r="M333" s="135">
        <v>1.5656397455901201E-2</v>
      </c>
      <c r="N333" s="135">
        <v>1.29478473734667E-2</v>
      </c>
      <c r="O333" s="135">
        <v>1.32404138115824E-2</v>
      </c>
      <c r="P333" s="135">
        <v>1.3655349852800799E-2</v>
      </c>
      <c r="Q333" s="135">
        <v>1.7209894363396702E-2</v>
      </c>
      <c r="R333" s="135">
        <v>2.5582112795448201E-2</v>
      </c>
      <c r="S333" s="135">
        <v>2.6192536493968001E-2</v>
      </c>
      <c r="T333" s="135">
        <v>2.3707733196663801E-2</v>
      </c>
      <c r="U333" s="135">
        <v>3.4456160399687297E-2</v>
      </c>
      <c r="V333" s="135">
        <v>0.111724035474196</v>
      </c>
      <c r="W333" s="135">
        <v>0.234848331021316</v>
      </c>
      <c r="X333" s="135">
        <v>0.20364196294480399</v>
      </c>
      <c r="Y333" s="135">
        <v>0.15410236808321801</v>
      </c>
      <c r="Z333" s="135">
        <v>9.3400276185943695E-2</v>
      </c>
      <c r="AA333" s="135">
        <v>3.1447768652104399E-2</v>
      </c>
      <c r="AB333" s="135">
        <v>1.13462976164963E-2</v>
      </c>
      <c r="AC333" s="135">
        <v>6.1717464094372997E-3</v>
      </c>
      <c r="AD333" s="135">
        <v>5.3492219888298196E-3</v>
      </c>
      <c r="AF333" s="243">
        <f t="shared" si="6"/>
        <v>0.47372080374467596</v>
      </c>
      <c r="AG333" s="275">
        <f t="shared" si="7"/>
        <v>0.47499263920421686</v>
      </c>
      <c r="AH333" s="391">
        <f t="shared" si="8"/>
        <v>0.57657429167926122</v>
      </c>
      <c r="AI333" s="135">
        <f t="shared" si="9"/>
        <v>1.0515669308834781</v>
      </c>
    </row>
    <row r="334" spans="1:35" ht="12.6">
      <c r="A334" s="10" t="s">
        <v>186</v>
      </c>
      <c r="B334" s="10">
        <v>333</v>
      </c>
      <c r="C334" s="10" t="s">
        <v>1515</v>
      </c>
      <c r="D334" s="388">
        <v>45259</v>
      </c>
      <c r="E334" s="389">
        <v>45259</v>
      </c>
      <c r="F334" s="390" t="str">
        <f t="shared" si="5"/>
        <v>Cooking</v>
      </c>
      <c r="G334" s="135">
        <v>3.3573202859812998E-3</v>
      </c>
      <c r="H334" s="135">
        <v>2.0128763147679398E-3</v>
      </c>
      <c r="I334" s="135">
        <v>1.9625891602909301E-3</v>
      </c>
      <c r="J334" s="135">
        <v>1.98343193776847E-3</v>
      </c>
      <c r="K334" s="135">
        <v>2.07802086437204E-3</v>
      </c>
      <c r="L334" s="135">
        <v>5.4922382010370498E-3</v>
      </c>
      <c r="M334" s="135">
        <v>1.5656397455901201E-2</v>
      </c>
      <c r="N334" s="135">
        <v>1.29478473734667E-2</v>
      </c>
      <c r="O334" s="135">
        <v>1.32404138115824E-2</v>
      </c>
      <c r="P334" s="135">
        <v>1.3655349852800799E-2</v>
      </c>
      <c r="Q334" s="135">
        <v>1.7209894363396702E-2</v>
      </c>
      <c r="R334" s="135">
        <v>2.5582112795448201E-2</v>
      </c>
      <c r="S334" s="135">
        <v>2.6192536493968001E-2</v>
      </c>
      <c r="T334" s="135">
        <v>2.3707733196663801E-2</v>
      </c>
      <c r="U334" s="135">
        <v>3.4456160399687297E-2</v>
      </c>
      <c r="V334" s="135">
        <v>0.111724035474196</v>
      </c>
      <c r="W334" s="135">
        <v>0.234848331021316</v>
      </c>
      <c r="X334" s="135">
        <v>0.20364196294480399</v>
      </c>
      <c r="Y334" s="135">
        <v>0.15410236808321801</v>
      </c>
      <c r="Z334" s="135">
        <v>9.3400276185943695E-2</v>
      </c>
      <c r="AA334" s="135">
        <v>3.1447768652104399E-2</v>
      </c>
      <c r="AB334" s="135">
        <v>1.13462976164963E-2</v>
      </c>
      <c r="AC334" s="135">
        <v>6.1717464094372997E-3</v>
      </c>
      <c r="AD334" s="135">
        <v>5.3492219888298196E-3</v>
      </c>
      <c r="AF334" s="243">
        <f t="shared" si="6"/>
        <v>0.47372080374467596</v>
      </c>
      <c r="AG334" s="275">
        <f t="shared" si="7"/>
        <v>0.47499263920421686</v>
      </c>
      <c r="AH334" s="391">
        <f t="shared" si="8"/>
        <v>0.57657429167926122</v>
      </c>
      <c r="AI334" s="135">
        <f t="shared" si="9"/>
        <v>1.0515669308834781</v>
      </c>
    </row>
    <row r="335" spans="1:35" ht="12.6">
      <c r="A335" s="10" t="s">
        <v>186</v>
      </c>
      <c r="B335" s="10">
        <v>334</v>
      </c>
      <c r="C335" s="10" t="s">
        <v>1515</v>
      </c>
      <c r="D335" s="388">
        <v>45260</v>
      </c>
      <c r="E335" s="389">
        <v>45260</v>
      </c>
      <c r="F335" s="390" t="str">
        <f t="shared" si="5"/>
        <v>Cooking</v>
      </c>
      <c r="G335" s="135">
        <v>3.3573202859812998E-3</v>
      </c>
      <c r="H335" s="135">
        <v>2.0128763147679398E-3</v>
      </c>
      <c r="I335" s="135">
        <v>1.9625891602909301E-3</v>
      </c>
      <c r="J335" s="135">
        <v>1.98343193776847E-3</v>
      </c>
      <c r="K335" s="135">
        <v>2.07802086437204E-3</v>
      </c>
      <c r="L335" s="135">
        <v>5.4922382010370498E-3</v>
      </c>
      <c r="M335" s="135">
        <v>1.5656397455901201E-2</v>
      </c>
      <c r="N335" s="135">
        <v>1.29478473734667E-2</v>
      </c>
      <c r="O335" s="135">
        <v>1.32404138115824E-2</v>
      </c>
      <c r="P335" s="135">
        <v>1.3655349852800799E-2</v>
      </c>
      <c r="Q335" s="135">
        <v>1.7209894363396702E-2</v>
      </c>
      <c r="R335" s="135">
        <v>2.5582112795448201E-2</v>
      </c>
      <c r="S335" s="135">
        <v>2.6192536493968001E-2</v>
      </c>
      <c r="T335" s="135">
        <v>2.3707733196663801E-2</v>
      </c>
      <c r="U335" s="135">
        <v>3.4456160399687297E-2</v>
      </c>
      <c r="V335" s="135">
        <v>0.111724035474196</v>
      </c>
      <c r="W335" s="135">
        <v>0.234848331021316</v>
      </c>
      <c r="X335" s="135">
        <v>0.20364196294480399</v>
      </c>
      <c r="Y335" s="135">
        <v>0.15410236808321801</v>
      </c>
      <c r="Z335" s="135">
        <v>9.3400276185943695E-2</v>
      </c>
      <c r="AA335" s="135">
        <v>3.1447768652104399E-2</v>
      </c>
      <c r="AB335" s="135">
        <v>1.13462976164963E-2</v>
      </c>
      <c r="AC335" s="135">
        <v>6.1717464094372997E-3</v>
      </c>
      <c r="AD335" s="135">
        <v>5.3492219888298196E-3</v>
      </c>
      <c r="AF335" s="243">
        <f t="shared" si="6"/>
        <v>0.47372080374467596</v>
      </c>
      <c r="AG335" s="275">
        <f t="shared" si="7"/>
        <v>0.47499263920421686</v>
      </c>
      <c r="AH335" s="391">
        <f t="shared" si="8"/>
        <v>0.57657429167926122</v>
      </c>
      <c r="AI335" s="135">
        <f t="shared" si="9"/>
        <v>1.0515669308834781</v>
      </c>
    </row>
    <row r="336" spans="1:35" ht="12.6">
      <c r="A336" s="10" t="s">
        <v>186</v>
      </c>
      <c r="B336" s="10">
        <v>335</v>
      </c>
      <c r="C336" s="10" t="s">
        <v>1512</v>
      </c>
      <c r="D336" s="388">
        <v>45261</v>
      </c>
      <c r="E336" s="389">
        <v>45261</v>
      </c>
      <c r="F336" s="390" t="str">
        <f t="shared" si="5"/>
        <v>Cooking</v>
      </c>
      <c r="G336" s="135">
        <v>2.0932003871910899E-3</v>
      </c>
      <c r="H336" s="135">
        <v>2.2618496290306802E-3</v>
      </c>
      <c r="I336" s="135">
        <v>2.0176407199901701E-3</v>
      </c>
      <c r="J336" s="135">
        <v>2.1276617659541199E-3</v>
      </c>
      <c r="K336" s="135">
        <v>2.60674023000843E-3</v>
      </c>
      <c r="L336" s="135">
        <v>7.7479121953398502E-3</v>
      </c>
      <c r="M336" s="135">
        <v>1.9127191390849702E-2</v>
      </c>
      <c r="N336" s="135">
        <v>1.4518223682810701E-2</v>
      </c>
      <c r="O336" s="135">
        <v>1.76564882996007E-2</v>
      </c>
      <c r="P336" s="135">
        <v>1.8592463057635102E-2</v>
      </c>
      <c r="Q336" s="135">
        <v>3.24301747070058E-2</v>
      </c>
      <c r="R336" s="135">
        <v>4.3128203976526003E-2</v>
      </c>
      <c r="S336" s="135">
        <v>2.69788952025477E-2</v>
      </c>
      <c r="T336" s="135">
        <v>2.2854185507576001E-2</v>
      </c>
      <c r="U336" s="135">
        <v>3.3687796007744901E-2</v>
      </c>
      <c r="V336" s="135">
        <v>0.10210507053517701</v>
      </c>
      <c r="W336" s="135">
        <v>0.21037007247832301</v>
      </c>
      <c r="X336" s="135">
        <v>0.143392092108133</v>
      </c>
      <c r="Y336" s="135">
        <v>0.105945178630046</v>
      </c>
      <c r="Z336" s="135">
        <v>4.3153639840515401E-2</v>
      </c>
      <c r="AA336" s="135">
        <v>2.0191081133463702E-2</v>
      </c>
      <c r="AB336" s="135">
        <v>6.2857526481636698E-3</v>
      </c>
      <c r="AC336" s="135">
        <v>4.7886458989848503E-3</v>
      </c>
      <c r="AD336" s="135">
        <v>3.7827962862338502E-3</v>
      </c>
      <c r="AF336" s="243">
        <f t="shared" si="6"/>
        <v>0.47155439841490043</v>
      </c>
      <c r="AG336" s="275">
        <f t="shared" si="7"/>
        <v>0.44254965823495152</v>
      </c>
      <c r="AH336" s="391">
        <f t="shared" si="8"/>
        <v>0.44529329808390006</v>
      </c>
      <c r="AI336" s="135">
        <f t="shared" si="9"/>
        <v>0.88784295631885157</v>
      </c>
    </row>
    <row r="337" spans="1:35" ht="12.6">
      <c r="A337" s="10" t="s">
        <v>186</v>
      </c>
      <c r="B337" s="10">
        <v>336</v>
      </c>
      <c r="C337" s="10" t="s">
        <v>1512</v>
      </c>
      <c r="D337" s="388">
        <v>45262</v>
      </c>
      <c r="E337" s="389">
        <v>45262</v>
      </c>
      <c r="F337" s="390" t="str">
        <f t="shared" si="5"/>
        <v>Cooking</v>
      </c>
      <c r="G337" s="135">
        <v>1.74400830213755E-3</v>
      </c>
      <c r="H337" s="135">
        <v>2.14107876536978E-3</v>
      </c>
      <c r="I337" s="135">
        <v>2.2116760729407499E-3</v>
      </c>
      <c r="J337" s="135">
        <v>2.13705315979724E-3</v>
      </c>
      <c r="K337" s="135">
        <v>2.8735451221860498E-3</v>
      </c>
      <c r="L337" s="135">
        <v>8.4009082595883008E-3</v>
      </c>
      <c r="M337" s="135">
        <v>2.0526673480187399E-2</v>
      </c>
      <c r="N337" s="135">
        <v>3.2898854494523802E-2</v>
      </c>
      <c r="O337" s="135">
        <v>3.52735598668278E-2</v>
      </c>
      <c r="P337" s="135">
        <v>3.9777219891279601E-2</v>
      </c>
      <c r="Q337" s="135">
        <v>4.81865921371726E-2</v>
      </c>
      <c r="R337" s="135">
        <v>5.8062938727434399E-2</v>
      </c>
      <c r="S337" s="135">
        <v>4.1881092729344899E-2</v>
      </c>
      <c r="T337" s="135">
        <v>4.4799329329721603E-2</v>
      </c>
      <c r="U337" s="135">
        <v>4.3164940779069197E-2</v>
      </c>
      <c r="V337" s="135">
        <v>7.5964078527142598E-2</v>
      </c>
      <c r="W337" s="135">
        <v>0.175105949846284</v>
      </c>
      <c r="X337" s="135">
        <v>0.101824990391504</v>
      </c>
      <c r="Y337" s="135">
        <v>7.7200999155179001E-2</v>
      </c>
      <c r="Z337" s="135">
        <v>3.7657486401596003E-2</v>
      </c>
      <c r="AA337" s="135">
        <v>1.5784183235553799E-2</v>
      </c>
      <c r="AB337" s="135">
        <v>6.5260846468256804E-3</v>
      </c>
      <c r="AC337" s="135">
        <v>4.1060587215597903E-3</v>
      </c>
      <c r="AD337" s="135">
        <v>2.8232181240905002E-3</v>
      </c>
      <c r="AF337" s="243">
        <f t="shared" si="6"/>
        <v>0.48716492207616935</v>
      </c>
      <c r="AG337" s="275">
        <f t="shared" si="7"/>
        <v>0.42787961121941953</v>
      </c>
      <c r="AH337" s="391">
        <f t="shared" si="8"/>
        <v>0.45319290894789666</v>
      </c>
      <c r="AI337" s="135">
        <f t="shared" si="9"/>
        <v>0.88107252016731619</v>
      </c>
    </row>
    <row r="338" spans="1:35" ht="12.6">
      <c r="A338" s="10" t="s">
        <v>186</v>
      </c>
      <c r="B338" s="10">
        <v>337</v>
      </c>
      <c r="C338" s="10" t="s">
        <v>1512</v>
      </c>
      <c r="D338" s="388">
        <v>45263</v>
      </c>
      <c r="E338" s="389">
        <v>45263</v>
      </c>
      <c r="F338" s="390" t="str">
        <f t="shared" si="5"/>
        <v>Cooking</v>
      </c>
      <c r="G338" s="135">
        <v>1.74400830213755E-3</v>
      </c>
      <c r="H338" s="135">
        <v>2.14107876536978E-3</v>
      </c>
      <c r="I338" s="135">
        <v>2.2116760729407499E-3</v>
      </c>
      <c r="J338" s="135">
        <v>2.13705315979724E-3</v>
      </c>
      <c r="K338" s="135">
        <v>2.8735451221860498E-3</v>
      </c>
      <c r="L338" s="135">
        <v>8.4009082595883008E-3</v>
      </c>
      <c r="M338" s="135">
        <v>2.0526673480187399E-2</v>
      </c>
      <c r="N338" s="135">
        <v>3.2898854494523802E-2</v>
      </c>
      <c r="O338" s="135">
        <v>3.52735598668278E-2</v>
      </c>
      <c r="P338" s="135">
        <v>3.9777219891279601E-2</v>
      </c>
      <c r="Q338" s="135">
        <v>4.81865921371726E-2</v>
      </c>
      <c r="R338" s="135">
        <v>5.8062938727434399E-2</v>
      </c>
      <c r="S338" s="135">
        <v>4.1881092729344899E-2</v>
      </c>
      <c r="T338" s="135">
        <v>4.4799329329721603E-2</v>
      </c>
      <c r="U338" s="135">
        <v>4.3164940779069197E-2</v>
      </c>
      <c r="V338" s="135">
        <v>7.5964078527142598E-2</v>
      </c>
      <c r="W338" s="135">
        <v>0.175105949846284</v>
      </c>
      <c r="X338" s="135">
        <v>0.101824990391504</v>
      </c>
      <c r="Y338" s="135">
        <v>7.7200999155179001E-2</v>
      </c>
      <c r="Z338" s="135">
        <v>3.7657486401596003E-2</v>
      </c>
      <c r="AA338" s="135">
        <v>1.5784183235553799E-2</v>
      </c>
      <c r="AB338" s="135">
        <v>6.5260846468256804E-3</v>
      </c>
      <c r="AC338" s="135">
        <v>4.1060587215597903E-3</v>
      </c>
      <c r="AD338" s="135">
        <v>2.8232181240905002E-3</v>
      </c>
      <c r="AF338" s="243">
        <f t="shared" si="6"/>
        <v>0.48716492207616935</v>
      </c>
      <c r="AG338" s="275">
        <f t="shared" si="7"/>
        <v>0.42787961121941953</v>
      </c>
      <c r="AH338" s="391">
        <f t="shared" si="8"/>
        <v>0.45319290894789666</v>
      </c>
      <c r="AI338" s="135">
        <f t="shared" si="9"/>
        <v>0.88107252016731619</v>
      </c>
    </row>
    <row r="339" spans="1:35" ht="12.6">
      <c r="A339" s="10" t="s">
        <v>186</v>
      </c>
      <c r="B339" s="10">
        <v>338</v>
      </c>
      <c r="C339" s="10" t="s">
        <v>1512</v>
      </c>
      <c r="D339" s="388">
        <v>45264</v>
      </c>
      <c r="E339" s="389">
        <v>45264</v>
      </c>
      <c r="F339" s="390" t="str">
        <f t="shared" si="5"/>
        <v>Cooking</v>
      </c>
      <c r="G339" s="135">
        <v>2.0932003871910899E-3</v>
      </c>
      <c r="H339" s="135">
        <v>2.2618496290306802E-3</v>
      </c>
      <c r="I339" s="135">
        <v>2.0176407199901701E-3</v>
      </c>
      <c r="J339" s="135">
        <v>2.1276617659541199E-3</v>
      </c>
      <c r="K339" s="135">
        <v>2.60674023000843E-3</v>
      </c>
      <c r="L339" s="135">
        <v>7.7479121953398502E-3</v>
      </c>
      <c r="M339" s="135">
        <v>1.9127191390849702E-2</v>
      </c>
      <c r="N339" s="135">
        <v>1.4518223682810701E-2</v>
      </c>
      <c r="O339" s="135">
        <v>1.76564882996007E-2</v>
      </c>
      <c r="P339" s="135">
        <v>1.8592463057635102E-2</v>
      </c>
      <c r="Q339" s="135">
        <v>3.24301747070058E-2</v>
      </c>
      <c r="R339" s="135">
        <v>4.3128203976526003E-2</v>
      </c>
      <c r="S339" s="135">
        <v>2.69788952025477E-2</v>
      </c>
      <c r="T339" s="135">
        <v>2.2854185507576001E-2</v>
      </c>
      <c r="U339" s="135">
        <v>3.3687796007744901E-2</v>
      </c>
      <c r="V339" s="135">
        <v>0.10210507053517701</v>
      </c>
      <c r="W339" s="135">
        <v>0.21037007247832301</v>
      </c>
      <c r="X339" s="135">
        <v>0.143392092108133</v>
      </c>
      <c r="Y339" s="135">
        <v>0.105945178630046</v>
      </c>
      <c r="Z339" s="135">
        <v>4.3153639840515401E-2</v>
      </c>
      <c r="AA339" s="135">
        <v>2.0191081133463702E-2</v>
      </c>
      <c r="AB339" s="135">
        <v>6.2857526481636698E-3</v>
      </c>
      <c r="AC339" s="135">
        <v>4.7886458989848503E-3</v>
      </c>
      <c r="AD339" s="135">
        <v>3.7827962862338502E-3</v>
      </c>
      <c r="AF339" s="243">
        <f t="shared" si="6"/>
        <v>0.47155439841490043</v>
      </c>
      <c r="AG339" s="275">
        <f t="shared" si="7"/>
        <v>0.44254965823495152</v>
      </c>
      <c r="AH339" s="391">
        <f t="shared" si="8"/>
        <v>0.44529329808390006</v>
      </c>
      <c r="AI339" s="135">
        <f t="shared" si="9"/>
        <v>0.88784295631885157</v>
      </c>
    </row>
    <row r="340" spans="1:35" ht="12.6">
      <c r="A340" s="10" t="s">
        <v>186</v>
      </c>
      <c r="B340" s="10">
        <v>339</v>
      </c>
      <c r="C340" s="10" t="s">
        <v>1512</v>
      </c>
      <c r="D340" s="388">
        <v>45265</v>
      </c>
      <c r="E340" s="389">
        <v>45265</v>
      </c>
      <c r="F340" s="390" t="str">
        <f t="shared" si="5"/>
        <v>Cooking</v>
      </c>
      <c r="G340" s="135">
        <v>2.0932003871910899E-3</v>
      </c>
      <c r="H340" s="135">
        <v>2.2618496290306802E-3</v>
      </c>
      <c r="I340" s="135">
        <v>2.0176407199901701E-3</v>
      </c>
      <c r="J340" s="135">
        <v>2.1276617659541199E-3</v>
      </c>
      <c r="K340" s="135">
        <v>2.60674023000843E-3</v>
      </c>
      <c r="L340" s="135">
        <v>7.7479121953398502E-3</v>
      </c>
      <c r="M340" s="135">
        <v>1.9127191390849702E-2</v>
      </c>
      <c r="N340" s="135">
        <v>1.4518223682810701E-2</v>
      </c>
      <c r="O340" s="135">
        <v>1.76564882996007E-2</v>
      </c>
      <c r="P340" s="135">
        <v>1.8592463057635102E-2</v>
      </c>
      <c r="Q340" s="135">
        <v>3.24301747070058E-2</v>
      </c>
      <c r="R340" s="135">
        <v>4.3128203976526003E-2</v>
      </c>
      <c r="S340" s="135">
        <v>2.69788952025477E-2</v>
      </c>
      <c r="T340" s="135">
        <v>2.2854185507576001E-2</v>
      </c>
      <c r="U340" s="135">
        <v>3.3687796007744901E-2</v>
      </c>
      <c r="V340" s="135">
        <v>0.10210507053517701</v>
      </c>
      <c r="W340" s="135">
        <v>0.21037007247832301</v>
      </c>
      <c r="X340" s="135">
        <v>0.143392092108133</v>
      </c>
      <c r="Y340" s="135">
        <v>0.105945178630046</v>
      </c>
      <c r="Z340" s="135">
        <v>4.3153639840515401E-2</v>
      </c>
      <c r="AA340" s="135">
        <v>2.0191081133463702E-2</v>
      </c>
      <c r="AB340" s="135">
        <v>6.2857526481636698E-3</v>
      </c>
      <c r="AC340" s="135">
        <v>4.7886458989848503E-3</v>
      </c>
      <c r="AD340" s="135">
        <v>3.7827962862338502E-3</v>
      </c>
      <c r="AF340" s="243">
        <f t="shared" si="6"/>
        <v>0.47155439841490043</v>
      </c>
      <c r="AG340" s="275">
        <f t="shared" si="7"/>
        <v>0.44254965823495152</v>
      </c>
      <c r="AH340" s="391">
        <f t="shared" si="8"/>
        <v>0.44529329808390006</v>
      </c>
      <c r="AI340" s="135">
        <f t="shared" si="9"/>
        <v>0.88784295631885157</v>
      </c>
    </row>
    <row r="341" spans="1:35" ht="12.6">
      <c r="A341" s="10" t="s">
        <v>186</v>
      </c>
      <c r="B341" s="10">
        <v>340</v>
      </c>
      <c r="C341" s="10" t="s">
        <v>1512</v>
      </c>
      <c r="D341" s="388">
        <v>45266</v>
      </c>
      <c r="E341" s="389">
        <v>45266</v>
      </c>
      <c r="F341" s="390" t="str">
        <f t="shared" si="5"/>
        <v>Cooking</v>
      </c>
      <c r="G341" s="135">
        <v>2.0932003871910899E-3</v>
      </c>
      <c r="H341" s="135">
        <v>2.2618496290306802E-3</v>
      </c>
      <c r="I341" s="135">
        <v>2.0176407199901701E-3</v>
      </c>
      <c r="J341" s="135">
        <v>2.1276617659541199E-3</v>
      </c>
      <c r="K341" s="135">
        <v>2.60674023000843E-3</v>
      </c>
      <c r="L341" s="135">
        <v>7.7479121953398502E-3</v>
      </c>
      <c r="M341" s="135">
        <v>1.9127191390849702E-2</v>
      </c>
      <c r="N341" s="135">
        <v>1.4518223682810701E-2</v>
      </c>
      <c r="O341" s="135">
        <v>1.76564882996007E-2</v>
      </c>
      <c r="P341" s="135">
        <v>1.8592463057635102E-2</v>
      </c>
      <c r="Q341" s="135">
        <v>3.24301747070058E-2</v>
      </c>
      <c r="R341" s="135">
        <v>4.3128203976526003E-2</v>
      </c>
      <c r="S341" s="135">
        <v>2.69788952025477E-2</v>
      </c>
      <c r="T341" s="135">
        <v>2.2854185507576001E-2</v>
      </c>
      <c r="U341" s="135">
        <v>3.3687796007744901E-2</v>
      </c>
      <c r="V341" s="135">
        <v>0.10210507053517701</v>
      </c>
      <c r="W341" s="135">
        <v>0.21037007247832301</v>
      </c>
      <c r="X341" s="135">
        <v>0.143392092108133</v>
      </c>
      <c r="Y341" s="135">
        <v>0.105945178630046</v>
      </c>
      <c r="Z341" s="135">
        <v>4.3153639840515401E-2</v>
      </c>
      <c r="AA341" s="135">
        <v>2.0191081133463702E-2</v>
      </c>
      <c r="AB341" s="135">
        <v>6.2857526481636698E-3</v>
      </c>
      <c r="AC341" s="135">
        <v>4.7886458989848503E-3</v>
      </c>
      <c r="AD341" s="135">
        <v>3.7827962862338502E-3</v>
      </c>
      <c r="AF341" s="243">
        <f t="shared" si="6"/>
        <v>0.47155439841490043</v>
      </c>
      <c r="AG341" s="275">
        <f t="shared" si="7"/>
        <v>0.44254965823495152</v>
      </c>
      <c r="AH341" s="391">
        <f t="shared" si="8"/>
        <v>0.44529329808390006</v>
      </c>
      <c r="AI341" s="135">
        <f t="shared" si="9"/>
        <v>0.88784295631885157</v>
      </c>
    </row>
    <row r="342" spans="1:35" ht="12.6">
      <c r="A342" s="10" t="s">
        <v>186</v>
      </c>
      <c r="B342" s="10">
        <v>341</v>
      </c>
      <c r="C342" s="10" t="s">
        <v>1512</v>
      </c>
      <c r="D342" s="388">
        <v>45267</v>
      </c>
      <c r="E342" s="389">
        <v>45267</v>
      </c>
      <c r="F342" s="390" t="str">
        <f t="shared" si="5"/>
        <v>Cooking</v>
      </c>
      <c r="G342" s="135">
        <v>2.0932003871910899E-3</v>
      </c>
      <c r="H342" s="135">
        <v>2.2618496290306802E-3</v>
      </c>
      <c r="I342" s="135">
        <v>2.0176407199901701E-3</v>
      </c>
      <c r="J342" s="135">
        <v>2.1276617659541199E-3</v>
      </c>
      <c r="K342" s="135">
        <v>2.60674023000843E-3</v>
      </c>
      <c r="L342" s="135">
        <v>7.7479121953398502E-3</v>
      </c>
      <c r="M342" s="135">
        <v>1.9127191390849702E-2</v>
      </c>
      <c r="N342" s="135">
        <v>1.4518223682810701E-2</v>
      </c>
      <c r="O342" s="135">
        <v>1.76564882996007E-2</v>
      </c>
      <c r="P342" s="135">
        <v>1.8592463057635102E-2</v>
      </c>
      <c r="Q342" s="135">
        <v>3.24301747070058E-2</v>
      </c>
      <c r="R342" s="135">
        <v>4.3128203976526003E-2</v>
      </c>
      <c r="S342" s="135">
        <v>2.69788952025477E-2</v>
      </c>
      <c r="T342" s="135">
        <v>2.2854185507576001E-2</v>
      </c>
      <c r="U342" s="135">
        <v>3.3687796007744901E-2</v>
      </c>
      <c r="V342" s="135">
        <v>0.10210507053517701</v>
      </c>
      <c r="W342" s="135">
        <v>0.21037007247832301</v>
      </c>
      <c r="X342" s="135">
        <v>0.143392092108133</v>
      </c>
      <c r="Y342" s="135">
        <v>0.105945178630046</v>
      </c>
      <c r="Z342" s="135">
        <v>4.3153639840515401E-2</v>
      </c>
      <c r="AA342" s="135">
        <v>2.0191081133463702E-2</v>
      </c>
      <c r="AB342" s="135">
        <v>6.2857526481636698E-3</v>
      </c>
      <c r="AC342" s="135">
        <v>4.7886458989848503E-3</v>
      </c>
      <c r="AD342" s="135">
        <v>3.7827962862338502E-3</v>
      </c>
      <c r="AF342" s="243">
        <f t="shared" si="6"/>
        <v>0.47155439841490043</v>
      </c>
      <c r="AG342" s="275">
        <f t="shared" si="7"/>
        <v>0.44254965823495152</v>
      </c>
      <c r="AH342" s="391">
        <f t="shared" si="8"/>
        <v>0.44529329808390006</v>
      </c>
      <c r="AI342" s="135">
        <f t="shared" si="9"/>
        <v>0.88784295631885157</v>
      </c>
    </row>
    <row r="343" spans="1:35" ht="12.6">
      <c r="A343" s="10" t="s">
        <v>186</v>
      </c>
      <c r="B343" s="10">
        <v>342</v>
      </c>
      <c r="C343" s="10" t="s">
        <v>1512</v>
      </c>
      <c r="D343" s="388">
        <v>45268</v>
      </c>
      <c r="E343" s="389">
        <v>45268</v>
      </c>
      <c r="F343" s="390" t="str">
        <f t="shared" si="5"/>
        <v>Cooking</v>
      </c>
      <c r="G343" s="135">
        <v>2.0932003871910899E-3</v>
      </c>
      <c r="H343" s="135">
        <v>2.2618496290306802E-3</v>
      </c>
      <c r="I343" s="135">
        <v>2.0176407199901701E-3</v>
      </c>
      <c r="J343" s="135">
        <v>2.1276617659541199E-3</v>
      </c>
      <c r="K343" s="135">
        <v>2.60674023000843E-3</v>
      </c>
      <c r="L343" s="135">
        <v>7.7479121953398502E-3</v>
      </c>
      <c r="M343" s="135">
        <v>1.9127191390849702E-2</v>
      </c>
      <c r="N343" s="135">
        <v>1.4518223682810701E-2</v>
      </c>
      <c r="O343" s="135">
        <v>1.76564882996007E-2</v>
      </c>
      <c r="P343" s="135">
        <v>1.8592463057635102E-2</v>
      </c>
      <c r="Q343" s="135">
        <v>3.24301747070058E-2</v>
      </c>
      <c r="R343" s="135">
        <v>4.3128203976526003E-2</v>
      </c>
      <c r="S343" s="135">
        <v>2.69788952025477E-2</v>
      </c>
      <c r="T343" s="135">
        <v>2.2854185507576001E-2</v>
      </c>
      <c r="U343" s="135">
        <v>3.3687796007744901E-2</v>
      </c>
      <c r="V343" s="135">
        <v>0.10210507053517701</v>
      </c>
      <c r="W343" s="135">
        <v>0.21037007247832301</v>
      </c>
      <c r="X343" s="135">
        <v>0.143392092108133</v>
      </c>
      <c r="Y343" s="135">
        <v>0.105945178630046</v>
      </c>
      <c r="Z343" s="135">
        <v>4.3153639840515401E-2</v>
      </c>
      <c r="AA343" s="135">
        <v>2.0191081133463702E-2</v>
      </c>
      <c r="AB343" s="135">
        <v>6.2857526481636698E-3</v>
      </c>
      <c r="AC343" s="135">
        <v>4.7886458989848503E-3</v>
      </c>
      <c r="AD343" s="135">
        <v>3.7827962862338502E-3</v>
      </c>
      <c r="AF343" s="243">
        <f t="shared" si="6"/>
        <v>0.47155439841490043</v>
      </c>
      <c r="AG343" s="275">
        <f t="shared" si="7"/>
        <v>0.44254965823495152</v>
      </c>
      <c r="AH343" s="391">
        <f t="shared" si="8"/>
        <v>0.44529329808390006</v>
      </c>
      <c r="AI343" s="135">
        <f t="shared" si="9"/>
        <v>0.88784295631885157</v>
      </c>
    </row>
    <row r="344" spans="1:35" ht="12.6">
      <c r="A344" s="10" t="s">
        <v>186</v>
      </c>
      <c r="B344" s="10">
        <v>343</v>
      </c>
      <c r="C344" s="10" t="s">
        <v>1512</v>
      </c>
      <c r="D344" s="388">
        <v>45269</v>
      </c>
      <c r="E344" s="389">
        <v>45269</v>
      </c>
      <c r="F344" s="390" t="str">
        <f t="shared" si="5"/>
        <v>Cooking</v>
      </c>
      <c r="G344" s="135">
        <v>1.74400830213755E-3</v>
      </c>
      <c r="H344" s="135">
        <v>2.14107876536978E-3</v>
      </c>
      <c r="I344" s="135">
        <v>2.2116760729407499E-3</v>
      </c>
      <c r="J344" s="135">
        <v>2.13705315979724E-3</v>
      </c>
      <c r="K344" s="135">
        <v>2.8735451221860498E-3</v>
      </c>
      <c r="L344" s="135">
        <v>8.4009082595883008E-3</v>
      </c>
      <c r="M344" s="135">
        <v>2.0526673480187399E-2</v>
      </c>
      <c r="N344" s="135">
        <v>3.2898854494523802E-2</v>
      </c>
      <c r="O344" s="135">
        <v>3.52735598668278E-2</v>
      </c>
      <c r="P344" s="135">
        <v>3.9777219891279601E-2</v>
      </c>
      <c r="Q344" s="135">
        <v>4.81865921371726E-2</v>
      </c>
      <c r="R344" s="135">
        <v>5.8062938727434399E-2</v>
      </c>
      <c r="S344" s="135">
        <v>4.1881092729344899E-2</v>
      </c>
      <c r="T344" s="135">
        <v>4.4799329329721603E-2</v>
      </c>
      <c r="U344" s="135">
        <v>4.3164940779069197E-2</v>
      </c>
      <c r="V344" s="135">
        <v>7.5964078527142598E-2</v>
      </c>
      <c r="W344" s="135">
        <v>0.175105949846284</v>
      </c>
      <c r="X344" s="135">
        <v>0.101824990391504</v>
      </c>
      <c r="Y344" s="135">
        <v>7.7200999155179001E-2</v>
      </c>
      <c r="Z344" s="135">
        <v>3.7657486401596003E-2</v>
      </c>
      <c r="AA344" s="135">
        <v>1.5784183235553799E-2</v>
      </c>
      <c r="AB344" s="135">
        <v>6.5260846468256804E-3</v>
      </c>
      <c r="AC344" s="135">
        <v>4.1060587215597903E-3</v>
      </c>
      <c r="AD344" s="135">
        <v>2.8232181240905002E-3</v>
      </c>
      <c r="AF344" s="243">
        <f t="shared" si="6"/>
        <v>0.48716492207616935</v>
      </c>
      <c r="AG344" s="275">
        <f t="shared" si="7"/>
        <v>0.42787961121941953</v>
      </c>
      <c r="AH344" s="391">
        <f t="shared" si="8"/>
        <v>0.45319290894789666</v>
      </c>
      <c r="AI344" s="135">
        <f t="shared" si="9"/>
        <v>0.88107252016731619</v>
      </c>
    </row>
    <row r="345" spans="1:35" ht="12.6">
      <c r="A345" s="10" t="s">
        <v>186</v>
      </c>
      <c r="B345" s="10">
        <v>344</v>
      </c>
      <c r="C345" s="10" t="s">
        <v>1512</v>
      </c>
      <c r="D345" s="388">
        <v>45270</v>
      </c>
      <c r="E345" s="389">
        <v>45270</v>
      </c>
      <c r="F345" s="390" t="str">
        <f t="shared" si="5"/>
        <v>Cooking</v>
      </c>
      <c r="G345" s="135">
        <v>1.74400830213755E-3</v>
      </c>
      <c r="H345" s="135">
        <v>2.14107876536978E-3</v>
      </c>
      <c r="I345" s="135">
        <v>2.2116760729407499E-3</v>
      </c>
      <c r="J345" s="135">
        <v>2.13705315979724E-3</v>
      </c>
      <c r="K345" s="135">
        <v>2.8735451221860498E-3</v>
      </c>
      <c r="L345" s="135">
        <v>8.4009082595883008E-3</v>
      </c>
      <c r="M345" s="135">
        <v>2.0526673480187399E-2</v>
      </c>
      <c r="N345" s="135">
        <v>3.2898854494523802E-2</v>
      </c>
      <c r="O345" s="135">
        <v>3.52735598668278E-2</v>
      </c>
      <c r="P345" s="135">
        <v>3.9777219891279601E-2</v>
      </c>
      <c r="Q345" s="135">
        <v>4.81865921371726E-2</v>
      </c>
      <c r="R345" s="135">
        <v>5.8062938727434399E-2</v>
      </c>
      <c r="S345" s="135">
        <v>4.1881092729344899E-2</v>
      </c>
      <c r="T345" s="135">
        <v>4.4799329329721603E-2</v>
      </c>
      <c r="U345" s="135">
        <v>4.3164940779069197E-2</v>
      </c>
      <c r="V345" s="135">
        <v>7.5964078527142598E-2</v>
      </c>
      <c r="W345" s="135">
        <v>0.175105949846284</v>
      </c>
      <c r="X345" s="135">
        <v>0.101824990391504</v>
      </c>
      <c r="Y345" s="135">
        <v>7.7200999155179001E-2</v>
      </c>
      <c r="Z345" s="135">
        <v>3.7657486401596003E-2</v>
      </c>
      <c r="AA345" s="135">
        <v>1.5784183235553799E-2</v>
      </c>
      <c r="AB345" s="135">
        <v>6.5260846468256804E-3</v>
      </c>
      <c r="AC345" s="135">
        <v>4.1060587215597903E-3</v>
      </c>
      <c r="AD345" s="135">
        <v>2.8232181240905002E-3</v>
      </c>
      <c r="AF345" s="243">
        <f t="shared" si="6"/>
        <v>0.48716492207616935</v>
      </c>
      <c r="AG345" s="275">
        <f t="shared" si="7"/>
        <v>0.42787961121941953</v>
      </c>
      <c r="AH345" s="391">
        <f t="shared" si="8"/>
        <v>0.45319290894789666</v>
      </c>
      <c r="AI345" s="135">
        <f t="shared" si="9"/>
        <v>0.88107252016731619</v>
      </c>
    </row>
    <row r="346" spans="1:35" ht="12.6">
      <c r="A346" s="10" t="s">
        <v>186</v>
      </c>
      <c r="B346" s="10">
        <v>345</v>
      </c>
      <c r="C346" s="10" t="s">
        <v>1512</v>
      </c>
      <c r="D346" s="388">
        <v>45271</v>
      </c>
      <c r="E346" s="389">
        <v>45271</v>
      </c>
      <c r="F346" s="390" t="str">
        <f t="shared" si="5"/>
        <v>Cooking</v>
      </c>
      <c r="G346" s="135">
        <v>2.0932003871910899E-3</v>
      </c>
      <c r="H346" s="135">
        <v>2.2618496290306802E-3</v>
      </c>
      <c r="I346" s="135">
        <v>2.0176407199901701E-3</v>
      </c>
      <c r="J346" s="135">
        <v>2.1276617659541199E-3</v>
      </c>
      <c r="K346" s="135">
        <v>2.60674023000843E-3</v>
      </c>
      <c r="L346" s="135">
        <v>7.7479121953398502E-3</v>
      </c>
      <c r="M346" s="135">
        <v>1.9127191390849702E-2</v>
      </c>
      <c r="N346" s="135">
        <v>1.4518223682810701E-2</v>
      </c>
      <c r="O346" s="135">
        <v>1.76564882996007E-2</v>
      </c>
      <c r="P346" s="135">
        <v>1.8592463057635102E-2</v>
      </c>
      <c r="Q346" s="135">
        <v>3.24301747070058E-2</v>
      </c>
      <c r="R346" s="135">
        <v>4.3128203976526003E-2</v>
      </c>
      <c r="S346" s="135">
        <v>2.69788952025477E-2</v>
      </c>
      <c r="T346" s="135">
        <v>2.2854185507576001E-2</v>
      </c>
      <c r="U346" s="135">
        <v>3.3687796007744901E-2</v>
      </c>
      <c r="V346" s="135">
        <v>0.10210507053517701</v>
      </c>
      <c r="W346" s="135">
        <v>0.21037007247832301</v>
      </c>
      <c r="X346" s="135">
        <v>0.143392092108133</v>
      </c>
      <c r="Y346" s="135">
        <v>0.105945178630046</v>
      </c>
      <c r="Z346" s="135">
        <v>4.3153639840515401E-2</v>
      </c>
      <c r="AA346" s="135">
        <v>2.0191081133463702E-2</v>
      </c>
      <c r="AB346" s="135">
        <v>6.2857526481636698E-3</v>
      </c>
      <c r="AC346" s="135">
        <v>4.7886458989848503E-3</v>
      </c>
      <c r="AD346" s="135">
        <v>3.7827962862338502E-3</v>
      </c>
      <c r="AF346" s="243">
        <f t="shared" si="6"/>
        <v>0.47155439841490043</v>
      </c>
      <c r="AG346" s="275">
        <f t="shared" si="7"/>
        <v>0.44254965823495152</v>
      </c>
      <c r="AH346" s="391">
        <f t="shared" si="8"/>
        <v>0.44529329808390006</v>
      </c>
      <c r="AI346" s="135">
        <f t="shared" si="9"/>
        <v>0.88784295631885157</v>
      </c>
    </row>
    <row r="347" spans="1:35" ht="12.6">
      <c r="A347" s="10" t="s">
        <v>186</v>
      </c>
      <c r="B347" s="10">
        <v>346</v>
      </c>
      <c r="C347" s="10" t="s">
        <v>1512</v>
      </c>
      <c r="D347" s="388">
        <v>45272</v>
      </c>
      <c r="E347" s="389">
        <v>45272</v>
      </c>
      <c r="F347" s="390" t="str">
        <f t="shared" si="5"/>
        <v>Cooking</v>
      </c>
      <c r="G347" s="135">
        <v>2.0932003871910899E-3</v>
      </c>
      <c r="H347" s="135">
        <v>2.2618496290306802E-3</v>
      </c>
      <c r="I347" s="135">
        <v>2.0176407199901701E-3</v>
      </c>
      <c r="J347" s="135">
        <v>2.1276617659541199E-3</v>
      </c>
      <c r="K347" s="135">
        <v>2.60674023000843E-3</v>
      </c>
      <c r="L347" s="135">
        <v>7.7479121953398502E-3</v>
      </c>
      <c r="M347" s="135">
        <v>1.9127191390849702E-2</v>
      </c>
      <c r="N347" s="135">
        <v>1.4518223682810701E-2</v>
      </c>
      <c r="O347" s="135">
        <v>1.76564882996007E-2</v>
      </c>
      <c r="P347" s="135">
        <v>1.8592463057635102E-2</v>
      </c>
      <c r="Q347" s="135">
        <v>3.24301747070058E-2</v>
      </c>
      <c r="R347" s="135">
        <v>4.3128203976526003E-2</v>
      </c>
      <c r="S347" s="135">
        <v>2.69788952025477E-2</v>
      </c>
      <c r="T347" s="135">
        <v>2.2854185507576001E-2</v>
      </c>
      <c r="U347" s="135">
        <v>3.3687796007744901E-2</v>
      </c>
      <c r="V347" s="135">
        <v>0.10210507053517701</v>
      </c>
      <c r="W347" s="135">
        <v>0.21037007247832301</v>
      </c>
      <c r="X347" s="135">
        <v>0.143392092108133</v>
      </c>
      <c r="Y347" s="135">
        <v>0.105945178630046</v>
      </c>
      <c r="Z347" s="135">
        <v>4.3153639840515401E-2</v>
      </c>
      <c r="AA347" s="135">
        <v>2.0191081133463702E-2</v>
      </c>
      <c r="AB347" s="135">
        <v>6.2857526481636698E-3</v>
      </c>
      <c r="AC347" s="135">
        <v>4.7886458989848503E-3</v>
      </c>
      <c r="AD347" s="135">
        <v>3.7827962862338502E-3</v>
      </c>
      <c r="AF347" s="243">
        <f t="shared" si="6"/>
        <v>0.47155439841490043</v>
      </c>
      <c r="AG347" s="275">
        <f t="shared" si="7"/>
        <v>0.44254965823495152</v>
      </c>
      <c r="AH347" s="391">
        <f t="shared" si="8"/>
        <v>0.44529329808390006</v>
      </c>
      <c r="AI347" s="135">
        <f t="shared" si="9"/>
        <v>0.88784295631885157</v>
      </c>
    </row>
    <row r="348" spans="1:35" ht="12.6">
      <c r="A348" s="10" t="s">
        <v>186</v>
      </c>
      <c r="B348" s="10">
        <v>347</v>
      </c>
      <c r="C348" s="10" t="s">
        <v>1512</v>
      </c>
      <c r="D348" s="388">
        <v>45273</v>
      </c>
      <c r="E348" s="389">
        <v>45273</v>
      </c>
      <c r="F348" s="390" t="str">
        <f t="shared" si="5"/>
        <v>Cooking</v>
      </c>
      <c r="G348" s="135">
        <v>2.0932003871910899E-3</v>
      </c>
      <c r="H348" s="135">
        <v>2.2618496290306802E-3</v>
      </c>
      <c r="I348" s="135">
        <v>2.0176407199901701E-3</v>
      </c>
      <c r="J348" s="135">
        <v>2.1276617659541199E-3</v>
      </c>
      <c r="K348" s="135">
        <v>2.60674023000843E-3</v>
      </c>
      <c r="L348" s="135">
        <v>7.7479121953398502E-3</v>
      </c>
      <c r="M348" s="135">
        <v>1.9127191390849702E-2</v>
      </c>
      <c r="N348" s="135">
        <v>1.4518223682810701E-2</v>
      </c>
      <c r="O348" s="135">
        <v>1.76564882996007E-2</v>
      </c>
      <c r="P348" s="135">
        <v>1.8592463057635102E-2</v>
      </c>
      <c r="Q348" s="135">
        <v>3.24301747070058E-2</v>
      </c>
      <c r="R348" s="135">
        <v>4.3128203976526003E-2</v>
      </c>
      <c r="S348" s="135">
        <v>2.69788952025477E-2</v>
      </c>
      <c r="T348" s="135">
        <v>2.2854185507576001E-2</v>
      </c>
      <c r="U348" s="135">
        <v>3.3687796007744901E-2</v>
      </c>
      <c r="V348" s="135">
        <v>0.10210507053517701</v>
      </c>
      <c r="W348" s="135">
        <v>0.21037007247832301</v>
      </c>
      <c r="X348" s="135">
        <v>0.143392092108133</v>
      </c>
      <c r="Y348" s="135">
        <v>0.105945178630046</v>
      </c>
      <c r="Z348" s="135">
        <v>4.3153639840515401E-2</v>
      </c>
      <c r="AA348" s="135">
        <v>2.0191081133463702E-2</v>
      </c>
      <c r="AB348" s="135">
        <v>6.2857526481636698E-3</v>
      </c>
      <c r="AC348" s="135">
        <v>4.7886458989848503E-3</v>
      </c>
      <c r="AD348" s="135">
        <v>3.7827962862338502E-3</v>
      </c>
      <c r="AF348" s="243">
        <f t="shared" si="6"/>
        <v>0.47155439841490043</v>
      </c>
      <c r="AG348" s="275">
        <f t="shared" si="7"/>
        <v>0.44254965823495152</v>
      </c>
      <c r="AH348" s="391">
        <f t="shared" si="8"/>
        <v>0.44529329808390006</v>
      </c>
      <c r="AI348" s="135">
        <f t="shared" si="9"/>
        <v>0.88784295631885157</v>
      </c>
    </row>
    <row r="349" spans="1:35" ht="12.6">
      <c r="A349" s="10" t="s">
        <v>186</v>
      </c>
      <c r="B349" s="10">
        <v>348</v>
      </c>
      <c r="C349" s="10" t="s">
        <v>1512</v>
      </c>
      <c r="D349" s="388">
        <v>45274</v>
      </c>
      <c r="E349" s="389">
        <v>45274</v>
      </c>
      <c r="F349" s="390" t="str">
        <f t="shared" si="5"/>
        <v>Cooking</v>
      </c>
      <c r="G349" s="135">
        <v>2.0932003871910899E-3</v>
      </c>
      <c r="H349" s="135">
        <v>2.2618496290306802E-3</v>
      </c>
      <c r="I349" s="135">
        <v>2.0176407199901701E-3</v>
      </c>
      <c r="J349" s="135">
        <v>2.1276617659541199E-3</v>
      </c>
      <c r="K349" s="135">
        <v>2.60674023000843E-3</v>
      </c>
      <c r="L349" s="135">
        <v>7.7479121953398502E-3</v>
      </c>
      <c r="M349" s="135">
        <v>1.9127191390849702E-2</v>
      </c>
      <c r="N349" s="135">
        <v>1.4518223682810701E-2</v>
      </c>
      <c r="O349" s="135">
        <v>1.76564882996007E-2</v>
      </c>
      <c r="P349" s="135">
        <v>1.8592463057635102E-2</v>
      </c>
      <c r="Q349" s="135">
        <v>3.24301747070058E-2</v>
      </c>
      <c r="R349" s="135">
        <v>4.3128203976526003E-2</v>
      </c>
      <c r="S349" s="135">
        <v>2.69788952025477E-2</v>
      </c>
      <c r="T349" s="135">
        <v>2.2854185507576001E-2</v>
      </c>
      <c r="U349" s="135">
        <v>3.3687796007744901E-2</v>
      </c>
      <c r="V349" s="135">
        <v>0.10210507053517701</v>
      </c>
      <c r="W349" s="135">
        <v>0.21037007247832301</v>
      </c>
      <c r="X349" s="135">
        <v>0.143392092108133</v>
      </c>
      <c r="Y349" s="135">
        <v>0.105945178630046</v>
      </c>
      <c r="Z349" s="135">
        <v>4.3153639840515401E-2</v>
      </c>
      <c r="AA349" s="135">
        <v>2.0191081133463702E-2</v>
      </c>
      <c r="AB349" s="135">
        <v>6.2857526481636698E-3</v>
      </c>
      <c r="AC349" s="135">
        <v>4.7886458989848503E-3</v>
      </c>
      <c r="AD349" s="135">
        <v>3.7827962862338502E-3</v>
      </c>
      <c r="AF349" s="243">
        <f t="shared" si="6"/>
        <v>0.47155439841490043</v>
      </c>
      <c r="AG349" s="275">
        <f t="shared" si="7"/>
        <v>0.44254965823495152</v>
      </c>
      <c r="AH349" s="391">
        <f t="shared" si="8"/>
        <v>0.44529329808390006</v>
      </c>
      <c r="AI349" s="135">
        <f t="shared" si="9"/>
        <v>0.88784295631885157</v>
      </c>
    </row>
    <row r="350" spans="1:35" ht="12.6">
      <c r="A350" s="10" t="s">
        <v>186</v>
      </c>
      <c r="B350" s="10">
        <v>349</v>
      </c>
      <c r="C350" s="10" t="s">
        <v>1512</v>
      </c>
      <c r="D350" s="388">
        <v>45275</v>
      </c>
      <c r="E350" s="389">
        <v>45275</v>
      </c>
      <c r="F350" s="390" t="str">
        <f t="shared" si="5"/>
        <v>Cooking</v>
      </c>
      <c r="G350" s="135">
        <v>2.0932003871910899E-3</v>
      </c>
      <c r="H350" s="135">
        <v>2.2618496290306802E-3</v>
      </c>
      <c r="I350" s="135">
        <v>2.0176407199901701E-3</v>
      </c>
      <c r="J350" s="135">
        <v>2.1276617659541199E-3</v>
      </c>
      <c r="K350" s="135">
        <v>2.60674023000843E-3</v>
      </c>
      <c r="L350" s="135">
        <v>7.7479121953398502E-3</v>
      </c>
      <c r="M350" s="135">
        <v>1.9127191390849702E-2</v>
      </c>
      <c r="N350" s="135">
        <v>1.4518223682810701E-2</v>
      </c>
      <c r="O350" s="135">
        <v>1.76564882996007E-2</v>
      </c>
      <c r="P350" s="135">
        <v>1.8592463057635102E-2</v>
      </c>
      <c r="Q350" s="135">
        <v>3.24301747070058E-2</v>
      </c>
      <c r="R350" s="135">
        <v>4.3128203976526003E-2</v>
      </c>
      <c r="S350" s="135">
        <v>2.69788952025477E-2</v>
      </c>
      <c r="T350" s="135">
        <v>2.2854185507576001E-2</v>
      </c>
      <c r="U350" s="135">
        <v>3.3687796007744901E-2</v>
      </c>
      <c r="V350" s="135">
        <v>0.10210507053517701</v>
      </c>
      <c r="W350" s="135">
        <v>0.21037007247832301</v>
      </c>
      <c r="X350" s="135">
        <v>0.143392092108133</v>
      </c>
      <c r="Y350" s="135">
        <v>0.105945178630046</v>
      </c>
      <c r="Z350" s="135">
        <v>4.3153639840515401E-2</v>
      </c>
      <c r="AA350" s="135">
        <v>2.0191081133463702E-2</v>
      </c>
      <c r="AB350" s="135">
        <v>6.2857526481636698E-3</v>
      </c>
      <c r="AC350" s="135">
        <v>4.7886458989848503E-3</v>
      </c>
      <c r="AD350" s="135">
        <v>3.7827962862338502E-3</v>
      </c>
      <c r="AF350" s="243">
        <f t="shared" si="6"/>
        <v>0.47155439841490043</v>
      </c>
      <c r="AG350" s="275">
        <f t="shared" si="7"/>
        <v>0.44254965823495152</v>
      </c>
      <c r="AH350" s="391">
        <f t="shared" si="8"/>
        <v>0.44529329808390006</v>
      </c>
      <c r="AI350" s="135">
        <f t="shared" si="9"/>
        <v>0.88784295631885157</v>
      </c>
    </row>
    <row r="351" spans="1:35" ht="12.6">
      <c r="A351" s="10" t="s">
        <v>186</v>
      </c>
      <c r="B351" s="10">
        <v>350</v>
      </c>
      <c r="C351" s="10" t="s">
        <v>1512</v>
      </c>
      <c r="D351" s="388">
        <v>45276</v>
      </c>
      <c r="E351" s="389">
        <v>45276</v>
      </c>
      <c r="F351" s="390" t="str">
        <f t="shared" si="5"/>
        <v>Cooking</v>
      </c>
      <c r="G351" s="135">
        <v>1.74400830213755E-3</v>
      </c>
      <c r="H351" s="135">
        <v>2.14107876536978E-3</v>
      </c>
      <c r="I351" s="135">
        <v>2.2116760729407499E-3</v>
      </c>
      <c r="J351" s="135">
        <v>2.13705315979724E-3</v>
      </c>
      <c r="K351" s="135">
        <v>2.8735451221860498E-3</v>
      </c>
      <c r="L351" s="135">
        <v>8.4009082595883008E-3</v>
      </c>
      <c r="M351" s="135">
        <v>2.0526673480187399E-2</v>
      </c>
      <c r="N351" s="135">
        <v>3.2898854494523802E-2</v>
      </c>
      <c r="O351" s="135">
        <v>3.52735598668278E-2</v>
      </c>
      <c r="P351" s="135">
        <v>3.9777219891279601E-2</v>
      </c>
      <c r="Q351" s="135">
        <v>4.81865921371726E-2</v>
      </c>
      <c r="R351" s="135">
        <v>5.8062938727434399E-2</v>
      </c>
      <c r="S351" s="135">
        <v>4.1881092729344899E-2</v>
      </c>
      <c r="T351" s="135">
        <v>4.4799329329721603E-2</v>
      </c>
      <c r="U351" s="135">
        <v>4.3164940779069197E-2</v>
      </c>
      <c r="V351" s="135">
        <v>7.5964078527142598E-2</v>
      </c>
      <c r="W351" s="135">
        <v>0.175105949846284</v>
      </c>
      <c r="X351" s="135">
        <v>0.101824990391504</v>
      </c>
      <c r="Y351" s="135">
        <v>7.7200999155179001E-2</v>
      </c>
      <c r="Z351" s="135">
        <v>3.7657486401596003E-2</v>
      </c>
      <c r="AA351" s="135">
        <v>1.5784183235553799E-2</v>
      </c>
      <c r="AB351" s="135">
        <v>6.5260846468256804E-3</v>
      </c>
      <c r="AC351" s="135">
        <v>4.1060587215597903E-3</v>
      </c>
      <c r="AD351" s="135">
        <v>2.8232181240905002E-3</v>
      </c>
      <c r="AF351" s="243">
        <f t="shared" si="6"/>
        <v>0.48716492207616935</v>
      </c>
      <c r="AG351" s="275">
        <f t="shared" si="7"/>
        <v>0.42787961121941953</v>
      </c>
      <c r="AH351" s="391">
        <f t="shared" si="8"/>
        <v>0.45319290894789666</v>
      </c>
      <c r="AI351" s="135">
        <f t="shared" si="9"/>
        <v>0.88107252016731619</v>
      </c>
    </row>
    <row r="352" spans="1:35" ht="12.6">
      <c r="A352" s="10" t="s">
        <v>186</v>
      </c>
      <c r="B352" s="10">
        <v>351</v>
      </c>
      <c r="C352" s="10" t="s">
        <v>1512</v>
      </c>
      <c r="D352" s="388">
        <v>45277</v>
      </c>
      <c r="E352" s="389">
        <v>45277</v>
      </c>
      <c r="F352" s="390" t="str">
        <f t="shared" si="5"/>
        <v>Cooking</v>
      </c>
      <c r="G352" s="135">
        <v>1.74400830213755E-3</v>
      </c>
      <c r="H352" s="135">
        <v>2.14107876536978E-3</v>
      </c>
      <c r="I352" s="135">
        <v>2.2116760729407499E-3</v>
      </c>
      <c r="J352" s="135">
        <v>2.13705315979724E-3</v>
      </c>
      <c r="K352" s="135">
        <v>2.8735451221860498E-3</v>
      </c>
      <c r="L352" s="135">
        <v>8.4009082595883008E-3</v>
      </c>
      <c r="M352" s="135">
        <v>2.0526673480187399E-2</v>
      </c>
      <c r="N352" s="135">
        <v>3.2898854494523802E-2</v>
      </c>
      <c r="O352" s="135">
        <v>3.52735598668278E-2</v>
      </c>
      <c r="P352" s="135">
        <v>3.9777219891279601E-2</v>
      </c>
      <c r="Q352" s="135">
        <v>4.81865921371726E-2</v>
      </c>
      <c r="R352" s="135">
        <v>5.8062938727434399E-2</v>
      </c>
      <c r="S352" s="135">
        <v>4.1881092729344899E-2</v>
      </c>
      <c r="T352" s="135">
        <v>4.4799329329721603E-2</v>
      </c>
      <c r="U352" s="135">
        <v>4.3164940779069197E-2</v>
      </c>
      <c r="V352" s="135">
        <v>7.5964078527142598E-2</v>
      </c>
      <c r="W352" s="135">
        <v>0.175105949846284</v>
      </c>
      <c r="X352" s="135">
        <v>0.101824990391504</v>
      </c>
      <c r="Y352" s="135">
        <v>7.7200999155179001E-2</v>
      </c>
      <c r="Z352" s="135">
        <v>3.7657486401596003E-2</v>
      </c>
      <c r="AA352" s="135">
        <v>1.5784183235553799E-2</v>
      </c>
      <c r="AB352" s="135">
        <v>6.5260846468256804E-3</v>
      </c>
      <c r="AC352" s="135">
        <v>4.1060587215597903E-3</v>
      </c>
      <c r="AD352" s="135">
        <v>2.8232181240905002E-3</v>
      </c>
      <c r="AF352" s="243">
        <f t="shared" si="6"/>
        <v>0.48716492207616935</v>
      </c>
      <c r="AG352" s="275">
        <f t="shared" si="7"/>
        <v>0.42787961121941953</v>
      </c>
      <c r="AH352" s="391">
        <f t="shared" si="8"/>
        <v>0.45319290894789666</v>
      </c>
      <c r="AI352" s="135">
        <f t="shared" si="9"/>
        <v>0.88107252016731619</v>
      </c>
    </row>
    <row r="353" spans="1:35" ht="12.6">
      <c r="A353" s="10" t="s">
        <v>186</v>
      </c>
      <c r="B353" s="10">
        <v>352</v>
      </c>
      <c r="C353" s="10" t="s">
        <v>1512</v>
      </c>
      <c r="D353" s="388">
        <v>45278</v>
      </c>
      <c r="E353" s="389">
        <v>45278</v>
      </c>
      <c r="F353" s="390" t="str">
        <f t="shared" si="5"/>
        <v>Cooking</v>
      </c>
      <c r="G353" s="135">
        <v>2.0932003871910899E-3</v>
      </c>
      <c r="H353" s="135">
        <v>2.2618496290306802E-3</v>
      </c>
      <c r="I353" s="135">
        <v>2.0176407199901701E-3</v>
      </c>
      <c r="J353" s="135">
        <v>2.1276617659541199E-3</v>
      </c>
      <c r="K353" s="135">
        <v>2.60674023000843E-3</v>
      </c>
      <c r="L353" s="135">
        <v>7.7479121953398502E-3</v>
      </c>
      <c r="M353" s="135">
        <v>1.9127191390849702E-2</v>
      </c>
      <c r="N353" s="135">
        <v>1.4518223682810701E-2</v>
      </c>
      <c r="O353" s="135">
        <v>1.76564882996007E-2</v>
      </c>
      <c r="P353" s="135">
        <v>1.8592463057635102E-2</v>
      </c>
      <c r="Q353" s="135">
        <v>3.24301747070058E-2</v>
      </c>
      <c r="R353" s="135">
        <v>4.3128203976526003E-2</v>
      </c>
      <c r="S353" s="135">
        <v>2.69788952025477E-2</v>
      </c>
      <c r="T353" s="135">
        <v>2.2854185507576001E-2</v>
      </c>
      <c r="U353" s="135">
        <v>3.3687796007744901E-2</v>
      </c>
      <c r="V353" s="135">
        <v>0.10210507053517701</v>
      </c>
      <c r="W353" s="135">
        <v>0.21037007247832301</v>
      </c>
      <c r="X353" s="135">
        <v>0.143392092108133</v>
      </c>
      <c r="Y353" s="135">
        <v>0.105945178630046</v>
      </c>
      <c r="Z353" s="135">
        <v>4.3153639840515401E-2</v>
      </c>
      <c r="AA353" s="135">
        <v>2.0191081133463702E-2</v>
      </c>
      <c r="AB353" s="135">
        <v>6.2857526481636698E-3</v>
      </c>
      <c r="AC353" s="135">
        <v>4.7886458989848503E-3</v>
      </c>
      <c r="AD353" s="135">
        <v>3.7827962862338502E-3</v>
      </c>
      <c r="AF353" s="243">
        <f t="shared" si="6"/>
        <v>0.47155439841490043</v>
      </c>
      <c r="AG353" s="275">
        <f t="shared" si="7"/>
        <v>0.44254965823495152</v>
      </c>
      <c r="AH353" s="391">
        <f t="shared" si="8"/>
        <v>0.44529329808390006</v>
      </c>
      <c r="AI353" s="135">
        <f t="shared" si="9"/>
        <v>0.88784295631885157</v>
      </c>
    </row>
    <row r="354" spans="1:35" ht="12.6">
      <c r="A354" s="10" t="s">
        <v>186</v>
      </c>
      <c r="B354" s="10">
        <v>353</v>
      </c>
      <c r="C354" s="10" t="s">
        <v>1512</v>
      </c>
      <c r="D354" s="388">
        <v>45279</v>
      </c>
      <c r="E354" s="389">
        <v>45279</v>
      </c>
      <c r="F354" s="390" t="str">
        <f t="shared" si="5"/>
        <v>Cooking</v>
      </c>
      <c r="G354" s="135">
        <v>2.0932003871910899E-3</v>
      </c>
      <c r="H354" s="135">
        <v>2.2618496290306802E-3</v>
      </c>
      <c r="I354" s="135">
        <v>2.0176407199901701E-3</v>
      </c>
      <c r="J354" s="135">
        <v>2.1276617659541199E-3</v>
      </c>
      <c r="K354" s="135">
        <v>2.60674023000843E-3</v>
      </c>
      <c r="L354" s="135">
        <v>7.7479121953398502E-3</v>
      </c>
      <c r="M354" s="135">
        <v>1.9127191390849702E-2</v>
      </c>
      <c r="N354" s="135">
        <v>1.4518223682810701E-2</v>
      </c>
      <c r="O354" s="135">
        <v>1.76564882996007E-2</v>
      </c>
      <c r="P354" s="135">
        <v>1.8592463057635102E-2</v>
      </c>
      <c r="Q354" s="135">
        <v>3.24301747070058E-2</v>
      </c>
      <c r="R354" s="135">
        <v>4.3128203976526003E-2</v>
      </c>
      <c r="S354" s="135">
        <v>2.69788952025477E-2</v>
      </c>
      <c r="T354" s="135">
        <v>2.2854185507576001E-2</v>
      </c>
      <c r="U354" s="135">
        <v>3.3687796007744901E-2</v>
      </c>
      <c r="V354" s="135">
        <v>0.10210507053517701</v>
      </c>
      <c r="W354" s="135">
        <v>0.21037007247832301</v>
      </c>
      <c r="X354" s="135">
        <v>0.143392092108133</v>
      </c>
      <c r="Y354" s="135">
        <v>0.105945178630046</v>
      </c>
      <c r="Z354" s="135">
        <v>4.3153639840515401E-2</v>
      </c>
      <c r="AA354" s="135">
        <v>2.0191081133463702E-2</v>
      </c>
      <c r="AB354" s="135">
        <v>6.2857526481636698E-3</v>
      </c>
      <c r="AC354" s="135">
        <v>4.7886458989848503E-3</v>
      </c>
      <c r="AD354" s="135">
        <v>3.7827962862338502E-3</v>
      </c>
      <c r="AF354" s="243">
        <f t="shared" si="6"/>
        <v>0.47155439841490043</v>
      </c>
      <c r="AG354" s="275">
        <f t="shared" si="7"/>
        <v>0.44254965823495152</v>
      </c>
      <c r="AH354" s="391">
        <f t="shared" si="8"/>
        <v>0.44529329808390006</v>
      </c>
      <c r="AI354" s="135">
        <f t="shared" si="9"/>
        <v>0.88784295631885157</v>
      </c>
    </row>
    <row r="355" spans="1:35" ht="12.6">
      <c r="A355" s="10" t="s">
        <v>186</v>
      </c>
      <c r="B355" s="10">
        <v>354</v>
      </c>
      <c r="C355" s="10" t="s">
        <v>1512</v>
      </c>
      <c r="D355" s="388">
        <v>45280</v>
      </c>
      <c r="E355" s="389">
        <v>45280</v>
      </c>
      <c r="F355" s="390" t="str">
        <f t="shared" si="5"/>
        <v>Cooking</v>
      </c>
      <c r="G355" s="135">
        <v>2.0932003871910899E-3</v>
      </c>
      <c r="H355" s="135">
        <v>2.2618496290306802E-3</v>
      </c>
      <c r="I355" s="135">
        <v>2.0176407199901701E-3</v>
      </c>
      <c r="J355" s="135">
        <v>2.1276617659541199E-3</v>
      </c>
      <c r="K355" s="135">
        <v>2.60674023000843E-3</v>
      </c>
      <c r="L355" s="135">
        <v>7.7479121953398502E-3</v>
      </c>
      <c r="M355" s="135">
        <v>1.9127191390849702E-2</v>
      </c>
      <c r="N355" s="135">
        <v>1.4518223682810701E-2</v>
      </c>
      <c r="O355" s="135">
        <v>1.76564882996007E-2</v>
      </c>
      <c r="P355" s="135">
        <v>1.8592463057635102E-2</v>
      </c>
      <c r="Q355" s="135">
        <v>3.24301747070058E-2</v>
      </c>
      <c r="R355" s="135">
        <v>4.3128203976526003E-2</v>
      </c>
      <c r="S355" s="135">
        <v>2.69788952025477E-2</v>
      </c>
      <c r="T355" s="135">
        <v>2.2854185507576001E-2</v>
      </c>
      <c r="U355" s="135">
        <v>3.3687796007744901E-2</v>
      </c>
      <c r="V355" s="135">
        <v>0.10210507053517701</v>
      </c>
      <c r="W355" s="135">
        <v>0.21037007247832301</v>
      </c>
      <c r="X355" s="135">
        <v>0.143392092108133</v>
      </c>
      <c r="Y355" s="135">
        <v>0.105945178630046</v>
      </c>
      <c r="Z355" s="135">
        <v>4.3153639840515401E-2</v>
      </c>
      <c r="AA355" s="135">
        <v>2.0191081133463702E-2</v>
      </c>
      <c r="AB355" s="135">
        <v>6.2857526481636698E-3</v>
      </c>
      <c r="AC355" s="135">
        <v>4.7886458989848503E-3</v>
      </c>
      <c r="AD355" s="135">
        <v>3.7827962862338502E-3</v>
      </c>
      <c r="AF355" s="243">
        <f t="shared" si="6"/>
        <v>0.47155439841490043</v>
      </c>
      <c r="AG355" s="275">
        <f t="shared" si="7"/>
        <v>0.44254965823495152</v>
      </c>
      <c r="AH355" s="391">
        <f t="shared" si="8"/>
        <v>0.44529329808390006</v>
      </c>
      <c r="AI355" s="135">
        <f t="shared" si="9"/>
        <v>0.88784295631885157</v>
      </c>
    </row>
    <row r="356" spans="1:35" ht="12.6">
      <c r="A356" s="10" t="s">
        <v>186</v>
      </c>
      <c r="B356" s="10">
        <v>355</v>
      </c>
      <c r="C356" s="10" t="s">
        <v>1512</v>
      </c>
      <c r="D356" s="388">
        <v>45281</v>
      </c>
      <c r="E356" s="389">
        <v>45281</v>
      </c>
      <c r="F356" s="390" t="str">
        <f t="shared" si="5"/>
        <v>Cooking</v>
      </c>
      <c r="G356" s="135">
        <v>2.0932003871910899E-3</v>
      </c>
      <c r="H356" s="135">
        <v>2.2618496290306802E-3</v>
      </c>
      <c r="I356" s="135">
        <v>2.0176407199901701E-3</v>
      </c>
      <c r="J356" s="135">
        <v>2.1276617659541199E-3</v>
      </c>
      <c r="K356" s="135">
        <v>2.60674023000843E-3</v>
      </c>
      <c r="L356" s="135">
        <v>7.7479121953398502E-3</v>
      </c>
      <c r="M356" s="135">
        <v>1.9127191390849702E-2</v>
      </c>
      <c r="N356" s="135">
        <v>1.4518223682810701E-2</v>
      </c>
      <c r="O356" s="135">
        <v>1.76564882996007E-2</v>
      </c>
      <c r="P356" s="135">
        <v>1.8592463057635102E-2</v>
      </c>
      <c r="Q356" s="135">
        <v>3.24301747070058E-2</v>
      </c>
      <c r="R356" s="135">
        <v>4.3128203976526003E-2</v>
      </c>
      <c r="S356" s="135">
        <v>2.69788952025477E-2</v>
      </c>
      <c r="T356" s="135">
        <v>2.2854185507576001E-2</v>
      </c>
      <c r="U356" s="135">
        <v>3.3687796007744901E-2</v>
      </c>
      <c r="V356" s="135">
        <v>0.10210507053517701</v>
      </c>
      <c r="W356" s="135">
        <v>0.21037007247832301</v>
      </c>
      <c r="X356" s="135">
        <v>0.143392092108133</v>
      </c>
      <c r="Y356" s="135">
        <v>0.105945178630046</v>
      </c>
      <c r="Z356" s="135">
        <v>4.3153639840515401E-2</v>
      </c>
      <c r="AA356" s="135">
        <v>2.0191081133463702E-2</v>
      </c>
      <c r="AB356" s="135">
        <v>6.2857526481636698E-3</v>
      </c>
      <c r="AC356" s="135">
        <v>4.7886458989848503E-3</v>
      </c>
      <c r="AD356" s="135">
        <v>3.7827962862338502E-3</v>
      </c>
      <c r="AF356" s="243">
        <f t="shared" si="6"/>
        <v>0.47155439841490043</v>
      </c>
      <c r="AG356" s="275">
        <f t="shared" si="7"/>
        <v>0.44254965823495152</v>
      </c>
      <c r="AH356" s="391">
        <f t="shared" si="8"/>
        <v>0.44529329808390006</v>
      </c>
      <c r="AI356" s="135">
        <f t="shared" si="9"/>
        <v>0.88784295631885157</v>
      </c>
    </row>
    <row r="357" spans="1:35" ht="12.6">
      <c r="A357" s="10" t="s">
        <v>186</v>
      </c>
      <c r="B357" s="10">
        <v>356</v>
      </c>
      <c r="C357" s="10" t="s">
        <v>1512</v>
      </c>
      <c r="D357" s="388">
        <v>45282</v>
      </c>
      <c r="E357" s="389">
        <v>45282</v>
      </c>
      <c r="F357" s="390" t="str">
        <f t="shared" si="5"/>
        <v>Cooking</v>
      </c>
      <c r="G357" s="135">
        <v>2.0932003871910899E-3</v>
      </c>
      <c r="H357" s="135">
        <v>2.2618496290306802E-3</v>
      </c>
      <c r="I357" s="135">
        <v>2.0176407199901701E-3</v>
      </c>
      <c r="J357" s="135">
        <v>2.1276617659541199E-3</v>
      </c>
      <c r="K357" s="135">
        <v>2.60674023000843E-3</v>
      </c>
      <c r="L357" s="135">
        <v>7.7479121953398502E-3</v>
      </c>
      <c r="M357" s="135">
        <v>1.9127191390849702E-2</v>
      </c>
      <c r="N357" s="135">
        <v>1.4518223682810701E-2</v>
      </c>
      <c r="O357" s="135">
        <v>1.76564882996007E-2</v>
      </c>
      <c r="P357" s="135">
        <v>1.8592463057635102E-2</v>
      </c>
      <c r="Q357" s="135">
        <v>3.24301747070058E-2</v>
      </c>
      <c r="R357" s="135">
        <v>4.3128203976526003E-2</v>
      </c>
      <c r="S357" s="135">
        <v>2.69788952025477E-2</v>
      </c>
      <c r="T357" s="135">
        <v>2.2854185507576001E-2</v>
      </c>
      <c r="U357" s="135">
        <v>3.3687796007744901E-2</v>
      </c>
      <c r="V357" s="135">
        <v>0.10210507053517701</v>
      </c>
      <c r="W357" s="135">
        <v>0.21037007247832301</v>
      </c>
      <c r="X357" s="135">
        <v>0.143392092108133</v>
      </c>
      <c r="Y357" s="135">
        <v>0.105945178630046</v>
      </c>
      <c r="Z357" s="135">
        <v>4.3153639840515401E-2</v>
      </c>
      <c r="AA357" s="135">
        <v>2.0191081133463702E-2</v>
      </c>
      <c r="AB357" s="135">
        <v>6.2857526481636698E-3</v>
      </c>
      <c r="AC357" s="135">
        <v>4.7886458989848503E-3</v>
      </c>
      <c r="AD357" s="135">
        <v>3.7827962862338502E-3</v>
      </c>
      <c r="AF357" s="243">
        <f t="shared" si="6"/>
        <v>0.47155439841490043</v>
      </c>
      <c r="AG357" s="275">
        <f t="shared" si="7"/>
        <v>0.44254965823495152</v>
      </c>
      <c r="AH357" s="391">
        <f t="shared" si="8"/>
        <v>0.44529329808390006</v>
      </c>
      <c r="AI357" s="135">
        <f t="shared" si="9"/>
        <v>0.88784295631885157</v>
      </c>
    </row>
    <row r="358" spans="1:35" ht="12.6">
      <c r="A358" s="10" t="s">
        <v>186</v>
      </c>
      <c r="B358" s="10">
        <v>357</v>
      </c>
      <c r="C358" s="10" t="s">
        <v>1512</v>
      </c>
      <c r="D358" s="388">
        <v>45283</v>
      </c>
      <c r="E358" s="389">
        <v>45283</v>
      </c>
      <c r="F358" s="390" t="str">
        <f t="shared" si="5"/>
        <v>Cooking</v>
      </c>
      <c r="G358" s="135">
        <v>1.74400830213755E-3</v>
      </c>
      <c r="H358" s="135">
        <v>2.14107876536978E-3</v>
      </c>
      <c r="I358" s="135">
        <v>2.2116760729407499E-3</v>
      </c>
      <c r="J358" s="135">
        <v>2.13705315979724E-3</v>
      </c>
      <c r="K358" s="135">
        <v>2.8735451221860498E-3</v>
      </c>
      <c r="L358" s="135">
        <v>8.4009082595883008E-3</v>
      </c>
      <c r="M358" s="135">
        <v>2.0526673480187399E-2</v>
      </c>
      <c r="N358" s="135">
        <v>3.2898854494523802E-2</v>
      </c>
      <c r="O358" s="135">
        <v>3.52735598668278E-2</v>
      </c>
      <c r="P358" s="135">
        <v>3.9777219891279601E-2</v>
      </c>
      <c r="Q358" s="135">
        <v>4.81865921371726E-2</v>
      </c>
      <c r="R358" s="135">
        <v>5.8062938727434399E-2</v>
      </c>
      <c r="S358" s="135">
        <v>4.1881092729344899E-2</v>
      </c>
      <c r="T358" s="135">
        <v>4.4799329329721603E-2</v>
      </c>
      <c r="U358" s="135">
        <v>4.3164940779069197E-2</v>
      </c>
      <c r="V358" s="135">
        <v>7.5964078527142598E-2</v>
      </c>
      <c r="W358" s="135">
        <v>0.175105949846284</v>
      </c>
      <c r="X358" s="135">
        <v>0.101824990391504</v>
      </c>
      <c r="Y358" s="135">
        <v>7.7200999155179001E-2</v>
      </c>
      <c r="Z358" s="135">
        <v>3.7657486401596003E-2</v>
      </c>
      <c r="AA358" s="135">
        <v>1.5784183235553799E-2</v>
      </c>
      <c r="AB358" s="135">
        <v>6.5260846468256804E-3</v>
      </c>
      <c r="AC358" s="135">
        <v>4.1060587215597903E-3</v>
      </c>
      <c r="AD358" s="135">
        <v>2.8232181240905002E-3</v>
      </c>
      <c r="AF358" s="243">
        <f t="shared" si="6"/>
        <v>0.48716492207616935</v>
      </c>
      <c r="AG358" s="275">
        <f t="shared" si="7"/>
        <v>0.42787961121941953</v>
      </c>
      <c r="AH358" s="391">
        <f t="shared" si="8"/>
        <v>0.45319290894789666</v>
      </c>
      <c r="AI358" s="135">
        <f t="shared" si="9"/>
        <v>0.88107252016731619</v>
      </c>
    </row>
    <row r="359" spans="1:35" ht="12.6">
      <c r="A359" s="10" t="s">
        <v>186</v>
      </c>
      <c r="B359" s="10">
        <v>358</v>
      </c>
      <c r="C359" s="10" t="s">
        <v>1512</v>
      </c>
      <c r="D359" s="388">
        <v>45284</v>
      </c>
      <c r="E359" s="389">
        <v>45284</v>
      </c>
      <c r="F359" s="390" t="str">
        <f t="shared" si="5"/>
        <v>Cooking</v>
      </c>
      <c r="G359" s="135">
        <v>1.74400830213755E-3</v>
      </c>
      <c r="H359" s="135">
        <v>2.14107876536978E-3</v>
      </c>
      <c r="I359" s="135">
        <v>2.2116760729407499E-3</v>
      </c>
      <c r="J359" s="135">
        <v>2.13705315979724E-3</v>
      </c>
      <c r="K359" s="135">
        <v>2.8735451221860498E-3</v>
      </c>
      <c r="L359" s="135">
        <v>8.4009082595883008E-3</v>
      </c>
      <c r="M359" s="135">
        <v>2.0526673480187399E-2</v>
      </c>
      <c r="N359" s="135">
        <v>3.2898854494523802E-2</v>
      </c>
      <c r="O359" s="135">
        <v>3.52735598668278E-2</v>
      </c>
      <c r="P359" s="135">
        <v>3.9777219891279601E-2</v>
      </c>
      <c r="Q359" s="135">
        <v>4.81865921371726E-2</v>
      </c>
      <c r="R359" s="135">
        <v>5.8062938727434399E-2</v>
      </c>
      <c r="S359" s="135">
        <v>4.1881092729344899E-2</v>
      </c>
      <c r="T359" s="135">
        <v>4.4799329329721603E-2</v>
      </c>
      <c r="U359" s="135">
        <v>4.3164940779069197E-2</v>
      </c>
      <c r="V359" s="135">
        <v>7.5964078527142598E-2</v>
      </c>
      <c r="W359" s="135">
        <v>0.175105949846284</v>
      </c>
      <c r="X359" s="135">
        <v>0.101824990391504</v>
      </c>
      <c r="Y359" s="135">
        <v>7.7200999155179001E-2</v>
      </c>
      <c r="Z359" s="135">
        <v>3.7657486401596003E-2</v>
      </c>
      <c r="AA359" s="135">
        <v>1.5784183235553799E-2</v>
      </c>
      <c r="AB359" s="135">
        <v>6.5260846468256804E-3</v>
      </c>
      <c r="AC359" s="135">
        <v>4.1060587215597903E-3</v>
      </c>
      <c r="AD359" s="135">
        <v>2.8232181240905002E-3</v>
      </c>
      <c r="AF359" s="243">
        <f t="shared" si="6"/>
        <v>0.48716492207616935</v>
      </c>
      <c r="AG359" s="275">
        <f t="shared" si="7"/>
        <v>0.42787961121941953</v>
      </c>
      <c r="AH359" s="391">
        <f t="shared" si="8"/>
        <v>0.45319290894789666</v>
      </c>
      <c r="AI359" s="135">
        <f t="shared" si="9"/>
        <v>0.88107252016731619</v>
      </c>
    </row>
    <row r="360" spans="1:35" ht="12.6">
      <c r="A360" s="10" t="s">
        <v>186</v>
      </c>
      <c r="B360" s="10">
        <v>359</v>
      </c>
      <c r="C360" s="10" t="s">
        <v>1512</v>
      </c>
      <c r="D360" s="388">
        <v>45285</v>
      </c>
      <c r="E360" s="389">
        <v>45285</v>
      </c>
      <c r="F360" s="390" t="str">
        <f t="shared" si="5"/>
        <v>Cooking</v>
      </c>
      <c r="G360" s="135">
        <v>2.0932003871910899E-3</v>
      </c>
      <c r="H360" s="135">
        <v>2.2618496290306802E-3</v>
      </c>
      <c r="I360" s="135">
        <v>2.0176407199901701E-3</v>
      </c>
      <c r="J360" s="135">
        <v>2.1276617659541199E-3</v>
      </c>
      <c r="K360" s="135">
        <v>2.60674023000843E-3</v>
      </c>
      <c r="L360" s="135">
        <v>7.7479121953398502E-3</v>
      </c>
      <c r="M360" s="135">
        <v>1.9127191390849702E-2</v>
      </c>
      <c r="N360" s="135">
        <v>1.4518223682810701E-2</v>
      </c>
      <c r="O360" s="135">
        <v>1.76564882996007E-2</v>
      </c>
      <c r="P360" s="135">
        <v>1.8592463057635102E-2</v>
      </c>
      <c r="Q360" s="135">
        <v>3.24301747070058E-2</v>
      </c>
      <c r="R360" s="135">
        <v>4.3128203976526003E-2</v>
      </c>
      <c r="S360" s="135">
        <v>2.69788952025477E-2</v>
      </c>
      <c r="T360" s="135">
        <v>2.2854185507576001E-2</v>
      </c>
      <c r="U360" s="135">
        <v>3.3687796007744901E-2</v>
      </c>
      <c r="V360" s="135">
        <v>0.10210507053517701</v>
      </c>
      <c r="W360" s="135">
        <v>0.21037007247832301</v>
      </c>
      <c r="X360" s="135">
        <v>0.143392092108133</v>
      </c>
      <c r="Y360" s="135">
        <v>0.105945178630046</v>
      </c>
      <c r="Z360" s="135">
        <v>4.3153639840515401E-2</v>
      </c>
      <c r="AA360" s="135">
        <v>2.0191081133463702E-2</v>
      </c>
      <c r="AB360" s="135">
        <v>6.2857526481636698E-3</v>
      </c>
      <c r="AC360" s="135">
        <v>4.7886458989848503E-3</v>
      </c>
      <c r="AD360" s="135">
        <v>3.7827962862338502E-3</v>
      </c>
      <c r="AF360" s="243">
        <f t="shared" si="6"/>
        <v>0.47155439841490043</v>
      </c>
      <c r="AG360" s="275">
        <f t="shared" si="7"/>
        <v>0.44254965823495152</v>
      </c>
      <c r="AH360" s="391">
        <f t="shared" si="8"/>
        <v>0.44529329808390006</v>
      </c>
      <c r="AI360" s="135">
        <f t="shared" si="9"/>
        <v>0.88784295631885157</v>
      </c>
    </row>
    <row r="361" spans="1:35" ht="12.6">
      <c r="A361" s="10" t="s">
        <v>186</v>
      </c>
      <c r="B361" s="10">
        <v>360</v>
      </c>
      <c r="C361" s="10" t="s">
        <v>1512</v>
      </c>
      <c r="D361" s="388">
        <v>45286</v>
      </c>
      <c r="E361" s="389">
        <v>45286</v>
      </c>
      <c r="F361" s="390" t="str">
        <f t="shared" si="5"/>
        <v>Cooking</v>
      </c>
      <c r="G361" s="135">
        <v>2.0932003871910899E-3</v>
      </c>
      <c r="H361" s="135">
        <v>2.2618496290306802E-3</v>
      </c>
      <c r="I361" s="135">
        <v>2.0176407199901701E-3</v>
      </c>
      <c r="J361" s="135">
        <v>2.1276617659541199E-3</v>
      </c>
      <c r="K361" s="135">
        <v>2.60674023000843E-3</v>
      </c>
      <c r="L361" s="135">
        <v>7.7479121953398502E-3</v>
      </c>
      <c r="M361" s="135">
        <v>1.9127191390849702E-2</v>
      </c>
      <c r="N361" s="135">
        <v>1.4518223682810701E-2</v>
      </c>
      <c r="O361" s="135">
        <v>1.76564882996007E-2</v>
      </c>
      <c r="P361" s="135">
        <v>1.8592463057635102E-2</v>
      </c>
      <c r="Q361" s="135">
        <v>3.24301747070058E-2</v>
      </c>
      <c r="R361" s="135">
        <v>4.3128203976526003E-2</v>
      </c>
      <c r="S361" s="135">
        <v>2.69788952025477E-2</v>
      </c>
      <c r="T361" s="135">
        <v>2.2854185507576001E-2</v>
      </c>
      <c r="U361" s="135">
        <v>3.3687796007744901E-2</v>
      </c>
      <c r="V361" s="135">
        <v>0.10210507053517701</v>
      </c>
      <c r="W361" s="135">
        <v>0.21037007247832301</v>
      </c>
      <c r="X361" s="135">
        <v>0.143392092108133</v>
      </c>
      <c r="Y361" s="135">
        <v>0.105945178630046</v>
      </c>
      <c r="Z361" s="135">
        <v>4.3153639840515401E-2</v>
      </c>
      <c r="AA361" s="135">
        <v>2.0191081133463702E-2</v>
      </c>
      <c r="AB361" s="135">
        <v>6.2857526481636698E-3</v>
      </c>
      <c r="AC361" s="135">
        <v>4.7886458989848503E-3</v>
      </c>
      <c r="AD361" s="135">
        <v>3.7827962862338502E-3</v>
      </c>
      <c r="AF361" s="243">
        <f t="shared" si="6"/>
        <v>0.47155439841490043</v>
      </c>
      <c r="AG361" s="275">
        <f t="shared" si="7"/>
        <v>0.44254965823495152</v>
      </c>
      <c r="AH361" s="391">
        <f t="shared" si="8"/>
        <v>0.44529329808390006</v>
      </c>
      <c r="AI361" s="135">
        <f t="shared" si="9"/>
        <v>0.88784295631885157</v>
      </c>
    </row>
    <row r="362" spans="1:35" ht="12.6">
      <c r="A362" s="10" t="s">
        <v>186</v>
      </c>
      <c r="B362" s="10">
        <v>361</v>
      </c>
      <c r="C362" s="10" t="s">
        <v>1512</v>
      </c>
      <c r="D362" s="388">
        <v>45287</v>
      </c>
      <c r="E362" s="389">
        <v>45287</v>
      </c>
      <c r="F362" s="390" t="str">
        <f t="shared" si="5"/>
        <v>Cooking</v>
      </c>
      <c r="G362" s="135">
        <v>2.0932003871910899E-3</v>
      </c>
      <c r="H362" s="135">
        <v>2.2618496290306802E-3</v>
      </c>
      <c r="I362" s="135">
        <v>2.0176407199901701E-3</v>
      </c>
      <c r="J362" s="135">
        <v>2.1276617659541199E-3</v>
      </c>
      <c r="K362" s="135">
        <v>2.60674023000843E-3</v>
      </c>
      <c r="L362" s="135">
        <v>7.7479121953398502E-3</v>
      </c>
      <c r="M362" s="135">
        <v>1.9127191390849702E-2</v>
      </c>
      <c r="N362" s="135">
        <v>1.4518223682810701E-2</v>
      </c>
      <c r="O362" s="135">
        <v>1.76564882996007E-2</v>
      </c>
      <c r="P362" s="135">
        <v>1.8592463057635102E-2</v>
      </c>
      <c r="Q362" s="135">
        <v>3.24301747070058E-2</v>
      </c>
      <c r="R362" s="135">
        <v>4.3128203976526003E-2</v>
      </c>
      <c r="S362" s="135">
        <v>2.69788952025477E-2</v>
      </c>
      <c r="T362" s="135">
        <v>2.2854185507576001E-2</v>
      </c>
      <c r="U362" s="135">
        <v>3.3687796007744901E-2</v>
      </c>
      <c r="V362" s="135">
        <v>0.10210507053517701</v>
      </c>
      <c r="W362" s="135">
        <v>0.21037007247832301</v>
      </c>
      <c r="X362" s="135">
        <v>0.143392092108133</v>
      </c>
      <c r="Y362" s="135">
        <v>0.105945178630046</v>
      </c>
      <c r="Z362" s="135">
        <v>4.3153639840515401E-2</v>
      </c>
      <c r="AA362" s="135">
        <v>2.0191081133463702E-2</v>
      </c>
      <c r="AB362" s="135">
        <v>6.2857526481636698E-3</v>
      </c>
      <c r="AC362" s="135">
        <v>4.7886458989848503E-3</v>
      </c>
      <c r="AD362" s="135">
        <v>3.7827962862338502E-3</v>
      </c>
      <c r="AF362" s="243">
        <f t="shared" si="6"/>
        <v>0.47155439841490043</v>
      </c>
      <c r="AG362" s="275">
        <f t="shared" si="7"/>
        <v>0.44254965823495152</v>
      </c>
      <c r="AH362" s="391">
        <f t="shared" si="8"/>
        <v>0.44529329808390006</v>
      </c>
      <c r="AI362" s="135">
        <f t="shared" si="9"/>
        <v>0.88784295631885157</v>
      </c>
    </row>
    <row r="363" spans="1:35" ht="12.6">
      <c r="A363" s="10" t="s">
        <v>186</v>
      </c>
      <c r="B363" s="10">
        <v>362</v>
      </c>
      <c r="C363" s="10" t="s">
        <v>1512</v>
      </c>
      <c r="D363" s="388">
        <v>45288</v>
      </c>
      <c r="E363" s="389">
        <v>45288</v>
      </c>
      <c r="F363" s="390" t="str">
        <f t="shared" si="5"/>
        <v>Cooking</v>
      </c>
      <c r="G363" s="135">
        <v>2.0932003871910899E-3</v>
      </c>
      <c r="H363" s="135">
        <v>2.2618496290306802E-3</v>
      </c>
      <c r="I363" s="135">
        <v>2.0176407199901701E-3</v>
      </c>
      <c r="J363" s="135">
        <v>2.1276617659541199E-3</v>
      </c>
      <c r="K363" s="135">
        <v>2.60674023000843E-3</v>
      </c>
      <c r="L363" s="135">
        <v>7.7479121953398502E-3</v>
      </c>
      <c r="M363" s="135">
        <v>1.9127191390849702E-2</v>
      </c>
      <c r="N363" s="135">
        <v>1.4518223682810701E-2</v>
      </c>
      <c r="O363" s="135">
        <v>1.76564882996007E-2</v>
      </c>
      <c r="P363" s="135">
        <v>1.8592463057635102E-2</v>
      </c>
      <c r="Q363" s="135">
        <v>3.24301747070058E-2</v>
      </c>
      <c r="R363" s="135">
        <v>4.3128203976526003E-2</v>
      </c>
      <c r="S363" s="135">
        <v>2.69788952025477E-2</v>
      </c>
      <c r="T363" s="135">
        <v>2.2854185507576001E-2</v>
      </c>
      <c r="U363" s="135">
        <v>3.3687796007744901E-2</v>
      </c>
      <c r="V363" s="135">
        <v>0.10210507053517701</v>
      </c>
      <c r="W363" s="135">
        <v>0.21037007247832301</v>
      </c>
      <c r="X363" s="135">
        <v>0.143392092108133</v>
      </c>
      <c r="Y363" s="135">
        <v>0.105945178630046</v>
      </c>
      <c r="Z363" s="135">
        <v>4.3153639840515401E-2</v>
      </c>
      <c r="AA363" s="135">
        <v>2.0191081133463702E-2</v>
      </c>
      <c r="AB363" s="135">
        <v>6.2857526481636698E-3</v>
      </c>
      <c r="AC363" s="135">
        <v>4.7886458989848503E-3</v>
      </c>
      <c r="AD363" s="135">
        <v>3.7827962862338502E-3</v>
      </c>
      <c r="AF363" s="243">
        <f t="shared" si="6"/>
        <v>0.47155439841490043</v>
      </c>
      <c r="AG363" s="275">
        <f t="shared" si="7"/>
        <v>0.44254965823495152</v>
      </c>
      <c r="AH363" s="391">
        <f t="shared" si="8"/>
        <v>0.44529329808390006</v>
      </c>
      <c r="AI363" s="135">
        <f t="shared" si="9"/>
        <v>0.88784295631885157</v>
      </c>
    </row>
    <row r="364" spans="1:35" ht="12.6">
      <c r="A364" s="10" t="s">
        <v>186</v>
      </c>
      <c r="B364" s="10">
        <v>363</v>
      </c>
      <c r="C364" s="10" t="s">
        <v>1512</v>
      </c>
      <c r="D364" s="388">
        <v>45289</v>
      </c>
      <c r="E364" s="389">
        <v>45289</v>
      </c>
      <c r="F364" s="390" t="str">
        <f t="shared" si="5"/>
        <v>Cooking</v>
      </c>
      <c r="G364" s="135">
        <v>2.0932003871910899E-3</v>
      </c>
      <c r="H364" s="135">
        <v>2.2618496290306802E-3</v>
      </c>
      <c r="I364" s="135">
        <v>2.0176407199901701E-3</v>
      </c>
      <c r="J364" s="135">
        <v>2.1276617659541199E-3</v>
      </c>
      <c r="K364" s="135">
        <v>2.60674023000843E-3</v>
      </c>
      <c r="L364" s="135">
        <v>7.7479121953398502E-3</v>
      </c>
      <c r="M364" s="135">
        <v>1.9127191390849702E-2</v>
      </c>
      <c r="N364" s="135">
        <v>1.4518223682810701E-2</v>
      </c>
      <c r="O364" s="135">
        <v>1.76564882996007E-2</v>
      </c>
      <c r="P364" s="135">
        <v>1.8592463057635102E-2</v>
      </c>
      <c r="Q364" s="135">
        <v>3.24301747070058E-2</v>
      </c>
      <c r="R364" s="135">
        <v>4.3128203976526003E-2</v>
      </c>
      <c r="S364" s="135">
        <v>2.69788952025477E-2</v>
      </c>
      <c r="T364" s="135">
        <v>2.2854185507576001E-2</v>
      </c>
      <c r="U364" s="135">
        <v>3.3687796007744901E-2</v>
      </c>
      <c r="V364" s="135">
        <v>0.10210507053517701</v>
      </c>
      <c r="W364" s="135">
        <v>0.21037007247832301</v>
      </c>
      <c r="X364" s="135">
        <v>0.143392092108133</v>
      </c>
      <c r="Y364" s="135">
        <v>0.105945178630046</v>
      </c>
      <c r="Z364" s="135">
        <v>4.3153639840515401E-2</v>
      </c>
      <c r="AA364" s="135">
        <v>2.0191081133463702E-2</v>
      </c>
      <c r="AB364" s="135">
        <v>6.2857526481636698E-3</v>
      </c>
      <c r="AC364" s="135">
        <v>4.7886458989848503E-3</v>
      </c>
      <c r="AD364" s="135">
        <v>3.7827962862338502E-3</v>
      </c>
      <c r="AF364" s="243">
        <f t="shared" si="6"/>
        <v>0.47155439841490043</v>
      </c>
      <c r="AG364" s="275">
        <f t="shared" si="7"/>
        <v>0.44254965823495152</v>
      </c>
      <c r="AH364" s="391">
        <f t="shared" si="8"/>
        <v>0.44529329808390006</v>
      </c>
      <c r="AI364" s="135">
        <f t="shared" si="9"/>
        <v>0.88784295631885157</v>
      </c>
    </row>
    <row r="365" spans="1:35" ht="12.6">
      <c r="A365" s="10" t="s">
        <v>186</v>
      </c>
      <c r="B365" s="10">
        <v>364</v>
      </c>
      <c r="C365" s="10" t="s">
        <v>1512</v>
      </c>
      <c r="D365" s="388">
        <v>45290</v>
      </c>
      <c r="E365" s="389">
        <v>45290</v>
      </c>
      <c r="F365" s="390" t="str">
        <f t="shared" si="5"/>
        <v>Cooking</v>
      </c>
      <c r="G365" s="135">
        <v>1.74400830213755E-3</v>
      </c>
      <c r="H365" s="135">
        <v>2.14107876536978E-3</v>
      </c>
      <c r="I365" s="135">
        <v>2.2116760729407499E-3</v>
      </c>
      <c r="J365" s="135">
        <v>2.13705315979724E-3</v>
      </c>
      <c r="K365" s="135">
        <v>2.8735451221860498E-3</v>
      </c>
      <c r="L365" s="135">
        <v>8.4009082595883008E-3</v>
      </c>
      <c r="M365" s="135">
        <v>2.0526673480187399E-2</v>
      </c>
      <c r="N365" s="135">
        <v>3.2898854494523802E-2</v>
      </c>
      <c r="O365" s="135">
        <v>3.52735598668278E-2</v>
      </c>
      <c r="P365" s="135">
        <v>3.9777219891279601E-2</v>
      </c>
      <c r="Q365" s="135">
        <v>4.81865921371726E-2</v>
      </c>
      <c r="R365" s="135">
        <v>5.8062938727434399E-2</v>
      </c>
      <c r="S365" s="135">
        <v>4.1881092729344899E-2</v>
      </c>
      <c r="T365" s="135">
        <v>4.4799329329721603E-2</v>
      </c>
      <c r="U365" s="135">
        <v>4.3164940779069197E-2</v>
      </c>
      <c r="V365" s="135">
        <v>7.5964078527142598E-2</v>
      </c>
      <c r="W365" s="135">
        <v>0.175105949846284</v>
      </c>
      <c r="X365" s="135">
        <v>0.101824990391504</v>
      </c>
      <c r="Y365" s="135">
        <v>7.7200999155179001E-2</v>
      </c>
      <c r="Z365" s="135">
        <v>3.7657486401596003E-2</v>
      </c>
      <c r="AA365" s="135">
        <v>1.5784183235553799E-2</v>
      </c>
      <c r="AB365" s="135">
        <v>6.5260846468256804E-3</v>
      </c>
      <c r="AC365" s="135">
        <v>4.1060587215597903E-3</v>
      </c>
      <c r="AD365" s="135">
        <v>2.8232181240905002E-3</v>
      </c>
      <c r="AF365" s="243">
        <f t="shared" si="6"/>
        <v>0.48716492207616935</v>
      </c>
      <c r="AG365" s="275">
        <f t="shared" si="7"/>
        <v>0.42787961121941953</v>
      </c>
      <c r="AH365" s="391">
        <f t="shared" si="8"/>
        <v>0.45319290894789666</v>
      </c>
      <c r="AI365" s="135">
        <f t="shared" si="9"/>
        <v>0.88107252016731619</v>
      </c>
    </row>
    <row r="366" spans="1:35" ht="12.6">
      <c r="A366" s="10" t="s">
        <v>186</v>
      </c>
      <c r="B366" s="10">
        <v>365</v>
      </c>
      <c r="C366" s="10" t="s">
        <v>1512</v>
      </c>
      <c r="D366" s="388">
        <v>45291</v>
      </c>
      <c r="E366" s="389">
        <v>45291</v>
      </c>
      <c r="F366" s="390" t="str">
        <f t="shared" si="5"/>
        <v>Cooking</v>
      </c>
      <c r="G366" s="135">
        <v>1.74400830213755E-3</v>
      </c>
      <c r="H366" s="135">
        <v>2.14107876536978E-3</v>
      </c>
      <c r="I366" s="135">
        <v>2.2116760729407499E-3</v>
      </c>
      <c r="J366" s="135">
        <v>2.13705315979724E-3</v>
      </c>
      <c r="K366" s="135">
        <v>2.8735451221860498E-3</v>
      </c>
      <c r="L366" s="135">
        <v>8.4009082595883008E-3</v>
      </c>
      <c r="M366" s="135">
        <v>2.0526673480187399E-2</v>
      </c>
      <c r="N366" s="135">
        <v>3.2898854494523802E-2</v>
      </c>
      <c r="O366" s="135">
        <v>3.52735598668278E-2</v>
      </c>
      <c r="P366" s="135">
        <v>3.9777219891279601E-2</v>
      </c>
      <c r="Q366" s="135">
        <v>4.81865921371726E-2</v>
      </c>
      <c r="R366" s="135">
        <v>5.8062938727434399E-2</v>
      </c>
      <c r="S366" s="135">
        <v>4.1881092729344899E-2</v>
      </c>
      <c r="T366" s="135">
        <v>4.4799329329721603E-2</v>
      </c>
      <c r="U366" s="135">
        <v>4.3164940779069197E-2</v>
      </c>
      <c r="V366" s="135">
        <v>7.5964078527142598E-2</v>
      </c>
      <c r="W366" s="135">
        <v>0.175105949846284</v>
      </c>
      <c r="X366" s="135">
        <v>0.101824990391504</v>
      </c>
      <c r="Y366" s="135">
        <v>7.7200999155179001E-2</v>
      </c>
      <c r="Z366" s="135">
        <v>3.7657486401596003E-2</v>
      </c>
      <c r="AA366" s="135">
        <v>1.5784183235553799E-2</v>
      </c>
      <c r="AB366" s="135">
        <v>6.5260846468256804E-3</v>
      </c>
      <c r="AC366" s="135">
        <v>4.1060587215597903E-3</v>
      </c>
      <c r="AD366" s="135">
        <v>2.8232181240905002E-3</v>
      </c>
      <c r="AF366" s="243">
        <f t="shared" si="6"/>
        <v>0.48716492207616935</v>
      </c>
      <c r="AG366" s="275">
        <f t="shared" si="7"/>
        <v>0.42787961121941953</v>
      </c>
      <c r="AH366" s="391">
        <f t="shared" si="8"/>
        <v>0.45319290894789666</v>
      </c>
      <c r="AI366" s="135">
        <f t="shared" si="9"/>
        <v>0.88107252016731619</v>
      </c>
    </row>
    <row r="367" spans="1:35" ht="12.6">
      <c r="A367" s="10" t="s">
        <v>61</v>
      </c>
      <c r="B367" s="10">
        <v>1</v>
      </c>
      <c r="C367" s="10" t="s">
        <v>1512</v>
      </c>
      <c r="D367" s="388">
        <v>44927</v>
      </c>
      <c r="E367" s="389">
        <v>44927</v>
      </c>
      <c r="F367" s="390" t="str">
        <f t="shared" si="5"/>
        <v>Lighting</v>
      </c>
      <c r="G367" s="135">
        <v>8.3979857634250595E-3</v>
      </c>
      <c r="H367" s="135">
        <v>7.7963964395086896E-3</v>
      </c>
      <c r="I367" s="135">
        <v>8.3822325395603008E-3</v>
      </c>
      <c r="J367" s="135">
        <v>1.04290513120818E-2</v>
      </c>
      <c r="K367" s="135">
        <v>8.2112463453817598E-3</v>
      </c>
      <c r="L367" s="135">
        <v>1.07990385440268E-2</v>
      </c>
      <c r="M367" s="135">
        <v>2.0014397807540201E-2</v>
      </c>
      <c r="N367" s="135">
        <v>3.0890684582839299E-2</v>
      </c>
      <c r="O367" s="135">
        <v>4.2703331359732602E-2</v>
      </c>
      <c r="P367" s="135">
        <v>4.3606857894242797E-2</v>
      </c>
      <c r="Q367" s="135">
        <v>4.0790999038774499E-2</v>
      </c>
      <c r="R367" s="135">
        <v>3.5847085401207901E-2</v>
      </c>
      <c r="S367" s="135">
        <v>3.2277433130328603E-2</v>
      </c>
      <c r="T367" s="135">
        <v>2.7530842799098499E-2</v>
      </c>
      <c r="U367" s="135">
        <v>3.1619476682785197E-2</v>
      </c>
      <c r="V367" s="135">
        <v>2.7837118896337699E-2</v>
      </c>
      <c r="W367" s="135">
        <v>2.90835721058064E-2</v>
      </c>
      <c r="X367" s="135">
        <v>3.3496417590967303E-2</v>
      </c>
      <c r="Y367" s="135">
        <v>4.0296705301614603E-2</v>
      </c>
      <c r="Z367" s="135">
        <v>5.01490773383379E-2</v>
      </c>
      <c r="AA367" s="135">
        <v>5.7177958912325903E-2</v>
      </c>
      <c r="AB367" s="135">
        <v>4.41050484989172E-2</v>
      </c>
      <c r="AC367" s="135">
        <v>2.0819438993321698E-2</v>
      </c>
      <c r="AD367" s="135">
        <v>1.2035506651996399E-2</v>
      </c>
      <c r="AF367" s="243">
        <f t="shared" si="6"/>
        <v>0.2249865280543388</v>
      </c>
      <c r="AG367" s="275">
        <f t="shared" si="7"/>
        <v>0.25523373801119908</v>
      </c>
      <c r="AH367" s="391">
        <f t="shared" si="8"/>
        <v>0.41906416591896001</v>
      </c>
      <c r="AI367" s="135">
        <f t="shared" si="9"/>
        <v>0.67429790393015909</v>
      </c>
    </row>
    <row r="368" spans="1:35" ht="12.6">
      <c r="A368" s="10" t="s">
        <v>61</v>
      </c>
      <c r="B368" s="10">
        <v>2</v>
      </c>
      <c r="C368" s="10" t="s">
        <v>1512</v>
      </c>
      <c r="D368" s="388">
        <v>44928</v>
      </c>
      <c r="E368" s="389">
        <v>44928</v>
      </c>
      <c r="F368" s="390" t="str">
        <f t="shared" si="5"/>
        <v>Lighting</v>
      </c>
      <c r="G368" s="135">
        <v>7.5952421850581601E-3</v>
      </c>
      <c r="H368" s="135">
        <v>6.8301865532236E-3</v>
      </c>
      <c r="I368" s="135">
        <v>7.4159413461902697E-3</v>
      </c>
      <c r="J368" s="135">
        <v>9.3585166610140099E-3</v>
      </c>
      <c r="K368" s="135">
        <v>3.3425006745758497E-2</v>
      </c>
      <c r="L368" s="135">
        <v>7.0715348246745705E-2</v>
      </c>
      <c r="M368" s="135">
        <v>5.1928626495336402E-2</v>
      </c>
      <c r="N368" s="135">
        <v>3.1673308886092801E-2</v>
      </c>
      <c r="O368" s="135">
        <v>2.2236994931657001E-2</v>
      </c>
      <c r="P368" s="135">
        <v>2.0560169292138799E-2</v>
      </c>
      <c r="Q368" s="135">
        <v>2.18661162079264E-2</v>
      </c>
      <c r="R368" s="135">
        <v>2.0842180624689899E-2</v>
      </c>
      <c r="S368" s="135">
        <v>2.0100994778200099E-2</v>
      </c>
      <c r="T368" s="135">
        <v>1.6831039902024201E-2</v>
      </c>
      <c r="U368" s="135">
        <v>1.9432218626620899E-2</v>
      </c>
      <c r="V368" s="135">
        <v>2.2657789154565799E-2</v>
      </c>
      <c r="W368" s="135">
        <v>2.6654402391733199E-2</v>
      </c>
      <c r="X368" s="135">
        <v>3.4431574936831799E-2</v>
      </c>
      <c r="Y368" s="135">
        <v>4.4276020812349097E-2</v>
      </c>
      <c r="Z368" s="135">
        <v>5.6346361140112801E-2</v>
      </c>
      <c r="AA368" s="135">
        <v>6.3844471002895795E-2</v>
      </c>
      <c r="AB368" s="135">
        <v>4.6815435432834902E-2</v>
      </c>
      <c r="AC368" s="135">
        <v>1.8402819557497199E-2</v>
      </c>
      <c r="AD368" s="135">
        <v>8.7440244163495707E-3</v>
      </c>
      <c r="AF368" s="243">
        <f t="shared" si="6"/>
        <v>0.14838474168576049</v>
      </c>
      <c r="AG368" s="275">
        <f t="shared" si="7"/>
        <v>0.32009215706031774</v>
      </c>
      <c r="AH368" s="391">
        <f t="shared" si="8"/>
        <v>0.36289263326752935</v>
      </c>
      <c r="AI368" s="135">
        <f t="shared" si="9"/>
        <v>0.68298479032784709</v>
      </c>
    </row>
    <row r="369" spans="1:35" ht="12.6">
      <c r="A369" s="10" t="s">
        <v>61</v>
      </c>
      <c r="B369" s="10">
        <v>3</v>
      </c>
      <c r="C369" s="10" t="s">
        <v>1512</v>
      </c>
      <c r="D369" s="388">
        <v>44929</v>
      </c>
      <c r="E369" s="389">
        <v>44929</v>
      </c>
      <c r="F369" s="390" t="str">
        <f t="shared" si="5"/>
        <v>Lighting</v>
      </c>
      <c r="G369" s="135">
        <v>7.5952421850581601E-3</v>
      </c>
      <c r="H369" s="135">
        <v>6.8301865532236E-3</v>
      </c>
      <c r="I369" s="135">
        <v>7.4159413461902697E-3</v>
      </c>
      <c r="J369" s="135">
        <v>9.3585166610140099E-3</v>
      </c>
      <c r="K369" s="135">
        <v>3.3425006745758497E-2</v>
      </c>
      <c r="L369" s="135">
        <v>7.0715348246745705E-2</v>
      </c>
      <c r="M369" s="135">
        <v>5.1928626495336402E-2</v>
      </c>
      <c r="N369" s="135">
        <v>3.1673308886092801E-2</v>
      </c>
      <c r="O369" s="135">
        <v>2.2236994931657001E-2</v>
      </c>
      <c r="P369" s="135">
        <v>2.0560169292138799E-2</v>
      </c>
      <c r="Q369" s="135">
        <v>2.18661162079264E-2</v>
      </c>
      <c r="R369" s="135">
        <v>2.0842180624689899E-2</v>
      </c>
      <c r="S369" s="135">
        <v>2.0100994778200099E-2</v>
      </c>
      <c r="T369" s="135">
        <v>1.6831039902024201E-2</v>
      </c>
      <c r="U369" s="135">
        <v>1.9432218626620899E-2</v>
      </c>
      <c r="V369" s="135">
        <v>2.2657789154565799E-2</v>
      </c>
      <c r="W369" s="135">
        <v>2.6654402391733199E-2</v>
      </c>
      <c r="X369" s="135">
        <v>3.4431574936831799E-2</v>
      </c>
      <c r="Y369" s="135">
        <v>4.4276020812349097E-2</v>
      </c>
      <c r="Z369" s="135">
        <v>5.6346361140112801E-2</v>
      </c>
      <c r="AA369" s="135">
        <v>6.3844471002895795E-2</v>
      </c>
      <c r="AB369" s="135">
        <v>4.6815435432834902E-2</v>
      </c>
      <c r="AC369" s="135">
        <v>1.8402819557497199E-2</v>
      </c>
      <c r="AD369" s="135">
        <v>8.7440244163495707E-3</v>
      </c>
      <c r="AF369" s="243">
        <f t="shared" si="6"/>
        <v>0.14838474168576049</v>
      </c>
      <c r="AG369" s="275">
        <f t="shared" si="7"/>
        <v>0.32009215706031774</v>
      </c>
      <c r="AH369" s="391">
        <f t="shared" si="8"/>
        <v>0.36289263326752935</v>
      </c>
      <c r="AI369" s="135">
        <f t="shared" si="9"/>
        <v>0.68298479032784709</v>
      </c>
    </row>
    <row r="370" spans="1:35" ht="12.6">
      <c r="A370" s="10" t="s">
        <v>61</v>
      </c>
      <c r="B370" s="10">
        <v>4</v>
      </c>
      <c r="C370" s="10" t="s">
        <v>1512</v>
      </c>
      <c r="D370" s="388">
        <v>44930</v>
      </c>
      <c r="E370" s="389">
        <v>44930</v>
      </c>
      <c r="F370" s="390" t="str">
        <f t="shared" si="5"/>
        <v>Lighting</v>
      </c>
      <c r="G370" s="135">
        <v>7.5952421850581601E-3</v>
      </c>
      <c r="H370" s="135">
        <v>6.8301865532236E-3</v>
      </c>
      <c r="I370" s="135">
        <v>7.4159413461902697E-3</v>
      </c>
      <c r="J370" s="135">
        <v>9.3585166610140099E-3</v>
      </c>
      <c r="K370" s="135">
        <v>3.3425006745758497E-2</v>
      </c>
      <c r="L370" s="135">
        <v>7.0715348246745705E-2</v>
      </c>
      <c r="M370" s="135">
        <v>5.1928626495336402E-2</v>
      </c>
      <c r="N370" s="135">
        <v>3.1673308886092801E-2</v>
      </c>
      <c r="O370" s="135">
        <v>2.2236994931657001E-2</v>
      </c>
      <c r="P370" s="135">
        <v>2.0560169292138799E-2</v>
      </c>
      <c r="Q370" s="135">
        <v>2.18661162079264E-2</v>
      </c>
      <c r="R370" s="135">
        <v>2.0842180624689899E-2</v>
      </c>
      <c r="S370" s="135">
        <v>2.0100994778200099E-2</v>
      </c>
      <c r="T370" s="135">
        <v>1.6831039902024201E-2</v>
      </c>
      <c r="U370" s="135">
        <v>1.9432218626620899E-2</v>
      </c>
      <c r="V370" s="135">
        <v>2.2657789154565799E-2</v>
      </c>
      <c r="W370" s="135">
        <v>2.6654402391733199E-2</v>
      </c>
      <c r="X370" s="135">
        <v>3.4431574936831799E-2</v>
      </c>
      <c r="Y370" s="135">
        <v>4.4276020812349097E-2</v>
      </c>
      <c r="Z370" s="135">
        <v>5.6346361140112801E-2</v>
      </c>
      <c r="AA370" s="135">
        <v>6.3844471002895795E-2</v>
      </c>
      <c r="AB370" s="135">
        <v>4.6815435432834902E-2</v>
      </c>
      <c r="AC370" s="135">
        <v>1.8402819557497199E-2</v>
      </c>
      <c r="AD370" s="135">
        <v>8.7440244163495707E-3</v>
      </c>
      <c r="AF370" s="243">
        <f t="shared" si="6"/>
        <v>0.14838474168576049</v>
      </c>
      <c r="AG370" s="275">
        <f t="shared" si="7"/>
        <v>0.32009215706031774</v>
      </c>
      <c r="AH370" s="391">
        <f t="shared" si="8"/>
        <v>0.36289263326752935</v>
      </c>
      <c r="AI370" s="135">
        <f t="shared" si="9"/>
        <v>0.68298479032784709</v>
      </c>
    </row>
    <row r="371" spans="1:35" ht="12.6">
      <c r="A371" s="10" t="s">
        <v>61</v>
      </c>
      <c r="B371" s="10">
        <v>5</v>
      </c>
      <c r="C371" s="10" t="s">
        <v>1512</v>
      </c>
      <c r="D371" s="388">
        <v>44931</v>
      </c>
      <c r="E371" s="389">
        <v>44931</v>
      </c>
      <c r="F371" s="390" t="str">
        <f t="shared" si="5"/>
        <v>Lighting</v>
      </c>
      <c r="G371" s="135">
        <v>7.5952421850581601E-3</v>
      </c>
      <c r="H371" s="135">
        <v>6.8301865532236E-3</v>
      </c>
      <c r="I371" s="135">
        <v>7.4159413461902697E-3</v>
      </c>
      <c r="J371" s="135">
        <v>9.3585166610140099E-3</v>
      </c>
      <c r="K371" s="135">
        <v>3.3425006745758497E-2</v>
      </c>
      <c r="L371" s="135">
        <v>7.0715348246745705E-2</v>
      </c>
      <c r="M371" s="135">
        <v>5.1928626495336402E-2</v>
      </c>
      <c r="N371" s="135">
        <v>3.1673308886092801E-2</v>
      </c>
      <c r="O371" s="135">
        <v>2.2236994931657001E-2</v>
      </c>
      <c r="P371" s="135">
        <v>2.0560169292138799E-2</v>
      </c>
      <c r="Q371" s="135">
        <v>2.18661162079264E-2</v>
      </c>
      <c r="R371" s="135">
        <v>2.0842180624689899E-2</v>
      </c>
      <c r="S371" s="135">
        <v>2.0100994778200099E-2</v>
      </c>
      <c r="T371" s="135">
        <v>1.6831039902024201E-2</v>
      </c>
      <c r="U371" s="135">
        <v>1.9432218626620899E-2</v>
      </c>
      <c r="V371" s="135">
        <v>2.2657789154565799E-2</v>
      </c>
      <c r="W371" s="135">
        <v>2.6654402391733199E-2</v>
      </c>
      <c r="X371" s="135">
        <v>3.4431574936831799E-2</v>
      </c>
      <c r="Y371" s="135">
        <v>4.4276020812349097E-2</v>
      </c>
      <c r="Z371" s="135">
        <v>5.6346361140112801E-2</v>
      </c>
      <c r="AA371" s="135">
        <v>6.3844471002895795E-2</v>
      </c>
      <c r="AB371" s="135">
        <v>4.6815435432834902E-2</v>
      </c>
      <c r="AC371" s="135">
        <v>1.8402819557497199E-2</v>
      </c>
      <c r="AD371" s="135">
        <v>8.7440244163495707E-3</v>
      </c>
      <c r="AF371" s="243">
        <f t="shared" si="6"/>
        <v>0.14838474168576049</v>
      </c>
      <c r="AG371" s="275">
        <f t="shared" si="7"/>
        <v>0.32009215706031774</v>
      </c>
      <c r="AH371" s="391">
        <f t="shared" si="8"/>
        <v>0.36289263326752935</v>
      </c>
      <c r="AI371" s="135">
        <f t="shared" si="9"/>
        <v>0.68298479032784709</v>
      </c>
    </row>
    <row r="372" spans="1:35" ht="12.6">
      <c r="A372" s="10" t="s">
        <v>61</v>
      </c>
      <c r="B372" s="10">
        <v>6</v>
      </c>
      <c r="C372" s="10" t="s">
        <v>1512</v>
      </c>
      <c r="D372" s="388">
        <v>44932</v>
      </c>
      <c r="E372" s="389">
        <v>44932</v>
      </c>
      <c r="F372" s="390" t="str">
        <f t="shared" si="5"/>
        <v>Lighting</v>
      </c>
      <c r="G372" s="135">
        <v>7.5952421850581601E-3</v>
      </c>
      <c r="H372" s="135">
        <v>6.8301865532236E-3</v>
      </c>
      <c r="I372" s="135">
        <v>7.4159413461902697E-3</v>
      </c>
      <c r="J372" s="135">
        <v>9.3585166610140099E-3</v>
      </c>
      <c r="K372" s="135">
        <v>3.3425006745758497E-2</v>
      </c>
      <c r="L372" s="135">
        <v>7.0715348246745705E-2</v>
      </c>
      <c r="M372" s="135">
        <v>5.1928626495336402E-2</v>
      </c>
      <c r="N372" s="135">
        <v>3.1673308886092801E-2</v>
      </c>
      <c r="O372" s="135">
        <v>2.2236994931657001E-2</v>
      </c>
      <c r="P372" s="135">
        <v>2.0560169292138799E-2</v>
      </c>
      <c r="Q372" s="135">
        <v>2.18661162079264E-2</v>
      </c>
      <c r="R372" s="135">
        <v>2.0842180624689899E-2</v>
      </c>
      <c r="S372" s="135">
        <v>2.0100994778200099E-2</v>
      </c>
      <c r="T372" s="135">
        <v>1.6831039902024201E-2</v>
      </c>
      <c r="U372" s="135">
        <v>1.9432218626620899E-2</v>
      </c>
      <c r="V372" s="135">
        <v>2.2657789154565799E-2</v>
      </c>
      <c r="W372" s="135">
        <v>2.6654402391733199E-2</v>
      </c>
      <c r="X372" s="135">
        <v>3.4431574936831799E-2</v>
      </c>
      <c r="Y372" s="135">
        <v>4.4276020812349097E-2</v>
      </c>
      <c r="Z372" s="135">
        <v>5.6346361140112801E-2</v>
      </c>
      <c r="AA372" s="135">
        <v>6.3844471002895795E-2</v>
      </c>
      <c r="AB372" s="135">
        <v>4.6815435432834902E-2</v>
      </c>
      <c r="AC372" s="135">
        <v>1.8402819557497199E-2</v>
      </c>
      <c r="AD372" s="135">
        <v>8.7440244163495707E-3</v>
      </c>
      <c r="AF372" s="243">
        <f t="shared" si="6"/>
        <v>0.14838474168576049</v>
      </c>
      <c r="AG372" s="275">
        <f t="shared" si="7"/>
        <v>0.32009215706031774</v>
      </c>
      <c r="AH372" s="391">
        <f t="shared" si="8"/>
        <v>0.36289263326752935</v>
      </c>
      <c r="AI372" s="135">
        <f t="shared" si="9"/>
        <v>0.68298479032784709</v>
      </c>
    </row>
    <row r="373" spans="1:35" ht="12.6">
      <c r="A373" s="10" t="s">
        <v>61</v>
      </c>
      <c r="B373" s="10">
        <v>7</v>
      </c>
      <c r="C373" s="10" t="s">
        <v>1512</v>
      </c>
      <c r="D373" s="388">
        <v>44933</v>
      </c>
      <c r="E373" s="389">
        <v>44933</v>
      </c>
      <c r="F373" s="390" t="str">
        <f t="shared" si="5"/>
        <v>Lighting</v>
      </c>
      <c r="G373" s="135">
        <v>8.3979857634250595E-3</v>
      </c>
      <c r="H373" s="135">
        <v>7.7963964395086896E-3</v>
      </c>
      <c r="I373" s="135">
        <v>8.3822325395603008E-3</v>
      </c>
      <c r="J373" s="135">
        <v>1.04290513120818E-2</v>
      </c>
      <c r="K373" s="135">
        <v>8.2112463453817598E-3</v>
      </c>
      <c r="L373" s="135">
        <v>1.07990385440268E-2</v>
      </c>
      <c r="M373" s="135">
        <v>2.0014397807540201E-2</v>
      </c>
      <c r="N373" s="135">
        <v>3.0890684582839299E-2</v>
      </c>
      <c r="O373" s="135">
        <v>4.2703331359732602E-2</v>
      </c>
      <c r="P373" s="135">
        <v>4.3606857894242797E-2</v>
      </c>
      <c r="Q373" s="135">
        <v>4.0790999038774499E-2</v>
      </c>
      <c r="R373" s="135">
        <v>3.5847085401207901E-2</v>
      </c>
      <c r="S373" s="135">
        <v>3.2277433130328603E-2</v>
      </c>
      <c r="T373" s="135">
        <v>2.7530842799098499E-2</v>
      </c>
      <c r="U373" s="135">
        <v>3.1619476682785197E-2</v>
      </c>
      <c r="V373" s="135">
        <v>2.7837118896337699E-2</v>
      </c>
      <c r="W373" s="135">
        <v>2.90835721058064E-2</v>
      </c>
      <c r="X373" s="135">
        <v>3.3496417590967303E-2</v>
      </c>
      <c r="Y373" s="135">
        <v>4.0296705301614603E-2</v>
      </c>
      <c r="Z373" s="135">
        <v>5.01490773383379E-2</v>
      </c>
      <c r="AA373" s="135">
        <v>5.7177958912325903E-2</v>
      </c>
      <c r="AB373" s="135">
        <v>4.41050484989172E-2</v>
      </c>
      <c r="AC373" s="135">
        <v>2.0819438993321698E-2</v>
      </c>
      <c r="AD373" s="135">
        <v>1.2035506651996399E-2</v>
      </c>
      <c r="AF373" s="243">
        <f t="shared" si="6"/>
        <v>0.2249865280543388</v>
      </c>
      <c r="AG373" s="275">
        <f t="shared" si="7"/>
        <v>0.25523373801119908</v>
      </c>
      <c r="AH373" s="391">
        <f t="shared" si="8"/>
        <v>0.41906416591896001</v>
      </c>
      <c r="AI373" s="135">
        <f t="shared" si="9"/>
        <v>0.67429790393015909</v>
      </c>
    </row>
    <row r="374" spans="1:35" ht="12.6">
      <c r="A374" s="10" t="s">
        <v>61</v>
      </c>
      <c r="B374" s="10">
        <v>8</v>
      </c>
      <c r="C374" s="10" t="s">
        <v>1512</v>
      </c>
      <c r="D374" s="388">
        <v>44934</v>
      </c>
      <c r="E374" s="389">
        <v>44934</v>
      </c>
      <c r="F374" s="390" t="str">
        <f t="shared" si="5"/>
        <v>Lighting</v>
      </c>
      <c r="G374" s="135">
        <v>8.3979857634250595E-3</v>
      </c>
      <c r="H374" s="135">
        <v>7.7963964395086896E-3</v>
      </c>
      <c r="I374" s="135">
        <v>8.3822325395603008E-3</v>
      </c>
      <c r="J374" s="135">
        <v>1.04290513120818E-2</v>
      </c>
      <c r="K374" s="135">
        <v>8.2112463453817598E-3</v>
      </c>
      <c r="L374" s="135">
        <v>1.07990385440268E-2</v>
      </c>
      <c r="M374" s="135">
        <v>2.0014397807540201E-2</v>
      </c>
      <c r="N374" s="135">
        <v>3.0890684582839299E-2</v>
      </c>
      <c r="O374" s="135">
        <v>4.2703331359732602E-2</v>
      </c>
      <c r="P374" s="135">
        <v>4.3606857894242797E-2</v>
      </c>
      <c r="Q374" s="135">
        <v>4.0790999038774499E-2</v>
      </c>
      <c r="R374" s="135">
        <v>3.5847085401207901E-2</v>
      </c>
      <c r="S374" s="135">
        <v>3.2277433130328603E-2</v>
      </c>
      <c r="T374" s="135">
        <v>2.7530842799098499E-2</v>
      </c>
      <c r="U374" s="135">
        <v>3.1619476682785197E-2</v>
      </c>
      <c r="V374" s="135">
        <v>2.7837118896337699E-2</v>
      </c>
      <c r="W374" s="135">
        <v>2.90835721058064E-2</v>
      </c>
      <c r="X374" s="135">
        <v>3.3496417590967303E-2</v>
      </c>
      <c r="Y374" s="135">
        <v>4.0296705301614603E-2</v>
      </c>
      <c r="Z374" s="135">
        <v>5.01490773383379E-2</v>
      </c>
      <c r="AA374" s="135">
        <v>5.7177958912325903E-2</v>
      </c>
      <c r="AB374" s="135">
        <v>4.41050484989172E-2</v>
      </c>
      <c r="AC374" s="135">
        <v>2.0819438993321698E-2</v>
      </c>
      <c r="AD374" s="135">
        <v>1.2035506651996399E-2</v>
      </c>
      <c r="AF374" s="243">
        <f t="shared" si="6"/>
        <v>0.2249865280543388</v>
      </c>
      <c r="AG374" s="275">
        <f t="shared" si="7"/>
        <v>0.25523373801119908</v>
      </c>
      <c r="AH374" s="391">
        <f t="shared" si="8"/>
        <v>0.41906416591896001</v>
      </c>
      <c r="AI374" s="135">
        <f t="shared" si="9"/>
        <v>0.67429790393015909</v>
      </c>
    </row>
    <row r="375" spans="1:35" ht="12.6">
      <c r="A375" s="10" t="s">
        <v>61</v>
      </c>
      <c r="B375" s="10">
        <v>9</v>
      </c>
      <c r="C375" s="10" t="s">
        <v>1512</v>
      </c>
      <c r="D375" s="388">
        <v>44935</v>
      </c>
      <c r="E375" s="389">
        <v>44935</v>
      </c>
      <c r="F375" s="390" t="str">
        <f t="shared" si="5"/>
        <v>Lighting</v>
      </c>
      <c r="G375" s="135">
        <v>7.5952421850581601E-3</v>
      </c>
      <c r="H375" s="135">
        <v>6.8301865532236E-3</v>
      </c>
      <c r="I375" s="135">
        <v>7.4159413461902697E-3</v>
      </c>
      <c r="J375" s="135">
        <v>9.3585166610140099E-3</v>
      </c>
      <c r="K375" s="135">
        <v>3.3425006745758497E-2</v>
      </c>
      <c r="L375" s="135">
        <v>7.0715348246745705E-2</v>
      </c>
      <c r="M375" s="135">
        <v>5.1928626495336402E-2</v>
      </c>
      <c r="N375" s="135">
        <v>3.1673308886092801E-2</v>
      </c>
      <c r="O375" s="135">
        <v>2.2236994931657001E-2</v>
      </c>
      <c r="P375" s="135">
        <v>2.0560169292138799E-2</v>
      </c>
      <c r="Q375" s="135">
        <v>2.18661162079264E-2</v>
      </c>
      <c r="R375" s="135">
        <v>2.0842180624689899E-2</v>
      </c>
      <c r="S375" s="135">
        <v>2.0100994778200099E-2</v>
      </c>
      <c r="T375" s="135">
        <v>1.6831039902024201E-2</v>
      </c>
      <c r="U375" s="135">
        <v>1.9432218626620899E-2</v>
      </c>
      <c r="V375" s="135">
        <v>2.2657789154565799E-2</v>
      </c>
      <c r="W375" s="135">
        <v>2.6654402391733199E-2</v>
      </c>
      <c r="X375" s="135">
        <v>3.4431574936831799E-2</v>
      </c>
      <c r="Y375" s="135">
        <v>4.4276020812349097E-2</v>
      </c>
      <c r="Z375" s="135">
        <v>5.6346361140112801E-2</v>
      </c>
      <c r="AA375" s="135">
        <v>6.3844471002895795E-2</v>
      </c>
      <c r="AB375" s="135">
        <v>4.6815435432834902E-2</v>
      </c>
      <c r="AC375" s="135">
        <v>1.8402819557497199E-2</v>
      </c>
      <c r="AD375" s="135">
        <v>8.7440244163495707E-3</v>
      </c>
      <c r="AF375" s="243">
        <f t="shared" si="6"/>
        <v>0.14838474168576049</v>
      </c>
      <c r="AG375" s="275">
        <f t="shared" si="7"/>
        <v>0.32009215706031774</v>
      </c>
      <c r="AH375" s="391">
        <f t="shared" si="8"/>
        <v>0.36289263326752935</v>
      </c>
      <c r="AI375" s="135">
        <f t="shared" si="9"/>
        <v>0.68298479032784709</v>
      </c>
    </row>
    <row r="376" spans="1:35" ht="12.6">
      <c r="A376" s="10" t="s">
        <v>61</v>
      </c>
      <c r="B376" s="10">
        <v>10</v>
      </c>
      <c r="C376" s="10" t="s">
        <v>1512</v>
      </c>
      <c r="D376" s="388">
        <v>44936</v>
      </c>
      <c r="E376" s="389">
        <v>44936</v>
      </c>
      <c r="F376" s="390" t="str">
        <f t="shared" si="5"/>
        <v>Lighting</v>
      </c>
      <c r="G376" s="135">
        <v>7.5952421850581601E-3</v>
      </c>
      <c r="H376" s="135">
        <v>6.8301865532236E-3</v>
      </c>
      <c r="I376" s="135">
        <v>7.4159413461902697E-3</v>
      </c>
      <c r="J376" s="135">
        <v>9.3585166610140099E-3</v>
      </c>
      <c r="K376" s="135">
        <v>3.3425006745758497E-2</v>
      </c>
      <c r="L376" s="135">
        <v>7.0715348246745705E-2</v>
      </c>
      <c r="M376" s="135">
        <v>5.1928626495336402E-2</v>
      </c>
      <c r="N376" s="135">
        <v>3.1673308886092801E-2</v>
      </c>
      <c r="O376" s="135">
        <v>2.2236994931657001E-2</v>
      </c>
      <c r="P376" s="135">
        <v>2.0560169292138799E-2</v>
      </c>
      <c r="Q376" s="135">
        <v>2.18661162079264E-2</v>
      </c>
      <c r="R376" s="135">
        <v>2.0842180624689899E-2</v>
      </c>
      <c r="S376" s="135">
        <v>2.0100994778200099E-2</v>
      </c>
      <c r="T376" s="135">
        <v>1.6831039902024201E-2</v>
      </c>
      <c r="U376" s="135">
        <v>1.9432218626620899E-2</v>
      </c>
      <c r="V376" s="135">
        <v>2.2657789154565799E-2</v>
      </c>
      <c r="W376" s="135">
        <v>2.6654402391733199E-2</v>
      </c>
      <c r="X376" s="135">
        <v>3.4431574936831799E-2</v>
      </c>
      <c r="Y376" s="135">
        <v>4.4276020812349097E-2</v>
      </c>
      <c r="Z376" s="135">
        <v>5.6346361140112801E-2</v>
      </c>
      <c r="AA376" s="135">
        <v>6.3844471002895795E-2</v>
      </c>
      <c r="AB376" s="135">
        <v>4.6815435432834902E-2</v>
      </c>
      <c r="AC376" s="135">
        <v>1.8402819557497199E-2</v>
      </c>
      <c r="AD376" s="135">
        <v>8.7440244163495707E-3</v>
      </c>
      <c r="AF376" s="243">
        <f t="shared" si="6"/>
        <v>0.14838474168576049</v>
      </c>
      <c r="AG376" s="275">
        <f t="shared" si="7"/>
        <v>0.32009215706031774</v>
      </c>
      <c r="AH376" s="391">
        <f t="shared" si="8"/>
        <v>0.36289263326752935</v>
      </c>
      <c r="AI376" s="135">
        <f t="shared" si="9"/>
        <v>0.68298479032784709</v>
      </c>
    </row>
    <row r="377" spans="1:35" ht="12.6">
      <c r="A377" s="10" t="s">
        <v>61</v>
      </c>
      <c r="B377" s="10">
        <v>11</v>
      </c>
      <c r="C377" s="10" t="s">
        <v>1512</v>
      </c>
      <c r="D377" s="388">
        <v>44937</v>
      </c>
      <c r="E377" s="389">
        <v>44937</v>
      </c>
      <c r="F377" s="390" t="str">
        <f t="shared" si="5"/>
        <v>Lighting</v>
      </c>
      <c r="G377" s="135">
        <v>7.5952421850581601E-3</v>
      </c>
      <c r="H377" s="135">
        <v>6.8301865532236E-3</v>
      </c>
      <c r="I377" s="135">
        <v>7.4159413461902697E-3</v>
      </c>
      <c r="J377" s="135">
        <v>9.3585166610140099E-3</v>
      </c>
      <c r="K377" s="135">
        <v>3.3425006745758497E-2</v>
      </c>
      <c r="L377" s="135">
        <v>7.0715348246745705E-2</v>
      </c>
      <c r="M377" s="135">
        <v>5.1928626495336402E-2</v>
      </c>
      <c r="N377" s="135">
        <v>3.1673308886092801E-2</v>
      </c>
      <c r="O377" s="135">
        <v>2.2236994931657001E-2</v>
      </c>
      <c r="P377" s="135">
        <v>2.0560169292138799E-2</v>
      </c>
      <c r="Q377" s="135">
        <v>2.18661162079264E-2</v>
      </c>
      <c r="R377" s="135">
        <v>2.0842180624689899E-2</v>
      </c>
      <c r="S377" s="135">
        <v>2.0100994778200099E-2</v>
      </c>
      <c r="T377" s="135">
        <v>1.6831039902024201E-2</v>
      </c>
      <c r="U377" s="135">
        <v>1.9432218626620899E-2</v>
      </c>
      <c r="V377" s="135">
        <v>2.2657789154565799E-2</v>
      </c>
      <c r="W377" s="135">
        <v>2.6654402391733199E-2</v>
      </c>
      <c r="X377" s="135">
        <v>3.4431574936831799E-2</v>
      </c>
      <c r="Y377" s="135">
        <v>4.4276020812349097E-2</v>
      </c>
      <c r="Z377" s="135">
        <v>5.6346361140112801E-2</v>
      </c>
      <c r="AA377" s="135">
        <v>6.3844471002895795E-2</v>
      </c>
      <c r="AB377" s="135">
        <v>4.6815435432834902E-2</v>
      </c>
      <c r="AC377" s="135">
        <v>1.8402819557497199E-2</v>
      </c>
      <c r="AD377" s="135">
        <v>8.7440244163495707E-3</v>
      </c>
      <c r="AF377" s="243">
        <f t="shared" si="6"/>
        <v>0.14838474168576049</v>
      </c>
      <c r="AG377" s="275">
        <f t="shared" si="7"/>
        <v>0.32009215706031774</v>
      </c>
      <c r="AH377" s="391">
        <f t="shared" si="8"/>
        <v>0.36289263326752935</v>
      </c>
      <c r="AI377" s="135">
        <f t="shared" si="9"/>
        <v>0.68298479032784709</v>
      </c>
    </row>
    <row r="378" spans="1:35" ht="12.6">
      <c r="A378" s="10" t="s">
        <v>61</v>
      </c>
      <c r="B378" s="10">
        <v>12</v>
      </c>
      <c r="C378" s="10" t="s">
        <v>1512</v>
      </c>
      <c r="D378" s="388">
        <v>44938</v>
      </c>
      <c r="E378" s="389">
        <v>44938</v>
      </c>
      <c r="F378" s="390" t="str">
        <f t="shared" si="5"/>
        <v>Lighting</v>
      </c>
      <c r="G378" s="135">
        <v>7.5952421850581601E-3</v>
      </c>
      <c r="H378" s="135">
        <v>6.8301865532236E-3</v>
      </c>
      <c r="I378" s="135">
        <v>7.4159413461902697E-3</v>
      </c>
      <c r="J378" s="135">
        <v>9.3585166610140099E-3</v>
      </c>
      <c r="K378" s="135">
        <v>3.3425006745758497E-2</v>
      </c>
      <c r="L378" s="135">
        <v>7.0715348246745705E-2</v>
      </c>
      <c r="M378" s="135">
        <v>5.1928626495336402E-2</v>
      </c>
      <c r="N378" s="135">
        <v>3.1673308886092801E-2</v>
      </c>
      <c r="O378" s="135">
        <v>2.2236994931657001E-2</v>
      </c>
      <c r="P378" s="135">
        <v>2.0560169292138799E-2</v>
      </c>
      <c r="Q378" s="135">
        <v>2.18661162079264E-2</v>
      </c>
      <c r="R378" s="135">
        <v>2.0842180624689899E-2</v>
      </c>
      <c r="S378" s="135">
        <v>2.0100994778200099E-2</v>
      </c>
      <c r="T378" s="135">
        <v>1.6831039902024201E-2</v>
      </c>
      <c r="U378" s="135">
        <v>1.9432218626620899E-2</v>
      </c>
      <c r="V378" s="135">
        <v>2.2657789154565799E-2</v>
      </c>
      <c r="W378" s="135">
        <v>2.6654402391733199E-2</v>
      </c>
      <c r="X378" s="135">
        <v>3.4431574936831799E-2</v>
      </c>
      <c r="Y378" s="135">
        <v>4.4276020812349097E-2</v>
      </c>
      <c r="Z378" s="135">
        <v>5.6346361140112801E-2</v>
      </c>
      <c r="AA378" s="135">
        <v>6.3844471002895795E-2</v>
      </c>
      <c r="AB378" s="135">
        <v>4.6815435432834902E-2</v>
      </c>
      <c r="AC378" s="135">
        <v>1.8402819557497199E-2</v>
      </c>
      <c r="AD378" s="135">
        <v>8.7440244163495707E-3</v>
      </c>
      <c r="AF378" s="243">
        <f t="shared" si="6"/>
        <v>0.14838474168576049</v>
      </c>
      <c r="AG378" s="275">
        <f t="shared" si="7"/>
        <v>0.32009215706031774</v>
      </c>
      <c r="AH378" s="391">
        <f t="shared" si="8"/>
        <v>0.36289263326752935</v>
      </c>
      <c r="AI378" s="135">
        <f t="shared" si="9"/>
        <v>0.68298479032784709</v>
      </c>
    </row>
    <row r="379" spans="1:35" ht="12.6">
      <c r="A379" s="10" t="s">
        <v>61</v>
      </c>
      <c r="B379" s="10">
        <v>13</v>
      </c>
      <c r="C379" s="10" t="s">
        <v>1512</v>
      </c>
      <c r="D379" s="388">
        <v>44939</v>
      </c>
      <c r="E379" s="389">
        <v>44939</v>
      </c>
      <c r="F379" s="390" t="str">
        <f t="shared" si="5"/>
        <v>Lighting</v>
      </c>
      <c r="G379" s="135">
        <v>7.5952421850581601E-3</v>
      </c>
      <c r="H379" s="135">
        <v>6.8301865532236E-3</v>
      </c>
      <c r="I379" s="135">
        <v>7.4159413461902697E-3</v>
      </c>
      <c r="J379" s="135">
        <v>9.3585166610140099E-3</v>
      </c>
      <c r="K379" s="135">
        <v>3.3425006745758497E-2</v>
      </c>
      <c r="L379" s="135">
        <v>7.0715348246745705E-2</v>
      </c>
      <c r="M379" s="135">
        <v>5.1928626495336402E-2</v>
      </c>
      <c r="N379" s="135">
        <v>3.1673308886092801E-2</v>
      </c>
      <c r="O379" s="135">
        <v>2.2236994931657001E-2</v>
      </c>
      <c r="P379" s="135">
        <v>2.0560169292138799E-2</v>
      </c>
      <c r="Q379" s="135">
        <v>2.18661162079264E-2</v>
      </c>
      <c r="R379" s="135">
        <v>2.0842180624689899E-2</v>
      </c>
      <c r="S379" s="135">
        <v>2.0100994778200099E-2</v>
      </c>
      <c r="T379" s="135">
        <v>1.6831039902024201E-2</v>
      </c>
      <c r="U379" s="135">
        <v>1.9432218626620899E-2</v>
      </c>
      <c r="V379" s="135">
        <v>2.2657789154565799E-2</v>
      </c>
      <c r="W379" s="135">
        <v>2.6654402391733199E-2</v>
      </c>
      <c r="X379" s="135">
        <v>3.4431574936831799E-2</v>
      </c>
      <c r="Y379" s="135">
        <v>4.4276020812349097E-2</v>
      </c>
      <c r="Z379" s="135">
        <v>5.6346361140112801E-2</v>
      </c>
      <c r="AA379" s="135">
        <v>6.3844471002895795E-2</v>
      </c>
      <c r="AB379" s="135">
        <v>4.6815435432834902E-2</v>
      </c>
      <c r="AC379" s="135">
        <v>1.8402819557497199E-2</v>
      </c>
      <c r="AD379" s="135">
        <v>8.7440244163495707E-3</v>
      </c>
      <c r="AF379" s="243">
        <f t="shared" si="6"/>
        <v>0.14838474168576049</v>
      </c>
      <c r="AG379" s="275">
        <f t="shared" si="7"/>
        <v>0.32009215706031774</v>
      </c>
      <c r="AH379" s="391">
        <f t="shared" si="8"/>
        <v>0.36289263326752935</v>
      </c>
      <c r="AI379" s="135">
        <f t="shared" si="9"/>
        <v>0.68298479032784709</v>
      </c>
    </row>
    <row r="380" spans="1:35" ht="12.6">
      <c r="A380" s="10" t="s">
        <v>61</v>
      </c>
      <c r="B380" s="10">
        <v>14</v>
      </c>
      <c r="C380" s="10" t="s">
        <v>1512</v>
      </c>
      <c r="D380" s="388">
        <v>44940</v>
      </c>
      <c r="E380" s="389">
        <v>44940</v>
      </c>
      <c r="F380" s="390" t="str">
        <f t="shared" si="5"/>
        <v>Lighting</v>
      </c>
      <c r="G380" s="135">
        <v>8.3979857634250595E-3</v>
      </c>
      <c r="H380" s="135">
        <v>7.7963964395086896E-3</v>
      </c>
      <c r="I380" s="135">
        <v>8.3822325395603008E-3</v>
      </c>
      <c r="J380" s="135">
        <v>1.04290513120818E-2</v>
      </c>
      <c r="K380" s="135">
        <v>8.2112463453817598E-3</v>
      </c>
      <c r="L380" s="135">
        <v>1.07990385440268E-2</v>
      </c>
      <c r="M380" s="135">
        <v>2.0014397807540201E-2</v>
      </c>
      <c r="N380" s="135">
        <v>3.0890684582839299E-2</v>
      </c>
      <c r="O380" s="135">
        <v>4.2703331359732602E-2</v>
      </c>
      <c r="P380" s="135">
        <v>4.3606857894242797E-2</v>
      </c>
      <c r="Q380" s="135">
        <v>4.0790999038774499E-2</v>
      </c>
      <c r="R380" s="135">
        <v>3.5847085401207901E-2</v>
      </c>
      <c r="S380" s="135">
        <v>3.2277433130328603E-2</v>
      </c>
      <c r="T380" s="135">
        <v>2.7530842799098499E-2</v>
      </c>
      <c r="U380" s="135">
        <v>3.1619476682785197E-2</v>
      </c>
      <c r="V380" s="135">
        <v>2.7837118896337699E-2</v>
      </c>
      <c r="W380" s="135">
        <v>2.90835721058064E-2</v>
      </c>
      <c r="X380" s="135">
        <v>3.3496417590967303E-2</v>
      </c>
      <c r="Y380" s="135">
        <v>4.0296705301614603E-2</v>
      </c>
      <c r="Z380" s="135">
        <v>5.01490773383379E-2</v>
      </c>
      <c r="AA380" s="135">
        <v>5.7177958912325903E-2</v>
      </c>
      <c r="AB380" s="135">
        <v>4.41050484989172E-2</v>
      </c>
      <c r="AC380" s="135">
        <v>2.0819438993321698E-2</v>
      </c>
      <c r="AD380" s="135">
        <v>1.2035506651996399E-2</v>
      </c>
      <c r="AF380" s="243">
        <f t="shared" si="6"/>
        <v>0.2249865280543388</v>
      </c>
      <c r="AG380" s="275">
        <f t="shared" si="7"/>
        <v>0.25523373801119908</v>
      </c>
      <c r="AH380" s="391">
        <f t="shared" si="8"/>
        <v>0.41906416591896001</v>
      </c>
      <c r="AI380" s="135">
        <f t="shared" si="9"/>
        <v>0.67429790393015909</v>
      </c>
    </row>
    <row r="381" spans="1:35" ht="12.6">
      <c r="A381" s="10" t="s">
        <v>61</v>
      </c>
      <c r="B381" s="10">
        <v>15</v>
      </c>
      <c r="C381" s="10" t="s">
        <v>1512</v>
      </c>
      <c r="D381" s="388">
        <v>44941</v>
      </c>
      <c r="E381" s="389">
        <v>44941</v>
      </c>
      <c r="F381" s="390" t="str">
        <f t="shared" si="5"/>
        <v>Lighting</v>
      </c>
      <c r="G381" s="135">
        <v>8.3979857634250595E-3</v>
      </c>
      <c r="H381" s="135">
        <v>7.7963964395086896E-3</v>
      </c>
      <c r="I381" s="135">
        <v>8.3822325395603008E-3</v>
      </c>
      <c r="J381" s="135">
        <v>1.04290513120818E-2</v>
      </c>
      <c r="K381" s="135">
        <v>8.2112463453817598E-3</v>
      </c>
      <c r="L381" s="135">
        <v>1.07990385440268E-2</v>
      </c>
      <c r="M381" s="135">
        <v>2.0014397807540201E-2</v>
      </c>
      <c r="N381" s="135">
        <v>3.0890684582839299E-2</v>
      </c>
      <c r="O381" s="135">
        <v>4.2703331359732602E-2</v>
      </c>
      <c r="P381" s="135">
        <v>4.3606857894242797E-2</v>
      </c>
      <c r="Q381" s="135">
        <v>4.0790999038774499E-2</v>
      </c>
      <c r="R381" s="135">
        <v>3.5847085401207901E-2</v>
      </c>
      <c r="S381" s="135">
        <v>3.2277433130328603E-2</v>
      </c>
      <c r="T381" s="135">
        <v>2.7530842799098499E-2</v>
      </c>
      <c r="U381" s="135">
        <v>3.1619476682785197E-2</v>
      </c>
      <c r="V381" s="135">
        <v>2.7837118896337699E-2</v>
      </c>
      <c r="W381" s="135">
        <v>2.90835721058064E-2</v>
      </c>
      <c r="X381" s="135">
        <v>3.3496417590967303E-2</v>
      </c>
      <c r="Y381" s="135">
        <v>4.0296705301614603E-2</v>
      </c>
      <c r="Z381" s="135">
        <v>5.01490773383379E-2</v>
      </c>
      <c r="AA381" s="135">
        <v>5.7177958912325903E-2</v>
      </c>
      <c r="AB381" s="135">
        <v>4.41050484989172E-2</v>
      </c>
      <c r="AC381" s="135">
        <v>2.0819438993321698E-2</v>
      </c>
      <c r="AD381" s="135">
        <v>1.2035506651996399E-2</v>
      </c>
      <c r="AF381" s="243">
        <f t="shared" si="6"/>
        <v>0.2249865280543388</v>
      </c>
      <c r="AG381" s="275">
        <f t="shared" si="7"/>
        <v>0.25523373801119908</v>
      </c>
      <c r="AH381" s="391">
        <f t="shared" si="8"/>
        <v>0.41906416591896001</v>
      </c>
      <c r="AI381" s="135">
        <f t="shared" si="9"/>
        <v>0.67429790393015909</v>
      </c>
    </row>
    <row r="382" spans="1:35" ht="12.6">
      <c r="A382" s="10" t="s">
        <v>61</v>
      </c>
      <c r="B382" s="10">
        <v>16</v>
      </c>
      <c r="C382" s="10" t="s">
        <v>1512</v>
      </c>
      <c r="D382" s="388">
        <v>44942</v>
      </c>
      <c r="E382" s="389">
        <v>44942</v>
      </c>
      <c r="F382" s="390" t="str">
        <f t="shared" si="5"/>
        <v>Lighting</v>
      </c>
      <c r="G382" s="135">
        <v>7.5952421850581601E-3</v>
      </c>
      <c r="H382" s="135">
        <v>6.8301865532236E-3</v>
      </c>
      <c r="I382" s="135">
        <v>7.4159413461902697E-3</v>
      </c>
      <c r="J382" s="135">
        <v>9.3585166610140099E-3</v>
      </c>
      <c r="K382" s="135">
        <v>3.3425006745758497E-2</v>
      </c>
      <c r="L382" s="135">
        <v>7.0715348246745705E-2</v>
      </c>
      <c r="M382" s="135">
        <v>5.1928626495336402E-2</v>
      </c>
      <c r="N382" s="135">
        <v>3.1673308886092801E-2</v>
      </c>
      <c r="O382" s="135">
        <v>2.2236994931657001E-2</v>
      </c>
      <c r="P382" s="135">
        <v>2.0560169292138799E-2</v>
      </c>
      <c r="Q382" s="135">
        <v>2.18661162079264E-2</v>
      </c>
      <c r="R382" s="135">
        <v>2.0842180624689899E-2</v>
      </c>
      <c r="S382" s="135">
        <v>2.0100994778200099E-2</v>
      </c>
      <c r="T382" s="135">
        <v>1.6831039902024201E-2</v>
      </c>
      <c r="U382" s="135">
        <v>1.9432218626620899E-2</v>
      </c>
      <c r="V382" s="135">
        <v>2.2657789154565799E-2</v>
      </c>
      <c r="W382" s="135">
        <v>2.6654402391733199E-2</v>
      </c>
      <c r="X382" s="135">
        <v>3.4431574936831799E-2</v>
      </c>
      <c r="Y382" s="135">
        <v>4.4276020812349097E-2</v>
      </c>
      <c r="Z382" s="135">
        <v>5.6346361140112801E-2</v>
      </c>
      <c r="AA382" s="135">
        <v>6.3844471002895795E-2</v>
      </c>
      <c r="AB382" s="135">
        <v>4.6815435432834902E-2</v>
      </c>
      <c r="AC382" s="135">
        <v>1.8402819557497199E-2</v>
      </c>
      <c r="AD382" s="135">
        <v>8.7440244163495707E-3</v>
      </c>
      <c r="AF382" s="243">
        <f t="shared" si="6"/>
        <v>0.14838474168576049</v>
      </c>
      <c r="AG382" s="275">
        <f t="shared" si="7"/>
        <v>0.32009215706031774</v>
      </c>
      <c r="AH382" s="391">
        <f t="shared" si="8"/>
        <v>0.36289263326752935</v>
      </c>
      <c r="AI382" s="135">
        <f t="shared" si="9"/>
        <v>0.68298479032784709</v>
      </c>
    </row>
    <row r="383" spans="1:35" ht="12.6">
      <c r="A383" s="10" t="s">
        <v>61</v>
      </c>
      <c r="B383" s="10">
        <v>17</v>
      </c>
      <c r="C383" s="10" t="s">
        <v>1512</v>
      </c>
      <c r="D383" s="388">
        <v>44943</v>
      </c>
      <c r="E383" s="389">
        <v>44943</v>
      </c>
      <c r="F383" s="390" t="str">
        <f t="shared" si="5"/>
        <v>Lighting</v>
      </c>
      <c r="G383" s="135">
        <v>7.5952421850581601E-3</v>
      </c>
      <c r="H383" s="135">
        <v>6.8301865532236E-3</v>
      </c>
      <c r="I383" s="135">
        <v>7.4159413461902697E-3</v>
      </c>
      <c r="J383" s="135">
        <v>9.3585166610140099E-3</v>
      </c>
      <c r="K383" s="135">
        <v>3.3425006745758497E-2</v>
      </c>
      <c r="L383" s="135">
        <v>7.0715348246745705E-2</v>
      </c>
      <c r="M383" s="135">
        <v>5.1928626495336402E-2</v>
      </c>
      <c r="N383" s="135">
        <v>3.1673308886092801E-2</v>
      </c>
      <c r="O383" s="135">
        <v>2.2236994931657001E-2</v>
      </c>
      <c r="P383" s="135">
        <v>2.0560169292138799E-2</v>
      </c>
      <c r="Q383" s="135">
        <v>2.18661162079264E-2</v>
      </c>
      <c r="R383" s="135">
        <v>2.0842180624689899E-2</v>
      </c>
      <c r="S383" s="135">
        <v>2.0100994778200099E-2</v>
      </c>
      <c r="T383" s="135">
        <v>1.6831039902024201E-2</v>
      </c>
      <c r="U383" s="135">
        <v>1.9432218626620899E-2</v>
      </c>
      <c r="V383" s="135">
        <v>2.2657789154565799E-2</v>
      </c>
      <c r="W383" s="135">
        <v>2.6654402391733199E-2</v>
      </c>
      <c r="X383" s="135">
        <v>3.4431574936831799E-2</v>
      </c>
      <c r="Y383" s="135">
        <v>4.4276020812349097E-2</v>
      </c>
      <c r="Z383" s="135">
        <v>5.6346361140112801E-2</v>
      </c>
      <c r="AA383" s="135">
        <v>6.3844471002895795E-2</v>
      </c>
      <c r="AB383" s="135">
        <v>4.6815435432834902E-2</v>
      </c>
      <c r="AC383" s="135">
        <v>1.8402819557497199E-2</v>
      </c>
      <c r="AD383" s="135">
        <v>8.7440244163495707E-3</v>
      </c>
      <c r="AF383" s="243">
        <f t="shared" si="6"/>
        <v>0.14838474168576049</v>
      </c>
      <c r="AG383" s="275">
        <f t="shared" si="7"/>
        <v>0.32009215706031774</v>
      </c>
      <c r="AH383" s="391">
        <f t="shared" si="8"/>
        <v>0.36289263326752935</v>
      </c>
      <c r="AI383" s="135">
        <f t="shared" si="9"/>
        <v>0.68298479032784709</v>
      </c>
    </row>
    <row r="384" spans="1:35" ht="12.6">
      <c r="A384" s="10" t="s">
        <v>61</v>
      </c>
      <c r="B384" s="10">
        <v>18</v>
      </c>
      <c r="C384" s="10" t="s">
        <v>1512</v>
      </c>
      <c r="D384" s="388">
        <v>44944</v>
      </c>
      <c r="E384" s="389">
        <v>44944</v>
      </c>
      <c r="F384" s="390" t="str">
        <f t="shared" si="5"/>
        <v>Lighting</v>
      </c>
      <c r="G384" s="135">
        <v>7.5952421850581601E-3</v>
      </c>
      <c r="H384" s="135">
        <v>6.8301865532236E-3</v>
      </c>
      <c r="I384" s="135">
        <v>7.4159413461902697E-3</v>
      </c>
      <c r="J384" s="135">
        <v>9.3585166610140099E-3</v>
      </c>
      <c r="K384" s="135">
        <v>3.3425006745758497E-2</v>
      </c>
      <c r="L384" s="135">
        <v>7.0715348246745705E-2</v>
      </c>
      <c r="M384" s="135">
        <v>5.1928626495336402E-2</v>
      </c>
      <c r="N384" s="135">
        <v>3.1673308886092801E-2</v>
      </c>
      <c r="O384" s="135">
        <v>2.2236994931657001E-2</v>
      </c>
      <c r="P384" s="135">
        <v>2.0560169292138799E-2</v>
      </c>
      <c r="Q384" s="135">
        <v>2.18661162079264E-2</v>
      </c>
      <c r="R384" s="135">
        <v>2.0842180624689899E-2</v>
      </c>
      <c r="S384" s="135">
        <v>2.0100994778200099E-2</v>
      </c>
      <c r="T384" s="135">
        <v>1.6831039902024201E-2</v>
      </c>
      <c r="U384" s="135">
        <v>1.9432218626620899E-2</v>
      </c>
      <c r="V384" s="135">
        <v>2.2657789154565799E-2</v>
      </c>
      <c r="W384" s="135">
        <v>2.6654402391733199E-2</v>
      </c>
      <c r="X384" s="135">
        <v>3.4431574936831799E-2</v>
      </c>
      <c r="Y384" s="135">
        <v>4.4276020812349097E-2</v>
      </c>
      <c r="Z384" s="135">
        <v>5.6346361140112801E-2</v>
      </c>
      <c r="AA384" s="135">
        <v>6.3844471002895795E-2</v>
      </c>
      <c r="AB384" s="135">
        <v>4.6815435432834902E-2</v>
      </c>
      <c r="AC384" s="135">
        <v>1.8402819557497199E-2</v>
      </c>
      <c r="AD384" s="135">
        <v>8.7440244163495707E-3</v>
      </c>
      <c r="AF384" s="243">
        <f t="shared" si="6"/>
        <v>0.14838474168576049</v>
      </c>
      <c r="AG384" s="275">
        <f t="shared" si="7"/>
        <v>0.32009215706031774</v>
      </c>
      <c r="AH384" s="391">
        <f t="shared" si="8"/>
        <v>0.36289263326752935</v>
      </c>
      <c r="AI384" s="135">
        <f t="shared" si="9"/>
        <v>0.68298479032784709</v>
      </c>
    </row>
    <row r="385" spans="1:35" ht="12.6">
      <c r="A385" s="10" t="s">
        <v>61</v>
      </c>
      <c r="B385" s="10">
        <v>19</v>
      </c>
      <c r="C385" s="10" t="s">
        <v>1512</v>
      </c>
      <c r="D385" s="388">
        <v>44945</v>
      </c>
      <c r="E385" s="389">
        <v>44945</v>
      </c>
      <c r="F385" s="390" t="str">
        <f t="shared" si="5"/>
        <v>Lighting</v>
      </c>
      <c r="G385" s="135">
        <v>7.5952421850581601E-3</v>
      </c>
      <c r="H385" s="135">
        <v>6.8301865532236E-3</v>
      </c>
      <c r="I385" s="135">
        <v>7.4159413461902697E-3</v>
      </c>
      <c r="J385" s="135">
        <v>9.3585166610140099E-3</v>
      </c>
      <c r="K385" s="135">
        <v>3.3425006745758497E-2</v>
      </c>
      <c r="L385" s="135">
        <v>7.0715348246745705E-2</v>
      </c>
      <c r="M385" s="135">
        <v>5.1928626495336402E-2</v>
      </c>
      <c r="N385" s="135">
        <v>3.1673308886092801E-2</v>
      </c>
      <c r="O385" s="135">
        <v>2.2236994931657001E-2</v>
      </c>
      <c r="P385" s="135">
        <v>2.0560169292138799E-2</v>
      </c>
      <c r="Q385" s="135">
        <v>2.18661162079264E-2</v>
      </c>
      <c r="R385" s="135">
        <v>2.0842180624689899E-2</v>
      </c>
      <c r="S385" s="135">
        <v>2.0100994778200099E-2</v>
      </c>
      <c r="T385" s="135">
        <v>1.6831039902024201E-2</v>
      </c>
      <c r="U385" s="135">
        <v>1.9432218626620899E-2</v>
      </c>
      <c r="V385" s="135">
        <v>2.2657789154565799E-2</v>
      </c>
      <c r="W385" s="135">
        <v>2.6654402391733199E-2</v>
      </c>
      <c r="X385" s="135">
        <v>3.4431574936831799E-2</v>
      </c>
      <c r="Y385" s="135">
        <v>4.4276020812349097E-2</v>
      </c>
      <c r="Z385" s="135">
        <v>5.6346361140112801E-2</v>
      </c>
      <c r="AA385" s="135">
        <v>6.3844471002895795E-2</v>
      </c>
      <c r="AB385" s="135">
        <v>4.6815435432834902E-2</v>
      </c>
      <c r="AC385" s="135">
        <v>1.8402819557497199E-2</v>
      </c>
      <c r="AD385" s="135">
        <v>8.7440244163495707E-3</v>
      </c>
      <c r="AF385" s="243">
        <f t="shared" si="6"/>
        <v>0.14838474168576049</v>
      </c>
      <c r="AG385" s="275">
        <f t="shared" si="7"/>
        <v>0.32009215706031774</v>
      </c>
      <c r="AH385" s="391">
        <f t="shared" si="8"/>
        <v>0.36289263326752935</v>
      </c>
      <c r="AI385" s="135">
        <f t="shared" si="9"/>
        <v>0.68298479032784709</v>
      </c>
    </row>
    <row r="386" spans="1:35" ht="12.6">
      <c r="A386" s="10" t="s">
        <v>61</v>
      </c>
      <c r="B386" s="10">
        <v>20</v>
      </c>
      <c r="C386" s="10" t="s">
        <v>1512</v>
      </c>
      <c r="D386" s="388">
        <v>44946</v>
      </c>
      <c r="E386" s="389">
        <v>44946</v>
      </c>
      <c r="F386" s="390" t="str">
        <f t="shared" si="5"/>
        <v>Lighting</v>
      </c>
      <c r="G386" s="135">
        <v>7.5952421850581601E-3</v>
      </c>
      <c r="H386" s="135">
        <v>6.8301865532236E-3</v>
      </c>
      <c r="I386" s="135">
        <v>7.4159413461902697E-3</v>
      </c>
      <c r="J386" s="135">
        <v>9.3585166610140099E-3</v>
      </c>
      <c r="K386" s="135">
        <v>3.3425006745758497E-2</v>
      </c>
      <c r="L386" s="135">
        <v>7.0715348246745705E-2</v>
      </c>
      <c r="M386" s="135">
        <v>5.1928626495336402E-2</v>
      </c>
      <c r="N386" s="135">
        <v>3.1673308886092801E-2</v>
      </c>
      <c r="O386" s="135">
        <v>2.2236994931657001E-2</v>
      </c>
      <c r="P386" s="135">
        <v>2.0560169292138799E-2</v>
      </c>
      <c r="Q386" s="135">
        <v>2.18661162079264E-2</v>
      </c>
      <c r="R386" s="135">
        <v>2.0842180624689899E-2</v>
      </c>
      <c r="S386" s="135">
        <v>2.0100994778200099E-2</v>
      </c>
      <c r="T386" s="135">
        <v>1.6831039902024201E-2</v>
      </c>
      <c r="U386" s="135">
        <v>1.9432218626620899E-2</v>
      </c>
      <c r="V386" s="135">
        <v>2.2657789154565799E-2</v>
      </c>
      <c r="W386" s="135">
        <v>2.6654402391733199E-2</v>
      </c>
      <c r="X386" s="135">
        <v>3.4431574936831799E-2</v>
      </c>
      <c r="Y386" s="135">
        <v>4.4276020812349097E-2</v>
      </c>
      <c r="Z386" s="135">
        <v>5.6346361140112801E-2</v>
      </c>
      <c r="AA386" s="135">
        <v>6.3844471002895795E-2</v>
      </c>
      <c r="AB386" s="135">
        <v>4.6815435432834902E-2</v>
      </c>
      <c r="AC386" s="135">
        <v>1.8402819557497199E-2</v>
      </c>
      <c r="AD386" s="135">
        <v>8.7440244163495707E-3</v>
      </c>
      <c r="AF386" s="243">
        <f t="shared" si="6"/>
        <v>0.14838474168576049</v>
      </c>
      <c r="AG386" s="275">
        <f t="shared" si="7"/>
        <v>0.32009215706031774</v>
      </c>
      <c r="AH386" s="391">
        <f t="shared" si="8"/>
        <v>0.36289263326752935</v>
      </c>
      <c r="AI386" s="135">
        <f t="shared" si="9"/>
        <v>0.68298479032784709</v>
      </c>
    </row>
    <row r="387" spans="1:35" ht="12.6">
      <c r="A387" s="10" t="s">
        <v>61</v>
      </c>
      <c r="B387" s="10">
        <v>21</v>
      </c>
      <c r="C387" s="10" t="s">
        <v>1512</v>
      </c>
      <c r="D387" s="388">
        <v>44947</v>
      </c>
      <c r="E387" s="389">
        <v>44947</v>
      </c>
      <c r="F387" s="390" t="str">
        <f t="shared" si="5"/>
        <v>Lighting</v>
      </c>
      <c r="G387" s="135">
        <v>8.3979857634250595E-3</v>
      </c>
      <c r="H387" s="135">
        <v>7.7963964395086896E-3</v>
      </c>
      <c r="I387" s="135">
        <v>8.3822325395603008E-3</v>
      </c>
      <c r="J387" s="135">
        <v>1.04290513120818E-2</v>
      </c>
      <c r="K387" s="135">
        <v>8.2112463453817598E-3</v>
      </c>
      <c r="L387" s="135">
        <v>1.07990385440268E-2</v>
      </c>
      <c r="M387" s="135">
        <v>2.0014397807540201E-2</v>
      </c>
      <c r="N387" s="135">
        <v>3.0890684582839299E-2</v>
      </c>
      <c r="O387" s="135">
        <v>4.2703331359732602E-2</v>
      </c>
      <c r="P387" s="135">
        <v>4.3606857894242797E-2</v>
      </c>
      <c r="Q387" s="135">
        <v>4.0790999038774499E-2</v>
      </c>
      <c r="R387" s="135">
        <v>3.5847085401207901E-2</v>
      </c>
      <c r="S387" s="135">
        <v>3.2277433130328603E-2</v>
      </c>
      <c r="T387" s="135">
        <v>2.7530842799098499E-2</v>
      </c>
      <c r="U387" s="135">
        <v>3.1619476682785197E-2</v>
      </c>
      <c r="V387" s="135">
        <v>2.7837118896337699E-2</v>
      </c>
      <c r="W387" s="135">
        <v>2.90835721058064E-2</v>
      </c>
      <c r="X387" s="135">
        <v>3.3496417590967303E-2</v>
      </c>
      <c r="Y387" s="135">
        <v>4.0296705301614603E-2</v>
      </c>
      <c r="Z387" s="135">
        <v>5.01490773383379E-2</v>
      </c>
      <c r="AA387" s="135">
        <v>5.7177958912325903E-2</v>
      </c>
      <c r="AB387" s="135">
        <v>4.41050484989172E-2</v>
      </c>
      <c r="AC387" s="135">
        <v>2.0819438993321698E-2</v>
      </c>
      <c r="AD387" s="135">
        <v>1.2035506651996399E-2</v>
      </c>
      <c r="AF387" s="243">
        <f t="shared" si="6"/>
        <v>0.2249865280543388</v>
      </c>
      <c r="AG387" s="275">
        <f t="shared" si="7"/>
        <v>0.25523373801119908</v>
      </c>
      <c r="AH387" s="391">
        <f t="shared" si="8"/>
        <v>0.41906416591896001</v>
      </c>
      <c r="AI387" s="135">
        <f t="shared" si="9"/>
        <v>0.67429790393015909</v>
      </c>
    </row>
    <row r="388" spans="1:35" ht="12.6">
      <c r="A388" s="10" t="s">
        <v>61</v>
      </c>
      <c r="B388" s="10">
        <v>22</v>
      </c>
      <c r="C388" s="10" t="s">
        <v>1512</v>
      </c>
      <c r="D388" s="388">
        <v>44948</v>
      </c>
      <c r="E388" s="389">
        <v>44948</v>
      </c>
      <c r="F388" s="390" t="str">
        <f t="shared" si="5"/>
        <v>Lighting</v>
      </c>
      <c r="G388" s="135">
        <v>8.3979857634250595E-3</v>
      </c>
      <c r="H388" s="135">
        <v>7.7963964395086896E-3</v>
      </c>
      <c r="I388" s="135">
        <v>8.3822325395603008E-3</v>
      </c>
      <c r="J388" s="135">
        <v>1.04290513120818E-2</v>
      </c>
      <c r="K388" s="135">
        <v>8.2112463453817598E-3</v>
      </c>
      <c r="L388" s="135">
        <v>1.07990385440268E-2</v>
      </c>
      <c r="M388" s="135">
        <v>2.0014397807540201E-2</v>
      </c>
      <c r="N388" s="135">
        <v>3.0890684582839299E-2</v>
      </c>
      <c r="O388" s="135">
        <v>4.2703331359732602E-2</v>
      </c>
      <c r="P388" s="135">
        <v>4.3606857894242797E-2</v>
      </c>
      <c r="Q388" s="135">
        <v>4.0790999038774499E-2</v>
      </c>
      <c r="R388" s="135">
        <v>3.5847085401207901E-2</v>
      </c>
      <c r="S388" s="135">
        <v>3.2277433130328603E-2</v>
      </c>
      <c r="T388" s="135">
        <v>2.7530842799098499E-2</v>
      </c>
      <c r="U388" s="135">
        <v>3.1619476682785197E-2</v>
      </c>
      <c r="V388" s="135">
        <v>2.7837118896337699E-2</v>
      </c>
      <c r="W388" s="135">
        <v>2.90835721058064E-2</v>
      </c>
      <c r="X388" s="135">
        <v>3.3496417590967303E-2</v>
      </c>
      <c r="Y388" s="135">
        <v>4.0296705301614603E-2</v>
      </c>
      <c r="Z388" s="135">
        <v>5.01490773383379E-2</v>
      </c>
      <c r="AA388" s="135">
        <v>5.7177958912325903E-2</v>
      </c>
      <c r="AB388" s="135">
        <v>4.41050484989172E-2</v>
      </c>
      <c r="AC388" s="135">
        <v>2.0819438993321698E-2</v>
      </c>
      <c r="AD388" s="135">
        <v>1.2035506651996399E-2</v>
      </c>
      <c r="AF388" s="243">
        <f t="shared" si="6"/>
        <v>0.2249865280543388</v>
      </c>
      <c r="AG388" s="275">
        <f t="shared" si="7"/>
        <v>0.25523373801119908</v>
      </c>
      <c r="AH388" s="391">
        <f t="shared" si="8"/>
        <v>0.41906416591896001</v>
      </c>
      <c r="AI388" s="135">
        <f t="shared" si="9"/>
        <v>0.67429790393015909</v>
      </c>
    </row>
    <row r="389" spans="1:35" ht="12.6">
      <c r="A389" s="10" t="s">
        <v>61</v>
      </c>
      <c r="B389" s="10">
        <v>23</v>
      </c>
      <c r="C389" s="10" t="s">
        <v>1512</v>
      </c>
      <c r="D389" s="388">
        <v>44949</v>
      </c>
      <c r="E389" s="389">
        <v>44949</v>
      </c>
      <c r="F389" s="390" t="str">
        <f t="shared" si="5"/>
        <v>Lighting</v>
      </c>
      <c r="G389" s="135">
        <v>7.5952421850581601E-3</v>
      </c>
      <c r="H389" s="135">
        <v>6.8301865532236E-3</v>
      </c>
      <c r="I389" s="135">
        <v>7.4159413461902697E-3</v>
      </c>
      <c r="J389" s="135">
        <v>9.3585166610140099E-3</v>
      </c>
      <c r="K389" s="135">
        <v>3.3425006745758497E-2</v>
      </c>
      <c r="L389" s="135">
        <v>7.0715348246745705E-2</v>
      </c>
      <c r="M389" s="135">
        <v>5.1928626495336402E-2</v>
      </c>
      <c r="N389" s="135">
        <v>3.1673308886092801E-2</v>
      </c>
      <c r="O389" s="135">
        <v>2.2236994931657001E-2</v>
      </c>
      <c r="P389" s="135">
        <v>2.0560169292138799E-2</v>
      </c>
      <c r="Q389" s="135">
        <v>2.18661162079264E-2</v>
      </c>
      <c r="R389" s="135">
        <v>2.0842180624689899E-2</v>
      </c>
      <c r="S389" s="135">
        <v>2.0100994778200099E-2</v>
      </c>
      <c r="T389" s="135">
        <v>1.6831039902024201E-2</v>
      </c>
      <c r="U389" s="135">
        <v>1.9432218626620899E-2</v>
      </c>
      <c r="V389" s="135">
        <v>2.2657789154565799E-2</v>
      </c>
      <c r="W389" s="135">
        <v>2.6654402391733199E-2</v>
      </c>
      <c r="X389" s="135">
        <v>3.4431574936831799E-2</v>
      </c>
      <c r="Y389" s="135">
        <v>4.4276020812349097E-2</v>
      </c>
      <c r="Z389" s="135">
        <v>5.6346361140112801E-2</v>
      </c>
      <c r="AA389" s="135">
        <v>6.3844471002895795E-2</v>
      </c>
      <c r="AB389" s="135">
        <v>4.6815435432834902E-2</v>
      </c>
      <c r="AC389" s="135">
        <v>1.8402819557497199E-2</v>
      </c>
      <c r="AD389" s="135">
        <v>8.7440244163495707E-3</v>
      </c>
      <c r="AF389" s="243">
        <f t="shared" si="6"/>
        <v>0.14838474168576049</v>
      </c>
      <c r="AG389" s="275">
        <f t="shared" si="7"/>
        <v>0.32009215706031774</v>
      </c>
      <c r="AH389" s="391">
        <f t="shared" si="8"/>
        <v>0.36289263326752935</v>
      </c>
      <c r="AI389" s="135">
        <f t="shared" si="9"/>
        <v>0.68298479032784709</v>
      </c>
    </row>
    <row r="390" spans="1:35" ht="12.6">
      <c r="A390" s="10" t="s">
        <v>61</v>
      </c>
      <c r="B390" s="10">
        <v>24</v>
      </c>
      <c r="C390" s="10" t="s">
        <v>1512</v>
      </c>
      <c r="D390" s="388">
        <v>44950</v>
      </c>
      <c r="E390" s="389">
        <v>44950</v>
      </c>
      <c r="F390" s="390" t="str">
        <f t="shared" si="5"/>
        <v>Lighting</v>
      </c>
      <c r="G390" s="135">
        <v>7.5952421850581601E-3</v>
      </c>
      <c r="H390" s="135">
        <v>6.8301865532236E-3</v>
      </c>
      <c r="I390" s="135">
        <v>7.4159413461902697E-3</v>
      </c>
      <c r="J390" s="135">
        <v>9.3585166610140099E-3</v>
      </c>
      <c r="K390" s="135">
        <v>3.3425006745758497E-2</v>
      </c>
      <c r="L390" s="135">
        <v>7.0715348246745705E-2</v>
      </c>
      <c r="M390" s="135">
        <v>5.1928626495336402E-2</v>
      </c>
      <c r="N390" s="135">
        <v>3.1673308886092801E-2</v>
      </c>
      <c r="O390" s="135">
        <v>2.2236994931657001E-2</v>
      </c>
      <c r="P390" s="135">
        <v>2.0560169292138799E-2</v>
      </c>
      <c r="Q390" s="135">
        <v>2.18661162079264E-2</v>
      </c>
      <c r="R390" s="135">
        <v>2.0842180624689899E-2</v>
      </c>
      <c r="S390" s="135">
        <v>2.0100994778200099E-2</v>
      </c>
      <c r="T390" s="135">
        <v>1.6831039902024201E-2</v>
      </c>
      <c r="U390" s="135">
        <v>1.9432218626620899E-2</v>
      </c>
      <c r="V390" s="135">
        <v>2.2657789154565799E-2</v>
      </c>
      <c r="W390" s="135">
        <v>2.6654402391733199E-2</v>
      </c>
      <c r="X390" s="135">
        <v>3.4431574936831799E-2</v>
      </c>
      <c r="Y390" s="135">
        <v>4.4276020812349097E-2</v>
      </c>
      <c r="Z390" s="135">
        <v>5.6346361140112801E-2</v>
      </c>
      <c r="AA390" s="135">
        <v>6.3844471002895795E-2</v>
      </c>
      <c r="AB390" s="135">
        <v>4.6815435432834902E-2</v>
      </c>
      <c r="AC390" s="135">
        <v>1.8402819557497199E-2</v>
      </c>
      <c r="AD390" s="135">
        <v>8.7440244163495707E-3</v>
      </c>
      <c r="AF390" s="243">
        <f t="shared" si="6"/>
        <v>0.14838474168576049</v>
      </c>
      <c r="AG390" s="275">
        <f t="shared" si="7"/>
        <v>0.32009215706031774</v>
      </c>
      <c r="AH390" s="391">
        <f t="shared" si="8"/>
        <v>0.36289263326752935</v>
      </c>
      <c r="AI390" s="135">
        <f t="shared" si="9"/>
        <v>0.68298479032784709</v>
      </c>
    </row>
    <row r="391" spans="1:35" ht="12.6">
      <c r="A391" s="10" t="s">
        <v>61</v>
      </c>
      <c r="B391" s="10">
        <v>25</v>
      </c>
      <c r="C391" s="10" t="s">
        <v>1512</v>
      </c>
      <c r="D391" s="388">
        <v>44951</v>
      </c>
      <c r="E391" s="389">
        <v>44951</v>
      </c>
      <c r="F391" s="390" t="str">
        <f t="shared" si="5"/>
        <v>Lighting</v>
      </c>
      <c r="G391" s="135">
        <v>7.5952421850581601E-3</v>
      </c>
      <c r="H391" s="135">
        <v>6.8301865532236E-3</v>
      </c>
      <c r="I391" s="135">
        <v>7.4159413461902697E-3</v>
      </c>
      <c r="J391" s="135">
        <v>9.3585166610140099E-3</v>
      </c>
      <c r="K391" s="135">
        <v>3.3425006745758497E-2</v>
      </c>
      <c r="L391" s="135">
        <v>7.0715348246745705E-2</v>
      </c>
      <c r="M391" s="135">
        <v>5.1928626495336402E-2</v>
      </c>
      <c r="N391" s="135">
        <v>3.1673308886092801E-2</v>
      </c>
      <c r="O391" s="135">
        <v>2.2236994931657001E-2</v>
      </c>
      <c r="P391" s="135">
        <v>2.0560169292138799E-2</v>
      </c>
      <c r="Q391" s="135">
        <v>2.18661162079264E-2</v>
      </c>
      <c r="R391" s="135">
        <v>2.0842180624689899E-2</v>
      </c>
      <c r="S391" s="135">
        <v>2.0100994778200099E-2</v>
      </c>
      <c r="T391" s="135">
        <v>1.6831039902024201E-2</v>
      </c>
      <c r="U391" s="135">
        <v>1.9432218626620899E-2</v>
      </c>
      <c r="V391" s="135">
        <v>2.2657789154565799E-2</v>
      </c>
      <c r="W391" s="135">
        <v>2.6654402391733199E-2</v>
      </c>
      <c r="X391" s="135">
        <v>3.4431574936831799E-2</v>
      </c>
      <c r="Y391" s="135">
        <v>4.4276020812349097E-2</v>
      </c>
      <c r="Z391" s="135">
        <v>5.6346361140112801E-2</v>
      </c>
      <c r="AA391" s="135">
        <v>6.3844471002895795E-2</v>
      </c>
      <c r="AB391" s="135">
        <v>4.6815435432834902E-2</v>
      </c>
      <c r="AC391" s="135">
        <v>1.8402819557497199E-2</v>
      </c>
      <c r="AD391" s="135">
        <v>8.7440244163495707E-3</v>
      </c>
      <c r="AF391" s="243">
        <f t="shared" si="6"/>
        <v>0.14838474168576049</v>
      </c>
      <c r="AG391" s="275">
        <f t="shared" si="7"/>
        <v>0.32009215706031774</v>
      </c>
      <c r="AH391" s="391">
        <f t="shared" si="8"/>
        <v>0.36289263326752935</v>
      </c>
      <c r="AI391" s="135">
        <f t="shared" si="9"/>
        <v>0.68298479032784709</v>
      </c>
    </row>
    <row r="392" spans="1:35" ht="12.6">
      <c r="A392" s="10" t="s">
        <v>61</v>
      </c>
      <c r="B392" s="10">
        <v>26</v>
      </c>
      <c r="C392" s="10" t="s">
        <v>1512</v>
      </c>
      <c r="D392" s="388">
        <v>44952</v>
      </c>
      <c r="E392" s="389">
        <v>44952</v>
      </c>
      <c r="F392" s="390" t="str">
        <f t="shared" si="5"/>
        <v>Lighting</v>
      </c>
      <c r="G392" s="135">
        <v>7.5952421850581601E-3</v>
      </c>
      <c r="H392" s="135">
        <v>6.8301865532236E-3</v>
      </c>
      <c r="I392" s="135">
        <v>7.4159413461902697E-3</v>
      </c>
      <c r="J392" s="135">
        <v>9.3585166610140099E-3</v>
      </c>
      <c r="K392" s="135">
        <v>3.3425006745758497E-2</v>
      </c>
      <c r="L392" s="135">
        <v>7.0715348246745705E-2</v>
      </c>
      <c r="M392" s="135">
        <v>5.1928626495336402E-2</v>
      </c>
      <c r="N392" s="135">
        <v>3.1673308886092801E-2</v>
      </c>
      <c r="O392" s="135">
        <v>2.2236994931657001E-2</v>
      </c>
      <c r="P392" s="135">
        <v>2.0560169292138799E-2</v>
      </c>
      <c r="Q392" s="135">
        <v>2.18661162079264E-2</v>
      </c>
      <c r="R392" s="135">
        <v>2.0842180624689899E-2</v>
      </c>
      <c r="S392" s="135">
        <v>2.0100994778200099E-2</v>
      </c>
      <c r="T392" s="135">
        <v>1.6831039902024201E-2</v>
      </c>
      <c r="U392" s="135">
        <v>1.9432218626620899E-2</v>
      </c>
      <c r="V392" s="135">
        <v>2.2657789154565799E-2</v>
      </c>
      <c r="W392" s="135">
        <v>2.6654402391733199E-2</v>
      </c>
      <c r="X392" s="135">
        <v>3.4431574936831799E-2</v>
      </c>
      <c r="Y392" s="135">
        <v>4.4276020812349097E-2</v>
      </c>
      <c r="Z392" s="135">
        <v>5.6346361140112801E-2</v>
      </c>
      <c r="AA392" s="135">
        <v>6.3844471002895795E-2</v>
      </c>
      <c r="AB392" s="135">
        <v>4.6815435432834902E-2</v>
      </c>
      <c r="AC392" s="135">
        <v>1.8402819557497199E-2</v>
      </c>
      <c r="AD392" s="135">
        <v>8.7440244163495707E-3</v>
      </c>
      <c r="AF392" s="243">
        <f t="shared" si="6"/>
        <v>0.14838474168576049</v>
      </c>
      <c r="AG392" s="275">
        <f t="shared" si="7"/>
        <v>0.32009215706031774</v>
      </c>
      <c r="AH392" s="391">
        <f t="shared" si="8"/>
        <v>0.36289263326752935</v>
      </c>
      <c r="AI392" s="135">
        <f t="shared" si="9"/>
        <v>0.68298479032784709</v>
      </c>
    </row>
    <row r="393" spans="1:35" ht="12.6">
      <c r="A393" s="10" t="s">
        <v>61</v>
      </c>
      <c r="B393" s="10">
        <v>27</v>
      </c>
      <c r="C393" s="10" t="s">
        <v>1512</v>
      </c>
      <c r="D393" s="388">
        <v>44953</v>
      </c>
      <c r="E393" s="389">
        <v>44953</v>
      </c>
      <c r="F393" s="390" t="str">
        <f t="shared" si="5"/>
        <v>Lighting</v>
      </c>
      <c r="G393" s="135">
        <v>7.5952421850581601E-3</v>
      </c>
      <c r="H393" s="135">
        <v>6.8301865532236E-3</v>
      </c>
      <c r="I393" s="135">
        <v>7.4159413461902697E-3</v>
      </c>
      <c r="J393" s="135">
        <v>9.3585166610140099E-3</v>
      </c>
      <c r="K393" s="135">
        <v>3.3425006745758497E-2</v>
      </c>
      <c r="L393" s="135">
        <v>7.0715348246745705E-2</v>
      </c>
      <c r="M393" s="135">
        <v>5.1928626495336402E-2</v>
      </c>
      <c r="N393" s="135">
        <v>3.1673308886092801E-2</v>
      </c>
      <c r="O393" s="135">
        <v>2.2236994931657001E-2</v>
      </c>
      <c r="P393" s="135">
        <v>2.0560169292138799E-2</v>
      </c>
      <c r="Q393" s="135">
        <v>2.18661162079264E-2</v>
      </c>
      <c r="R393" s="135">
        <v>2.0842180624689899E-2</v>
      </c>
      <c r="S393" s="135">
        <v>2.0100994778200099E-2</v>
      </c>
      <c r="T393" s="135">
        <v>1.6831039902024201E-2</v>
      </c>
      <c r="U393" s="135">
        <v>1.9432218626620899E-2</v>
      </c>
      <c r="V393" s="135">
        <v>2.2657789154565799E-2</v>
      </c>
      <c r="W393" s="135">
        <v>2.6654402391733199E-2</v>
      </c>
      <c r="X393" s="135">
        <v>3.4431574936831799E-2</v>
      </c>
      <c r="Y393" s="135">
        <v>4.4276020812349097E-2</v>
      </c>
      <c r="Z393" s="135">
        <v>5.6346361140112801E-2</v>
      </c>
      <c r="AA393" s="135">
        <v>6.3844471002895795E-2</v>
      </c>
      <c r="AB393" s="135">
        <v>4.6815435432834902E-2</v>
      </c>
      <c r="AC393" s="135">
        <v>1.8402819557497199E-2</v>
      </c>
      <c r="AD393" s="135">
        <v>8.7440244163495707E-3</v>
      </c>
      <c r="AF393" s="243">
        <f t="shared" si="6"/>
        <v>0.14838474168576049</v>
      </c>
      <c r="AG393" s="275">
        <f t="shared" si="7"/>
        <v>0.32009215706031774</v>
      </c>
      <c r="AH393" s="391">
        <f t="shared" si="8"/>
        <v>0.36289263326752935</v>
      </c>
      <c r="AI393" s="135">
        <f t="shared" si="9"/>
        <v>0.68298479032784709</v>
      </c>
    </row>
    <row r="394" spans="1:35" ht="12.6">
      <c r="A394" s="10" t="s">
        <v>61</v>
      </c>
      <c r="B394" s="10">
        <v>28</v>
      </c>
      <c r="C394" s="10" t="s">
        <v>1512</v>
      </c>
      <c r="D394" s="388">
        <v>44954</v>
      </c>
      <c r="E394" s="389">
        <v>44954</v>
      </c>
      <c r="F394" s="390" t="str">
        <f t="shared" si="5"/>
        <v>Lighting</v>
      </c>
      <c r="G394" s="135">
        <v>8.3979857634250595E-3</v>
      </c>
      <c r="H394" s="135">
        <v>7.7963964395086896E-3</v>
      </c>
      <c r="I394" s="135">
        <v>8.3822325395603008E-3</v>
      </c>
      <c r="J394" s="135">
        <v>1.04290513120818E-2</v>
      </c>
      <c r="K394" s="135">
        <v>8.2112463453817598E-3</v>
      </c>
      <c r="L394" s="135">
        <v>1.07990385440268E-2</v>
      </c>
      <c r="M394" s="135">
        <v>2.0014397807540201E-2</v>
      </c>
      <c r="N394" s="135">
        <v>3.0890684582839299E-2</v>
      </c>
      <c r="O394" s="135">
        <v>4.2703331359732602E-2</v>
      </c>
      <c r="P394" s="135">
        <v>4.3606857894242797E-2</v>
      </c>
      <c r="Q394" s="135">
        <v>4.0790999038774499E-2</v>
      </c>
      <c r="R394" s="135">
        <v>3.5847085401207901E-2</v>
      </c>
      <c r="S394" s="135">
        <v>3.2277433130328603E-2</v>
      </c>
      <c r="T394" s="135">
        <v>2.7530842799098499E-2</v>
      </c>
      <c r="U394" s="135">
        <v>3.1619476682785197E-2</v>
      </c>
      <c r="V394" s="135">
        <v>2.7837118896337699E-2</v>
      </c>
      <c r="W394" s="135">
        <v>2.90835721058064E-2</v>
      </c>
      <c r="X394" s="135">
        <v>3.3496417590967303E-2</v>
      </c>
      <c r="Y394" s="135">
        <v>4.0296705301614603E-2</v>
      </c>
      <c r="Z394" s="135">
        <v>5.01490773383379E-2</v>
      </c>
      <c r="AA394" s="135">
        <v>5.7177958912325903E-2</v>
      </c>
      <c r="AB394" s="135">
        <v>4.41050484989172E-2</v>
      </c>
      <c r="AC394" s="135">
        <v>2.0819438993321698E-2</v>
      </c>
      <c r="AD394" s="135">
        <v>1.2035506651996399E-2</v>
      </c>
      <c r="AF394" s="243">
        <f t="shared" si="6"/>
        <v>0.2249865280543388</v>
      </c>
      <c r="AG394" s="275">
        <f t="shared" si="7"/>
        <v>0.25523373801119908</v>
      </c>
      <c r="AH394" s="391">
        <f t="shared" si="8"/>
        <v>0.41906416591896001</v>
      </c>
      <c r="AI394" s="135">
        <f t="shared" si="9"/>
        <v>0.67429790393015909</v>
      </c>
    </row>
    <row r="395" spans="1:35" ht="12.6">
      <c r="A395" s="10" t="s">
        <v>61</v>
      </c>
      <c r="B395" s="10">
        <v>29</v>
      </c>
      <c r="C395" s="10" t="s">
        <v>1512</v>
      </c>
      <c r="D395" s="388">
        <v>44955</v>
      </c>
      <c r="E395" s="389">
        <v>44955</v>
      </c>
      <c r="F395" s="390" t="str">
        <f t="shared" si="5"/>
        <v>Lighting</v>
      </c>
      <c r="G395" s="135">
        <v>8.3979857634250595E-3</v>
      </c>
      <c r="H395" s="135">
        <v>7.7963964395086896E-3</v>
      </c>
      <c r="I395" s="135">
        <v>8.3822325395603008E-3</v>
      </c>
      <c r="J395" s="135">
        <v>1.04290513120818E-2</v>
      </c>
      <c r="K395" s="135">
        <v>8.2112463453817598E-3</v>
      </c>
      <c r="L395" s="135">
        <v>1.07990385440268E-2</v>
      </c>
      <c r="M395" s="135">
        <v>2.0014397807540201E-2</v>
      </c>
      <c r="N395" s="135">
        <v>3.0890684582839299E-2</v>
      </c>
      <c r="O395" s="135">
        <v>4.2703331359732602E-2</v>
      </c>
      <c r="P395" s="135">
        <v>4.3606857894242797E-2</v>
      </c>
      <c r="Q395" s="135">
        <v>4.0790999038774499E-2</v>
      </c>
      <c r="R395" s="135">
        <v>3.5847085401207901E-2</v>
      </c>
      <c r="S395" s="135">
        <v>3.2277433130328603E-2</v>
      </c>
      <c r="T395" s="135">
        <v>2.7530842799098499E-2</v>
      </c>
      <c r="U395" s="135">
        <v>3.1619476682785197E-2</v>
      </c>
      <c r="V395" s="135">
        <v>2.7837118896337699E-2</v>
      </c>
      <c r="W395" s="135">
        <v>2.90835721058064E-2</v>
      </c>
      <c r="X395" s="135">
        <v>3.3496417590967303E-2</v>
      </c>
      <c r="Y395" s="135">
        <v>4.0296705301614603E-2</v>
      </c>
      <c r="Z395" s="135">
        <v>5.01490773383379E-2</v>
      </c>
      <c r="AA395" s="135">
        <v>5.7177958912325903E-2</v>
      </c>
      <c r="AB395" s="135">
        <v>4.41050484989172E-2</v>
      </c>
      <c r="AC395" s="135">
        <v>2.0819438993321698E-2</v>
      </c>
      <c r="AD395" s="135">
        <v>1.2035506651996399E-2</v>
      </c>
      <c r="AF395" s="243">
        <f t="shared" si="6"/>
        <v>0.2249865280543388</v>
      </c>
      <c r="AG395" s="275">
        <f t="shared" si="7"/>
        <v>0.25523373801119908</v>
      </c>
      <c r="AH395" s="391">
        <f t="shared" si="8"/>
        <v>0.41906416591896001</v>
      </c>
      <c r="AI395" s="135">
        <f t="shared" si="9"/>
        <v>0.67429790393015909</v>
      </c>
    </row>
    <row r="396" spans="1:35" ht="12.6">
      <c r="A396" s="10" t="s">
        <v>61</v>
      </c>
      <c r="B396" s="10">
        <v>30</v>
      </c>
      <c r="C396" s="10" t="s">
        <v>1512</v>
      </c>
      <c r="D396" s="388">
        <v>44956</v>
      </c>
      <c r="E396" s="389">
        <v>44956</v>
      </c>
      <c r="F396" s="390" t="str">
        <f t="shared" si="5"/>
        <v>Lighting</v>
      </c>
      <c r="G396" s="135">
        <v>7.5952421850581601E-3</v>
      </c>
      <c r="H396" s="135">
        <v>6.8301865532236E-3</v>
      </c>
      <c r="I396" s="135">
        <v>7.4159413461902697E-3</v>
      </c>
      <c r="J396" s="135">
        <v>9.3585166610140099E-3</v>
      </c>
      <c r="K396" s="135">
        <v>3.3425006745758497E-2</v>
      </c>
      <c r="L396" s="135">
        <v>7.0715348246745705E-2</v>
      </c>
      <c r="M396" s="135">
        <v>5.1928626495336402E-2</v>
      </c>
      <c r="N396" s="135">
        <v>3.1673308886092801E-2</v>
      </c>
      <c r="O396" s="135">
        <v>2.2236994931657001E-2</v>
      </c>
      <c r="P396" s="135">
        <v>2.0560169292138799E-2</v>
      </c>
      <c r="Q396" s="135">
        <v>2.18661162079264E-2</v>
      </c>
      <c r="R396" s="135">
        <v>2.0842180624689899E-2</v>
      </c>
      <c r="S396" s="135">
        <v>2.0100994778200099E-2</v>
      </c>
      <c r="T396" s="135">
        <v>1.6831039902024201E-2</v>
      </c>
      <c r="U396" s="135">
        <v>1.9432218626620899E-2</v>
      </c>
      <c r="V396" s="135">
        <v>2.2657789154565799E-2</v>
      </c>
      <c r="W396" s="135">
        <v>2.6654402391733199E-2</v>
      </c>
      <c r="X396" s="135">
        <v>3.4431574936831799E-2</v>
      </c>
      <c r="Y396" s="135">
        <v>4.4276020812349097E-2</v>
      </c>
      <c r="Z396" s="135">
        <v>5.6346361140112801E-2</v>
      </c>
      <c r="AA396" s="135">
        <v>6.3844471002895795E-2</v>
      </c>
      <c r="AB396" s="135">
        <v>4.6815435432834902E-2</v>
      </c>
      <c r="AC396" s="135">
        <v>1.8402819557497199E-2</v>
      </c>
      <c r="AD396" s="135">
        <v>8.7440244163495707E-3</v>
      </c>
      <c r="AF396" s="243">
        <f t="shared" si="6"/>
        <v>0.14838474168576049</v>
      </c>
      <c r="AG396" s="275">
        <f t="shared" si="7"/>
        <v>0.32009215706031774</v>
      </c>
      <c r="AH396" s="391">
        <f t="shared" si="8"/>
        <v>0.36289263326752935</v>
      </c>
      <c r="AI396" s="135">
        <f t="shared" si="9"/>
        <v>0.68298479032784709</v>
      </c>
    </row>
    <row r="397" spans="1:35" ht="12.6">
      <c r="A397" s="10" t="s">
        <v>61</v>
      </c>
      <c r="B397" s="10">
        <v>31</v>
      </c>
      <c r="C397" s="10" t="s">
        <v>1512</v>
      </c>
      <c r="D397" s="388">
        <v>44957</v>
      </c>
      <c r="E397" s="389">
        <v>44957</v>
      </c>
      <c r="F397" s="390" t="str">
        <f t="shared" si="5"/>
        <v>Lighting</v>
      </c>
      <c r="G397" s="135">
        <v>7.5952421850581601E-3</v>
      </c>
      <c r="H397" s="135">
        <v>6.8301865532236E-3</v>
      </c>
      <c r="I397" s="135">
        <v>7.4159413461902697E-3</v>
      </c>
      <c r="J397" s="135">
        <v>9.3585166610140099E-3</v>
      </c>
      <c r="K397" s="135">
        <v>3.3425006745758497E-2</v>
      </c>
      <c r="L397" s="135">
        <v>7.0715348246745705E-2</v>
      </c>
      <c r="M397" s="135">
        <v>5.1928626495336402E-2</v>
      </c>
      <c r="N397" s="135">
        <v>3.1673308886092801E-2</v>
      </c>
      <c r="O397" s="135">
        <v>2.2236994931657001E-2</v>
      </c>
      <c r="P397" s="135">
        <v>2.0560169292138799E-2</v>
      </c>
      <c r="Q397" s="135">
        <v>2.18661162079264E-2</v>
      </c>
      <c r="R397" s="135">
        <v>2.0842180624689899E-2</v>
      </c>
      <c r="S397" s="135">
        <v>2.0100994778200099E-2</v>
      </c>
      <c r="T397" s="135">
        <v>1.6831039902024201E-2</v>
      </c>
      <c r="U397" s="135">
        <v>1.9432218626620899E-2</v>
      </c>
      <c r="V397" s="135">
        <v>2.2657789154565799E-2</v>
      </c>
      <c r="W397" s="135">
        <v>2.6654402391733199E-2</v>
      </c>
      <c r="X397" s="135">
        <v>3.4431574936831799E-2</v>
      </c>
      <c r="Y397" s="135">
        <v>4.4276020812349097E-2</v>
      </c>
      <c r="Z397" s="135">
        <v>5.6346361140112801E-2</v>
      </c>
      <c r="AA397" s="135">
        <v>6.3844471002895795E-2</v>
      </c>
      <c r="AB397" s="135">
        <v>4.6815435432834902E-2</v>
      </c>
      <c r="AC397" s="135">
        <v>1.8402819557497199E-2</v>
      </c>
      <c r="AD397" s="135">
        <v>8.7440244163495707E-3</v>
      </c>
      <c r="AF397" s="243">
        <f t="shared" si="6"/>
        <v>0.14838474168576049</v>
      </c>
      <c r="AG397" s="275">
        <f t="shared" si="7"/>
        <v>0.32009215706031774</v>
      </c>
      <c r="AH397" s="391">
        <f t="shared" si="8"/>
        <v>0.36289263326752935</v>
      </c>
      <c r="AI397" s="135">
        <f t="shared" si="9"/>
        <v>0.68298479032784709</v>
      </c>
    </row>
    <row r="398" spans="1:35" ht="12.6">
      <c r="A398" s="10" t="s">
        <v>61</v>
      </c>
      <c r="B398" s="10">
        <v>32</v>
      </c>
      <c r="C398" s="10" t="s">
        <v>1512</v>
      </c>
      <c r="D398" s="388">
        <v>44958</v>
      </c>
      <c r="E398" s="389">
        <v>44958</v>
      </c>
      <c r="F398" s="390" t="str">
        <f t="shared" si="5"/>
        <v>Lighting</v>
      </c>
      <c r="G398" s="135">
        <v>7.5952421850581601E-3</v>
      </c>
      <c r="H398" s="135">
        <v>6.8301865532236E-3</v>
      </c>
      <c r="I398" s="135">
        <v>7.4159413461902697E-3</v>
      </c>
      <c r="J398" s="135">
        <v>9.3585166610140099E-3</v>
      </c>
      <c r="K398" s="135">
        <v>3.3425006745758497E-2</v>
      </c>
      <c r="L398" s="135">
        <v>7.0715348246745705E-2</v>
      </c>
      <c r="M398" s="135">
        <v>5.1928626495336402E-2</v>
      </c>
      <c r="N398" s="135">
        <v>3.1673308886092801E-2</v>
      </c>
      <c r="O398" s="135">
        <v>2.2236994931657001E-2</v>
      </c>
      <c r="P398" s="135">
        <v>2.0560169292138799E-2</v>
      </c>
      <c r="Q398" s="135">
        <v>2.18661162079264E-2</v>
      </c>
      <c r="R398" s="135">
        <v>2.0842180624689899E-2</v>
      </c>
      <c r="S398" s="135">
        <v>2.0100994778200099E-2</v>
      </c>
      <c r="T398" s="135">
        <v>1.6831039902024201E-2</v>
      </c>
      <c r="U398" s="135">
        <v>1.9432218626620899E-2</v>
      </c>
      <c r="V398" s="135">
        <v>2.2657789154565799E-2</v>
      </c>
      <c r="W398" s="135">
        <v>2.6654402391733199E-2</v>
      </c>
      <c r="X398" s="135">
        <v>3.4431574936831799E-2</v>
      </c>
      <c r="Y398" s="135">
        <v>4.4276020812349097E-2</v>
      </c>
      <c r="Z398" s="135">
        <v>5.6346361140112801E-2</v>
      </c>
      <c r="AA398" s="135">
        <v>6.3844471002895795E-2</v>
      </c>
      <c r="AB398" s="135">
        <v>4.6815435432834902E-2</v>
      </c>
      <c r="AC398" s="135">
        <v>1.8402819557497199E-2</v>
      </c>
      <c r="AD398" s="135">
        <v>8.7440244163495707E-3</v>
      </c>
      <c r="AF398" s="243">
        <f t="shared" si="6"/>
        <v>0.14838474168576049</v>
      </c>
      <c r="AG398" s="275">
        <f t="shared" si="7"/>
        <v>0.32009215706031774</v>
      </c>
      <c r="AH398" s="391">
        <f t="shared" si="8"/>
        <v>0.36289263326752935</v>
      </c>
      <c r="AI398" s="135">
        <f t="shared" si="9"/>
        <v>0.68298479032784709</v>
      </c>
    </row>
    <row r="399" spans="1:35" ht="12.6">
      <c r="A399" s="10" t="s">
        <v>61</v>
      </c>
      <c r="B399" s="10">
        <v>33</v>
      </c>
      <c r="C399" s="10" t="s">
        <v>1512</v>
      </c>
      <c r="D399" s="388">
        <v>44959</v>
      </c>
      <c r="E399" s="389">
        <v>44959</v>
      </c>
      <c r="F399" s="390" t="str">
        <f t="shared" si="5"/>
        <v>Lighting</v>
      </c>
      <c r="G399" s="135">
        <v>7.5952421850581601E-3</v>
      </c>
      <c r="H399" s="135">
        <v>6.8301865532236E-3</v>
      </c>
      <c r="I399" s="135">
        <v>7.4159413461902697E-3</v>
      </c>
      <c r="J399" s="135">
        <v>9.3585166610140099E-3</v>
      </c>
      <c r="K399" s="135">
        <v>3.3425006745758497E-2</v>
      </c>
      <c r="L399" s="135">
        <v>7.0715348246745705E-2</v>
      </c>
      <c r="M399" s="135">
        <v>5.1928626495336402E-2</v>
      </c>
      <c r="N399" s="135">
        <v>3.1673308886092801E-2</v>
      </c>
      <c r="O399" s="135">
        <v>2.2236994931657001E-2</v>
      </c>
      <c r="P399" s="135">
        <v>2.0560169292138799E-2</v>
      </c>
      <c r="Q399" s="135">
        <v>2.18661162079264E-2</v>
      </c>
      <c r="R399" s="135">
        <v>2.0842180624689899E-2</v>
      </c>
      <c r="S399" s="135">
        <v>2.0100994778200099E-2</v>
      </c>
      <c r="T399" s="135">
        <v>1.6831039902024201E-2</v>
      </c>
      <c r="U399" s="135">
        <v>1.9432218626620899E-2</v>
      </c>
      <c r="V399" s="135">
        <v>2.2657789154565799E-2</v>
      </c>
      <c r="W399" s="135">
        <v>2.6654402391733199E-2</v>
      </c>
      <c r="X399" s="135">
        <v>3.4431574936831799E-2</v>
      </c>
      <c r="Y399" s="135">
        <v>4.4276020812349097E-2</v>
      </c>
      <c r="Z399" s="135">
        <v>5.6346361140112801E-2</v>
      </c>
      <c r="AA399" s="135">
        <v>6.3844471002895795E-2</v>
      </c>
      <c r="AB399" s="135">
        <v>4.6815435432834902E-2</v>
      </c>
      <c r="AC399" s="135">
        <v>1.8402819557497199E-2</v>
      </c>
      <c r="AD399" s="135">
        <v>8.7440244163495707E-3</v>
      </c>
      <c r="AF399" s="243">
        <f t="shared" si="6"/>
        <v>0.14838474168576049</v>
      </c>
      <c r="AG399" s="275">
        <f t="shared" si="7"/>
        <v>0.32009215706031774</v>
      </c>
      <c r="AH399" s="391">
        <f t="shared" si="8"/>
        <v>0.36289263326752935</v>
      </c>
      <c r="AI399" s="135">
        <f t="shared" si="9"/>
        <v>0.68298479032784709</v>
      </c>
    </row>
    <row r="400" spans="1:35" ht="12.6">
      <c r="A400" s="10" t="s">
        <v>61</v>
      </c>
      <c r="B400" s="10">
        <v>34</v>
      </c>
      <c r="C400" s="10" t="s">
        <v>1512</v>
      </c>
      <c r="D400" s="388">
        <v>44960</v>
      </c>
      <c r="E400" s="389">
        <v>44960</v>
      </c>
      <c r="F400" s="390" t="str">
        <f t="shared" si="5"/>
        <v>Lighting</v>
      </c>
      <c r="G400" s="135">
        <v>7.5952421850581601E-3</v>
      </c>
      <c r="H400" s="135">
        <v>6.8301865532236E-3</v>
      </c>
      <c r="I400" s="135">
        <v>7.4159413461902697E-3</v>
      </c>
      <c r="J400" s="135">
        <v>9.3585166610140099E-3</v>
      </c>
      <c r="K400" s="135">
        <v>3.3425006745758497E-2</v>
      </c>
      <c r="L400" s="135">
        <v>7.0715348246745705E-2</v>
      </c>
      <c r="M400" s="135">
        <v>5.1928626495336402E-2</v>
      </c>
      <c r="N400" s="135">
        <v>3.1673308886092801E-2</v>
      </c>
      <c r="O400" s="135">
        <v>2.2236994931657001E-2</v>
      </c>
      <c r="P400" s="135">
        <v>2.0560169292138799E-2</v>
      </c>
      <c r="Q400" s="135">
        <v>2.18661162079264E-2</v>
      </c>
      <c r="R400" s="135">
        <v>2.0842180624689899E-2</v>
      </c>
      <c r="S400" s="135">
        <v>2.0100994778200099E-2</v>
      </c>
      <c r="T400" s="135">
        <v>1.6831039902024201E-2</v>
      </c>
      <c r="U400" s="135">
        <v>1.9432218626620899E-2</v>
      </c>
      <c r="V400" s="135">
        <v>2.2657789154565799E-2</v>
      </c>
      <c r="W400" s="135">
        <v>2.6654402391733199E-2</v>
      </c>
      <c r="X400" s="135">
        <v>3.4431574936831799E-2</v>
      </c>
      <c r="Y400" s="135">
        <v>4.4276020812349097E-2</v>
      </c>
      <c r="Z400" s="135">
        <v>5.6346361140112801E-2</v>
      </c>
      <c r="AA400" s="135">
        <v>6.3844471002895795E-2</v>
      </c>
      <c r="AB400" s="135">
        <v>4.6815435432834902E-2</v>
      </c>
      <c r="AC400" s="135">
        <v>1.8402819557497199E-2</v>
      </c>
      <c r="AD400" s="135">
        <v>8.7440244163495707E-3</v>
      </c>
      <c r="AF400" s="243">
        <f t="shared" si="6"/>
        <v>0.14838474168576049</v>
      </c>
      <c r="AG400" s="275">
        <f t="shared" si="7"/>
        <v>0.32009215706031774</v>
      </c>
      <c r="AH400" s="391">
        <f t="shared" si="8"/>
        <v>0.36289263326752935</v>
      </c>
      <c r="AI400" s="135">
        <f t="shared" si="9"/>
        <v>0.68298479032784709</v>
      </c>
    </row>
    <row r="401" spans="1:35" ht="12.6">
      <c r="A401" s="10" t="s">
        <v>61</v>
      </c>
      <c r="B401" s="10">
        <v>35</v>
      </c>
      <c r="C401" s="10" t="s">
        <v>1512</v>
      </c>
      <c r="D401" s="388">
        <v>44961</v>
      </c>
      <c r="E401" s="389">
        <v>44961</v>
      </c>
      <c r="F401" s="390" t="str">
        <f t="shared" si="5"/>
        <v>Lighting</v>
      </c>
      <c r="G401" s="135">
        <v>8.3979857634250595E-3</v>
      </c>
      <c r="H401" s="135">
        <v>7.7963964395086896E-3</v>
      </c>
      <c r="I401" s="135">
        <v>8.3822325395603008E-3</v>
      </c>
      <c r="J401" s="135">
        <v>1.04290513120818E-2</v>
      </c>
      <c r="K401" s="135">
        <v>8.2112463453817598E-3</v>
      </c>
      <c r="L401" s="135">
        <v>1.07990385440268E-2</v>
      </c>
      <c r="M401" s="135">
        <v>2.0014397807540201E-2</v>
      </c>
      <c r="N401" s="135">
        <v>3.0890684582839299E-2</v>
      </c>
      <c r="O401" s="135">
        <v>4.2703331359732602E-2</v>
      </c>
      <c r="P401" s="135">
        <v>4.3606857894242797E-2</v>
      </c>
      <c r="Q401" s="135">
        <v>4.0790999038774499E-2</v>
      </c>
      <c r="R401" s="135">
        <v>3.5847085401207901E-2</v>
      </c>
      <c r="S401" s="135">
        <v>3.2277433130328603E-2</v>
      </c>
      <c r="T401" s="135">
        <v>2.7530842799098499E-2</v>
      </c>
      <c r="U401" s="135">
        <v>3.1619476682785197E-2</v>
      </c>
      <c r="V401" s="135">
        <v>2.7837118896337699E-2</v>
      </c>
      <c r="W401" s="135">
        <v>2.90835721058064E-2</v>
      </c>
      <c r="X401" s="135">
        <v>3.3496417590967303E-2</v>
      </c>
      <c r="Y401" s="135">
        <v>4.0296705301614603E-2</v>
      </c>
      <c r="Z401" s="135">
        <v>5.01490773383379E-2</v>
      </c>
      <c r="AA401" s="135">
        <v>5.7177958912325903E-2</v>
      </c>
      <c r="AB401" s="135">
        <v>4.41050484989172E-2</v>
      </c>
      <c r="AC401" s="135">
        <v>2.0819438993321698E-2</v>
      </c>
      <c r="AD401" s="135">
        <v>1.2035506651996399E-2</v>
      </c>
      <c r="AF401" s="243">
        <f t="shared" si="6"/>
        <v>0.2249865280543388</v>
      </c>
      <c r="AG401" s="275">
        <f t="shared" si="7"/>
        <v>0.25523373801119908</v>
      </c>
      <c r="AH401" s="391">
        <f t="shared" si="8"/>
        <v>0.41906416591896001</v>
      </c>
      <c r="AI401" s="135">
        <f t="shared" si="9"/>
        <v>0.67429790393015909</v>
      </c>
    </row>
    <row r="402" spans="1:35" ht="12.6">
      <c r="A402" s="10" t="s">
        <v>61</v>
      </c>
      <c r="B402" s="10">
        <v>36</v>
      </c>
      <c r="C402" s="10" t="s">
        <v>1512</v>
      </c>
      <c r="D402" s="388">
        <v>44962</v>
      </c>
      <c r="E402" s="389">
        <v>44962</v>
      </c>
      <c r="F402" s="390" t="str">
        <f t="shared" si="5"/>
        <v>Lighting</v>
      </c>
      <c r="G402" s="135">
        <v>8.3979857634250595E-3</v>
      </c>
      <c r="H402" s="135">
        <v>7.7963964395086896E-3</v>
      </c>
      <c r="I402" s="135">
        <v>8.3822325395603008E-3</v>
      </c>
      <c r="J402" s="135">
        <v>1.04290513120818E-2</v>
      </c>
      <c r="K402" s="135">
        <v>8.2112463453817598E-3</v>
      </c>
      <c r="L402" s="135">
        <v>1.07990385440268E-2</v>
      </c>
      <c r="M402" s="135">
        <v>2.0014397807540201E-2</v>
      </c>
      <c r="N402" s="135">
        <v>3.0890684582839299E-2</v>
      </c>
      <c r="O402" s="135">
        <v>4.2703331359732602E-2</v>
      </c>
      <c r="P402" s="135">
        <v>4.3606857894242797E-2</v>
      </c>
      <c r="Q402" s="135">
        <v>4.0790999038774499E-2</v>
      </c>
      <c r="R402" s="135">
        <v>3.5847085401207901E-2</v>
      </c>
      <c r="S402" s="135">
        <v>3.2277433130328603E-2</v>
      </c>
      <c r="T402" s="135">
        <v>2.7530842799098499E-2</v>
      </c>
      <c r="U402" s="135">
        <v>3.1619476682785197E-2</v>
      </c>
      <c r="V402" s="135">
        <v>2.7837118896337699E-2</v>
      </c>
      <c r="W402" s="135">
        <v>2.90835721058064E-2</v>
      </c>
      <c r="X402" s="135">
        <v>3.3496417590967303E-2</v>
      </c>
      <c r="Y402" s="135">
        <v>4.0296705301614603E-2</v>
      </c>
      <c r="Z402" s="135">
        <v>5.01490773383379E-2</v>
      </c>
      <c r="AA402" s="135">
        <v>5.7177958912325903E-2</v>
      </c>
      <c r="AB402" s="135">
        <v>4.41050484989172E-2</v>
      </c>
      <c r="AC402" s="135">
        <v>2.0819438993321698E-2</v>
      </c>
      <c r="AD402" s="135">
        <v>1.2035506651996399E-2</v>
      </c>
      <c r="AF402" s="243">
        <f t="shared" si="6"/>
        <v>0.2249865280543388</v>
      </c>
      <c r="AG402" s="275">
        <f t="shared" si="7"/>
        <v>0.25523373801119908</v>
      </c>
      <c r="AH402" s="391">
        <f t="shared" si="8"/>
        <v>0.41906416591896001</v>
      </c>
      <c r="AI402" s="135">
        <f t="shared" si="9"/>
        <v>0.67429790393015909</v>
      </c>
    </row>
    <row r="403" spans="1:35" ht="12.6">
      <c r="A403" s="10" t="s">
        <v>61</v>
      </c>
      <c r="B403" s="10">
        <v>37</v>
      </c>
      <c r="C403" s="10" t="s">
        <v>1512</v>
      </c>
      <c r="D403" s="388">
        <v>44963</v>
      </c>
      <c r="E403" s="389">
        <v>44963</v>
      </c>
      <c r="F403" s="390" t="str">
        <f t="shared" si="5"/>
        <v>Lighting</v>
      </c>
      <c r="G403" s="135">
        <v>7.5952421850581601E-3</v>
      </c>
      <c r="H403" s="135">
        <v>6.8301865532236E-3</v>
      </c>
      <c r="I403" s="135">
        <v>7.4159413461902697E-3</v>
      </c>
      <c r="J403" s="135">
        <v>9.3585166610140099E-3</v>
      </c>
      <c r="K403" s="135">
        <v>3.3425006745758497E-2</v>
      </c>
      <c r="L403" s="135">
        <v>7.0715348246745705E-2</v>
      </c>
      <c r="M403" s="135">
        <v>5.1928626495336402E-2</v>
      </c>
      <c r="N403" s="135">
        <v>3.1673308886092801E-2</v>
      </c>
      <c r="O403" s="135">
        <v>2.2236994931657001E-2</v>
      </c>
      <c r="P403" s="135">
        <v>2.0560169292138799E-2</v>
      </c>
      <c r="Q403" s="135">
        <v>2.18661162079264E-2</v>
      </c>
      <c r="R403" s="135">
        <v>2.0842180624689899E-2</v>
      </c>
      <c r="S403" s="135">
        <v>2.0100994778200099E-2</v>
      </c>
      <c r="T403" s="135">
        <v>1.6831039902024201E-2</v>
      </c>
      <c r="U403" s="135">
        <v>1.9432218626620899E-2</v>
      </c>
      <c r="V403" s="135">
        <v>2.2657789154565799E-2</v>
      </c>
      <c r="W403" s="135">
        <v>2.6654402391733199E-2</v>
      </c>
      <c r="X403" s="135">
        <v>3.4431574936831799E-2</v>
      </c>
      <c r="Y403" s="135">
        <v>4.4276020812349097E-2</v>
      </c>
      <c r="Z403" s="135">
        <v>5.6346361140112801E-2</v>
      </c>
      <c r="AA403" s="135">
        <v>6.3844471002895795E-2</v>
      </c>
      <c r="AB403" s="135">
        <v>4.6815435432834902E-2</v>
      </c>
      <c r="AC403" s="135">
        <v>1.8402819557497199E-2</v>
      </c>
      <c r="AD403" s="135">
        <v>8.7440244163495707E-3</v>
      </c>
      <c r="AF403" s="243">
        <f t="shared" si="6"/>
        <v>0.14838474168576049</v>
      </c>
      <c r="AG403" s="275">
        <f t="shared" si="7"/>
        <v>0.32009215706031774</v>
      </c>
      <c r="AH403" s="391">
        <f t="shared" si="8"/>
        <v>0.36289263326752935</v>
      </c>
      <c r="AI403" s="135">
        <f t="shared" si="9"/>
        <v>0.68298479032784709</v>
      </c>
    </row>
    <row r="404" spans="1:35" ht="12.6">
      <c r="A404" s="10" t="s">
        <v>61</v>
      </c>
      <c r="B404" s="10">
        <v>38</v>
      </c>
      <c r="C404" s="10" t="s">
        <v>1512</v>
      </c>
      <c r="D404" s="388">
        <v>44964</v>
      </c>
      <c r="E404" s="389">
        <v>44964</v>
      </c>
      <c r="F404" s="390" t="str">
        <f t="shared" si="5"/>
        <v>Lighting</v>
      </c>
      <c r="G404" s="135">
        <v>7.5952421850581601E-3</v>
      </c>
      <c r="H404" s="135">
        <v>6.8301865532236E-3</v>
      </c>
      <c r="I404" s="135">
        <v>7.4159413461902697E-3</v>
      </c>
      <c r="J404" s="135">
        <v>9.3585166610140099E-3</v>
      </c>
      <c r="K404" s="135">
        <v>3.3425006745758497E-2</v>
      </c>
      <c r="L404" s="135">
        <v>7.0715348246745705E-2</v>
      </c>
      <c r="M404" s="135">
        <v>5.1928626495336402E-2</v>
      </c>
      <c r="N404" s="135">
        <v>3.1673308886092801E-2</v>
      </c>
      <c r="O404" s="135">
        <v>2.2236994931657001E-2</v>
      </c>
      <c r="P404" s="135">
        <v>2.0560169292138799E-2</v>
      </c>
      <c r="Q404" s="135">
        <v>2.18661162079264E-2</v>
      </c>
      <c r="R404" s="135">
        <v>2.0842180624689899E-2</v>
      </c>
      <c r="S404" s="135">
        <v>2.0100994778200099E-2</v>
      </c>
      <c r="T404" s="135">
        <v>1.6831039902024201E-2</v>
      </c>
      <c r="U404" s="135">
        <v>1.9432218626620899E-2</v>
      </c>
      <c r="V404" s="135">
        <v>2.2657789154565799E-2</v>
      </c>
      <c r="W404" s="135">
        <v>2.6654402391733199E-2</v>
      </c>
      <c r="X404" s="135">
        <v>3.4431574936831799E-2</v>
      </c>
      <c r="Y404" s="135">
        <v>4.4276020812349097E-2</v>
      </c>
      <c r="Z404" s="135">
        <v>5.6346361140112801E-2</v>
      </c>
      <c r="AA404" s="135">
        <v>6.3844471002895795E-2</v>
      </c>
      <c r="AB404" s="135">
        <v>4.6815435432834902E-2</v>
      </c>
      <c r="AC404" s="135">
        <v>1.8402819557497199E-2</v>
      </c>
      <c r="AD404" s="135">
        <v>8.7440244163495707E-3</v>
      </c>
      <c r="AF404" s="243">
        <f t="shared" si="6"/>
        <v>0.14838474168576049</v>
      </c>
      <c r="AG404" s="275">
        <f t="shared" si="7"/>
        <v>0.32009215706031774</v>
      </c>
      <c r="AH404" s="391">
        <f t="shared" si="8"/>
        <v>0.36289263326752935</v>
      </c>
      <c r="AI404" s="135">
        <f t="shared" si="9"/>
        <v>0.68298479032784709</v>
      </c>
    </row>
    <row r="405" spans="1:35" ht="12.6">
      <c r="A405" s="10" t="s">
        <v>61</v>
      </c>
      <c r="B405" s="10">
        <v>39</v>
      </c>
      <c r="C405" s="10" t="s">
        <v>1512</v>
      </c>
      <c r="D405" s="388">
        <v>44965</v>
      </c>
      <c r="E405" s="389">
        <v>44965</v>
      </c>
      <c r="F405" s="390" t="str">
        <f t="shared" si="5"/>
        <v>Lighting</v>
      </c>
      <c r="G405" s="135">
        <v>7.5952421850581601E-3</v>
      </c>
      <c r="H405" s="135">
        <v>6.8301865532236E-3</v>
      </c>
      <c r="I405" s="135">
        <v>7.4159413461902697E-3</v>
      </c>
      <c r="J405" s="135">
        <v>9.3585166610140099E-3</v>
      </c>
      <c r="K405" s="135">
        <v>3.3425006745758497E-2</v>
      </c>
      <c r="L405" s="135">
        <v>7.0715348246745705E-2</v>
      </c>
      <c r="M405" s="135">
        <v>5.1928626495336402E-2</v>
      </c>
      <c r="N405" s="135">
        <v>3.1673308886092801E-2</v>
      </c>
      <c r="O405" s="135">
        <v>2.2236994931657001E-2</v>
      </c>
      <c r="P405" s="135">
        <v>2.0560169292138799E-2</v>
      </c>
      <c r="Q405" s="135">
        <v>2.18661162079264E-2</v>
      </c>
      <c r="R405" s="135">
        <v>2.0842180624689899E-2</v>
      </c>
      <c r="S405" s="135">
        <v>2.0100994778200099E-2</v>
      </c>
      <c r="T405" s="135">
        <v>1.6831039902024201E-2</v>
      </c>
      <c r="U405" s="135">
        <v>1.9432218626620899E-2</v>
      </c>
      <c r="V405" s="135">
        <v>2.2657789154565799E-2</v>
      </c>
      <c r="W405" s="135">
        <v>2.6654402391733199E-2</v>
      </c>
      <c r="X405" s="135">
        <v>3.4431574936831799E-2</v>
      </c>
      <c r="Y405" s="135">
        <v>4.4276020812349097E-2</v>
      </c>
      <c r="Z405" s="135">
        <v>5.6346361140112801E-2</v>
      </c>
      <c r="AA405" s="135">
        <v>6.3844471002895795E-2</v>
      </c>
      <c r="AB405" s="135">
        <v>4.6815435432834902E-2</v>
      </c>
      <c r="AC405" s="135">
        <v>1.8402819557497199E-2</v>
      </c>
      <c r="AD405" s="135">
        <v>8.7440244163495707E-3</v>
      </c>
      <c r="AF405" s="243">
        <f t="shared" si="6"/>
        <v>0.14838474168576049</v>
      </c>
      <c r="AG405" s="275">
        <f t="shared" si="7"/>
        <v>0.32009215706031774</v>
      </c>
      <c r="AH405" s="391">
        <f t="shared" si="8"/>
        <v>0.36289263326752935</v>
      </c>
      <c r="AI405" s="135">
        <f t="shared" si="9"/>
        <v>0.68298479032784709</v>
      </c>
    </row>
    <row r="406" spans="1:35" ht="12.6">
      <c r="A406" s="10" t="s">
        <v>61</v>
      </c>
      <c r="B406" s="10">
        <v>40</v>
      </c>
      <c r="C406" s="10" t="s">
        <v>1512</v>
      </c>
      <c r="D406" s="388">
        <v>44966</v>
      </c>
      <c r="E406" s="389">
        <v>44966</v>
      </c>
      <c r="F406" s="390" t="str">
        <f t="shared" si="5"/>
        <v>Lighting</v>
      </c>
      <c r="G406" s="135">
        <v>7.5952421850581601E-3</v>
      </c>
      <c r="H406" s="135">
        <v>6.8301865532236E-3</v>
      </c>
      <c r="I406" s="135">
        <v>7.4159413461902697E-3</v>
      </c>
      <c r="J406" s="135">
        <v>9.3585166610140099E-3</v>
      </c>
      <c r="K406" s="135">
        <v>3.3425006745758497E-2</v>
      </c>
      <c r="L406" s="135">
        <v>7.0715348246745705E-2</v>
      </c>
      <c r="M406" s="135">
        <v>5.1928626495336402E-2</v>
      </c>
      <c r="N406" s="135">
        <v>3.1673308886092801E-2</v>
      </c>
      <c r="O406" s="135">
        <v>2.2236994931657001E-2</v>
      </c>
      <c r="P406" s="135">
        <v>2.0560169292138799E-2</v>
      </c>
      <c r="Q406" s="135">
        <v>2.18661162079264E-2</v>
      </c>
      <c r="R406" s="135">
        <v>2.0842180624689899E-2</v>
      </c>
      <c r="S406" s="135">
        <v>2.0100994778200099E-2</v>
      </c>
      <c r="T406" s="135">
        <v>1.6831039902024201E-2</v>
      </c>
      <c r="U406" s="135">
        <v>1.9432218626620899E-2</v>
      </c>
      <c r="V406" s="135">
        <v>2.2657789154565799E-2</v>
      </c>
      <c r="W406" s="135">
        <v>2.6654402391733199E-2</v>
      </c>
      <c r="X406" s="135">
        <v>3.4431574936831799E-2</v>
      </c>
      <c r="Y406" s="135">
        <v>4.4276020812349097E-2</v>
      </c>
      <c r="Z406" s="135">
        <v>5.6346361140112801E-2</v>
      </c>
      <c r="AA406" s="135">
        <v>6.3844471002895795E-2</v>
      </c>
      <c r="AB406" s="135">
        <v>4.6815435432834902E-2</v>
      </c>
      <c r="AC406" s="135">
        <v>1.8402819557497199E-2</v>
      </c>
      <c r="AD406" s="135">
        <v>8.7440244163495707E-3</v>
      </c>
      <c r="AF406" s="243">
        <f t="shared" si="6"/>
        <v>0.14838474168576049</v>
      </c>
      <c r="AG406" s="275">
        <f t="shared" si="7"/>
        <v>0.32009215706031774</v>
      </c>
      <c r="AH406" s="391">
        <f t="shared" si="8"/>
        <v>0.36289263326752935</v>
      </c>
      <c r="AI406" s="135">
        <f t="shared" si="9"/>
        <v>0.68298479032784709</v>
      </c>
    </row>
    <row r="407" spans="1:35" ht="12.6">
      <c r="A407" s="10" t="s">
        <v>61</v>
      </c>
      <c r="B407" s="10">
        <v>41</v>
      </c>
      <c r="C407" s="10" t="s">
        <v>1512</v>
      </c>
      <c r="D407" s="388">
        <v>44967</v>
      </c>
      <c r="E407" s="389">
        <v>44967</v>
      </c>
      <c r="F407" s="390" t="str">
        <f t="shared" si="5"/>
        <v>Lighting</v>
      </c>
      <c r="G407" s="135">
        <v>7.5952421850581601E-3</v>
      </c>
      <c r="H407" s="135">
        <v>6.8301865532236E-3</v>
      </c>
      <c r="I407" s="135">
        <v>7.4159413461902697E-3</v>
      </c>
      <c r="J407" s="135">
        <v>9.3585166610140099E-3</v>
      </c>
      <c r="K407" s="135">
        <v>3.3425006745758497E-2</v>
      </c>
      <c r="L407" s="135">
        <v>7.0715348246745705E-2</v>
      </c>
      <c r="M407" s="135">
        <v>5.1928626495336402E-2</v>
      </c>
      <c r="N407" s="135">
        <v>3.1673308886092801E-2</v>
      </c>
      <c r="O407" s="135">
        <v>2.2236994931657001E-2</v>
      </c>
      <c r="P407" s="135">
        <v>2.0560169292138799E-2</v>
      </c>
      <c r="Q407" s="135">
        <v>2.18661162079264E-2</v>
      </c>
      <c r="R407" s="135">
        <v>2.0842180624689899E-2</v>
      </c>
      <c r="S407" s="135">
        <v>2.0100994778200099E-2</v>
      </c>
      <c r="T407" s="135">
        <v>1.6831039902024201E-2</v>
      </c>
      <c r="U407" s="135">
        <v>1.9432218626620899E-2</v>
      </c>
      <c r="V407" s="135">
        <v>2.2657789154565799E-2</v>
      </c>
      <c r="W407" s="135">
        <v>2.6654402391733199E-2</v>
      </c>
      <c r="X407" s="135">
        <v>3.4431574936831799E-2</v>
      </c>
      <c r="Y407" s="135">
        <v>4.4276020812349097E-2</v>
      </c>
      <c r="Z407" s="135">
        <v>5.6346361140112801E-2</v>
      </c>
      <c r="AA407" s="135">
        <v>6.3844471002895795E-2</v>
      </c>
      <c r="AB407" s="135">
        <v>4.6815435432834902E-2</v>
      </c>
      <c r="AC407" s="135">
        <v>1.8402819557497199E-2</v>
      </c>
      <c r="AD407" s="135">
        <v>8.7440244163495707E-3</v>
      </c>
      <c r="AF407" s="243">
        <f t="shared" si="6"/>
        <v>0.14838474168576049</v>
      </c>
      <c r="AG407" s="275">
        <f t="shared" si="7"/>
        <v>0.32009215706031774</v>
      </c>
      <c r="AH407" s="391">
        <f t="shared" si="8"/>
        <v>0.36289263326752935</v>
      </c>
      <c r="AI407" s="135">
        <f t="shared" si="9"/>
        <v>0.68298479032784709</v>
      </c>
    </row>
    <row r="408" spans="1:35" ht="12.6">
      <c r="A408" s="10" t="s">
        <v>61</v>
      </c>
      <c r="B408" s="10">
        <v>42</v>
      </c>
      <c r="C408" s="10" t="s">
        <v>1512</v>
      </c>
      <c r="D408" s="388">
        <v>44968</v>
      </c>
      <c r="E408" s="389">
        <v>44968</v>
      </c>
      <c r="F408" s="390" t="str">
        <f t="shared" si="5"/>
        <v>Lighting</v>
      </c>
      <c r="G408" s="135">
        <v>8.3979857634250595E-3</v>
      </c>
      <c r="H408" s="135">
        <v>7.7963964395086896E-3</v>
      </c>
      <c r="I408" s="135">
        <v>8.3822325395603008E-3</v>
      </c>
      <c r="J408" s="135">
        <v>1.04290513120818E-2</v>
      </c>
      <c r="K408" s="135">
        <v>8.2112463453817598E-3</v>
      </c>
      <c r="L408" s="135">
        <v>1.07990385440268E-2</v>
      </c>
      <c r="M408" s="135">
        <v>2.0014397807540201E-2</v>
      </c>
      <c r="N408" s="135">
        <v>3.0890684582839299E-2</v>
      </c>
      <c r="O408" s="135">
        <v>4.2703331359732602E-2</v>
      </c>
      <c r="P408" s="135">
        <v>4.3606857894242797E-2</v>
      </c>
      <c r="Q408" s="135">
        <v>4.0790999038774499E-2</v>
      </c>
      <c r="R408" s="135">
        <v>3.5847085401207901E-2</v>
      </c>
      <c r="S408" s="135">
        <v>3.2277433130328603E-2</v>
      </c>
      <c r="T408" s="135">
        <v>2.7530842799098499E-2</v>
      </c>
      <c r="U408" s="135">
        <v>3.1619476682785197E-2</v>
      </c>
      <c r="V408" s="135">
        <v>2.7837118896337699E-2</v>
      </c>
      <c r="W408" s="135">
        <v>2.90835721058064E-2</v>
      </c>
      <c r="X408" s="135">
        <v>3.3496417590967303E-2</v>
      </c>
      <c r="Y408" s="135">
        <v>4.0296705301614603E-2</v>
      </c>
      <c r="Z408" s="135">
        <v>5.01490773383379E-2</v>
      </c>
      <c r="AA408" s="135">
        <v>5.7177958912325903E-2</v>
      </c>
      <c r="AB408" s="135">
        <v>4.41050484989172E-2</v>
      </c>
      <c r="AC408" s="135">
        <v>2.0819438993321698E-2</v>
      </c>
      <c r="AD408" s="135">
        <v>1.2035506651996399E-2</v>
      </c>
      <c r="AF408" s="243">
        <f t="shared" si="6"/>
        <v>0.2249865280543388</v>
      </c>
      <c r="AG408" s="275">
        <f t="shared" si="7"/>
        <v>0.25523373801119908</v>
      </c>
      <c r="AH408" s="391">
        <f t="shared" si="8"/>
        <v>0.41906416591896001</v>
      </c>
      <c r="AI408" s="135">
        <f t="shared" si="9"/>
        <v>0.67429790393015909</v>
      </c>
    </row>
    <row r="409" spans="1:35" ht="12.6">
      <c r="A409" s="10" t="s">
        <v>61</v>
      </c>
      <c r="B409" s="10">
        <v>43</v>
      </c>
      <c r="C409" s="10" t="s">
        <v>1512</v>
      </c>
      <c r="D409" s="388">
        <v>44969</v>
      </c>
      <c r="E409" s="389">
        <v>44969</v>
      </c>
      <c r="F409" s="390" t="str">
        <f t="shared" si="5"/>
        <v>Lighting</v>
      </c>
      <c r="G409" s="135">
        <v>8.3979857634250595E-3</v>
      </c>
      <c r="H409" s="135">
        <v>7.7963964395086896E-3</v>
      </c>
      <c r="I409" s="135">
        <v>8.3822325395603008E-3</v>
      </c>
      <c r="J409" s="135">
        <v>1.04290513120818E-2</v>
      </c>
      <c r="K409" s="135">
        <v>8.2112463453817598E-3</v>
      </c>
      <c r="L409" s="135">
        <v>1.07990385440268E-2</v>
      </c>
      <c r="M409" s="135">
        <v>2.0014397807540201E-2</v>
      </c>
      <c r="N409" s="135">
        <v>3.0890684582839299E-2</v>
      </c>
      <c r="O409" s="135">
        <v>4.2703331359732602E-2</v>
      </c>
      <c r="P409" s="135">
        <v>4.3606857894242797E-2</v>
      </c>
      <c r="Q409" s="135">
        <v>4.0790999038774499E-2</v>
      </c>
      <c r="R409" s="135">
        <v>3.5847085401207901E-2</v>
      </c>
      <c r="S409" s="135">
        <v>3.2277433130328603E-2</v>
      </c>
      <c r="T409" s="135">
        <v>2.7530842799098499E-2</v>
      </c>
      <c r="U409" s="135">
        <v>3.1619476682785197E-2</v>
      </c>
      <c r="V409" s="135">
        <v>2.7837118896337699E-2</v>
      </c>
      <c r="W409" s="135">
        <v>2.90835721058064E-2</v>
      </c>
      <c r="X409" s="135">
        <v>3.3496417590967303E-2</v>
      </c>
      <c r="Y409" s="135">
        <v>4.0296705301614603E-2</v>
      </c>
      <c r="Z409" s="135">
        <v>5.01490773383379E-2</v>
      </c>
      <c r="AA409" s="135">
        <v>5.7177958912325903E-2</v>
      </c>
      <c r="AB409" s="135">
        <v>4.41050484989172E-2</v>
      </c>
      <c r="AC409" s="135">
        <v>2.0819438993321698E-2</v>
      </c>
      <c r="AD409" s="135">
        <v>1.2035506651996399E-2</v>
      </c>
      <c r="AF409" s="243">
        <f t="shared" si="6"/>
        <v>0.2249865280543388</v>
      </c>
      <c r="AG409" s="275">
        <f t="shared" si="7"/>
        <v>0.25523373801119908</v>
      </c>
      <c r="AH409" s="391">
        <f t="shared" si="8"/>
        <v>0.41906416591896001</v>
      </c>
      <c r="AI409" s="135">
        <f t="shared" si="9"/>
        <v>0.67429790393015909</v>
      </c>
    </row>
    <row r="410" spans="1:35" ht="12.6">
      <c r="A410" s="10" t="s">
        <v>61</v>
      </c>
      <c r="B410" s="10">
        <v>44</v>
      </c>
      <c r="C410" s="10" t="s">
        <v>1512</v>
      </c>
      <c r="D410" s="388">
        <v>44970</v>
      </c>
      <c r="E410" s="389">
        <v>44970</v>
      </c>
      <c r="F410" s="390" t="str">
        <f t="shared" si="5"/>
        <v>Lighting</v>
      </c>
      <c r="G410" s="135">
        <v>7.5952421850581601E-3</v>
      </c>
      <c r="H410" s="135">
        <v>6.8301865532236E-3</v>
      </c>
      <c r="I410" s="135">
        <v>7.4159413461902697E-3</v>
      </c>
      <c r="J410" s="135">
        <v>9.3585166610140099E-3</v>
      </c>
      <c r="K410" s="135">
        <v>3.3425006745758497E-2</v>
      </c>
      <c r="L410" s="135">
        <v>7.0715348246745705E-2</v>
      </c>
      <c r="M410" s="135">
        <v>5.1928626495336402E-2</v>
      </c>
      <c r="N410" s="135">
        <v>3.1673308886092801E-2</v>
      </c>
      <c r="O410" s="135">
        <v>2.2236994931657001E-2</v>
      </c>
      <c r="P410" s="135">
        <v>2.0560169292138799E-2</v>
      </c>
      <c r="Q410" s="135">
        <v>2.18661162079264E-2</v>
      </c>
      <c r="R410" s="135">
        <v>2.0842180624689899E-2</v>
      </c>
      <c r="S410" s="135">
        <v>2.0100994778200099E-2</v>
      </c>
      <c r="T410" s="135">
        <v>1.6831039902024201E-2</v>
      </c>
      <c r="U410" s="135">
        <v>1.9432218626620899E-2</v>
      </c>
      <c r="V410" s="135">
        <v>2.2657789154565799E-2</v>
      </c>
      <c r="W410" s="135">
        <v>2.6654402391733199E-2</v>
      </c>
      <c r="X410" s="135">
        <v>3.4431574936831799E-2</v>
      </c>
      <c r="Y410" s="135">
        <v>4.4276020812349097E-2</v>
      </c>
      <c r="Z410" s="135">
        <v>5.6346361140112801E-2</v>
      </c>
      <c r="AA410" s="135">
        <v>6.3844471002895795E-2</v>
      </c>
      <c r="AB410" s="135">
        <v>4.6815435432834902E-2</v>
      </c>
      <c r="AC410" s="135">
        <v>1.8402819557497199E-2</v>
      </c>
      <c r="AD410" s="135">
        <v>8.7440244163495707E-3</v>
      </c>
      <c r="AF410" s="243">
        <f t="shared" si="6"/>
        <v>0.14838474168576049</v>
      </c>
      <c r="AG410" s="275">
        <f t="shared" si="7"/>
        <v>0.32009215706031774</v>
      </c>
      <c r="AH410" s="391">
        <f t="shared" si="8"/>
        <v>0.36289263326752935</v>
      </c>
      <c r="AI410" s="135">
        <f t="shared" si="9"/>
        <v>0.68298479032784709</v>
      </c>
    </row>
    <row r="411" spans="1:35" ht="12.6">
      <c r="A411" s="10" t="s">
        <v>61</v>
      </c>
      <c r="B411" s="10">
        <v>45</v>
      </c>
      <c r="C411" s="10" t="s">
        <v>1512</v>
      </c>
      <c r="D411" s="388">
        <v>44971</v>
      </c>
      <c r="E411" s="389">
        <v>44971</v>
      </c>
      <c r="F411" s="390" t="str">
        <f t="shared" si="5"/>
        <v>Lighting</v>
      </c>
      <c r="G411" s="135">
        <v>7.5952421850581601E-3</v>
      </c>
      <c r="H411" s="135">
        <v>6.8301865532236E-3</v>
      </c>
      <c r="I411" s="135">
        <v>7.4159413461902697E-3</v>
      </c>
      <c r="J411" s="135">
        <v>9.3585166610140099E-3</v>
      </c>
      <c r="K411" s="135">
        <v>3.3425006745758497E-2</v>
      </c>
      <c r="L411" s="135">
        <v>7.0715348246745705E-2</v>
      </c>
      <c r="M411" s="135">
        <v>5.1928626495336402E-2</v>
      </c>
      <c r="N411" s="135">
        <v>3.1673308886092801E-2</v>
      </c>
      <c r="O411" s="135">
        <v>2.2236994931657001E-2</v>
      </c>
      <c r="P411" s="135">
        <v>2.0560169292138799E-2</v>
      </c>
      <c r="Q411" s="135">
        <v>2.18661162079264E-2</v>
      </c>
      <c r="R411" s="135">
        <v>2.0842180624689899E-2</v>
      </c>
      <c r="S411" s="135">
        <v>2.0100994778200099E-2</v>
      </c>
      <c r="T411" s="135">
        <v>1.6831039902024201E-2</v>
      </c>
      <c r="U411" s="135">
        <v>1.9432218626620899E-2</v>
      </c>
      <c r="V411" s="135">
        <v>2.2657789154565799E-2</v>
      </c>
      <c r="W411" s="135">
        <v>2.6654402391733199E-2</v>
      </c>
      <c r="X411" s="135">
        <v>3.4431574936831799E-2</v>
      </c>
      <c r="Y411" s="135">
        <v>4.4276020812349097E-2</v>
      </c>
      <c r="Z411" s="135">
        <v>5.6346361140112801E-2</v>
      </c>
      <c r="AA411" s="135">
        <v>6.3844471002895795E-2</v>
      </c>
      <c r="AB411" s="135">
        <v>4.6815435432834902E-2</v>
      </c>
      <c r="AC411" s="135">
        <v>1.8402819557497199E-2</v>
      </c>
      <c r="AD411" s="135">
        <v>8.7440244163495707E-3</v>
      </c>
      <c r="AF411" s="243">
        <f t="shared" si="6"/>
        <v>0.14838474168576049</v>
      </c>
      <c r="AG411" s="275">
        <f t="shared" si="7"/>
        <v>0.32009215706031774</v>
      </c>
      <c r="AH411" s="391">
        <f t="shared" si="8"/>
        <v>0.36289263326752935</v>
      </c>
      <c r="AI411" s="135">
        <f t="shared" si="9"/>
        <v>0.68298479032784709</v>
      </c>
    </row>
    <row r="412" spans="1:35" ht="12.6">
      <c r="A412" s="10" t="s">
        <v>61</v>
      </c>
      <c r="B412" s="10">
        <v>46</v>
      </c>
      <c r="C412" s="10" t="s">
        <v>1512</v>
      </c>
      <c r="D412" s="388">
        <v>44972</v>
      </c>
      <c r="E412" s="389">
        <v>44972</v>
      </c>
      <c r="F412" s="390" t="str">
        <f t="shared" si="5"/>
        <v>Lighting</v>
      </c>
      <c r="G412" s="135">
        <v>7.5952421850581601E-3</v>
      </c>
      <c r="H412" s="135">
        <v>6.8301865532236E-3</v>
      </c>
      <c r="I412" s="135">
        <v>7.4159413461902697E-3</v>
      </c>
      <c r="J412" s="135">
        <v>9.3585166610140099E-3</v>
      </c>
      <c r="K412" s="135">
        <v>3.3425006745758497E-2</v>
      </c>
      <c r="L412" s="135">
        <v>7.0715348246745705E-2</v>
      </c>
      <c r="M412" s="135">
        <v>5.1928626495336402E-2</v>
      </c>
      <c r="N412" s="135">
        <v>3.1673308886092801E-2</v>
      </c>
      <c r="O412" s="135">
        <v>2.2236994931657001E-2</v>
      </c>
      <c r="P412" s="135">
        <v>2.0560169292138799E-2</v>
      </c>
      <c r="Q412" s="135">
        <v>2.18661162079264E-2</v>
      </c>
      <c r="R412" s="135">
        <v>2.0842180624689899E-2</v>
      </c>
      <c r="S412" s="135">
        <v>2.0100994778200099E-2</v>
      </c>
      <c r="T412" s="135">
        <v>1.6831039902024201E-2</v>
      </c>
      <c r="U412" s="135">
        <v>1.9432218626620899E-2</v>
      </c>
      <c r="V412" s="135">
        <v>2.2657789154565799E-2</v>
      </c>
      <c r="W412" s="135">
        <v>2.6654402391733199E-2</v>
      </c>
      <c r="X412" s="135">
        <v>3.4431574936831799E-2</v>
      </c>
      <c r="Y412" s="135">
        <v>4.4276020812349097E-2</v>
      </c>
      <c r="Z412" s="135">
        <v>5.6346361140112801E-2</v>
      </c>
      <c r="AA412" s="135">
        <v>6.3844471002895795E-2</v>
      </c>
      <c r="AB412" s="135">
        <v>4.6815435432834902E-2</v>
      </c>
      <c r="AC412" s="135">
        <v>1.8402819557497199E-2</v>
      </c>
      <c r="AD412" s="135">
        <v>8.7440244163495707E-3</v>
      </c>
      <c r="AF412" s="243">
        <f t="shared" si="6"/>
        <v>0.14838474168576049</v>
      </c>
      <c r="AG412" s="275">
        <f t="shared" si="7"/>
        <v>0.32009215706031774</v>
      </c>
      <c r="AH412" s="391">
        <f t="shared" si="8"/>
        <v>0.36289263326752935</v>
      </c>
      <c r="AI412" s="135">
        <f t="shared" si="9"/>
        <v>0.68298479032784709</v>
      </c>
    </row>
    <row r="413" spans="1:35" ht="12.6">
      <c r="A413" s="10" t="s">
        <v>61</v>
      </c>
      <c r="B413" s="10">
        <v>47</v>
      </c>
      <c r="C413" s="10" t="s">
        <v>1512</v>
      </c>
      <c r="D413" s="388">
        <v>44973</v>
      </c>
      <c r="E413" s="389">
        <v>44973</v>
      </c>
      <c r="F413" s="390" t="str">
        <f t="shared" si="5"/>
        <v>Lighting</v>
      </c>
      <c r="G413" s="135">
        <v>7.5952421850581601E-3</v>
      </c>
      <c r="H413" s="135">
        <v>6.8301865532236E-3</v>
      </c>
      <c r="I413" s="135">
        <v>7.4159413461902697E-3</v>
      </c>
      <c r="J413" s="135">
        <v>9.3585166610140099E-3</v>
      </c>
      <c r="K413" s="135">
        <v>3.3425006745758497E-2</v>
      </c>
      <c r="L413" s="135">
        <v>7.0715348246745705E-2</v>
      </c>
      <c r="M413" s="135">
        <v>5.1928626495336402E-2</v>
      </c>
      <c r="N413" s="135">
        <v>3.1673308886092801E-2</v>
      </c>
      <c r="O413" s="135">
        <v>2.2236994931657001E-2</v>
      </c>
      <c r="P413" s="135">
        <v>2.0560169292138799E-2</v>
      </c>
      <c r="Q413" s="135">
        <v>2.18661162079264E-2</v>
      </c>
      <c r="R413" s="135">
        <v>2.0842180624689899E-2</v>
      </c>
      <c r="S413" s="135">
        <v>2.0100994778200099E-2</v>
      </c>
      <c r="T413" s="135">
        <v>1.6831039902024201E-2</v>
      </c>
      <c r="U413" s="135">
        <v>1.9432218626620899E-2</v>
      </c>
      <c r="V413" s="135">
        <v>2.2657789154565799E-2</v>
      </c>
      <c r="W413" s="135">
        <v>2.6654402391733199E-2</v>
      </c>
      <c r="X413" s="135">
        <v>3.4431574936831799E-2</v>
      </c>
      <c r="Y413" s="135">
        <v>4.4276020812349097E-2</v>
      </c>
      <c r="Z413" s="135">
        <v>5.6346361140112801E-2</v>
      </c>
      <c r="AA413" s="135">
        <v>6.3844471002895795E-2</v>
      </c>
      <c r="AB413" s="135">
        <v>4.6815435432834902E-2</v>
      </c>
      <c r="AC413" s="135">
        <v>1.8402819557497199E-2</v>
      </c>
      <c r="AD413" s="135">
        <v>8.7440244163495707E-3</v>
      </c>
      <c r="AF413" s="243">
        <f t="shared" si="6"/>
        <v>0.14838474168576049</v>
      </c>
      <c r="AG413" s="275">
        <f t="shared" si="7"/>
        <v>0.32009215706031774</v>
      </c>
      <c r="AH413" s="391">
        <f t="shared" si="8"/>
        <v>0.36289263326752935</v>
      </c>
      <c r="AI413" s="135">
        <f t="shared" si="9"/>
        <v>0.68298479032784709</v>
      </c>
    </row>
    <row r="414" spans="1:35" ht="12.6">
      <c r="A414" s="10" t="s">
        <v>61</v>
      </c>
      <c r="B414" s="10">
        <v>48</v>
      </c>
      <c r="C414" s="10" t="s">
        <v>1512</v>
      </c>
      <c r="D414" s="388">
        <v>44974</v>
      </c>
      <c r="E414" s="389">
        <v>44974</v>
      </c>
      <c r="F414" s="390" t="str">
        <f t="shared" si="5"/>
        <v>Lighting</v>
      </c>
      <c r="G414" s="135">
        <v>7.5952421850581601E-3</v>
      </c>
      <c r="H414" s="135">
        <v>6.8301865532236E-3</v>
      </c>
      <c r="I414" s="135">
        <v>7.4159413461902697E-3</v>
      </c>
      <c r="J414" s="135">
        <v>9.3585166610140099E-3</v>
      </c>
      <c r="K414" s="135">
        <v>3.3425006745758497E-2</v>
      </c>
      <c r="L414" s="135">
        <v>7.0715348246745705E-2</v>
      </c>
      <c r="M414" s="135">
        <v>5.1928626495336402E-2</v>
      </c>
      <c r="N414" s="135">
        <v>3.1673308886092801E-2</v>
      </c>
      <c r="O414" s="135">
        <v>2.2236994931657001E-2</v>
      </c>
      <c r="P414" s="135">
        <v>2.0560169292138799E-2</v>
      </c>
      <c r="Q414" s="135">
        <v>2.18661162079264E-2</v>
      </c>
      <c r="R414" s="135">
        <v>2.0842180624689899E-2</v>
      </c>
      <c r="S414" s="135">
        <v>2.0100994778200099E-2</v>
      </c>
      <c r="T414" s="135">
        <v>1.6831039902024201E-2</v>
      </c>
      <c r="U414" s="135">
        <v>1.9432218626620899E-2</v>
      </c>
      <c r="V414" s="135">
        <v>2.2657789154565799E-2</v>
      </c>
      <c r="W414" s="135">
        <v>2.6654402391733199E-2</v>
      </c>
      <c r="X414" s="135">
        <v>3.4431574936831799E-2</v>
      </c>
      <c r="Y414" s="135">
        <v>4.4276020812349097E-2</v>
      </c>
      <c r="Z414" s="135">
        <v>5.6346361140112801E-2</v>
      </c>
      <c r="AA414" s="135">
        <v>6.3844471002895795E-2</v>
      </c>
      <c r="AB414" s="135">
        <v>4.6815435432834902E-2</v>
      </c>
      <c r="AC414" s="135">
        <v>1.8402819557497199E-2</v>
      </c>
      <c r="AD414" s="135">
        <v>8.7440244163495707E-3</v>
      </c>
      <c r="AF414" s="243">
        <f t="shared" si="6"/>
        <v>0.14838474168576049</v>
      </c>
      <c r="AG414" s="275">
        <f t="shared" si="7"/>
        <v>0.32009215706031774</v>
      </c>
      <c r="AH414" s="391">
        <f t="shared" si="8"/>
        <v>0.36289263326752935</v>
      </c>
      <c r="AI414" s="135">
        <f t="shared" si="9"/>
        <v>0.68298479032784709</v>
      </c>
    </row>
    <row r="415" spans="1:35" ht="12.6">
      <c r="A415" s="10" t="s">
        <v>61</v>
      </c>
      <c r="B415" s="10">
        <v>49</v>
      </c>
      <c r="C415" s="10" t="s">
        <v>1512</v>
      </c>
      <c r="D415" s="388">
        <v>44975</v>
      </c>
      <c r="E415" s="389">
        <v>44975</v>
      </c>
      <c r="F415" s="390" t="str">
        <f t="shared" si="5"/>
        <v>Lighting</v>
      </c>
      <c r="G415" s="135">
        <v>8.3979857634250595E-3</v>
      </c>
      <c r="H415" s="135">
        <v>7.7963964395086896E-3</v>
      </c>
      <c r="I415" s="135">
        <v>8.3822325395603008E-3</v>
      </c>
      <c r="J415" s="135">
        <v>1.04290513120818E-2</v>
      </c>
      <c r="K415" s="135">
        <v>8.2112463453817598E-3</v>
      </c>
      <c r="L415" s="135">
        <v>1.07990385440268E-2</v>
      </c>
      <c r="M415" s="135">
        <v>2.0014397807540201E-2</v>
      </c>
      <c r="N415" s="135">
        <v>3.0890684582839299E-2</v>
      </c>
      <c r="O415" s="135">
        <v>4.2703331359732602E-2</v>
      </c>
      <c r="P415" s="135">
        <v>4.3606857894242797E-2</v>
      </c>
      <c r="Q415" s="135">
        <v>4.0790999038774499E-2</v>
      </c>
      <c r="R415" s="135">
        <v>3.5847085401207901E-2</v>
      </c>
      <c r="S415" s="135">
        <v>3.2277433130328603E-2</v>
      </c>
      <c r="T415" s="135">
        <v>2.7530842799098499E-2</v>
      </c>
      <c r="U415" s="135">
        <v>3.1619476682785197E-2</v>
      </c>
      <c r="V415" s="135">
        <v>2.7837118896337699E-2</v>
      </c>
      <c r="W415" s="135">
        <v>2.90835721058064E-2</v>
      </c>
      <c r="X415" s="135">
        <v>3.3496417590967303E-2</v>
      </c>
      <c r="Y415" s="135">
        <v>4.0296705301614603E-2</v>
      </c>
      <c r="Z415" s="135">
        <v>5.01490773383379E-2</v>
      </c>
      <c r="AA415" s="135">
        <v>5.7177958912325903E-2</v>
      </c>
      <c r="AB415" s="135">
        <v>4.41050484989172E-2</v>
      </c>
      <c r="AC415" s="135">
        <v>2.0819438993321698E-2</v>
      </c>
      <c r="AD415" s="135">
        <v>1.2035506651996399E-2</v>
      </c>
      <c r="AF415" s="243">
        <f t="shared" si="6"/>
        <v>0.2249865280543388</v>
      </c>
      <c r="AG415" s="275">
        <f t="shared" si="7"/>
        <v>0.25523373801119908</v>
      </c>
      <c r="AH415" s="391">
        <f t="shared" si="8"/>
        <v>0.41906416591896001</v>
      </c>
      <c r="AI415" s="135">
        <f t="shared" si="9"/>
        <v>0.67429790393015909</v>
      </c>
    </row>
    <row r="416" spans="1:35" ht="12.6">
      <c r="A416" s="10" t="s">
        <v>61</v>
      </c>
      <c r="B416" s="10">
        <v>50</v>
      </c>
      <c r="C416" s="10" t="s">
        <v>1512</v>
      </c>
      <c r="D416" s="388">
        <v>44976</v>
      </c>
      <c r="E416" s="389">
        <v>44976</v>
      </c>
      <c r="F416" s="390" t="str">
        <f t="shared" si="5"/>
        <v>Lighting</v>
      </c>
      <c r="G416" s="135">
        <v>8.3979857634250595E-3</v>
      </c>
      <c r="H416" s="135">
        <v>7.7963964395086896E-3</v>
      </c>
      <c r="I416" s="135">
        <v>8.3822325395603008E-3</v>
      </c>
      <c r="J416" s="135">
        <v>1.04290513120818E-2</v>
      </c>
      <c r="K416" s="135">
        <v>8.2112463453817598E-3</v>
      </c>
      <c r="L416" s="135">
        <v>1.07990385440268E-2</v>
      </c>
      <c r="M416" s="135">
        <v>2.0014397807540201E-2</v>
      </c>
      <c r="N416" s="135">
        <v>3.0890684582839299E-2</v>
      </c>
      <c r="O416" s="135">
        <v>4.2703331359732602E-2</v>
      </c>
      <c r="P416" s="135">
        <v>4.3606857894242797E-2</v>
      </c>
      <c r="Q416" s="135">
        <v>4.0790999038774499E-2</v>
      </c>
      <c r="R416" s="135">
        <v>3.5847085401207901E-2</v>
      </c>
      <c r="S416" s="135">
        <v>3.2277433130328603E-2</v>
      </c>
      <c r="T416" s="135">
        <v>2.7530842799098499E-2</v>
      </c>
      <c r="U416" s="135">
        <v>3.1619476682785197E-2</v>
      </c>
      <c r="V416" s="135">
        <v>2.7837118896337699E-2</v>
      </c>
      <c r="W416" s="135">
        <v>2.90835721058064E-2</v>
      </c>
      <c r="X416" s="135">
        <v>3.3496417590967303E-2</v>
      </c>
      <c r="Y416" s="135">
        <v>4.0296705301614603E-2</v>
      </c>
      <c r="Z416" s="135">
        <v>5.01490773383379E-2</v>
      </c>
      <c r="AA416" s="135">
        <v>5.7177958912325903E-2</v>
      </c>
      <c r="AB416" s="135">
        <v>4.41050484989172E-2</v>
      </c>
      <c r="AC416" s="135">
        <v>2.0819438993321698E-2</v>
      </c>
      <c r="AD416" s="135">
        <v>1.2035506651996399E-2</v>
      </c>
      <c r="AF416" s="243">
        <f t="shared" si="6"/>
        <v>0.2249865280543388</v>
      </c>
      <c r="AG416" s="275">
        <f t="shared" si="7"/>
        <v>0.25523373801119908</v>
      </c>
      <c r="AH416" s="391">
        <f t="shared" si="8"/>
        <v>0.41906416591896001</v>
      </c>
      <c r="AI416" s="135">
        <f t="shared" si="9"/>
        <v>0.67429790393015909</v>
      </c>
    </row>
    <row r="417" spans="1:35" ht="12.6">
      <c r="A417" s="10" t="s">
        <v>61</v>
      </c>
      <c r="B417" s="10">
        <v>51</v>
      </c>
      <c r="C417" s="10" t="s">
        <v>1512</v>
      </c>
      <c r="D417" s="388">
        <v>44977</v>
      </c>
      <c r="E417" s="389">
        <v>44977</v>
      </c>
      <c r="F417" s="390" t="str">
        <f t="shared" si="5"/>
        <v>Lighting</v>
      </c>
      <c r="G417" s="135">
        <v>7.5952421850581601E-3</v>
      </c>
      <c r="H417" s="135">
        <v>6.8301865532236E-3</v>
      </c>
      <c r="I417" s="135">
        <v>7.4159413461902697E-3</v>
      </c>
      <c r="J417" s="135">
        <v>9.3585166610140099E-3</v>
      </c>
      <c r="K417" s="135">
        <v>3.3425006745758497E-2</v>
      </c>
      <c r="L417" s="135">
        <v>7.0715348246745705E-2</v>
      </c>
      <c r="M417" s="135">
        <v>5.1928626495336402E-2</v>
      </c>
      <c r="N417" s="135">
        <v>3.1673308886092801E-2</v>
      </c>
      <c r="O417" s="135">
        <v>2.2236994931657001E-2</v>
      </c>
      <c r="P417" s="135">
        <v>2.0560169292138799E-2</v>
      </c>
      <c r="Q417" s="135">
        <v>2.18661162079264E-2</v>
      </c>
      <c r="R417" s="135">
        <v>2.0842180624689899E-2</v>
      </c>
      <c r="S417" s="135">
        <v>2.0100994778200099E-2</v>
      </c>
      <c r="T417" s="135">
        <v>1.6831039902024201E-2</v>
      </c>
      <c r="U417" s="135">
        <v>1.9432218626620899E-2</v>
      </c>
      <c r="V417" s="135">
        <v>2.2657789154565799E-2</v>
      </c>
      <c r="W417" s="135">
        <v>2.6654402391733199E-2</v>
      </c>
      <c r="X417" s="135">
        <v>3.4431574936831799E-2</v>
      </c>
      <c r="Y417" s="135">
        <v>4.4276020812349097E-2</v>
      </c>
      <c r="Z417" s="135">
        <v>5.6346361140112801E-2</v>
      </c>
      <c r="AA417" s="135">
        <v>6.3844471002895795E-2</v>
      </c>
      <c r="AB417" s="135">
        <v>4.6815435432834902E-2</v>
      </c>
      <c r="AC417" s="135">
        <v>1.8402819557497199E-2</v>
      </c>
      <c r="AD417" s="135">
        <v>8.7440244163495707E-3</v>
      </c>
      <c r="AF417" s="243">
        <f t="shared" si="6"/>
        <v>0.14838474168576049</v>
      </c>
      <c r="AG417" s="275">
        <f t="shared" si="7"/>
        <v>0.32009215706031774</v>
      </c>
      <c r="AH417" s="391">
        <f t="shared" si="8"/>
        <v>0.36289263326752935</v>
      </c>
      <c r="AI417" s="135">
        <f t="shared" si="9"/>
        <v>0.68298479032784709</v>
      </c>
    </row>
    <row r="418" spans="1:35" ht="12.6">
      <c r="A418" s="10" t="s">
        <v>61</v>
      </c>
      <c r="B418" s="10">
        <v>52</v>
      </c>
      <c r="C418" s="10" t="s">
        <v>1512</v>
      </c>
      <c r="D418" s="388">
        <v>44978</v>
      </c>
      <c r="E418" s="389">
        <v>44978</v>
      </c>
      <c r="F418" s="390" t="str">
        <f t="shared" si="5"/>
        <v>Lighting</v>
      </c>
      <c r="G418" s="135">
        <v>7.5952421850581601E-3</v>
      </c>
      <c r="H418" s="135">
        <v>6.8301865532236E-3</v>
      </c>
      <c r="I418" s="135">
        <v>7.4159413461902697E-3</v>
      </c>
      <c r="J418" s="135">
        <v>9.3585166610140099E-3</v>
      </c>
      <c r="K418" s="135">
        <v>3.3425006745758497E-2</v>
      </c>
      <c r="L418" s="135">
        <v>7.0715348246745705E-2</v>
      </c>
      <c r="M418" s="135">
        <v>5.1928626495336402E-2</v>
      </c>
      <c r="N418" s="135">
        <v>3.1673308886092801E-2</v>
      </c>
      <c r="O418" s="135">
        <v>2.2236994931657001E-2</v>
      </c>
      <c r="P418" s="135">
        <v>2.0560169292138799E-2</v>
      </c>
      <c r="Q418" s="135">
        <v>2.18661162079264E-2</v>
      </c>
      <c r="R418" s="135">
        <v>2.0842180624689899E-2</v>
      </c>
      <c r="S418" s="135">
        <v>2.0100994778200099E-2</v>
      </c>
      <c r="T418" s="135">
        <v>1.6831039902024201E-2</v>
      </c>
      <c r="U418" s="135">
        <v>1.9432218626620899E-2</v>
      </c>
      <c r="V418" s="135">
        <v>2.2657789154565799E-2</v>
      </c>
      <c r="W418" s="135">
        <v>2.6654402391733199E-2</v>
      </c>
      <c r="X418" s="135">
        <v>3.4431574936831799E-2</v>
      </c>
      <c r="Y418" s="135">
        <v>4.4276020812349097E-2</v>
      </c>
      <c r="Z418" s="135">
        <v>5.6346361140112801E-2</v>
      </c>
      <c r="AA418" s="135">
        <v>6.3844471002895795E-2</v>
      </c>
      <c r="AB418" s="135">
        <v>4.6815435432834902E-2</v>
      </c>
      <c r="AC418" s="135">
        <v>1.8402819557497199E-2</v>
      </c>
      <c r="AD418" s="135">
        <v>8.7440244163495707E-3</v>
      </c>
      <c r="AF418" s="243">
        <f t="shared" si="6"/>
        <v>0.14838474168576049</v>
      </c>
      <c r="AG418" s="275">
        <f t="shared" si="7"/>
        <v>0.32009215706031774</v>
      </c>
      <c r="AH418" s="391">
        <f t="shared" si="8"/>
        <v>0.36289263326752935</v>
      </c>
      <c r="AI418" s="135">
        <f t="shared" si="9"/>
        <v>0.68298479032784709</v>
      </c>
    </row>
    <row r="419" spans="1:35" ht="12.6">
      <c r="A419" s="10" t="s">
        <v>61</v>
      </c>
      <c r="B419" s="10">
        <v>53</v>
      </c>
      <c r="C419" s="10" t="s">
        <v>1512</v>
      </c>
      <c r="D419" s="388">
        <v>44979</v>
      </c>
      <c r="E419" s="389">
        <v>44979</v>
      </c>
      <c r="F419" s="390" t="str">
        <f t="shared" si="5"/>
        <v>Lighting</v>
      </c>
      <c r="G419" s="135">
        <v>7.5952421850581601E-3</v>
      </c>
      <c r="H419" s="135">
        <v>6.8301865532236E-3</v>
      </c>
      <c r="I419" s="135">
        <v>7.4159413461902697E-3</v>
      </c>
      <c r="J419" s="135">
        <v>9.3585166610140099E-3</v>
      </c>
      <c r="K419" s="135">
        <v>3.3425006745758497E-2</v>
      </c>
      <c r="L419" s="135">
        <v>7.0715348246745705E-2</v>
      </c>
      <c r="M419" s="135">
        <v>5.1928626495336402E-2</v>
      </c>
      <c r="N419" s="135">
        <v>3.1673308886092801E-2</v>
      </c>
      <c r="O419" s="135">
        <v>2.2236994931657001E-2</v>
      </c>
      <c r="P419" s="135">
        <v>2.0560169292138799E-2</v>
      </c>
      <c r="Q419" s="135">
        <v>2.18661162079264E-2</v>
      </c>
      <c r="R419" s="135">
        <v>2.0842180624689899E-2</v>
      </c>
      <c r="S419" s="135">
        <v>2.0100994778200099E-2</v>
      </c>
      <c r="T419" s="135">
        <v>1.6831039902024201E-2</v>
      </c>
      <c r="U419" s="135">
        <v>1.9432218626620899E-2</v>
      </c>
      <c r="V419" s="135">
        <v>2.2657789154565799E-2</v>
      </c>
      <c r="W419" s="135">
        <v>2.6654402391733199E-2</v>
      </c>
      <c r="X419" s="135">
        <v>3.4431574936831799E-2</v>
      </c>
      <c r="Y419" s="135">
        <v>4.4276020812349097E-2</v>
      </c>
      <c r="Z419" s="135">
        <v>5.6346361140112801E-2</v>
      </c>
      <c r="AA419" s="135">
        <v>6.3844471002895795E-2</v>
      </c>
      <c r="AB419" s="135">
        <v>4.6815435432834902E-2</v>
      </c>
      <c r="AC419" s="135">
        <v>1.8402819557497199E-2</v>
      </c>
      <c r="AD419" s="135">
        <v>8.7440244163495707E-3</v>
      </c>
      <c r="AF419" s="243">
        <f t="shared" si="6"/>
        <v>0.14838474168576049</v>
      </c>
      <c r="AG419" s="275">
        <f t="shared" si="7"/>
        <v>0.32009215706031774</v>
      </c>
      <c r="AH419" s="391">
        <f t="shared" si="8"/>
        <v>0.36289263326752935</v>
      </c>
      <c r="AI419" s="135">
        <f t="shared" si="9"/>
        <v>0.68298479032784709</v>
      </c>
    </row>
    <row r="420" spans="1:35" ht="12.6">
      <c r="A420" s="10" t="s">
        <v>61</v>
      </c>
      <c r="B420" s="10">
        <v>54</v>
      </c>
      <c r="C420" s="10" t="s">
        <v>1512</v>
      </c>
      <c r="D420" s="388">
        <v>44980</v>
      </c>
      <c r="E420" s="389">
        <v>44980</v>
      </c>
      <c r="F420" s="390" t="str">
        <f t="shared" si="5"/>
        <v>Lighting</v>
      </c>
      <c r="G420" s="135">
        <v>7.5952421850581601E-3</v>
      </c>
      <c r="H420" s="135">
        <v>6.8301865532236E-3</v>
      </c>
      <c r="I420" s="135">
        <v>7.4159413461902697E-3</v>
      </c>
      <c r="J420" s="135">
        <v>9.3585166610140099E-3</v>
      </c>
      <c r="K420" s="135">
        <v>3.3425006745758497E-2</v>
      </c>
      <c r="L420" s="135">
        <v>7.0715348246745705E-2</v>
      </c>
      <c r="M420" s="135">
        <v>5.1928626495336402E-2</v>
      </c>
      <c r="N420" s="135">
        <v>3.1673308886092801E-2</v>
      </c>
      <c r="O420" s="135">
        <v>2.2236994931657001E-2</v>
      </c>
      <c r="P420" s="135">
        <v>2.0560169292138799E-2</v>
      </c>
      <c r="Q420" s="135">
        <v>2.18661162079264E-2</v>
      </c>
      <c r="R420" s="135">
        <v>2.0842180624689899E-2</v>
      </c>
      <c r="S420" s="135">
        <v>2.0100994778200099E-2</v>
      </c>
      <c r="T420" s="135">
        <v>1.6831039902024201E-2</v>
      </c>
      <c r="U420" s="135">
        <v>1.9432218626620899E-2</v>
      </c>
      <c r="V420" s="135">
        <v>2.2657789154565799E-2</v>
      </c>
      <c r="W420" s="135">
        <v>2.6654402391733199E-2</v>
      </c>
      <c r="X420" s="135">
        <v>3.4431574936831799E-2</v>
      </c>
      <c r="Y420" s="135">
        <v>4.4276020812349097E-2</v>
      </c>
      <c r="Z420" s="135">
        <v>5.6346361140112801E-2</v>
      </c>
      <c r="AA420" s="135">
        <v>6.3844471002895795E-2</v>
      </c>
      <c r="AB420" s="135">
        <v>4.6815435432834902E-2</v>
      </c>
      <c r="AC420" s="135">
        <v>1.8402819557497199E-2</v>
      </c>
      <c r="AD420" s="135">
        <v>8.7440244163495707E-3</v>
      </c>
      <c r="AF420" s="243">
        <f t="shared" si="6"/>
        <v>0.14838474168576049</v>
      </c>
      <c r="AG420" s="275">
        <f t="shared" si="7"/>
        <v>0.32009215706031774</v>
      </c>
      <c r="AH420" s="391">
        <f t="shared" si="8"/>
        <v>0.36289263326752935</v>
      </c>
      <c r="AI420" s="135">
        <f t="shared" si="9"/>
        <v>0.68298479032784709</v>
      </c>
    </row>
    <row r="421" spans="1:35" ht="12.6">
      <c r="A421" s="10" t="s">
        <v>61</v>
      </c>
      <c r="B421" s="10">
        <v>55</v>
      </c>
      <c r="C421" s="10" t="s">
        <v>1512</v>
      </c>
      <c r="D421" s="388">
        <v>44981</v>
      </c>
      <c r="E421" s="389">
        <v>44981</v>
      </c>
      <c r="F421" s="390" t="str">
        <f t="shared" si="5"/>
        <v>Lighting</v>
      </c>
      <c r="G421" s="135">
        <v>7.5952421850581601E-3</v>
      </c>
      <c r="H421" s="135">
        <v>6.8301865532236E-3</v>
      </c>
      <c r="I421" s="135">
        <v>7.4159413461902697E-3</v>
      </c>
      <c r="J421" s="135">
        <v>9.3585166610140099E-3</v>
      </c>
      <c r="K421" s="135">
        <v>3.3425006745758497E-2</v>
      </c>
      <c r="L421" s="135">
        <v>7.0715348246745705E-2</v>
      </c>
      <c r="M421" s="135">
        <v>5.1928626495336402E-2</v>
      </c>
      <c r="N421" s="135">
        <v>3.1673308886092801E-2</v>
      </c>
      <c r="O421" s="135">
        <v>2.2236994931657001E-2</v>
      </c>
      <c r="P421" s="135">
        <v>2.0560169292138799E-2</v>
      </c>
      <c r="Q421" s="135">
        <v>2.18661162079264E-2</v>
      </c>
      <c r="R421" s="135">
        <v>2.0842180624689899E-2</v>
      </c>
      <c r="S421" s="135">
        <v>2.0100994778200099E-2</v>
      </c>
      <c r="T421" s="135">
        <v>1.6831039902024201E-2</v>
      </c>
      <c r="U421" s="135">
        <v>1.9432218626620899E-2</v>
      </c>
      <c r="V421" s="135">
        <v>2.2657789154565799E-2</v>
      </c>
      <c r="W421" s="135">
        <v>2.6654402391733199E-2</v>
      </c>
      <c r="X421" s="135">
        <v>3.4431574936831799E-2</v>
      </c>
      <c r="Y421" s="135">
        <v>4.4276020812349097E-2</v>
      </c>
      <c r="Z421" s="135">
        <v>5.6346361140112801E-2</v>
      </c>
      <c r="AA421" s="135">
        <v>6.3844471002895795E-2</v>
      </c>
      <c r="AB421" s="135">
        <v>4.6815435432834902E-2</v>
      </c>
      <c r="AC421" s="135">
        <v>1.8402819557497199E-2</v>
      </c>
      <c r="AD421" s="135">
        <v>8.7440244163495707E-3</v>
      </c>
      <c r="AF421" s="243">
        <f t="shared" si="6"/>
        <v>0.14838474168576049</v>
      </c>
      <c r="AG421" s="275">
        <f t="shared" si="7"/>
        <v>0.32009215706031774</v>
      </c>
      <c r="AH421" s="391">
        <f t="shared" si="8"/>
        <v>0.36289263326752935</v>
      </c>
      <c r="AI421" s="135">
        <f t="shared" si="9"/>
        <v>0.68298479032784709</v>
      </c>
    </row>
    <row r="422" spans="1:35" ht="12.6">
      <c r="A422" s="10" t="s">
        <v>61</v>
      </c>
      <c r="B422" s="10">
        <v>56</v>
      </c>
      <c r="C422" s="10" t="s">
        <v>1512</v>
      </c>
      <c r="D422" s="388">
        <v>44982</v>
      </c>
      <c r="E422" s="389">
        <v>44982</v>
      </c>
      <c r="F422" s="390" t="str">
        <f t="shared" si="5"/>
        <v>Lighting</v>
      </c>
      <c r="G422" s="135">
        <v>8.3979857634250595E-3</v>
      </c>
      <c r="H422" s="135">
        <v>7.7963964395086896E-3</v>
      </c>
      <c r="I422" s="135">
        <v>8.3822325395603008E-3</v>
      </c>
      <c r="J422" s="135">
        <v>1.04290513120818E-2</v>
      </c>
      <c r="K422" s="135">
        <v>8.2112463453817598E-3</v>
      </c>
      <c r="L422" s="135">
        <v>1.07990385440268E-2</v>
      </c>
      <c r="M422" s="135">
        <v>2.0014397807540201E-2</v>
      </c>
      <c r="N422" s="135">
        <v>3.0890684582839299E-2</v>
      </c>
      <c r="O422" s="135">
        <v>4.2703331359732602E-2</v>
      </c>
      <c r="P422" s="135">
        <v>4.3606857894242797E-2</v>
      </c>
      <c r="Q422" s="135">
        <v>4.0790999038774499E-2</v>
      </c>
      <c r="R422" s="135">
        <v>3.5847085401207901E-2</v>
      </c>
      <c r="S422" s="135">
        <v>3.2277433130328603E-2</v>
      </c>
      <c r="T422" s="135">
        <v>2.7530842799098499E-2</v>
      </c>
      <c r="U422" s="135">
        <v>3.1619476682785197E-2</v>
      </c>
      <c r="V422" s="135">
        <v>2.7837118896337699E-2</v>
      </c>
      <c r="W422" s="135">
        <v>2.90835721058064E-2</v>
      </c>
      <c r="X422" s="135">
        <v>3.3496417590967303E-2</v>
      </c>
      <c r="Y422" s="135">
        <v>4.0296705301614603E-2</v>
      </c>
      <c r="Z422" s="135">
        <v>5.01490773383379E-2</v>
      </c>
      <c r="AA422" s="135">
        <v>5.7177958912325903E-2</v>
      </c>
      <c r="AB422" s="135">
        <v>4.41050484989172E-2</v>
      </c>
      <c r="AC422" s="135">
        <v>2.0819438993321698E-2</v>
      </c>
      <c r="AD422" s="135">
        <v>1.2035506651996399E-2</v>
      </c>
      <c r="AF422" s="243">
        <f t="shared" si="6"/>
        <v>0.2249865280543388</v>
      </c>
      <c r="AG422" s="275">
        <f t="shared" si="7"/>
        <v>0.25523373801119908</v>
      </c>
      <c r="AH422" s="391">
        <f t="shared" si="8"/>
        <v>0.41906416591896001</v>
      </c>
      <c r="AI422" s="135">
        <f t="shared" si="9"/>
        <v>0.67429790393015909</v>
      </c>
    </row>
    <row r="423" spans="1:35" ht="12.6">
      <c r="A423" s="10" t="s">
        <v>61</v>
      </c>
      <c r="B423" s="10">
        <v>57</v>
      </c>
      <c r="C423" s="10" t="s">
        <v>1512</v>
      </c>
      <c r="D423" s="388">
        <v>44983</v>
      </c>
      <c r="E423" s="389">
        <v>44983</v>
      </c>
      <c r="F423" s="390" t="str">
        <f t="shared" si="5"/>
        <v>Lighting</v>
      </c>
      <c r="G423" s="135">
        <v>8.3979857634250595E-3</v>
      </c>
      <c r="H423" s="135">
        <v>7.7963964395086896E-3</v>
      </c>
      <c r="I423" s="135">
        <v>8.3822325395603008E-3</v>
      </c>
      <c r="J423" s="135">
        <v>1.04290513120818E-2</v>
      </c>
      <c r="K423" s="135">
        <v>8.2112463453817598E-3</v>
      </c>
      <c r="L423" s="135">
        <v>1.07990385440268E-2</v>
      </c>
      <c r="M423" s="135">
        <v>2.0014397807540201E-2</v>
      </c>
      <c r="N423" s="135">
        <v>3.0890684582839299E-2</v>
      </c>
      <c r="O423" s="135">
        <v>4.2703331359732602E-2</v>
      </c>
      <c r="P423" s="135">
        <v>4.3606857894242797E-2</v>
      </c>
      <c r="Q423" s="135">
        <v>4.0790999038774499E-2</v>
      </c>
      <c r="R423" s="135">
        <v>3.5847085401207901E-2</v>
      </c>
      <c r="S423" s="135">
        <v>3.2277433130328603E-2</v>
      </c>
      <c r="T423" s="135">
        <v>2.7530842799098499E-2</v>
      </c>
      <c r="U423" s="135">
        <v>3.1619476682785197E-2</v>
      </c>
      <c r="V423" s="135">
        <v>2.7837118896337699E-2</v>
      </c>
      <c r="W423" s="135">
        <v>2.90835721058064E-2</v>
      </c>
      <c r="X423" s="135">
        <v>3.3496417590967303E-2</v>
      </c>
      <c r="Y423" s="135">
        <v>4.0296705301614603E-2</v>
      </c>
      <c r="Z423" s="135">
        <v>5.01490773383379E-2</v>
      </c>
      <c r="AA423" s="135">
        <v>5.7177958912325903E-2</v>
      </c>
      <c r="AB423" s="135">
        <v>4.41050484989172E-2</v>
      </c>
      <c r="AC423" s="135">
        <v>2.0819438993321698E-2</v>
      </c>
      <c r="AD423" s="135">
        <v>1.2035506651996399E-2</v>
      </c>
      <c r="AF423" s="243">
        <f t="shared" si="6"/>
        <v>0.2249865280543388</v>
      </c>
      <c r="AG423" s="275">
        <f t="shared" si="7"/>
        <v>0.25523373801119908</v>
      </c>
      <c r="AH423" s="391">
        <f t="shared" si="8"/>
        <v>0.41906416591896001</v>
      </c>
      <c r="AI423" s="135">
        <f t="shared" si="9"/>
        <v>0.67429790393015909</v>
      </c>
    </row>
    <row r="424" spans="1:35" ht="12.6">
      <c r="A424" s="10" t="s">
        <v>61</v>
      </c>
      <c r="B424" s="10">
        <v>58</v>
      </c>
      <c r="C424" s="10" t="s">
        <v>1512</v>
      </c>
      <c r="D424" s="388">
        <v>44984</v>
      </c>
      <c r="E424" s="389">
        <v>44984</v>
      </c>
      <c r="F424" s="390" t="str">
        <f t="shared" si="5"/>
        <v>Lighting</v>
      </c>
      <c r="G424" s="135">
        <v>7.5952421850581601E-3</v>
      </c>
      <c r="H424" s="135">
        <v>6.8301865532236E-3</v>
      </c>
      <c r="I424" s="135">
        <v>7.4159413461902697E-3</v>
      </c>
      <c r="J424" s="135">
        <v>9.3585166610140099E-3</v>
      </c>
      <c r="K424" s="135">
        <v>3.3425006745758497E-2</v>
      </c>
      <c r="L424" s="135">
        <v>7.0715348246745705E-2</v>
      </c>
      <c r="M424" s="135">
        <v>5.1928626495336402E-2</v>
      </c>
      <c r="N424" s="135">
        <v>3.1673308886092801E-2</v>
      </c>
      <c r="O424" s="135">
        <v>2.2236994931657001E-2</v>
      </c>
      <c r="P424" s="135">
        <v>2.0560169292138799E-2</v>
      </c>
      <c r="Q424" s="135">
        <v>2.18661162079264E-2</v>
      </c>
      <c r="R424" s="135">
        <v>2.0842180624689899E-2</v>
      </c>
      <c r="S424" s="135">
        <v>2.0100994778200099E-2</v>
      </c>
      <c r="T424" s="135">
        <v>1.6831039902024201E-2</v>
      </c>
      <c r="U424" s="135">
        <v>1.9432218626620899E-2</v>
      </c>
      <c r="V424" s="135">
        <v>2.2657789154565799E-2</v>
      </c>
      <c r="W424" s="135">
        <v>2.6654402391733199E-2</v>
      </c>
      <c r="X424" s="135">
        <v>3.4431574936831799E-2</v>
      </c>
      <c r="Y424" s="135">
        <v>4.4276020812349097E-2</v>
      </c>
      <c r="Z424" s="135">
        <v>5.6346361140112801E-2</v>
      </c>
      <c r="AA424" s="135">
        <v>6.3844471002895795E-2</v>
      </c>
      <c r="AB424" s="135">
        <v>4.6815435432834902E-2</v>
      </c>
      <c r="AC424" s="135">
        <v>1.8402819557497199E-2</v>
      </c>
      <c r="AD424" s="135">
        <v>8.7440244163495707E-3</v>
      </c>
      <c r="AF424" s="243">
        <f t="shared" si="6"/>
        <v>0.14838474168576049</v>
      </c>
      <c r="AG424" s="275">
        <f t="shared" si="7"/>
        <v>0.32009215706031774</v>
      </c>
      <c r="AH424" s="391">
        <f t="shared" si="8"/>
        <v>0.36289263326752935</v>
      </c>
      <c r="AI424" s="135">
        <f t="shared" si="9"/>
        <v>0.68298479032784709</v>
      </c>
    </row>
    <row r="425" spans="1:35" ht="12.6">
      <c r="A425" s="10" t="s">
        <v>61</v>
      </c>
      <c r="B425" s="10">
        <v>59</v>
      </c>
      <c r="C425" s="10" t="s">
        <v>1512</v>
      </c>
      <c r="D425" s="388">
        <v>44985</v>
      </c>
      <c r="E425" s="389">
        <v>44985</v>
      </c>
      <c r="F425" s="390" t="str">
        <f t="shared" si="5"/>
        <v>Lighting</v>
      </c>
      <c r="G425" s="135">
        <v>7.5952421850581601E-3</v>
      </c>
      <c r="H425" s="135">
        <v>6.8301865532236E-3</v>
      </c>
      <c r="I425" s="135">
        <v>7.4159413461902697E-3</v>
      </c>
      <c r="J425" s="135">
        <v>9.3585166610140099E-3</v>
      </c>
      <c r="K425" s="135">
        <v>3.3425006745758497E-2</v>
      </c>
      <c r="L425" s="135">
        <v>7.0715348246745705E-2</v>
      </c>
      <c r="M425" s="135">
        <v>5.1928626495336402E-2</v>
      </c>
      <c r="N425" s="135">
        <v>3.1673308886092801E-2</v>
      </c>
      <c r="O425" s="135">
        <v>2.2236994931657001E-2</v>
      </c>
      <c r="P425" s="135">
        <v>2.0560169292138799E-2</v>
      </c>
      <c r="Q425" s="135">
        <v>2.18661162079264E-2</v>
      </c>
      <c r="R425" s="135">
        <v>2.0842180624689899E-2</v>
      </c>
      <c r="S425" s="135">
        <v>2.0100994778200099E-2</v>
      </c>
      <c r="T425" s="135">
        <v>1.6831039902024201E-2</v>
      </c>
      <c r="U425" s="135">
        <v>1.9432218626620899E-2</v>
      </c>
      <c r="V425" s="135">
        <v>2.2657789154565799E-2</v>
      </c>
      <c r="W425" s="135">
        <v>2.6654402391733199E-2</v>
      </c>
      <c r="X425" s="135">
        <v>3.4431574936831799E-2</v>
      </c>
      <c r="Y425" s="135">
        <v>4.4276020812349097E-2</v>
      </c>
      <c r="Z425" s="135">
        <v>5.6346361140112801E-2</v>
      </c>
      <c r="AA425" s="135">
        <v>6.3844471002895795E-2</v>
      </c>
      <c r="AB425" s="135">
        <v>4.6815435432834902E-2</v>
      </c>
      <c r="AC425" s="135">
        <v>1.8402819557497199E-2</v>
      </c>
      <c r="AD425" s="135">
        <v>8.7440244163495707E-3</v>
      </c>
      <c r="AF425" s="243">
        <f t="shared" si="6"/>
        <v>0.14838474168576049</v>
      </c>
      <c r="AG425" s="275">
        <f t="shared" si="7"/>
        <v>0.32009215706031774</v>
      </c>
      <c r="AH425" s="391">
        <f t="shared" si="8"/>
        <v>0.36289263326752935</v>
      </c>
      <c r="AI425" s="135">
        <f t="shared" si="9"/>
        <v>0.68298479032784709</v>
      </c>
    </row>
    <row r="426" spans="1:35" ht="12.6">
      <c r="A426" s="10" t="s">
        <v>61</v>
      </c>
      <c r="B426" s="10">
        <v>60</v>
      </c>
      <c r="C426" s="10" t="s">
        <v>1513</v>
      </c>
      <c r="D426" s="388">
        <v>44986</v>
      </c>
      <c r="E426" s="389">
        <v>44986</v>
      </c>
      <c r="F426" s="390" t="str">
        <f t="shared" si="5"/>
        <v>Lighting</v>
      </c>
      <c r="G426" s="135">
        <v>1.0388793695589E-2</v>
      </c>
      <c r="H426" s="135">
        <v>9.2844853881446695E-3</v>
      </c>
      <c r="I426" s="135">
        <v>9.0779038289257891E-3</v>
      </c>
      <c r="J426" s="135">
        <v>9.9144291480233893E-3</v>
      </c>
      <c r="K426" s="135">
        <v>1.7728629050389199E-2</v>
      </c>
      <c r="L426" s="135">
        <v>5.0585304098568797E-2</v>
      </c>
      <c r="M426" s="135">
        <v>7.8149238503386301E-2</v>
      </c>
      <c r="N426" s="135">
        <v>6.5505416127073002E-2</v>
      </c>
      <c r="O426" s="135">
        <v>3.4113102306388698E-2</v>
      </c>
      <c r="P426" s="135">
        <v>2.3059689913006699E-2</v>
      </c>
      <c r="Q426" s="135">
        <v>1.9173460926933301E-2</v>
      </c>
      <c r="R426" s="135">
        <v>1.8159142372703899E-2</v>
      </c>
      <c r="S426" s="135">
        <v>1.8022111934155299E-2</v>
      </c>
      <c r="T426" s="135">
        <v>1.8590870087425E-2</v>
      </c>
      <c r="U426" s="135">
        <v>1.86024427279902E-2</v>
      </c>
      <c r="V426" s="135">
        <v>2.1881015230260301E-2</v>
      </c>
      <c r="W426" s="135">
        <v>2.75601461584787E-2</v>
      </c>
      <c r="X426" s="135">
        <v>6.7654034791216705E-2</v>
      </c>
      <c r="Y426" s="135">
        <v>0.10180447628659101</v>
      </c>
      <c r="Z426" s="135">
        <v>0.10176443836221</v>
      </c>
      <c r="AA426" s="135">
        <v>8.6890892490170804E-2</v>
      </c>
      <c r="AB426" s="135">
        <v>6.5711417631559105E-2</v>
      </c>
      <c r="AC426" s="135">
        <v>3.59250960400549E-2</v>
      </c>
      <c r="AD426" s="135">
        <v>1.6491623105783101E-2</v>
      </c>
      <c r="AF426" s="243">
        <f t="shared" si="6"/>
        <v>0.14198918943794669</v>
      </c>
      <c r="AG426" s="275">
        <f t="shared" si="7"/>
        <v>0.34220208899717475</v>
      </c>
      <c r="AH426" s="391">
        <f t="shared" si="8"/>
        <v>0.58383607120785319</v>
      </c>
      <c r="AI426" s="135">
        <f t="shared" si="9"/>
        <v>0.92603816020502794</v>
      </c>
    </row>
    <row r="427" spans="1:35" ht="12.6">
      <c r="A427" s="10" t="s">
        <v>61</v>
      </c>
      <c r="B427" s="10">
        <v>61</v>
      </c>
      <c r="C427" s="10" t="s">
        <v>1513</v>
      </c>
      <c r="D427" s="388">
        <v>44987</v>
      </c>
      <c r="E427" s="389">
        <v>44987</v>
      </c>
      <c r="F427" s="390" t="str">
        <f t="shared" si="5"/>
        <v>Lighting</v>
      </c>
      <c r="G427" s="135">
        <v>1.0388793695589E-2</v>
      </c>
      <c r="H427" s="135">
        <v>9.2844853881446695E-3</v>
      </c>
      <c r="I427" s="135">
        <v>9.0779038289257891E-3</v>
      </c>
      <c r="J427" s="135">
        <v>9.9144291480233893E-3</v>
      </c>
      <c r="K427" s="135">
        <v>1.7728629050389199E-2</v>
      </c>
      <c r="L427" s="135">
        <v>5.0585304098568797E-2</v>
      </c>
      <c r="M427" s="135">
        <v>7.8149238503386301E-2</v>
      </c>
      <c r="N427" s="135">
        <v>6.5505416127073002E-2</v>
      </c>
      <c r="O427" s="135">
        <v>3.4113102306388698E-2</v>
      </c>
      <c r="P427" s="135">
        <v>2.3059689913006699E-2</v>
      </c>
      <c r="Q427" s="135">
        <v>1.9173460926933301E-2</v>
      </c>
      <c r="R427" s="135">
        <v>1.8159142372703899E-2</v>
      </c>
      <c r="S427" s="135">
        <v>1.8022111934155299E-2</v>
      </c>
      <c r="T427" s="135">
        <v>1.8590870087425E-2</v>
      </c>
      <c r="U427" s="135">
        <v>1.86024427279902E-2</v>
      </c>
      <c r="V427" s="135">
        <v>2.1881015230260301E-2</v>
      </c>
      <c r="W427" s="135">
        <v>2.75601461584787E-2</v>
      </c>
      <c r="X427" s="135">
        <v>6.7654034791216705E-2</v>
      </c>
      <c r="Y427" s="135">
        <v>0.10180447628659101</v>
      </c>
      <c r="Z427" s="135">
        <v>0.10176443836221</v>
      </c>
      <c r="AA427" s="135">
        <v>8.6890892490170804E-2</v>
      </c>
      <c r="AB427" s="135">
        <v>6.5711417631559105E-2</v>
      </c>
      <c r="AC427" s="135">
        <v>3.59250960400549E-2</v>
      </c>
      <c r="AD427" s="135">
        <v>1.6491623105783101E-2</v>
      </c>
      <c r="AF427" s="243">
        <f t="shared" si="6"/>
        <v>0.14198918943794669</v>
      </c>
      <c r="AG427" s="275">
        <f t="shared" si="7"/>
        <v>0.34220208899717475</v>
      </c>
      <c r="AH427" s="391">
        <f t="shared" si="8"/>
        <v>0.58383607120785319</v>
      </c>
      <c r="AI427" s="135">
        <f t="shared" si="9"/>
        <v>0.92603816020502794</v>
      </c>
    </row>
    <row r="428" spans="1:35" ht="12.6">
      <c r="A428" s="10" t="s">
        <v>61</v>
      </c>
      <c r="B428" s="10">
        <v>62</v>
      </c>
      <c r="C428" s="10" t="s">
        <v>1513</v>
      </c>
      <c r="D428" s="388">
        <v>44988</v>
      </c>
      <c r="E428" s="389">
        <v>44988</v>
      </c>
      <c r="F428" s="390" t="str">
        <f t="shared" si="5"/>
        <v>Lighting</v>
      </c>
      <c r="G428" s="135">
        <v>1.0388793695589E-2</v>
      </c>
      <c r="H428" s="135">
        <v>9.2844853881446695E-3</v>
      </c>
      <c r="I428" s="135">
        <v>9.0779038289257891E-3</v>
      </c>
      <c r="J428" s="135">
        <v>9.9144291480233893E-3</v>
      </c>
      <c r="K428" s="135">
        <v>1.7728629050389199E-2</v>
      </c>
      <c r="L428" s="135">
        <v>5.0585304098568797E-2</v>
      </c>
      <c r="M428" s="135">
        <v>7.8149238503386301E-2</v>
      </c>
      <c r="N428" s="135">
        <v>6.5505416127073002E-2</v>
      </c>
      <c r="O428" s="135">
        <v>3.4113102306388698E-2</v>
      </c>
      <c r="P428" s="135">
        <v>2.3059689913006699E-2</v>
      </c>
      <c r="Q428" s="135">
        <v>1.9173460926933301E-2</v>
      </c>
      <c r="R428" s="135">
        <v>1.8159142372703899E-2</v>
      </c>
      <c r="S428" s="135">
        <v>1.8022111934155299E-2</v>
      </c>
      <c r="T428" s="135">
        <v>1.8590870087425E-2</v>
      </c>
      <c r="U428" s="135">
        <v>1.86024427279902E-2</v>
      </c>
      <c r="V428" s="135">
        <v>2.1881015230260301E-2</v>
      </c>
      <c r="W428" s="135">
        <v>2.75601461584787E-2</v>
      </c>
      <c r="X428" s="135">
        <v>6.7654034791216705E-2</v>
      </c>
      <c r="Y428" s="135">
        <v>0.10180447628659101</v>
      </c>
      <c r="Z428" s="135">
        <v>0.10176443836221</v>
      </c>
      <c r="AA428" s="135">
        <v>8.6890892490170804E-2</v>
      </c>
      <c r="AB428" s="135">
        <v>6.5711417631559105E-2</v>
      </c>
      <c r="AC428" s="135">
        <v>3.59250960400549E-2</v>
      </c>
      <c r="AD428" s="135">
        <v>1.6491623105783101E-2</v>
      </c>
      <c r="AF428" s="243">
        <f t="shared" si="6"/>
        <v>0.14198918943794669</v>
      </c>
      <c r="AG428" s="275">
        <f t="shared" si="7"/>
        <v>0.34220208899717475</v>
      </c>
      <c r="AH428" s="391">
        <f t="shared" si="8"/>
        <v>0.58383607120785319</v>
      </c>
      <c r="AI428" s="135">
        <f t="shared" si="9"/>
        <v>0.92603816020502794</v>
      </c>
    </row>
    <row r="429" spans="1:35" ht="12.6">
      <c r="A429" s="10" t="s">
        <v>61</v>
      </c>
      <c r="B429" s="10">
        <v>63</v>
      </c>
      <c r="C429" s="10" t="s">
        <v>1513</v>
      </c>
      <c r="D429" s="388">
        <v>44989</v>
      </c>
      <c r="E429" s="389">
        <v>44989</v>
      </c>
      <c r="F429" s="390" t="str">
        <f t="shared" si="5"/>
        <v>Lighting</v>
      </c>
      <c r="G429" s="135">
        <v>1.2168200889167501E-2</v>
      </c>
      <c r="H429" s="135">
        <v>1.0282578645567499E-2</v>
      </c>
      <c r="I429" s="135">
        <v>9.6054332916604406E-3</v>
      </c>
      <c r="J429" s="135">
        <v>1.0655405728614099E-2</v>
      </c>
      <c r="K429" s="135">
        <v>1.16950109657803E-2</v>
      </c>
      <c r="L429" s="135">
        <v>1.69270076371234E-2</v>
      </c>
      <c r="M429" s="135">
        <v>2.8028010373002399E-2</v>
      </c>
      <c r="N429" s="135">
        <v>3.9036951663730599E-2</v>
      </c>
      <c r="O429" s="135">
        <v>4.2089493450570101E-2</v>
      </c>
      <c r="P429" s="135">
        <v>4.37617820862269E-2</v>
      </c>
      <c r="Q429" s="135">
        <v>4.0503923383543597E-2</v>
      </c>
      <c r="R429" s="135">
        <v>3.8987793496509403E-2</v>
      </c>
      <c r="S429" s="135">
        <v>3.4208620353931102E-2</v>
      </c>
      <c r="T429" s="135">
        <v>3.0240558003717499E-2</v>
      </c>
      <c r="U429" s="135">
        <v>3.1903199614705703E-2</v>
      </c>
      <c r="V429" s="135">
        <v>3.2363058965710297E-2</v>
      </c>
      <c r="W429" s="135">
        <v>4.2369431652361601E-2</v>
      </c>
      <c r="X429" s="135">
        <v>6.8538490143186706E-2</v>
      </c>
      <c r="Y429" s="135">
        <v>8.9070994842437703E-2</v>
      </c>
      <c r="Z429" s="135">
        <v>9.2376178210362994E-2</v>
      </c>
      <c r="AA429" s="135">
        <v>7.8167946474177602E-2</v>
      </c>
      <c r="AB429" s="135">
        <v>5.5762518293499597E-2</v>
      </c>
      <c r="AC429" s="135">
        <v>3.2121809257358698E-2</v>
      </c>
      <c r="AD429" s="135">
        <v>1.8911860255668399E-2</v>
      </c>
      <c r="AF429" s="243">
        <f t="shared" si="6"/>
        <v>0.25057658547047917</v>
      </c>
      <c r="AG429" s="275">
        <f t="shared" si="7"/>
        <v>0.32148018563436898</v>
      </c>
      <c r="AH429" s="391">
        <f t="shared" si="8"/>
        <v>0.58829607204424517</v>
      </c>
      <c r="AI429" s="135">
        <f t="shared" si="9"/>
        <v>0.90977625767861414</v>
      </c>
    </row>
    <row r="430" spans="1:35" ht="12.6">
      <c r="A430" s="10" t="s">
        <v>61</v>
      </c>
      <c r="B430" s="10">
        <v>64</v>
      </c>
      <c r="C430" s="10" t="s">
        <v>1513</v>
      </c>
      <c r="D430" s="388">
        <v>44990</v>
      </c>
      <c r="E430" s="389">
        <v>44990</v>
      </c>
      <c r="F430" s="390" t="str">
        <f t="shared" si="5"/>
        <v>Lighting</v>
      </c>
      <c r="G430" s="135">
        <v>1.2168200889167501E-2</v>
      </c>
      <c r="H430" s="135">
        <v>1.0282578645567499E-2</v>
      </c>
      <c r="I430" s="135">
        <v>9.6054332916604406E-3</v>
      </c>
      <c r="J430" s="135">
        <v>1.0655405728614099E-2</v>
      </c>
      <c r="K430" s="135">
        <v>1.16950109657803E-2</v>
      </c>
      <c r="L430" s="135">
        <v>1.69270076371234E-2</v>
      </c>
      <c r="M430" s="135">
        <v>2.8028010373002399E-2</v>
      </c>
      <c r="N430" s="135">
        <v>3.9036951663730599E-2</v>
      </c>
      <c r="O430" s="135">
        <v>4.2089493450570101E-2</v>
      </c>
      <c r="P430" s="135">
        <v>4.37617820862269E-2</v>
      </c>
      <c r="Q430" s="135">
        <v>4.0503923383543597E-2</v>
      </c>
      <c r="R430" s="135">
        <v>3.8987793496509403E-2</v>
      </c>
      <c r="S430" s="135">
        <v>3.4208620353931102E-2</v>
      </c>
      <c r="T430" s="135">
        <v>3.0240558003717499E-2</v>
      </c>
      <c r="U430" s="135">
        <v>3.1903199614705703E-2</v>
      </c>
      <c r="V430" s="135">
        <v>3.2363058965710297E-2</v>
      </c>
      <c r="W430" s="135">
        <v>4.2369431652361601E-2</v>
      </c>
      <c r="X430" s="135">
        <v>6.8538490143186706E-2</v>
      </c>
      <c r="Y430" s="135">
        <v>8.9070994842437703E-2</v>
      </c>
      <c r="Z430" s="135">
        <v>9.2376178210362994E-2</v>
      </c>
      <c r="AA430" s="135">
        <v>7.8167946474177602E-2</v>
      </c>
      <c r="AB430" s="135">
        <v>5.5762518293499597E-2</v>
      </c>
      <c r="AC430" s="135">
        <v>3.2121809257358698E-2</v>
      </c>
      <c r="AD430" s="135">
        <v>1.8911860255668399E-2</v>
      </c>
      <c r="AF430" s="243">
        <f t="shared" si="6"/>
        <v>0.25057658547047917</v>
      </c>
      <c r="AG430" s="275">
        <f t="shared" si="7"/>
        <v>0.32148018563436898</v>
      </c>
      <c r="AH430" s="391">
        <f t="shared" si="8"/>
        <v>0.58829607204424517</v>
      </c>
      <c r="AI430" s="135">
        <f t="shared" si="9"/>
        <v>0.90977625767861414</v>
      </c>
    </row>
    <row r="431" spans="1:35" ht="12.6">
      <c r="A431" s="10" t="s">
        <v>61</v>
      </c>
      <c r="B431" s="10">
        <v>65</v>
      </c>
      <c r="C431" s="10" t="s">
        <v>1513</v>
      </c>
      <c r="D431" s="388">
        <v>44991</v>
      </c>
      <c r="E431" s="389">
        <v>44991</v>
      </c>
      <c r="F431" s="390" t="str">
        <f t="shared" si="5"/>
        <v>Lighting</v>
      </c>
      <c r="G431" s="135">
        <v>1.0388793695589E-2</v>
      </c>
      <c r="H431" s="135">
        <v>9.2844853881446695E-3</v>
      </c>
      <c r="I431" s="135">
        <v>9.0779038289257891E-3</v>
      </c>
      <c r="J431" s="135">
        <v>9.9144291480233893E-3</v>
      </c>
      <c r="K431" s="135">
        <v>1.7728629050389199E-2</v>
      </c>
      <c r="L431" s="135">
        <v>5.0585304098568797E-2</v>
      </c>
      <c r="M431" s="135">
        <v>7.8149238503386301E-2</v>
      </c>
      <c r="N431" s="135">
        <v>6.5505416127073002E-2</v>
      </c>
      <c r="O431" s="135">
        <v>3.4113102306388698E-2</v>
      </c>
      <c r="P431" s="135">
        <v>2.3059689913006699E-2</v>
      </c>
      <c r="Q431" s="135">
        <v>1.9173460926933301E-2</v>
      </c>
      <c r="R431" s="135">
        <v>1.8159142372703899E-2</v>
      </c>
      <c r="S431" s="135">
        <v>1.8022111934155299E-2</v>
      </c>
      <c r="T431" s="135">
        <v>1.8590870087425E-2</v>
      </c>
      <c r="U431" s="135">
        <v>1.86024427279902E-2</v>
      </c>
      <c r="V431" s="135">
        <v>2.1881015230260301E-2</v>
      </c>
      <c r="W431" s="135">
        <v>2.75601461584787E-2</v>
      </c>
      <c r="X431" s="135">
        <v>6.7654034791216705E-2</v>
      </c>
      <c r="Y431" s="135">
        <v>0.10180447628659101</v>
      </c>
      <c r="Z431" s="135">
        <v>0.10176443836221</v>
      </c>
      <c r="AA431" s="135">
        <v>8.6890892490170804E-2</v>
      </c>
      <c r="AB431" s="135">
        <v>6.5711417631559105E-2</v>
      </c>
      <c r="AC431" s="135">
        <v>3.59250960400549E-2</v>
      </c>
      <c r="AD431" s="135">
        <v>1.6491623105783101E-2</v>
      </c>
      <c r="AF431" s="243">
        <f t="shared" si="6"/>
        <v>0.14198918943794669</v>
      </c>
      <c r="AG431" s="275">
        <f t="shared" si="7"/>
        <v>0.34220208899717475</v>
      </c>
      <c r="AH431" s="391">
        <f t="shared" si="8"/>
        <v>0.58383607120785319</v>
      </c>
      <c r="AI431" s="135">
        <f t="shared" si="9"/>
        <v>0.92603816020502794</v>
      </c>
    </row>
    <row r="432" spans="1:35" ht="12.6">
      <c r="A432" s="10" t="s">
        <v>61</v>
      </c>
      <c r="B432" s="10">
        <v>66</v>
      </c>
      <c r="C432" s="10" t="s">
        <v>1513</v>
      </c>
      <c r="D432" s="388">
        <v>44992</v>
      </c>
      <c r="E432" s="389">
        <v>44992</v>
      </c>
      <c r="F432" s="390" t="str">
        <f t="shared" si="5"/>
        <v>Lighting</v>
      </c>
      <c r="G432" s="135">
        <v>1.0388793695589E-2</v>
      </c>
      <c r="H432" s="135">
        <v>9.2844853881446695E-3</v>
      </c>
      <c r="I432" s="135">
        <v>9.0779038289257891E-3</v>
      </c>
      <c r="J432" s="135">
        <v>9.9144291480233893E-3</v>
      </c>
      <c r="K432" s="135">
        <v>1.7728629050389199E-2</v>
      </c>
      <c r="L432" s="135">
        <v>5.0585304098568797E-2</v>
      </c>
      <c r="M432" s="135">
        <v>7.8149238503386301E-2</v>
      </c>
      <c r="N432" s="135">
        <v>6.5505416127073002E-2</v>
      </c>
      <c r="O432" s="135">
        <v>3.4113102306388698E-2</v>
      </c>
      <c r="P432" s="135">
        <v>2.3059689913006699E-2</v>
      </c>
      <c r="Q432" s="135">
        <v>1.9173460926933301E-2</v>
      </c>
      <c r="R432" s="135">
        <v>1.8159142372703899E-2</v>
      </c>
      <c r="S432" s="135">
        <v>1.8022111934155299E-2</v>
      </c>
      <c r="T432" s="135">
        <v>1.8590870087425E-2</v>
      </c>
      <c r="U432" s="135">
        <v>1.86024427279902E-2</v>
      </c>
      <c r="V432" s="135">
        <v>2.1881015230260301E-2</v>
      </c>
      <c r="W432" s="135">
        <v>2.75601461584787E-2</v>
      </c>
      <c r="X432" s="135">
        <v>6.7654034791216705E-2</v>
      </c>
      <c r="Y432" s="135">
        <v>0.10180447628659101</v>
      </c>
      <c r="Z432" s="135">
        <v>0.10176443836221</v>
      </c>
      <c r="AA432" s="135">
        <v>8.6890892490170804E-2</v>
      </c>
      <c r="AB432" s="135">
        <v>6.5711417631559105E-2</v>
      </c>
      <c r="AC432" s="135">
        <v>3.59250960400549E-2</v>
      </c>
      <c r="AD432" s="135">
        <v>1.6491623105783101E-2</v>
      </c>
      <c r="AF432" s="243">
        <f t="shared" si="6"/>
        <v>0.14198918943794669</v>
      </c>
      <c r="AG432" s="275">
        <f t="shared" si="7"/>
        <v>0.34220208899717475</v>
      </c>
      <c r="AH432" s="391">
        <f t="shared" si="8"/>
        <v>0.58383607120785319</v>
      </c>
      <c r="AI432" s="135">
        <f t="shared" si="9"/>
        <v>0.92603816020502794</v>
      </c>
    </row>
    <row r="433" spans="1:35" ht="12.6">
      <c r="A433" s="10" t="s">
        <v>61</v>
      </c>
      <c r="B433" s="10">
        <v>67</v>
      </c>
      <c r="C433" s="10" t="s">
        <v>1513</v>
      </c>
      <c r="D433" s="388">
        <v>44993</v>
      </c>
      <c r="E433" s="389">
        <v>44993</v>
      </c>
      <c r="F433" s="390" t="str">
        <f t="shared" si="5"/>
        <v>Lighting</v>
      </c>
      <c r="G433" s="135">
        <v>1.0388793695589E-2</v>
      </c>
      <c r="H433" s="135">
        <v>9.2844853881446695E-3</v>
      </c>
      <c r="I433" s="135">
        <v>9.0779038289257891E-3</v>
      </c>
      <c r="J433" s="135">
        <v>9.9144291480233893E-3</v>
      </c>
      <c r="K433" s="135">
        <v>1.7728629050389199E-2</v>
      </c>
      <c r="L433" s="135">
        <v>5.0585304098568797E-2</v>
      </c>
      <c r="M433" s="135">
        <v>7.8149238503386301E-2</v>
      </c>
      <c r="N433" s="135">
        <v>6.5505416127073002E-2</v>
      </c>
      <c r="O433" s="135">
        <v>3.4113102306388698E-2</v>
      </c>
      <c r="P433" s="135">
        <v>2.3059689913006699E-2</v>
      </c>
      <c r="Q433" s="135">
        <v>1.9173460926933301E-2</v>
      </c>
      <c r="R433" s="135">
        <v>1.8159142372703899E-2</v>
      </c>
      <c r="S433" s="135">
        <v>1.8022111934155299E-2</v>
      </c>
      <c r="T433" s="135">
        <v>1.8590870087425E-2</v>
      </c>
      <c r="U433" s="135">
        <v>1.86024427279902E-2</v>
      </c>
      <c r="V433" s="135">
        <v>2.1881015230260301E-2</v>
      </c>
      <c r="W433" s="135">
        <v>2.75601461584787E-2</v>
      </c>
      <c r="X433" s="135">
        <v>6.7654034791216705E-2</v>
      </c>
      <c r="Y433" s="135">
        <v>0.10180447628659101</v>
      </c>
      <c r="Z433" s="135">
        <v>0.10176443836221</v>
      </c>
      <c r="AA433" s="135">
        <v>8.6890892490170804E-2</v>
      </c>
      <c r="AB433" s="135">
        <v>6.5711417631559105E-2</v>
      </c>
      <c r="AC433" s="135">
        <v>3.59250960400549E-2</v>
      </c>
      <c r="AD433" s="135">
        <v>1.6491623105783101E-2</v>
      </c>
      <c r="AF433" s="243">
        <f t="shared" si="6"/>
        <v>0.14198918943794669</v>
      </c>
      <c r="AG433" s="275">
        <f t="shared" si="7"/>
        <v>0.34220208899717475</v>
      </c>
      <c r="AH433" s="391">
        <f t="shared" si="8"/>
        <v>0.58383607120785319</v>
      </c>
      <c r="AI433" s="135">
        <f t="shared" si="9"/>
        <v>0.92603816020502794</v>
      </c>
    </row>
    <row r="434" spans="1:35" ht="12.6">
      <c r="A434" s="10" t="s">
        <v>61</v>
      </c>
      <c r="B434" s="10">
        <v>68</v>
      </c>
      <c r="C434" s="10" t="s">
        <v>1513</v>
      </c>
      <c r="D434" s="388">
        <v>44994</v>
      </c>
      <c r="E434" s="389">
        <v>44994</v>
      </c>
      <c r="F434" s="390" t="str">
        <f t="shared" si="5"/>
        <v>Lighting</v>
      </c>
      <c r="G434" s="135">
        <v>1.0388793695589E-2</v>
      </c>
      <c r="H434" s="135">
        <v>9.2844853881446695E-3</v>
      </c>
      <c r="I434" s="135">
        <v>9.0779038289257891E-3</v>
      </c>
      <c r="J434" s="135">
        <v>9.9144291480233893E-3</v>
      </c>
      <c r="K434" s="135">
        <v>1.7728629050389199E-2</v>
      </c>
      <c r="L434" s="135">
        <v>5.0585304098568797E-2</v>
      </c>
      <c r="M434" s="135">
        <v>7.8149238503386301E-2</v>
      </c>
      <c r="N434" s="135">
        <v>6.5505416127073002E-2</v>
      </c>
      <c r="O434" s="135">
        <v>3.4113102306388698E-2</v>
      </c>
      <c r="P434" s="135">
        <v>2.3059689913006699E-2</v>
      </c>
      <c r="Q434" s="135">
        <v>1.9173460926933301E-2</v>
      </c>
      <c r="R434" s="135">
        <v>1.8159142372703899E-2</v>
      </c>
      <c r="S434" s="135">
        <v>1.8022111934155299E-2</v>
      </c>
      <c r="T434" s="135">
        <v>1.8590870087425E-2</v>
      </c>
      <c r="U434" s="135">
        <v>1.86024427279902E-2</v>
      </c>
      <c r="V434" s="135">
        <v>2.1881015230260301E-2</v>
      </c>
      <c r="W434" s="135">
        <v>2.75601461584787E-2</v>
      </c>
      <c r="X434" s="135">
        <v>6.7654034791216705E-2</v>
      </c>
      <c r="Y434" s="135">
        <v>0.10180447628659101</v>
      </c>
      <c r="Z434" s="135">
        <v>0.10176443836221</v>
      </c>
      <c r="AA434" s="135">
        <v>8.6890892490170804E-2</v>
      </c>
      <c r="AB434" s="135">
        <v>6.5711417631559105E-2</v>
      </c>
      <c r="AC434" s="135">
        <v>3.59250960400549E-2</v>
      </c>
      <c r="AD434" s="135">
        <v>1.6491623105783101E-2</v>
      </c>
      <c r="AF434" s="243">
        <f t="shared" si="6"/>
        <v>0.14198918943794669</v>
      </c>
      <c r="AG434" s="275">
        <f t="shared" si="7"/>
        <v>0.34220208899717475</v>
      </c>
      <c r="AH434" s="391">
        <f t="shared" si="8"/>
        <v>0.58383607120785319</v>
      </c>
      <c r="AI434" s="135">
        <f t="shared" si="9"/>
        <v>0.92603816020502794</v>
      </c>
    </row>
    <row r="435" spans="1:35" ht="12.6">
      <c r="A435" s="10" t="s">
        <v>61</v>
      </c>
      <c r="B435" s="10">
        <v>69</v>
      </c>
      <c r="C435" s="10" t="s">
        <v>1513</v>
      </c>
      <c r="D435" s="388">
        <v>44995</v>
      </c>
      <c r="E435" s="389">
        <v>44995</v>
      </c>
      <c r="F435" s="390" t="str">
        <f t="shared" si="5"/>
        <v>Lighting</v>
      </c>
      <c r="G435" s="135">
        <v>1.0388793695589E-2</v>
      </c>
      <c r="H435" s="135">
        <v>9.2844853881446695E-3</v>
      </c>
      <c r="I435" s="135">
        <v>9.0779038289257891E-3</v>
      </c>
      <c r="J435" s="135">
        <v>9.9144291480233893E-3</v>
      </c>
      <c r="K435" s="135">
        <v>1.7728629050389199E-2</v>
      </c>
      <c r="L435" s="135">
        <v>5.0585304098568797E-2</v>
      </c>
      <c r="M435" s="135">
        <v>7.8149238503386301E-2</v>
      </c>
      <c r="N435" s="135">
        <v>6.5505416127073002E-2</v>
      </c>
      <c r="O435" s="135">
        <v>3.4113102306388698E-2</v>
      </c>
      <c r="P435" s="135">
        <v>2.3059689913006699E-2</v>
      </c>
      <c r="Q435" s="135">
        <v>1.9173460926933301E-2</v>
      </c>
      <c r="R435" s="135">
        <v>1.8159142372703899E-2</v>
      </c>
      <c r="S435" s="135">
        <v>1.8022111934155299E-2</v>
      </c>
      <c r="T435" s="135">
        <v>1.8590870087425E-2</v>
      </c>
      <c r="U435" s="135">
        <v>1.86024427279902E-2</v>
      </c>
      <c r="V435" s="135">
        <v>2.1881015230260301E-2</v>
      </c>
      <c r="W435" s="135">
        <v>2.75601461584787E-2</v>
      </c>
      <c r="X435" s="135">
        <v>6.7654034791216705E-2</v>
      </c>
      <c r="Y435" s="135">
        <v>0.10180447628659101</v>
      </c>
      <c r="Z435" s="135">
        <v>0.10176443836221</v>
      </c>
      <c r="AA435" s="135">
        <v>8.6890892490170804E-2</v>
      </c>
      <c r="AB435" s="135">
        <v>6.5711417631559105E-2</v>
      </c>
      <c r="AC435" s="135">
        <v>3.59250960400549E-2</v>
      </c>
      <c r="AD435" s="135">
        <v>1.6491623105783101E-2</v>
      </c>
      <c r="AF435" s="243">
        <f t="shared" si="6"/>
        <v>0.14198918943794669</v>
      </c>
      <c r="AG435" s="275">
        <f t="shared" si="7"/>
        <v>0.34220208899717475</v>
      </c>
      <c r="AH435" s="391">
        <f t="shared" si="8"/>
        <v>0.58383607120785319</v>
      </c>
      <c r="AI435" s="135">
        <f t="shared" si="9"/>
        <v>0.92603816020502794</v>
      </c>
    </row>
    <row r="436" spans="1:35" ht="12.6">
      <c r="A436" s="10" t="s">
        <v>61</v>
      </c>
      <c r="B436" s="10">
        <v>70</v>
      </c>
      <c r="C436" s="10" t="s">
        <v>1513</v>
      </c>
      <c r="D436" s="388">
        <v>44996</v>
      </c>
      <c r="E436" s="389">
        <v>44996</v>
      </c>
      <c r="F436" s="390" t="str">
        <f t="shared" si="5"/>
        <v>Lighting</v>
      </c>
      <c r="G436" s="135">
        <v>1.2168200889167501E-2</v>
      </c>
      <c r="H436" s="135">
        <v>1.0282578645567499E-2</v>
      </c>
      <c r="I436" s="135">
        <v>9.6054332916604406E-3</v>
      </c>
      <c r="J436" s="135">
        <v>1.0655405728614099E-2</v>
      </c>
      <c r="K436" s="135">
        <v>1.16950109657803E-2</v>
      </c>
      <c r="L436" s="135">
        <v>1.69270076371234E-2</v>
      </c>
      <c r="M436" s="135">
        <v>2.8028010373002399E-2</v>
      </c>
      <c r="N436" s="135">
        <v>3.9036951663730599E-2</v>
      </c>
      <c r="O436" s="135">
        <v>4.2089493450570101E-2</v>
      </c>
      <c r="P436" s="135">
        <v>4.37617820862269E-2</v>
      </c>
      <c r="Q436" s="135">
        <v>4.0503923383543597E-2</v>
      </c>
      <c r="R436" s="135">
        <v>3.8987793496509403E-2</v>
      </c>
      <c r="S436" s="135">
        <v>3.4208620353931102E-2</v>
      </c>
      <c r="T436" s="135">
        <v>3.0240558003717499E-2</v>
      </c>
      <c r="U436" s="135">
        <v>3.1903199614705703E-2</v>
      </c>
      <c r="V436" s="135">
        <v>3.2363058965710297E-2</v>
      </c>
      <c r="W436" s="135">
        <v>4.2369431652361601E-2</v>
      </c>
      <c r="X436" s="135">
        <v>6.8538490143186706E-2</v>
      </c>
      <c r="Y436" s="135">
        <v>8.9070994842437703E-2</v>
      </c>
      <c r="Z436" s="135">
        <v>9.2376178210362994E-2</v>
      </c>
      <c r="AA436" s="135">
        <v>7.8167946474177602E-2</v>
      </c>
      <c r="AB436" s="135">
        <v>5.5762518293499597E-2</v>
      </c>
      <c r="AC436" s="135">
        <v>3.2121809257358698E-2</v>
      </c>
      <c r="AD436" s="135">
        <v>1.8911860255668399E-2</v>
      </c>
      <c r="AF436" s="243">
        <f t="shared" si="6"/>
        <v>0.25057658547047917</v>
      </c>
      <c r="AG436" s="275">
        <f t="shared" si="7"/>
        <v>0.32148018563436898</v>
      </c>
      <c r="AH436" s="391">
        <f t="shared" si="8"/>
        <v>0.58829607204424517</v>
      </c>
      <c r="AI436" s="135">
        <f t="shared" si="9"/>
        <v>0.90977625767861414</v>
      </c>
    </row>
    <row r="437" spans="1:35" ht="12.6">
      <c r="A437" s="10" t="s">
        <v>61</v>
      </c>
      <c r="B437" s="10">
        <v>71</v>
      </c>
      <c r="C437" s="10" t="s">
        <v>1513</v>
      </c>
      <c r="D437" s="388">
        <v>44997</v>
      </c>
      <c r="E437" s="389">
        <v>44997</v>
      </c>
      <c r="F437" s="390" t="str">
        <f t="shared" si="5"/>
        <v>Lighting</v>
      </c>
      <c r="G437" s="135">
        <v>1.2168200889167501E-2</v>
      </c>
      <c r="H437" s="135">
        <v>1.0282578645567499E-2</v>
      </c>
      <c r="I437" s="135">
        <v>9.6054332916604406E-3</v>
      </c>
      <c r="J437" s="135">
        <v>1.0655405728614099E-2</v>
      </c>
      <c r="K437" s="135">
        <v>1.16950109657803E-2</v>
      </c>
      <c r="L437" s="135">
        <v>1.69270076371234E-2</v>
      </c>
      <c r="M437" s="135">
        <v>2.8028010373002399E-2</v>
      </c>
      <c r="N437" s="135">
        <v>3.9036951663730599E-2</v>
      </c>
      <c r="O437" s="135">
        <v>4.2089493450570101E-2</v>
      </c>
      <c r="P437" s="135">
        <v>4.37617820862269E-2</v>
      </c>
      <c r="Q437" s="135">
        <v>4.0503923383543597E-2</v>
      </c>
      <c r="R437" s="135">
        <v>3.8987793496509403E-2</v>
      </c>
      <c r="S437" s="135">
        <v>3.4208620353931102E-2</v>
      </c>
      <c r="T437" s="135">
        <v>3.0240558003717499E-2</v>
      </c>
      <c r="U437" s="135">
        <v>3.1903199614705703E-2</v>
      </c>
      <c r="V437" s="135">
        <v>3.2363058965710297E-2</v>
      </c>
      <c r="W437" s="135">
        <v>4.2369431652361601E-2</v>
      </c>
      <c r="X437" s="135">
        <v>6.8538490143186706E-2</v>
      </c>
      <c r="Y437" s="135">
        <v>8.9070994842437703E-2</v>
      </c>
      <c r="Z437" s="135">
        <v>9.2376178210362994E-2</v>
      </c>
      <c r="AA437" s="135">
        <v>7.8167946474177602E-2</v>
      </c>
      <c r="AB437" s="135">
        <v>5.5762518293499597E-2</v>
      </c>
      <c r="AC437" s="135">
        <v>3.2121809257358698E-2</v>
      </c>
      <c r="AD437" s="135">
        <v>1.8911860255668399E-2</v>
      </c>
      <c r="AF437" s="243">
        <f t="shared" si="6"/>
        <v>0.25057658547047917</v>
      </c>
      <c r="AG437" s="275">
        <f t="shared" si="7"/>
        <v>0.32148018563436898</v>
      </c>
      <c r="AH437" s="391">
        <f t="shared" si="8"/>
        <v>0.58829607204424517</v>
      </c>
      <c r="AI437" s="135">
        <f t="shared" si="9"/>
        <v>0.90977625767861414</v>
      </c>
    </row>
    <row r="438" spans="1:35" ht="12.6">
      <c r="A438" s="10" t="s">
        <v>61</v>
      </c>
      <c r="B438" s="10">
        <v>72</v>
      </c>
      <c r="C438" s="10" t="s">
        <v>1513</v>
      </c>
      <c r="D438" s="388">
        <v>44998</v>
      </c>
      <c r="E438" s="389">
        <v>44998</v>
      </c>
      <c r="F438" s="390" t="str">
        <f t="shared" si="5"/>
        <v>Lighting</v>
      </c>
      <c r="G438" s="135">
        <v>1.0388793695589E-2</v>
      </c>
      <c r="H438" s="135">
        <v>9.2844853881446695E-3</v>
      </c>
      <c r="I438" s="135">
        <v>9.0779038289257891E-3</v>
      </c>
      <c r="J438" s="135">
        <v>9.9144291480233893E-3</v>
      </c>
      <c r="K438" s="135">
        <v>1.7728629050389199E-2</v>
      </c>
      <c r="L438" s="135">
        <v>5.0585304098568797E-2</v>
      </c>
      <c r="M438" s="135">
        <v>7.8149238503386301E-2</v>
      </c>
      <c r="N438" s="135">
        <v>6.5505416127073002E-2</v>
      </c>
      <c r="O438" s="135">
        <v>3.4113102306388698E-2</v>
      </c>
      <c r="P438" s="135">
        <v>2.3059689913006699E-2</v>
      </c>
      <c r="Q438" s="135">
        <v>1.9173460926933301E-2</v>
      </c>
      <c r="R438" s="135">
        <v>1.8159142372703899E-2</v>
      </c>
      <c r="S438" s="135">
        <v>1.8022111934155299E-2</v>
      </c>
      <c r="T438" s="135">
        <v>1.8590870087425E-2</v>
      </c>
      <c r="U438" s="135">
        <v>1.86024427279902E-2</v>
      </c>
      <c r="V438" s="135">
        <v>2.1881015230260301E-2</v>
      </c>
      <c r="W438" s="135">
        <v>2.75601461584787E-2</v>
      </c>
      <c r="X438" s="135">
        <v>6.7654034791216705E-2</v>
      </c>
      <c r="Y438" s="135">
        <v>0.10180447628659101</v>
      </c>
      <c r="Z438" s="135">
        <v>0.10176443836221</v>
      </c>
      <c r="AA438" s="135">
        <v>8.6890892490170804E-2</v>
      </c>
      <c r="AB438" s="135">
        <v>6.5711417631559105E-2</v>
      </c>
      <c r="AC438" s="135">
        <v>3.59250960400549E-2</v>
      </c>
      <c r="AD438" s="135">
        <v>1.6491623105783101E-2</v>
      </c>
      <c r="AF438" s="243">
        <f t="shared" si="6"/>
        <v>0.14198918943794669</v>
      </c>
      <c r="AG438" s="275">
        <f t="shared" si="7"/>
        <v>0.34220208899717475</v>
      </c>
      <c r="AH438" s="391">
        <f t="shared" si="8"/>
        <v>0.58383607120785319</v>
      </c>
      <c r="AI438" s="135">
        <f t="shared" si="9"/>
        <v>0.92603816020502794</v>
      </c>
    </row>
    <row r="439" spans="1:35" ht="12.6">
      <c r="A439" s="10" t="s">
        <v>61</v>
      </c>
      <c r="B439" s="10">
        <v>73</v>
      </c>
      <c r="C439" s="10" t="s">
        <v>1513</v>
      </c>
      <c r="D439" s="388">
        <v>44999</v>
      </c>
      <c r="E439" s="389">
        <v>44999</v>
      </c>
      <c r="F439" s="390" t="str">
        <f t="shared" si="5"/>
        <v>Lighting</v>
      </c>
      <c r="G439" s="135">
        <v>1.0388793695589E-2</v>
      </c>
      <c r="H439" s="135">
        <v>9.2844853881446695E-3</v>
      </c>
      <c r="I439" s="135">
        <v>9.0779038289257891E-3</v>
      </c>
      <c r="J439" s="135">
        <v>9.9144291480233893E-3</v>
      </c>
      <c r="K439" s="135">
        <v>1.7728629050389199E-2</v>
      </c>
      <c r="L439" s="135">
        <v>5.0585304098568797E-2</v>
      </c>
      <c r="M439" s="135">
        <v>7.8149238503386301E-2</v>
      </c>
      <c r="N439" s="135">
        <v>6.5505416127073002E-2</v>
      </c>
      <c r="O439" s="135">
        <v>3.4113102306388698E-2</v>
      </c>
      <c r="P439" s="135">
        <v>2.3059689913006699E-2</v>
      </c>
      <c r="Q439" s="135">
        <v>1.9173460926933301E-2</v>
      </c>
      <c r="R439" s="135">
        <v>1.8159142372703899E-2</v>
      </c>
      <c r="S439" s="135">
        <v>1.8022111934155299E-2</v>
      </c>
      <c r="T439" s="135">
        <v>1.8590870087425E-2</v>
      </c>
      <c r="U439" s="135">
        <v>1.86024427279902E-2</v>
      </c>
      <c r="V439" s="135">
        <v>2.1881015230260301E-2</v>
      </c>
      <c r="W439" s="135">
        <v>2.75601461584787E-2</v>
      </c>
      <c r="X439" s="135">
        <v>6.7654034791216705E-2</v>
      </c>
      <c r="Y439" s="135">
        <v>0.10180447628659101</v>
      </c>
      <c r="Z439" s="135">
        <v>0.10176443836221</v>
      </c>
      <c r="AA439" s="135">
        <v>8.6890892490170804E-2</v>
      </c>
      <c r="AB439" s="135">
        <v>6.5711417631559105E-2</v>
      </c>
      <c r="AC439" s="135">
        <v>3.59250960400549E-2</v>
      </c>
      <c r="AD439" s="135">
        <v>1.6491623105783101E-2</v>
      </c>
      <c r="AF439" s="243">
        <f t="shared" si="6"/>
        <v>0.14198918943794669</v>
      </c>
      <c r="AG439" s="275">
        <f t="shared" si="7"/>
        <v>0.34220208899717475</v>
      </c>
      <c r="AH439" s="391">
        <f t="shared" si="8"/>
        <v>0.58383607120785319</v>
      </c>
      <c r="AI439" s="135">
        <f t="shared" si="9"/>
        <v>0.92603816020502794</v>
      </c>
    </row>
    <row r="440" spans="1:35" ht="12.6">
      <c r="A440" s="10" t="s">
        <v>61</v>
      </c>
      <c r="B440" s="10">
        <v>74</v>
      </c>
      <c r="C440" s="10" t="s">
        <v>1513</v>
      </c>
      <c r="D440" s="388">
        <v>45000</v>
      </c>
      <c r="E440" s="389">
        <v>45000</v>
      </c>
      <c r="F440" s="390" t="str">
        <f t="shared" si="5"/>
        <v>Lighting</v>
      </c>
      <c r="G440" s="135">
        <v>1.0388793695589E-2</v>
      </c>
      <c r="H440" s="135">
        <v>9.2844853881446695E-3</v>
      </c>
      <c r="I440" s="135">
        <v>9.0779038289257891E-3</v>
      </c>
      <c r="J440" s="135">
        <v>9.9144291480233893E-3</v>
      </c>
      <c r="K440" s="135">
        <v>1.7728629050389199E-2</v>
      </c>
      <c r="L440" s="135">
        <v>5.0585304098568797E-2</v>
      </c>
      <c r="M440" s="135">
        <v>7.8149238503386301E-2</v>
      </c>
      <c r="N440" s="135">
        <v>6.5505416127073002E-2</v>
      </c>
      <c r="O440" s="135">
        <v>3.4113102306388698E-2</v>
      </c>
      <c r="P440" s="135">
        <v>2.3059689913006699E-2</v>
      </c>
      <c r="Q440" s="135">
        <v>1.9173460926933301E-2</v>
      </c>
      <c r="R440" s="135">
        <v>1.8159142372703899E-2</v>
      </c>
      <c r="S440" s="135">
        <v>1.8022111934155299E-2</v>
      </c>
      <c r="T440" s="135">
        <v>1.8590870087425E-2</v>
      </c>
      <c r="U440" s="135">
        <v>1.86024427279902E-2</v>
      </c>
      <c r="V440" s="135">
        <v>2.1881015230260301E-2</v>
      </c>
      <c r="W440" s="135">
        <v>2.75601461584787E-2</v>
      </c>
      <c r="X440" s="135">
        <v>6.7654034791216705E-2</v>
      </c>
      <c r="Y440" s="135">
        <v>0.10180447628659101</v>
      </c>
      <c r="Z440" s="135">
        <v>0.10176443836221</v>
      </c>
      <c r="AA440" s="135">
        <v>8.6890892490170804E-2</v>
      </c>
      <c r="AB440" s="135">
        <v>6.5711417631559105E-2</v>
      </c>
      <c r="AC440" s="135">
        <v>3.59250960400549E-2</v>
      </c>
      <c r="AD440" s="135">
        <v>1.6491623105783101E-2</v>
      </c>
      <c r="AF440" s="243">
        <f t="shared" si="6"/>
        <v>0.14198918943794669</v>
      </c>
      <c r="AG440" s="275">
        <f t="shared" si="7"/>
        <v>0.34220208899717475</v>
      </c>
      <c r="AH440" s="391">
        <f t="shared" si="8"/>
        <v>0.58383607120785319</v>
      </c>
      <c r="AI440" s="135">
        <f t="shared" si="9"/>
        <v>0.92603816020502794</v>
      </c>
    </row>
    <row r="441" spans="1:35" ht="12.6">
      <c r="A441" s="10" t="s">
        <v>61</v>
      </c>
      <c r="B441" s="10">
        <v>75</v>
      </c>
      <c r="C441" s="10" t="s">
        <v>1513</v>
      </c>
      <c r="D441" s="388">
        <v>45001</v>
      </c>
      <c r="E441" s="389">
        <v>45001</v>
      </c>
      <c r="F441" s="390" t="str">
        <f t="shared" si="5"/>
        <v>Lighting</v>
      </c>
      <c r="G441" s="135">
        <v>1.0388793695589E-2</v>
      </c>
      <c r="H441" s="135">
        <v>9.2844853881446695E-3</v>
      </c>
      <c r="I441" s="135">
        <v>9.0779038289257891E-3</v>
      </c>
      <c r="J441" s="135">
        <v>9.9144291480233893E-3</v>
      </c>
      <c r="K441" s="135">
        <v>1.7728629050389199E-2</v>
      </c>
      <c r="L441" s="135">
        <v>5.0585304098568797E-2</v>
      </c>
      <c r="M441" s="135">
        <v>7.8149238503386301E-2</v>
      </c>
      <c r="N441" s="135">
        <v>6.5505416127073002E-2</v>
      </c>
      <c r="O441" s="135">
        <v>3.4113102306388698E-2</v>
      </c>
      <c r="P441" s="135">
        <v>2.3059689913006699E-2</v>
      </c>
      <c r="Q441" s="135">
        <v>1.9173460926933301E-2</v>
      </c>
      <c r="R441" s="135">
        <v>1.8159142372703899E-2</v>
      </c>
      <c r="S441" s="135">
        <v>1.8022111934155299E-2</v>
      </c>
      <c r="T441" s="135">
        <v>1.8590870087425E-2</v>
      </c>
      <c r="U441" s="135">
        <v>1.86024427279902E-2</v>
      </c>
      <c r="V441" s="135">
        <v>2.1881015230260301E-2</v>
      </c>
      <c r="W441" s="135">
        <v>2.75601461584787E-2</v>
      </c>
      <c r="X441" s="135">
        <v>6.7654034791216705E-2</v>
      </c>
      <c r="Y441" s="135">
        <v>0.10180447628659101</v>
      </c>
      <c r="Z441" s="135">
        <v>0.10176443836221</v>
      </c>
      <c r="AA441" s="135">
        <v>8.6890892490170804E-2</v>
      </c>
      <c r="AB441" s="135">
        <v>6.5711417631559105E-2</v>
      </c>
      <c r="AC441" s="135">
        <v>3.59250960400549E-2</v>
      </c>
      <c r="AD441" s="135">
        <v>1.6491623105783101E-2</v>
      </c>
      <c r="AF441" s="243">
        <f t="shared" si="6"/>
        <v>0.14198918943794669</v>
      </c>
      <c r="AG441" s="275">
        <f t="shared" si="7"/>
        <v>0.34220208899717475</v>
      </c>
      <c r="AH441" s="391">
        <f t="shared" si="8"/>
        <v>0.58383607120785319</v>
      </c>
      <c r="AI441" s="135">
        <f t="shared" si="9"/>
        <v>0.92603816020502794</v>
      </c>
    </row>
    <row r="442" spans="1:35" ht="12.6">
      <c r="A442" s="10" t="s">
        <v>61</v>
      </c>
      <c r="B442" s="10">
        <v>76</v>
      </c>
      <c r="C442" s="10" t="s">
        <v>1513</v>
      </c>
      <c r="D442" s="388">
        <v>45002</v>
      </c>
      <c r="E442" s="389">
        <v>45002</v>
      </c>
      <c r="F442" s="390" t="str">
        <f t="shared" si="5"/>
        <v>Lighting</v>
      </c>
      <c r="G442" s="135">
        <v>1.0388793695589E-2</v>
      </c>
      <c r="H442" s="135">
        <v>9.2844853881446695E-3</v>
      </c>
      <c r="I442" s="135">
        <v>9.0779038289257891E-3</v>
      </c>
      <c r="J442" s="135">
        <v>9.9144291480233893E-3</v>
      </c>
      <c r="K442" s="135">
        <v>1.7728629050389199E-2</v>
      </c>
      <c r="L442" s="135">
        <v>5.0585304098568797E-2</v>
      </c>
      <c r="M442" s="135">
        <v>7.8149238503386301E-2</v>
      </c>
      <c r="N442" s="135">
        <v>6.5505416127073002E-2</v>
      </c>
      <c r="O442" s="135">
        <v>3.4113102306388698E-2</v>
      </c>
      <c r="P442" s="135">
        <v>2.3059689913006699E-2</v>
      </c>
      <c r="Q442" s="135">
        <v>1.9173460926933301E-2</v>
      </c>
      <c r="R442" s="135">
        <v>1.8159142372703899E-2</v>
      </c>
      <c r="S442" s="135">
        <v>1.8022111934155299E-2</v>
      </c>
      <c r="T442" s="135">
        <v>1.8590870087425E-2</v>
      </c>
      <c r="U442" s="135">
        <v>1.86024427279902E-2</v>
      </c>
      <c r="V442" s="135">
        <v>2.1881015230260301E-2</v>
      </c>
      <c r="W442" s="135">
        <v>2.75601461584787E-2</v>
      </c>
      <c r="X442" s="135">
        <v>6.7654034791216705E-2</v>
      </c>
      <c r="Y442" s="135">
        <v>0.10180447628659101</v>
      </c>
      <c r="Z442" s="135">
        <v>0.10176443836221</v>
      </c>
      <c r="AA442" s="135">
        <v>8.6890892490170804E-2</v>
      </c>
      <c r="AB442" s="135">
        <v>6.5711417631559105E-2</v>
      </c>
      <c r="AC442" s="135">
        <v>3.59250960400549E-2</v>
      </c>
      <c r="AD442" s="135">
        <v>1.6491623105783101E-2</v>
      </c>
      <c r="AF442" s="243">
        <f t="shared" si="6"/>
        <v>0.14198918943794669</v>
      </c>
      <c r="AG442" s="275">
        <f t="shared" si="7"/>
        <v>0.34220208899717475</v>
      </c>
      <c r="AH442" s="391">
        <f t="shared" si="8"/>
        <v>0.58383607120785319</v>
      </c>
      <c r="AI442" s="135">
        <f t="shared" si="9"/>
        <v>0.92603816020502794</v>
      </c>
    </row>
    <row r="443" spans="1:35" ht="12.6">
      <c r="A443" s="10" t="s">
        <v>61</v>
      </c>
      <c r="B443" s="10">
        <v>77</v>
      </c>
      <c r="C443" s="10" t="s">
        <v>1513</v>
      </c>
      <c r="D443" s="388">
        <v>45003</v>
      </c>
      <c r="E443" s="389">
        <v>45003</v>
      </c>
      <c r="F443" s="390" t="str">
        <f t="shared" si="5"/>
        <v>Lighting</v>
      </c>
      <c r="G443" s="135">
        <v>1.2168200889167501E-2</v>
      </c>
      <c r="H443" s="135">
        <v>1.0282578645567499E-2</v>
      </c>
      <c r="I443" s="135">
        <v>9.6054332916604406E-3</v>
      </c>
      <c r="J443" s="135">
        <v>1.0655405728614099E-2</v>
      </c>
      <c r="K443" s="135">
        <v>1.16950109657803E-2</v>
      </c>
      <c r="L443" s="135">
        <v>1.69270076371234E-2</v>
      </c>
      <c r="M443" s="135">
        <v>2.8028010373002399E-2</v>
      </c>
      <c r="N443" s="135">
        <v>3.9036951663730599E-2</v>
      </c>
      <c r="O443" s="135">
        <v>4.2089493450570101E-2</v>
      </c>
      <c r="P443" s="135">
        <v>4.37617820862269E-2</v>
      </c>
      <c r="Q443" s="135">
        <v>4.0503923383543597E-2</v>
      </c>
      <c r="R443" s="135">
        <v>3.8987793496509403E-2</v>
      </c>
      <c r="S443" s="135">
        <v>3.4208620353931102E-2</v>
      </c>
      <c r="T443" s="135">
        <v>3.0240558003717499E-2</v>
      </c>
      <c r="U443" s="135">
        <v>3.1903199614705703E-2</v>
      </c>
      <c r="V443" s="135">
        <v>3.2363058965710297E-2</v>
      </c>
      <c r="W443" s="135">
        <v>4.2369431652361601E-2</v>
      </c>
      <c r="X443" s="135">
        <v>6.8538490143186706E-2</v>
      </c>
      <c r="Y443" s="135">
        <v>8.9070994842437703E-2</v>
      </c>
      <c r="Z443" s="135">
        <v>9.2376178210362994E-2</v>
      </c>
      <c r="AA443" s="135">
        <v>7.8167946474177602E-2</v>
      </c>
      <c r="AB443" s="135">
        <v>5.5762518293499597E-2</v>
      </c>
      <c r="AC443" s="135">
        <v>3.2121809257358698E-2</v>
      </c>
      <c r="AD443" s="135">
        <v>1.8911860255668399E-2</v>
      </c>
      <c r="AF443" s="243">
        <f t="shared" si="6"/>
        <v>0.25057658547047917</v>
      </c>
      <c r="AG443" s="275">
        <f t="shared" si="7"/>
        <v>0.32148018563436898</v>
      </c>
      <c r="AH443" s="391">
        <f t="shared" si="8"/>
        <v>0.58829607204424517</v>
      </c>
      <c r="AI443" s="135">
        <f t="shared" si="9"/>
        <v>0.90977625767861414</v>
      </c>
    </row>
    <row r="444" spans="1:35" ht="12.6">
      <c r="A444" s="10" t="s">
        <v>61</v>
      </c>
      <c r="B444" s="10">
        <v>78</v>
      </c>
      <c r="C444" s="10" t="s">
        <v>1513</v>
      </c>
      <c r="D444" s="388">
        <v>45004</v>
      </c>
      <c r="E444" s="389">
        <v>45004</v>
      </c>
      <c r="F444" s="390" t="str">
        <f t="shared" si="5"/>
        <v>Lighting</v>
      </c>
      <c r="G444" s="135">
        <v>1.2168200889167501E-2</v>
      </c>
      <c r="H444" s="135">
        <v>1.0282578645567499E-2</v>
      </c>
      <c r="I444" s="135">
        <v>9.6054332916604406E-3</v>
      </c>
      <c r="J444" s="135">
        <v>1.0655405728614099E-2</v>
      </c>
      <c r="K444" s="135">
        <v>1.16950109657803E-2</v>
      </c>
      <c r="L444" s="135">
        <v>1.69270076371234E-2</v>
      </c>
      <c r="M444" s="135">
        <v>2.8028010373002399E-2</v>
      </c>
      <c r="N444" s="135">
        <v>3.9036951663730599E-2</v>
      </c>
      <c r="O444" s="135">
        <v>4.2089493450570101E-2</v>
      </c>
      <c r="P444" s="135">
        <v>4.37617820862269E-2</v>
      </c>
      <c r="Q444" s="135">
        <v>4.0503923383543597E-2</v>
      </c>
      <c r="R444" s="135">
        <v>3.8987793496509403E-2</v>
      </c>
      <c r="S444" s="135">
        <v>3.4208620353931102E-2</v>
      </c>
      <c r="T444" s="135">
        <v>3.0240558003717499E-2</v>
      </c>
      <c r="U444" s="135">
        <v>3.1903199614705703E-2</v>
      </c>
      <c r="V444" s="135">
        <v>3.2363058965710297E-2</v>
      </c>
      <c r="W444" s="135">
        <v>4.2369431652361601E-2</v>
      </c>
      <c r="X444" s="135">
        <v>6.8538490143186706E-2</v>
      </c>
      <c r="Y444" s="135">
        <v>8.9070994842437703E-2</v>
      </c>
      <c r="Z444" s="135">
        <v>9.2376178210362994E-2</v>
      </c>
      <c r="AA444" s="135">
        <v>7.8167946474177602E-2</v>
      </c>
      <c r="AB444" s="135">
        <v>5.5762518293499597E-2</v>
      </c>
      <c r="AC444" s="135">
        <v>3.2121809257358698E-2</v>
      </c>
      <c r="AD444" s="135">
        <v>1.8911860255668399E-2</v>
      </c>
      <c r="AF444" s="243">
        <f t="shared" si="6"/>
        <v>0.25057658547047917</v>
      </c>
      <c r="AG444" s="275">
        <f t="shared" si="7"/>
        <v>0.32148018563436898</v>
      </c>
      <c r="AH444" s="391">
        <f t="shared" si="8"/>
        <v>0.58829607204424517</v>
      </c>
      <c r="AI444" s="135">
        <f t="shared" si="9"/>
        <v>0.90977625767861414</v>
      </c>
    </row>
    <row r="445" spans="1:35" ht="12.6">
      <c r="A445" s="10" t="s">
        <v>61</v>
      </c>
      <c r="B445" s="10">
        <v>79</v>
      </c>
      <c r="C445" s="10" t="s">
        <v>1513</v>
      </c>
      <c r="D445" s="388">
        <v>45005</v>
      </c>
      <c r="E445" s="389">
        <v>45005</v>
      </c>
      <c r="F445" s="390" t="str">
        <f t="shared" si="5"/>
        <v>Lighting</v>
      </c>
      <c r="G445" s="135">
        <v>1.0388793695589E-2</v>
      </c>
      <c r="H445" s="135">
        <v>9.2844853881446695E-3</v>
      </c>
      <c r="I445" s="135">
        <v>9.0779038289257891E-3</v>
      </c>
      <c r="J445" s="135">
        <v>9.9144291480233893E-3</v>
      </c>
      <c r="K445" s="135">
        <v>1.7728629050389199E-2</v>
      </c>
      <c r="L445" s="135">
        <v>5.0585304098568797E-2</v>
      </c>
      <c r="M445" s="135">
        <v>7.8149238503386301E-2</v>
      </c>
      <c r="N445" s="135">
        <v>6.5505416127073002E-2</v>
      </c>
      <c r="O445" s="135">
        <v>3.4113102306388698E-2</v>
      </c>
      <c r="P445" s="135">
        <v>2.3059689913006699E-2</v>
      </c>
      <c r="Q445" s="135">
        <v>1.9173460926933301E-2</v>
      </c>
      <c r="R445" s="135">
        <v>1.8159142372703899E-2</v>
      </c>
      <c r="S445" s="135">
        <v>1.8022111934155299E-2</v>
      </c>
      <c r="T445" s="135">
        <v>1.8590870087425E-2</v>
      </c>
      <c r="U445" s="135">
        <v>1.86024427279902E-2</v>
      </c>
      <c r="V445" s="135">
        <v>2.1881015230260301E-2</v>
      </c>
      <c r="W445" s="135">
        <v>2.75601461584787E-2</v>
      </c>
      <c r="X445" s="135">
        <v>6.7654034791216705E-2</v>
      </c>
      <c r="Y445" s="135">
        <v>0.10180447628659101</v>
      </c>
      <c r="Z445" s="135">
        <v>0.10176443836221</v>
      </c>
      <c r="AA445" s="135">
        <v>8.6890892490170804E-2</v>
      </c>
      <c r="AB445" s="135">
        <v>6.5711417631559105E-2</v>
      </c>
      <c r="AC445" s="135">
        <v>3.59250960400549E-2</v>
      </c>
      <c r="AD445" s="135">
        <v>1.6491623105783101E-2</v>
      </c>
      <c r="AF445" s="243">
        <f t="shared" si="6"/>
        <v>0.14198918943794669</v>
      </c>
      <c r="AG445" s="275">
        <f t="shared" si="7"/>
        <v>0.34220208899717475</v>
      </c>
      <c r="AH445" s="391">
        <f t="shared" si="8"/>
        <v>0.58383607120785319</v>
      </c>
      <c r="AI445" s="135">
        <f t="shared" si="9"/>
        <v>0.92603816020502794</v>
      </c>
    </row>
    <row r="446" spans="1:35" ht="12.6">
      <c r="A446" s="10" t="s">
        <v>61</v>
      </c>
      <c r="B446" s="10">
        <v>80</v>
      </c>
      <c r="C446" s="10" t="s">
        <v>1513</v>
      </c>
      <c r="D446" s="388">
        <v>45006</v>
      </c>
      <c r="E446" s="389">
        <v>45006</v>
      </c>
      <c r="F446" s="390" t="str">
        <f t="shared" si="5"/>
        <v>Lighting</v>
      </c>
      <c r="G446" s="135">
        <v>1.0388793695589E-2</v>
      </c>
      <c r="H446" s="135">
        <v>9.2844853881446695E-3</v>
      </c>
      <c r="I446" s="135">
        <v>9.0779038289257891E-3</v>
      </c>
      <c r="J446" s="135">
        <v>9.9144291480233893E-3</v>
      </c>
      <c r="K446" s="135">
        <v>1.7728629050389199E-2</v>
      </c>
      <c r="L446" s="135">
        <v>5.0585304098568797E-2</v>
      </c>
      <c r="M446" s="135">
        <v>7.8149238503386301E-2</v>
      </c>
      <c r="N446" s="135">
        <v>6.5505416127073002E-2</v>
      </c>
      <c r="O446" s="135">
        <v>3.4113102306388698E-2</v>
      </c>
      <c r="P446" s="135">
        <v>2.3059689913006699E-2</v>
      </c>
      <c r="Q446" s="135">
        <v>1.9173460926933301E-2</v>
      </c>
      <c r="R446" s="135">
        <v>1.8159142372703899E-2</v>
      </c>
      <c r="S446" s="135">
        <v>1.8022111934155299E-2</v>
      </c>
      <c r="T446" s="135">
        <v>1.8590870087425E-2</v>
      </c>
      <c r="U446" s="135">
        <v>1.86024427279902E-2</v>
      </c>
      <c r="V446" s="135">
        <v>2.1881015230260301E-2</v>
      </c>
      <c r="W446" s="135">
        <v>2.75601461584787E-2</v>
      </c>
      <c r="X446" s="135">
        <v>6.7654034791216705E-2</v>
      </c>
      <c r="Y446" s="135">
        <v>0.10180447628659101</v>
      </c>
      <c r="Z446" s="135">
        <v>0.10176443836221</v>
      </c>
      <c r="AA446" s="135">
        <v>8.6890892490170804E-2</v>
      </c>
      <c r="AB446" s="135">
        <v>6.5711417631559105E-2</v>
      </c>
      <c r="AC446" s="135">
        <v>3.59250960400549E-2</v>
      </c>
      <c r="AD446" s="135">
        <v>1.6491623105783101E-2</v>
      </c>
      <c r="AF446" s="243">
        <f t="shared" si="6"/>
        <v>0.14198918943794669</v>
      </c>
      <c r="AG446" s="275">
        <f t="shared" si="7"/>
        <v>0.34220208899717475</v>
      </c>
      <c r="AH446" s="391">
        <f t="shared" si="8"/>
        <v>0.58383607120785319</v>
      </c>
      <c r="AI446" s="135">
        <f t="shared" si="9"/>
        <v>0.92603816020502794</v>
      </c>
    </row>
    <row r="447" spans="1:35" ht="12.6">
      <c r="A447" s="10" t="s">
        <v>61</v>
      </c>
      <c r="B447" s="10">
        <v>81</v>
      </c>
      <c r="C447" s="10" t="s">
        <v>1513</v>
      </c>
      <c r="D447" s="388">
        <v>45007</v>
      </c>
      <c r="E447" s="389">
        <v>45007</v>
      </c>
      <c r="F447" s="390" t="str">
        <f t="shared" si="5"/>
        <v>Lighting</v>
      </c>
      <c r="G447" s="135">
        <v>1.0388793695589E-2</v>
      </c>
      <c r="H447" s="135">
        <v>9.2844853881446695E-3</v>
      </c>
      <c r="I447" s="135">
        <v>9.0779038289257891E-3</v>
      </c>
      <c r="J447" s="135">
        <v>9.9144291480233893E-3</v>
      </c>
      <c r="K447" s="135">
        <v>1.7728629050389199E-2</v>
      </c>
      <c r="L447" s="135">
        <v>5.0585304098568797E-2</v>
      </c>
      <c r="M447" s="135">
        <v>7.8149238503386301E-2</v>
      </c>
      <c r="N447" s="135">
        <v>6.5505416127073002E-2</v>
      </c>
      <c r="O447" s="135">
        <v>3.4113102306388698E-2</v>
      </c>
      <c r="P447" s="135">
        <v>2.3059689913006699E-2</v>
      </c>
      <c r="Q447" s="135">
        <v>1.9173460926933301E-2</v>
      </c>
      <c r="R447" s="135">
        <v>1.8159142372703899E-2</v>
      </c>
      <c r="S447" s="135">
        <v>1.8022111934155299E-2</v>
      </c>
      <c r="T447" s="135">
        <v>1.8590870087425E-2</v>
      </c>
      <c r="U447" s="135">
        <v>1.86024427279902E-2</v>
      </c>
      <c r="V447" s="135">
        <v>2.1881015230260301E-2</v>
      </c>
      <c r="W447" s="135">
        <v>2.75601461584787E-2</v>
      </c>
      <c r="X447" s="135">
        <v>6.7654034791216705E-2</v>
      </c>
      <c r="Y447" s="135">
        <v>0.10180447628659101</v>
      </c>
      <c r="Z447" s="135">
        <v>0.10176443836221</v>
      </c>
      <c r="AA447" s="135">
        <v>8.6890892490170804E-2</v>
      </c>
      <c r="AB447" s="135">
        <v>6.5711417631559105E-2</v>
      </c>
      <c r="AC447" s="135">
        <v>3.59250960400549E-2</v>
      </c>
      <c r="AD447" s="135">
        <v>1.6491623105783101E-2</v>
      </c>
      <c r="AF447" s="243">
        <f t="shared" si="6"/>
        <v>0.14198918943794669</v>
      </c>
      <c r="AG447" s="275">
        <f t="shared" si="7"/>
        <v>0.34220208899717475</v>
      </c>
      <c r="AH447" s="391">
        <f t="shared" si="8"/>
        <v>0.58383607120785319</v>
      </c>
      <c r="AI447" s="135">
        <f t="shared" si="9"/>
        <v>0.92603816020502794</v>
      </c>
    </row>
    <row r="448" spans="1:35" ht="12.6">
      <c r="A448" s="10" t="s">
        <v>61</v>
      </c>
      <c r="B448" s="10">
        <v>82</v>
      </c>
      <c r="C448" s="10" t="s">
        <v>1513</v>
      </c>
      <c r="D448" s="388">
        <v>45008</v>
      </c>
      <c r="E448" s="389">
        <v>45008</v>
      </c>
      <c r="F448" s="390" t="str">
        <f t="shared" si="5"/>
        <v>Lighting</v>
      </c>
      <c r="G448" s="135">
        <v>1.0388793695589E-2</v>
      </c>
      <c r="H448" s="135">
        <v>9.2844853881446695E-3</v>
      </c>
      <c r="I448" s="135">
        <v>9.0779038289257891E-3</v>
      </c>
      <c r="J448" s="135">
        <v>9.9144291480233893E-3</v>
      </c>
      <c r="K448" s="135">
        <v>1.7728629050389199E-2</v>
      </c>
      <c r="L448" s="135">
        <v>5.0585304098568797E-2</v>
      </c>
      <c r="M448" s="135">
        <v>7.8149238503386301E-2</v>
      </c>
      <c r="N448" s="135">
        <v>6.5505416127073002E-2</v>
      </c>
      <c r="O448" s="135">
        <v>3.4113102306388698E-2</v>
      </c>
      <c r="P448" s="135">
        <v>2.3059689913006699E-2</v>
      </c>
      <c r="Q448" s="135">
        <v>1.9173460926933301E-2</v>
      </c>
      <c r="R448" s="135">
        <v>1.8159142372703899E-2</v>
      </c>
      <c r="S448" s="135">
        <v>1.8022111934155299E-2</v>
      </c>
      <c r="T448" s="135">
        <v>1.8590870087425E-2</v>
      </c>
      <c r="U448" s="135">
        <v>1.86024427279902E-2</v>
      </c>
      <c r="V448" s="135">
        <v>2.1881015230260301E-2</v>
      </c>
      <c r="W448" s="135">
        <v>2.75601461584787E-2</v>
      </c>
      <c r="X448" s="135">
        <v>6.7654034791216705E-2</v>
      </c>
      <c r="Y448" s="135">
        <v>0.10180447628659101</v>
      </c>
      <c r="Z448" s="135">
        <v>0.10176443836221</v>
      </c>
      <c r="AA448" s="135">
        <v>8.6890892490170804E-2</v>
      </c>
      <c r="AB448" s="135">
        <v>6.5711417631559105E-2</v>
      </c>
      <c r="AC448" s="135">
        <v>3.59250960400549E-2</v>
      </c>
      <c r="AD448" s="135">
        <v>1.6491623105783101E-2</v>
      </c>
      <c r="AF448" s="243">
        <f t="shared" si="6"/>
        <v>0.14198918943794669</v>
      </c>
      <c r="AG448" s="275">
        <f t="shared" si="7"/>
        <v>0.34220208899717475</v>
      </c>
      <c r="AH448" s="391">
        <f t="shared" si="8"/>
        <v>0.58383607120785319</v>
      </c>
      <c r="AI448" s="135">
        <f t="shared" si="9"/>
        <v>0.92603816020502794</v>
      </c>
    </row>
    <row r="449" spans="1:35" ht="12.6">
      <c r="A449" s="10" t="s">
        <v>61</v>
      </c>
      <c r="B449" s="10">
        <v>83</v>
      </c>
      <c r="C449" s="10" t="s">
        <v>1513</v>
      </c>
      <c r="D449" s="388">
        <v>45009</v>
      </c>
      <c r="E449" s="389">
        <v>45009</v>
      </c>
      <c r="F449" s="390" t="str">
        <f t="shared" si="5"/>
        <v>Lighting</v>
      </c>
      <c r="G449" s="135">
        <v>1.0388793695589E-2</v>
      </c>
      <c r="H449" s="135">
        <v>9.2844853881446695E-3</v>
      </c>
      <c r="I449" s="135">
        <v>9.0779038289257891E-3</v>
      </c>
      <c r="J449" s="135">
        <v>9.9144291480233893E-3</v>
      </c>
      <c r="K449" s="135">
        <v>1.7728629050389199E-2</v>
      </c>
      <c r="L449" s="135">
        <v>5.0585304098568797E-2</v>
      </c>
      <c r="M449" s="135">
        <v>7.8149238503386301E-2</v>
      </c>
      <c r="N449" s="135">
        <v>6.5505416127073002E-2</v>
      </c>
      <c r="O449" s="135">
        <v>3.4113102306388698E-2</v>
      </c>
      <c r="P449" s="135">
        <v>2.3059689913006699E-2</v>
      </c>
      <c r="Q449" s="135">
        <v>1.9173460926933301E-2</v>
      </c>
      <c r="R449" s="135">
        <v>1.8159142372703899E-2</v>
      </c>
      <c r="S449" s="135">
        <v>1.8022111934155299E-2</v>
      </c>
      <c r="T449" s="135">
        <v>1.8590870087425E-2</v>
      </c>
      <c r="U449" s="135">
        <v>1.86024427279902E-2</v>
      </c>
      <c r="V449" s="135">
        <v>2.1881015230260301E-2</v>
      </c>
      <c r="W449" s="135">
        <v>2.75601461584787E-2</v>
      </c>
      <c r="X449" s="135">
        <v>6.7654034791216705E-2</v>
      </c>
      <c r="Y449" s="135">
        <v>0.10180447628659101</v>
      </c>
      <c r="Z449" s="135">
        <v>0.10176443836221</v>
      </c>
      <c r="AA449" s="135">
        <v>8.6890892490170804E-2</v>
      </c>
      <c r="AB449" s="135">
        <v>6.5711417631559105E-2</v>
      </c>
      <c r="AC449" s="135">
        <v>3.59250960400549E-2</v>
      </c>
      <c r="AD449" s="135">
        <v>1.6491623105783101E-2</v>
      </c>
      <c r="AF449" s="243">
        <f t="shared" si="6"/>
        <v>0.14198918943794669</v>
      </c>
      <c r="AG449" s="275">
        <f t="shared" si="7"/>
        <v>0.34220208899717475</v>
      </c>
      <c r="AH449" s="391">
        <f t="shared" si="8"/>
        <v>0.58383607120785319</v>
      </c>
      <c r="AI449" s="135">
        <f t="shared" si="9"/>
        <v>0.92603816020502794</v>
      </c>
    </row>
    <row r="450" spans="1:35" ht="12.6">
      <c r="A450" s="10" t="s">
        <v>61</v>
      </c>
      <c r="B450" s="10">
        <v>84</v>
      </c>
      <c r="C450" s="10" t="s">
        <v>1513</v>
      </c>
      <c r="D450" s="388">
        <v>45010</v>
      </c>
      <c r="E450" s="389">
        <v>45010</v>
      </c>
      <c r="F450" s="390" t="str">
        <f t="shared" si="5"/>
        <v>Lighting</v>
      </c>
      <c r="G450" s="135">
        <v>1.2168200889167501E-2</v>
      </c>
      <c r="H450" s="135">
        <v>1.0282578645567499E-2</v>
      </c>
      <c r="I450" s="135">
        <v>9.6054332916604406E-3</v>
      </c>
      <c r="J450" s="135">
        <v>1.0655405728614099E-2</v>
      </c>
      <c r="K450" s="135">
        <v>1.16950109657803E-2</v>
      </c>
      <c r="L450" s="135">
        <v>1.69270076371234E-2</v>
      </c>
      <c r="M450" s="135">
        <v>2.8028010373002399E-2</v>
      </c>
      <c r="N450" s="135">
        <v>3.9036951663730599E-2</v>
      </c>
      <c r="O450" s="135">
        <v>4.2089493450570101E-2</v>
      </c>
      <c r="P450" s="135">
        <v>4.37617820862269E-2</v>
      </c>
      <c r="Q450" s="135">
        <v>4.0503923383543597E-2</v>
      </c>
      <c r="R450" s="135">
        <v>3.8987793496509403E-2</v>
      </c>
      <c r="S450" s="135">
        <v>3.4208620353931102E-2</v>
      </c>
      <c r="T450" s="135">
        <v>3.0240558003717499E-2</v>
      </c>
      <c r="U450" s="135">
        <v>3.1903199614705703E-2</v>
      </c>
      <c r="V450" s="135">
        <v>3.2363058965710297E-2</v>
      </c>
      <c r="W450" s="135">
        <v>4.2369431652361601E-2</v>
      </c>
      <c r="X450" s="135">
        <v>6.8538490143186706E-2</v>
      </c>
      <c r="Y450" s="135">
        <v>8.9070994842437703E-2</v>
      </c>
      <c r="Z450" s="135">
        <v>9.2376178210362994E-2</v>
      </c>
      <c r="AA450" s="135">
        <v>7.8167946474177602E-2</v>
      </c>
      <c r="AB450" s="135">
        <v>5.5762518293499597E-2</v>
      </c>
      <c r="AC450" s="135">
        <v>3.2121809257358698E-2</v>
      </c>
      <c r="AD450" s="135">
        <v>1.8911860255668399E-2</v>
      </c>
      <c r="AF450" s="243">
        <f t="shared" si="6"/>
        <v>0.25057658547047917</v>
      </c>
      <c r="AG450" s="275">
        <f t="shared" si="7"/>
        <v>0.32148018563436898</v>
      </c>
      <c r="AH450" s="391">
        <f t="shared" si="8"/>
        <v>0.58829607204424517</v>
      </c>
      <c r="AI450" s="135">
        <f t="shared" si="9"/>
        <v>0.90977625767861414</v>
      </c>
    </row>
    <row r="451" spans="1:35" ht="12.6">
      <c r="A451" s="10" t="s">
        <v>61</v>
      </c>
      <c r="B451" s="10">
        <v>85</v>
      </c>
      <c r="C451" s="10" t="s">
        <v>1513</v>
      </c>
      <c r="D451" s="388">
        <v>45011</v>
      </c>
      <c r="E451" s="389">
        <v>45011</v>
      </c>
      <c r="F451" s="390" t="str">
        <f t="shared" si="5"/>
        <v>Lighting</v>
      </c>
      <c r="G451" s="135">
        <v>1.2168200889167501E-2</v>
      </c>
      <c r="H451" s="135">
        <v>1.0282578645567499E-2</v>
      </c>
      <c r="I451" s="135">
        <v>9.6054332916604406E-3</v>
      </c>
      <c r="J451" s="135">
        <v>1.0655405728614099E-2</v>
      </c>
      <c r="K451" s="135">
        <v>1.16950109657803E-2</v>
      </c>
      <c r="L451" s="135">
        <v>1.69270076371234E-2</v>
      </c>
      <c r="M451" s="135">
        <v>2.8028010373002399E-2</v>
      </c>
      <c r="N451" s="135">
        <v>3.9036951663730599E-2</v>
      </c>
      <c r="O451" s="135">
        <v>4.2089493450570101E-2</v>
      </c>
      <c r="P451" s="135">
        <v>4.37617820862269E-2</v>
      </c>
      <c r="Q451" s="135">
        <v>4.0503923383543597E-2</v>
      </c>
      <c r="R451" s="135">
        <v>3.8987793496509403E-2</v>
      </c>
      <c r="S451" s="135">
        <v>3.4208620353931102E-2</v>
      </c>
      <c r="T451" s="135">
        <v>3.0240558003717499E-2</v>
      </c>
      <c r="U451" s="135">
        <v>3.1903199614705703E-2</v>
      </c>
      <c r="V451" s="135">
        <v>3.2363058965710297E-2</v>
      </c>
      <c r="W451" s="135">
        <v>4.2369431652361601E-2</v>
      </c>
      <c r="X451" s="135">
        <v>6.8538490143186706E-2</v>
      </c>
      <c r="Y451" s="135">
        <v>8.9070994842437703E-2</v>
      </c>
      <c r="Z451" s="135">
        <v>9.2376178210362994E-2</v>
      </c>
      <c r="AA451" s="135">
        <v>7.8167946474177602E-2</v>
      </c>
      <c r="AB451" s="135">
        <v>5.5762518293499597E-2</v>
      </c>
      <c r="AC451" s="135">
        <v>3.2121809257358698E-2</v>
      </c>
      <c r="AD451" s="135">
        <v>1.8911860255668399E-2</v>
      </c>
      <c r="AF451" s="243">
        <f t="shared" si="6"/>
        <v>0.25057658547047917</v>
      </c>
      <c r="AG451" s="275">
        <f t="shared" si="7"/>
        <v>0.32148018563436898</v>
      </c>
      <c r="AH451" s="391">
        <f t="shared" si="8"/>
        <v>0.58829607204424517</v>
      </c>
      <c r="AI451" s="135">
        <f t="shared" si="9"/>
        <v>0.90977625767861414</v>
      </c>
    </row>
    <row r="452" spans="1:35" ht="12.6">
      <c r="A452" s="10" t="s">
        <v>61</v>
      </c>
      <c r="B452" s="10">
        <v>86</v>
      </c>
      <c r="C452" s="10" t="s">
        <v>1513</v>
      </c>
      <c r="D452" s="388">
        <v>45012</v>
      </c>
      <c r="E452" s="389">
        <v>45012</v>
      </c>
      <c r="F452" s="390" t="str">
        <f t="shared" si="5"/>
        <v>Lighting</v>
      </c>
      <c r="G452" s="135">
        <v>1.0388793695589E-2</v>
      </c>
      <c r="H452" s="135">
        <v>9.2844853881446695E-3</v>
      </c>
      <c r="I452" s="135">
        <v>9.0779038289257891E-3</v>
      </c>
      <c r="J452" s="135">
        <v>9.9144291480233893E-3</v>
      </c>
      <c r="K452" s="135">
        <v>1.7728629050389199E-2</v>
      </c>
      <c r="L452" s="135">
        <v>5.0585304098568797E-2</v>
      </c>
      <c r="M452" s="135">
        <v>7.8149238503386301E-2</v>
      </c>
      <c r="N452" s="135">
        <v>6.5505416127073002E-2</v>
      </c>
      <c r="O452" s="135">
        <v>3.4113102306388698E-2</v>
      </c>
      <c r="P452" s="135">
        <v>2.3059689913006699E-2</v>
      </c>
      <c r="Q452" s="135">
        <v>1.9173460926933301E-2</v>
      </c>
      <c r="R452" s="135">
        <v>1.8159142372703899E-2</v>
      </c>
      <c r="S452" s="135">
        <v>1.8022111934155299E-2</v>
      </c>
      <c r="T452" s="135">
        <v>1.8590870087425E-2</v>
      </c>
      <c r="U452" s="135">
        <v>1.86024427279902E-2</v>
      </c>
      <c r="V452" s="135">
        <v>2.1881015230260301E-2</v>
      </c>
      <c r="W452" s="135">
        <v>2.75601461584787E-2</v>
      </c>
      <c r="X452" s="135">
        <v>6.7654034791216705E-2</v>
      </c>
      <c r="Y452" s="135">
        <v>0.10180447628659101</v>
      </c>
      <c r="Z452" s="135">
        <v>0.10176443836221</v>
      </c>
      <c r="AA452" s="135">
        <v>8.6890892490170804E-2</v>
      </c>
      <c r="AB452" s="135">
        <v>6.5711417631559105E-2</v>
      </c>
      <c r="AC452" s="135">
        <v>3.59250960400549E-2</v>
      </c>
      <c r="AD452" s="135">
        <v>1.6491623105783101E-2</v>
      </c>
      <c r="AF452" s="243">
        <f t="shared" si="6"/>
        <v>0.14198918943794669</v>
      </c>
      <c r="AG452" s="275">
        <f t="shared" si="7"/>
        <v>0.34220208899717475</v>
      </c>
      <c r="AH452" s="391">
        <f t="shared" si="8"/>
        <v>0.58383607120785319</v>
      </c>
      <c r="AI452" s="135">
        <f t="shared" si="9"/>
        <v>0.92603816020502794</v>
      </c>
    </row>
    <row r="453" spans="1:35" ht="12.6">
      <c r="A453" s="10" t="s">
        <v>61</v>
      </c>
      <c r="B453" s="10">
        <v>87</v>
      </c>
      <c r="C453" s="10" t="s">
        <v>1513</v>
      </c>
      <c r="D453" s="388">
        <v>45013</v>
      </c>
      <c r="E453" s="389">
        <v>45013</v>
      </c>
      <c r="F453" s="390" t="str">
        <f t="shared" si="5"/>
        <v>Lighting</v>
      </c>
      <c r="G453" s="135">
        <v>1.0388793695589E-2</v>
      </c>
      <c r="H453" s="135">
        <v>9.2844853881446695E-3</v>
      </c>
      <c r="I453" s="135">
        <v>9.0779038289257891E-3</v>
      </c>
      <c r="J453" s="135">
        <v>9.9144291480233893E-3</v>
      </c>
      <c r="K453" s="135">
        <v>1.7728629050389199E-2</v>
      </c>
      <c r="L453" s="135">
        <v>5.0585304098568797E-2</v>
      </c>
      <c r="M453" s="135">
        <v>7.8149238503386301E-2</v>
      </c>
      <c r="N453" s="135">
        <v>6.5505416127073002E-2</v>
      </c>
      <c r="O453" s="135">
        <v>3.4113102306388698E-2</v>
      </c>
      <c r="P453" s="135">
        <v>2.3059689913006699E-2</v>
      </c>
      <c r="Q453" s="135">
        <v>1.9173460926933301E-2</v>
      </c>
      <c r="R453" s="135">
        <v>1.8159142372703899E-2</v>
      </c>
      <c r="S453" s="135">
        <v>1.8022111934155299E-2</v>
      </c>
      <c r="T453" s="135">
        <v>1.8590870087425E-2</v>
      </c>
      <c r="U453" s="135">
        <v>1.86024427279902E-2</v>
      </c>
      <c r="V453" s="135">
        <v>2.1881015230260301E-2</v>
      </c>
      <c r="W453" s="135">
        <v>2.75601461584787E-2</v>
      </c>
      <c r="X453" s="135">
        <v>6.7654034791216705E-2</v>
      </c>
      <c r="Y453" s="135">
        <v>0.10180447628659101</v>
      </c>
      <c r="Z453" s="135">
        <v>0.10176443836221</v>
      </c>
      <c r="AA453" s="135">
        <v>8.6890892490170804E-2</v>
      </c>
      <c r="AB453" s="135">
        <v>6.5711417631559105E-2</v>
      </c>
      <c r="AC453" s="135">
        <v>3.59250960400549E-2</v>
      </c>
      <c r="AD453" s="135">
        <v>1.6491623105783101E-2</v>
      </c>
      <c r="AF453" s="243">
        <f t="shared" si="6"/>
        <v>0.14198918943794669</v>
      </c>
      <c r="AG453" s="275">
        <f t="shared" si="7"/>
        <v>0.34220208899717475</v>
      </c>
      <c r="AH453" s="391">
        <f t="shared" si="8"/>
        <v>0.58383607120785319</v>
      </c>
      <c r="AI453" s="135">
        <f t="shared" si="9"/>
        <v>0.92603816020502794</v>
      </c>
    </row>
    <row r="454" spans="1:35" ht="12.6">
      <c r="A454" s="10" t="s">
        <v>61</v>
      </c>
      <c r="B454" s="10">
        <v>88</v>
      </c>
      <c r="C454" s="10" t="s">
        <v>1513</v>
      </c>
      <c r="D454" s="388">
        <v>45014</v>
      </c>
      <c r="E454" s="389">
        <v>45014</v>
      </c>
      <c r="F454" s="390" t="str">
        <f t="shared" si="5"/>
        <v>Lighting</v>
      </c>
      <c r="G454" s="135">
        <v>1.0388793695589E-2</v>
      </c>
      <c r="H454" s="135">
        <v>9.2844853881446695E-3</v>
      </c>
      <c r="I454" s="135">
        <v>9.0779038289257891E-3</v>
      </c>
      <c r="J454" s="135">
        <v>9.9144291480233893E-3</v>
      </c>
      <c r="K454" s="135">
        <v>1.7728629050389199E-2</v>
      </c>
      <c r="L454" s="135">
        <v>5.0585304098568797E-2</v>
      </c>
      <c r="M454" s="135">
        <v>7.8149238503386301E-2</v>
      </c>
      <c r="N454" s="135">
        <v>6.5505416127073002E-2</v>
      </c>
      <c r="O454" s="135">
        <v>3.4113102306388698E-2</v>
      </c>
      <c r="P454" s="135">
        <v>2.3059689913006699E-2</v>
      </c>
      <c r="Q454" s="135">
        <v>1.9173460926933301E-2</v>
      </c>
      <c r="R454" s="135">
        <v>1.8159142372703899E-2</v>
      </c>
      <c r="S454" s="135">
        <v>1.8022111934155299E-2</v>
      </c>
      <c r="T454" s="135">
        <v>1.8590870087425E-2</v>
      </c>
      <c r="U454" s="135">
        <v>1.86024427279902E-2</v>
      </c>
      <c r="V454" s="135">
        <v>2.1881015230260301E-2</v>
      </c>
      <c r="W454" s="135">
        <v>2.75601461584787E-2</v>
      </c>
      <c r="X454" s="135">
        <v>6.7654034791216705E-2</v>
      </c>
      <c r="Y454" s="135">
        <v>0.10180447628659101</v>
      </c>
      <c r="Z454" s="135">
        <v>0.10176443836221</v>
      </c>
      <c r="AA454" s="135">
        <v>8.6890892490170804E-2</v>
      </c>
      <c r="AB454" s="135">
        <v>6.5711417631559105E-2</v>
      </c>
      <c r="AC454" s="135">
        <v>3.59250960400549E-2</v>
      </c>
      <c r="AD454" s="135">
        <v>1.6491623105783101E-2</v>
      </c>
      <c r="AF454" s="243">
        <f t="shared" si="6"/>
        <v>0.14198918943794669</v>
      </c>
      <c r="AG454" s="275">
        <f t="shared" si="7"/>
        <v>0.34220208899717475</v>
      </c>
      <c r="AH454" s="391">
        <f t="shared" si="8"/>
        <v>0.58383607120785319</v>
      </c>
      <c r="AI454" s="135">
        <f t="shared" si="9"/>
        <v>0.92603816020502794</v>
      </c>
    </row>
    <row r="455" spans="1:35" ht="12.6">
      <c r="A455" s="10" t="s">
        <v>61</v>
      </c>
      <c r="B455" s="10">
        <v>89</v>
      </c>
      <c r="C455" s="10" t="s">
        <v>1513</v>
      </c>
      <c r="D455" s="388">
        <v>45015</v>
      </c>
      <c r="E455" s="389">
        <v>45015</v>
      </c>
      <c r="F455" s="390" t="str">
        <f t="shared" si="5"/>
        <v>Lighting</v>
      </c>
      <c r="G455" s="135">
        <v>1.0388793695589E-2</v>
      </c>
      <c r="H455" s="135">
        <v>9.2844853881446695E-3</v>
      </c>
      <c r="I455" s="135">
        <v>9.0779038289257891E-3</v>
      </c>
      <c r="J455" s="135">
        <v>9.9144291480233893E-3</v>
      </c>
      <c r="K455" s="135">
        <v>1.7728629050389199E-2</v>
      </c>
      <c r="L455" s="135">
        <v>5.0585304098568797E-2</v>
      </c>
      <c r="M455" s="135">
        <v>7.8149238503386301E-2</v>
      </c>
      <c r="N455" s="135">
        <v>6.5505416127073002E-2</v>
      </c>
      <c r="O455" s="135">
        <v>3.4113102306388698E-2</v>
      </c>
      <c r="P455" s="135">
        <v>2.3059689913006699E-2</v>
      </c>
      <c r="Q455" s="135">
        <v>1.9173460926933301E-2</v>
      </c>
      <c r="R455" s="135">
        <v>1.8159142372703899E-2</v>
      </c>
      <c r="S455" s="135">
        <v>1.8022111934155299E-2</v>
      </c>
      <c r="T455" s="135">
        <v>1.8590870087425E-2</v>
      </c>
      <c r="U455" s="135">
        <v>1.86024427279902E-2</v>
      </c>
      <c r="V455" s="135">
        <v>2.1881015230260301E-2</v>
      </c>
      <c r="W455" s="135">
        <v>2.75601461584787E-2</v>
      </c>
      <c r="X455" s="135">
        <v>6.7654034791216705E-2</v>
      </c>
      <c r="Y455" s="135">
        <v>0.10180447628659101</v>
      </c>
      <c r="Z455" s="135">
        <v>0.10176443836221</v>
      </c>
      <c r="AA455" s="135">
        <v>8.6890892490170804E-2</v>
      </c>
      <c r="AB455" s="135">
        <v>6.5711417631559105E-2</v>
      </c>
      <c r="AC455" s="135">
        <v>3.59250960400549E-2</v>
      </c>
      <c r="AD455" s="135">
        <v>1.6491623105783101E-2</v>
      </c>
      <c r="AF455" s="243">
        <f t="shared" si="6"/>
        <v>0.14198918943794669</v>
      </c>
      <c r="AG455" s="275">
        <f t="shared" si="7"/>
        <v>0.34220208899717475</v>
      </c>
      <c r="AH455" s="391">
        <f t="shared" si="8"/>
        <v>0.58383607120785319</v>
      </c>
      <c r="AI455" s="135">
        <f t="shared" si="9"/>
        <v>0.92603816020502794</v>
      </c>
    </row>
    <row r="456" spans="1:35" ht="12.6">
      <c r="A456" s="10" t="s">
        <v>61</v>
      </c>
      <c r="B456" s="10">
        <v>90</v>
      </c>
      <c r="C456" s="10" t="s">
        <v>1513</v>
      </c>
      <c r="D456" s="388">
        <v>45016</v>
      </c>
      <c r="E456" s="389">
        <v>45016</v>
      </c>
      <c r="F456" s="390" t="str">
        <f t="shared" si="5"/>
        <v>Lighting</v>
      </c>
      <c r="G456" s="135">
        <v>1.0388793695589E-2</v>
      </c>
      <c r="H456" s="135">
        <v>9.2844853881446695E-3</v>
      </c>
      <c r="I456" s="135">
        <v>9.0779038289257891E-3</v>
      </c>
      <c r="J456" s="135">
        <v>9.9144291480233893E-3</v>
      </c>
      <c r="K456" s="135">
        <v>1.7728629050389199E-2</v>
      </c>
      <c r="L456" s="135">
        <v>5.0585304098568797E-2</v>
      </c>
      <c r="M456" s="135">
        <v>7.8149238503386301E-2</v>
      </c>
      <c r="N456" s="135">
        <v>6.5505416127073002E-2</v>
      </c>
      <c r="O456" s="135">
        <v>3.4113102306388698E-2</v>
      </c>
      <c r="P456" s="135">
        <v>2.3059689913006699E-2</v>
      </c>
      <c r="Q456" s="135">
        <v>1.9173460926933301E-2</v>
      </c>
      <c r="R456" s="135">
        <v>1.8159142372703899E-2</v>
      </c>
      <c r="S456" s="135">
        <v>1.8022111934155299E-2</v>
      </c>
      <c r="T456" s="135">
        <v>1.8590870087425E-2</v>
      </c>
      <c r="U456" s="135">
        <v>1.86024427279902E-2</v>
      </c>
      <c r="V456" s="135">
        <v>2.1881015230260301E-2</v>
      </c>
      <c r="W456" s="135">
        <v>2.75601461584787E-2</v>
      </c>
      <c r="X456" s="135">
        <v>6.7654034791216705E-2</v>
      </c>
      <c r="Y456" s="135">
        <v>0.10180447628659101</v>
      </c>
      <c r="Z456" s="135">
        <v>0.10176443836221</v>
      </c>
      <c r="AA456" s="135">
        <v>8.6890892490170804E-2</v>
      </c>
      <c r="AB456" s="135">
        <v>6.5711417631559105E-2</v>
      </c>
      <c r="AC456" s="135">
        <v>3.59250960400549E-2</v>
      </c>
      <c r="AD456" s="135">
        <v>1.6491623105783101E-2</v>
      </c>
      <c r="AF456" s="243">
        <f t="shared" si="6"/>
        <v>0.14198918943794669</v>
      </c>
      <c r="AG456" s="275">
        <f t="shared" si="7"/>
        <v>0.34220208899717475</v>
      </c>
      <c r="AH456" s="391">
        <f t="shared" si="8"/>
        <v>0.58383607120785319</v>
      </c>
      <c r="AI456" s="135">
        <f t="shared" si="9"/>
        <v>0.92603816020502794</v>
      </c>
    </row>
    <row r="457" spans="1:35" ht="12.6">
      <c r="A457" s="10" t="s">
        <v>61</v>
      </c>
      <c r="B457" s="10">
        <v>91</v>
      </c>
      <c r="C457" s="10" t="s">
        <v>1513</v>
      </c>
      <c r="D457" s="388">
        <v>45017</v>
      </c>
      <c r="E457" s="389">
        <v>45017</v>
      </c>
      <c r="F457" s="390" t="str">
        <f t="shared" si="5"/>
        <v>Lighting</v>
      </c>
      <c r="G457" s="135">
        <v>1.2168200889167501E-2</v>
      </c>
      <c r="H457" s="135">
        <v>1.0282578645567499E-2</v>
      </c>
      <c r="I457" s="135">
        <v>9.6054332916604406E-3</v>
      </c>
      <c r="J457" s="135">
        <v>1.0655405728614099E-2</v>
      </c>
      <c r="K457" s="135">
        <v>1.16950109657803E-2</v>
      </c>
      <c r="L457" s="135">
        <v>1.69270076371234E-2</v>
      </c>
      <c r="M457" s="135">
        <v>2.8028010373002399E-2</v>
      </c>
      <c r="N457" s="135">
        <v>3.9036951663730599E-2</v>
      </c>
      <c r="O457" s="135">
        <v>4.2089493450570101E-2</v>
      </c>
      <c r="P457" s="135">
        <v>4.37617820862269E-2</v>
      </c>
      <c r="Q457" s="135">
        <v>4.0503923383543597E-2</v>
      </c>
      <c r="R457" s="135">
        <v>3.8987793496509403E-2</v>
      </c>
      <c r="S457" s="135">
        <v>3.4208620353931102E-2</v>
      </c>
      <c r="T457" s="135">
        <v>3.0240558003717499E-2</v>
      </c>
      <c r="U457" s="135">
        <v>3.1903199614705703E-2</v>
      </c>
      <c r="V457" s="135">
        <v>3.2363058965710297E-2</v>
      </c>
      <c r="W457" s="135">
        <v>4.2369431652361601E-2</v>
      </c>
      <c r="X457" s="135">
        <v>6.8538490143186706E-2</v>
      </c>
      <c r="Y457" s="135">
        <v>8.9070994842437703E-2</v>
      </c>
      <c r="Z457" s="135">
        <v>9.2376178210362994E-2</v>
      </c>
      <c r="AA457" s="135">
        <v>7.8167946474177602E-2</v>
      </c>
      <c r="AB457" s="135">
        <v>5.5762518293499597E-2</v>
      </c>
      <c r="AC457" s="135">
        <v>3.2121809257358698E-2</v>
      </c>
      <c r="AD457" s="135">
        <v>1.8911860255668399E-2</v>
      </c>
      <c r="AF457" s="243">
        <f t="shared" si="6"/>
        <v>0.25057658547047917</v>
      </c>
      <c r="AG457" s="275">
        <f t="shared" si="7"/>
        <v>0.32148018563436898</v>
      </c>
      <c r="AH457" s="391">
        <f t="shared" si="8"/>
        <v>0.58829607204424517</v>
      </c>
      <c r="AI457" s="135">
        <f t="shared" si="9"/>
        <v>0.90977625767861414</v>
      </c>
    </row>
    <row r="458" spans="1:35" ht="12.6">
      <c r="A458" s="10" t="s">
        <v>61</v>
      </c>
      <c r="B458" s="10">
        <v>92</v>
      </c>
      <c r="C458" s="10" t="s">
        <v>1513</v>
      </c>
      <c r="D458" s="388">
        <v>45018</v>
      </c>
      <c r="E458" s="389">
        <v>45018</v>
      </c>
      <c r="F458" s="390" t="str">
        <f t="shared" si="5"/>
        <v>Lighting</v>
      </c>
      <c r="G458" s="135">
        <v>1.2168200889167501E-2</v>
      </c>
      <c r="H458" s="135">
        <v>1.0282578645567499E-2</v>
      </c>
      <c r="I458" s="135">
        <v>9.6054332916604406E-3</v>
      </c>
      <c r="J458" s="135">
        <v>1.0655405728614099E-2</v>
      </c>
      <c r="K458" s="135">
        <v>1.16950109657803E-2</v>
      </c>
      <c r="L458" s="135">
        <v>1.69270076371234E-2</v>
      </c>
      <c r="M458" s="135">
        <v>2.8028010373002399E-2</v>
      </c>
      <c r="N458" s="135">
        <v>3.9036951663730599E-2</v>
      </c>
      <c r="O458" s="135">
        <v>4.2089493450570101E-2</v>
      </c>
      <c r="P458" s="135">
        <v>4.37617820862269E-2</v>
      </c>
      <c r="Q458" s="135">
        <v>4.0503923383543597E-2</v>
      </c>
      <c r="R458" s="135">
        <v>3.8987793496509403E-2</v>
      </c>
      <c r="S458" s="135">
        <v>3.4208620353931102E-2</v>
      </c>
      <c r="T458" s="135">
        <v>3.0240558003717499E-2</v>
      </c>
      <c r="U458" s="135">
        <v>3.1903199614705703E-2</v>
      </c>
      <c r="V458" s="135">
        <v>3.2363058965710297E-2</v>
      </c>
      <c r="W458" s="135">
        <v>4.2369431652361601E-2</v>
      </c>
      <c r="X458" s="135">
        <v>6.8538490143186706E-2</v>
      </c>
      <c r="Y458" s="135">
        <v>8.9070994842437703E-2</v>
      </c>
      <c r="Z458" s="135">
        <v>9.2376178210362994E-2</v>
      </c>
      <c r="AA458" s="135">
        <v>7.8167946474177602E-2</v>
      </c>
      <c r="AB458" s="135">
        <v>5.5762518293499597E-2</v>
      </c>
      <c r="AC458" s="135">
        <v>3.2121809257358698E-2</v>
      </c>
      <c r="AD458" s="135">
        <v>1.8911860255668399E-2</v>
      </c>
      <c r="AF458" s="243">
        <f t="shared" si="6"/>
        <v>0.25057658547047917</v>
      </c>
      <c r="AG458" s="275">
        <f t="shared" si="7"/>
        <v>0.32148018563436898</v>
      </c>
      <c r="AH458" s="391">
        <f t="shared" si="8"/>
        <v>0.58829607204424517</v>
      </c>
      <c r="AI458" s="135">
        <f t="shared" si="9"/>
        <v>0.90977625767861414</v>
      </c>
    </row>
    <row r="459" spans="1:35" ht="12.6">
      <c r="A459" s="10" t="s">
        <v>61</v>
      </c>
      <c r="B459" s="10">
        <v>93</v>
      </c>
      <c r="C459" s="10" t="s">
        <v>1513</v>
      </c>
      <c r="D459" s="388">
        <v>45019</v>
      </c>
      <c r="E459" s="389">
        <v>45019</v>
      </c>
      <c r="F459" s="390" t="str">
        <f t="shared" si="5"/>
        <v>Lighting</v>
      </c>
      <c r="G459" s="135">
        <v>1.0388793695589E-2</v>
      </c>
      <c r="H459" s="135">
        <v>9.2844853881446695E-3</v>
      </c>
      <c r="I459" s="135">
        <v>9.0779038289257891E-3</v>
      </c>
      <c r="J459" s="135">
        <v>9.9144291480233893E-3</v>
      </c>
      <c r="K459" s="135">
        <v>1.7728629050389199E-2</v>
      </c>
      <c r="L459" s="135">
        <v>5.0585304098568797E-2</v>
      </c>
      <c r="M459" s="135">
        <v>7.8149238503386301E-2</v>
      </c>
      <c r="N459" s="135">
        <v>6.5505416127073002E-2</v>
      </c>
      <c r="O459" s="135">
        <v>3.4113102306388698E-2</v>
      </c>
      <c r="P459" s="135">
        <v>2.3059689913006699E-2</v>
      </c>
      <c r="Q459" s="135">
        <v>1.9173460926933301E-2</v>
      </c>
      <c r="R459" s="135">
        <v>1.8159142372703899E-2</v>
      </c>
      <c r="S459" s="135">
        <v>1.8022111934155299E-2</v>
      </c>
      <c r="T459" s="135">
        <v>1.8590870087425E-2</v>
      </c>
      <c r="U459" s="135">
        <v>1.86024427279902E-2</v>
      </c>
      <c r="V459" s="135">
        <v>2.1881015230260301E-2</v>
      </c>
      <c r="W459" s="135">
        <v>2.75601461584787E-2</v>
      </c>
      <c r="X459" s="135">
        <v>6.7654034791216705E-2</v>
      </c>
      <c r="Y459" s="135">
        <v>0.10180447628659101</v>
      </c>
      <c r="Z459" s="135">
        <v>0.10176443836221</v>
      </c>
      <c r="AA459" s="135">
        <v>8.6890892490170804E-2</v>
      </c>
      <c r="AB459" s="135">
        <v>6.5711417631559105E-2</v>
      </c>
      <c r="AC459" s="135">
        <v>3.59250960400549E-2</v>
      </c>
      <c r="AD459" s="135">
        <v>1.6491623105783101E-2</v>
      </c>
      <c r="AF459" s="243">
        <f t="shared" si="6"/>
        <v>0.14198918943794669</v>
      </c>
      <c r="AG459" s="275">
        <f t="shared" si="7"/>
        <v>0.34220208899717475</v>
      </c>
      <c r="AH459" s="391">
        <f t="shared" si="8"/>
        <v>0.58383607120785319</v>
      </c>
      <c r="AI459" s="135">
        <f t="shared" si="9"/>
        <v>0.92603816020502794</v>
      </c>
    </row>
    <row r="460" spans="1:35" ht="12.6">
      <c r="A460" s="10" t="s">
        <v>61</v>
      </c>
      <c r="B460" s="10">
        <v>94</v>
      </c>
      <c r="C460" s="10" t="s">
        <v>1513</v>
      </c>
      <c r="D460" s="388">
        <v>45020</v>
      </c>
      <c r="E460" s="389">
        <v>45020</v>
      </c>
      <c r="F460" s="390" t="str">
        <f t="shared" si="5"/>
        <v>Lighting</v>
      </c>
      <c r="G460" s="135">
        <v>1.0388793695589E-2</v>
      </c>
      <c r="H460" s="135">
        <v>9.2844853881446695E-3</v>
      </c>
      <c r="I460" s="135">
        <v>9.0779038289257891E-3</v>
      </c>
      <c r="J460" s="135">
        <v>9.9144291480233893E-3</v>
      </c>
      <c r="K460" s="135">
        <v>1.7728629050389199E-2</v>
      </c>
      <c r="L460" s="135">
        <v>5.0585304098568797E-2</v>
      </c>
      <c r="M460" s="135">
        <v>7.8149238503386301E-2</v>
      </c>
      <c r="N460" s="135">
        <v>6.5505416127073002E-2</v>
      </c>
      <c r="O460" s="135">
        <v>3.4113102306388698E-2</v>
      </c>
      <c r="P460" s="135">
        <v>2.3059689913006699E-2</v>
      </c>
      <c r="Q460" s="135">
        <v>1.9173460926933301E-2</v>
      </c>
      <c r="R460" s="135">
        <v>1.8159142372703899E-2</v>
      </c>
      <c r="S460" s="135">
        <v>1.8022111934155299E-2</v>
      </c>
      <c r="T460" s="135">
        <v>1.8590870087425E-2</v>
      </c>
      <c r="U460" s="135">
        <v>1.86024427279902E-2</v>
      </c>
      <c r="V460" s="135">
        <v>2.1881015230260301E-2</v>
      </c>
      <c r="W460" s="135">
        <v>2.75601461584787E-2</v>
      </c>
      <c r="X460" s="135">
        <v>6.7654034791216705E-2</v>
      </c>
      <c r="Y460" s="135">
        <v>0.10180447628659101</v>
      </c>
      <c r="Z460" s="135">
        <v>0.10176443836221</v>
      </c>
      <c r="AA460" s="135">
        <v>8.6890892490170804E-2</v>
      </c>
      <c r="AB460" s="135">
        <v>6.5711417631559105E-2</v>
      </c>
      <c r="AC460" s="135">
        <v>3.59250960400549E-2</v>
      </c>
      <c r="AD460" s="135">
        <v>1.6491623105783101E-2</v>
      </c>
      <c r="AF460" s="243">
        <f t="shared" si="6"/>
        <v>0.14198918943794669</v>
      </c>
      <c r="AG460" s="275">
        <f t="shared" si="7"/>
        <v>0.34220208899717475</v>
      </c>
      <c r="AH460" s="391">
        <f t="shared" si="8"/>
        <v>0.58383607120785319</v>
      </c>
      <c r="AI460" s="135">
        <f t="shared" si="9"/>
        <v>0.92603816020502794</v>
      </c>
    </row>
    <row r="461" spans="1:35" ht="12.6">
      <c r="A461" s="10" t="s">
        <v>61</v>
      </c>
      <c r="B461" s="10">
        <v>95</v>
      </c>
      <c r="C461" s="10" t="s">
        <v>1513</v>
      </c>
      <c r="D461" s="388">
        <v>45021</v>
      </c>
      <c r="E461" s="389">
        <v>45021</v>
      </c>
      <c r="F461" s="390" t="str">
        <f t="shared" si="5"/>
        <v>Lighting</v>
      </c>
      <c r="G461" s="135">
        <v>1.0388793695589E-2</v>
      </c>
      <c r="H461" s="135">
        <v>9.2844853881446695E-3</v>
      </c>
      <c r="I461" s="135">
        <v>9.0779038289257891E-3</v>
      </c>
      <c r="J461" s="135">
        <v>9.9144291480233893E-3</v>
      </c>
      <c r="K461" s="135">
        <v>1.7728629050389199E-2</v>
      </c>
      <c r="L461" s="135">
        <v>5.0585304098568797E-2</v>
      </c>
      <c r="M461" s="135">
        <v>7.8149238503386301E-2</v>
      </c>
      <c r="N461" s="135">
        <v>6.5505416127073002E-2</v>
      </c>
      <c r="O461" s="135">
        <v>3.4113102306388698E-2</v>
      </c>
      <c r="P461" s="135">
        <v>2.3059689913006699E-2</v>
      </c>
      <c r="Q461" s="135">
        <v>1.9173460926933301E-2</v>
      </c>
      <c r="R461" s="135">
        <v>1.8159142372703899E-2</v>
      </c>
      <c r="S461" s="135">
        <v>1.8022111934155299E-2</v>
      </c>
      <c r="T461" s="135">
        <v>1.8590870087425E-2</v>
      </c>
      <c r="U461" s="135">
        <v>1.86024427279902E-2</v>
      </c>
      <c r="V461" s="135">
        <v>2.1881015230260301E-2</v>
      </c>
      <c r="W461" s="135">
        <v>2.75601461584787E-2</v>
      </c>
      <c r="X461" s="135">
        <v>6.7654034791216705E-2</v>
      </c>
      <c r="Y461" s="135">
        <v>0.10180447628659101</v>
      </c>
      <c r="Z461" s="135">
        <v>0.10176443836221</v>
      </c>
      <c r="AA461" s="135">
        <v>8.6890892490170804E-2</v>
      </c>
      <c r="AB461" s="135">
        <v>6.5711417631559105E-2</v>
      </c>
      <c r="AC461" s="135">
        <v>3.59250960400549E-2</v>
      </c>
      <c r="AD461" s="135">
        <v>1.6491623105783101E-2</v>
      </c>
      <c r="AF461" s="243">
        <f t="shared" si="6"/>
        <v>0.14198918943794669</v>
      </c>
      <c r="AG461" s="275">
        <f t="shared" si="7"/>
        <v>0.34220208899717475</v>
      </c>
      <c r="AH461" s="391">
        <f t="shared" si="8"/>
        <v>0.58383607120785319</v>
      </c>
      <c r="AI461" s="135">
        <f t="shared" si="9"/>
        <v>0.92603816020502794</v>
      </c>
    </row>
    <row r="462" spans="1:35" ht="12.6">
      <c r="A462" s="10" t="s">
        <v>61</v>
      </c>
      <c r="B462" s="10">
        <v>96</v>
      </c>
      <c r="C462" s="10" t="s">
        <v>1513</v>
      </c>
      <c r="D462" s="388">
        <v>45022</v>
      </c>
      <c r="E462" s="389">
        <v>45022</v>
      </c>
      <c r="F462" s="390" t="str">
        <f t="shared" si="5"/>
        <v>Lighting</v>
      </c>
      <c r="G462" s="135">
        <v>1.0388793695589E-2</v>
      </c>
      <c r="H462" s="135">
        <v>9.2844853881446695E-3</v>
      </c>
      <c r="I462" s="135">
        <v>9.0779038289257891E-3</v>
      </c>
      <c r="J462" s="135">
        <v>9.9144291480233893E-3</v>
      </c>
      <c r="K462" s="135">
        <v>1.7728629050389199E-2</v>
      </c>
      <c r="L462" s="135">
        <v>5.0585304098568797E-2</v>
      </c>
      <c r="M462" s="135">
        <v>7.8149238503386301E-2</v>
      </c>
      <c r="N462" s="135">
        <v>6.5505416127073002E-2</v>
      </c>
      <c r="O462" s="135">
        <v>3.4113102306388698E-2</v>
      </c>
      <c r="P462" s="135">
        <v>2.3059689913006699E-2</v>
      </c>
      <c r="Q462" s="135">
        <v>1.9173460926933301E-2</v>
      </c>
      <c r="R462" s="135">
        <v>1.8159142372703899E-2</v>
      </c>
      <c r="S462" s="135">
        <v>1.8022111934155299E-2</v>
      </c>
      <c r="T462" s="135">
        <v>1.8590870087425E-2</v>
      </c>
      <c r="U462" s="135">
        <v>1.86024427279902E-2</v>
      </c>
      <c r="V462" s="135">
        <v>2.1881015230260301E-2</v>
      </c>
      <c r="W462" s="135">
        <v>2.75601461584787E-2</v>
      </c>
      <c r="X462" s="135">
        <v>6.7654034791216705E-2</v>
      </c>
      <c r="Y462" s="135">
        <v>0.10180447628659101</v>
      </c>
      <c r="Z462" s="135">
        <v>0.10176443836221</v>
      </c>
      <c r="AA462" s="135">
        <v>8.6890892490170804E-2</v>
      </c>
      <c r="AB462" s="135">
        <v>6.5711417631559105E-2</v>
      </c>
      <c r="AC462" s="135">
        <v>3.59250960400549E-2</v>
      </c>
      <c r="AD462" s="135">
        <v>1.6491623105783101E-2</v>
      </c>
      <c r="AF462" s="243">
        <f t="shared" si="6"/>
        <v>0.14198918943794669</v>
      </c>
      <c r="AG462" s="275">
        <f t="shared" si="7"/>
        <v>0.34220208899717475</v>
      </c>
      <c r="AH462" s="391">
        <f t="shared" si="8"/>
        <v>0.58383607120785319</v>
      </c>
      <c r="AI462" s="135">
        <f t="shared" si="9"/>
        <v>0.92603816020502794</v>
      </c>
    </row>
    <row r="463" spans="1:35" ht="12.6">
      <c r="A463" s="10" t="s">
        <v>61</v>
      </c>
      <c r="B463" s="10">
        <v>97</v>
      </c>
      <c r="C463" s="10" t="s">
        <v>1513</v>
      </c>
      <c r="D463" s="388">
        <v>45023</v>
      </c>
      <c r="E463" s="389">
        <v>45023</v>
      </c>
      <c r="F463" s="390" t="str">
        <f t="shared" si="5"/>
        <v>Lighting</v>
      </c>
      <c r="G463" s="135">
        <v>1.0388793695589E-2</v>
      </c>
      <c r="H463" s="135">
        <v>9.2844853881446695E-3</v>
      </c>
      <c r="I463" s="135">
        <v>9.0779038289257891E-3</v>
      </c>
      <c r="J463" s="135">
        <v>9.9144291480233893E-3</v>
      </c>
      <c r="K463" s="135">
        <v>1.7728629050389199E-2</v>
      </c>
      <c r="L463" s="135">
        <v>5.0585304098568797E-2</v>
      </c>
      <c r="M463" s="135">
        <v>7.8149238503386301E-2</v>
      </c>
      <c r="N463" s="135">
        <v>6.5505416127073002E-2</v>
      </c>
      <c r="O463" s="135">
        <v>3.4113102306388698E-2</v>
      </c>
      <c r="P463" s="135">
        <v>2.3059689913006699E-2</v>
      </c>
      <c r="Q463" s="135">
        <v>1.9173460926933301E-2</v>
      </c>
      <c r="R463" s="135">
        <v>1.8159142372703899E-2</v>
      </c>
      <c r="S463" s="135">
        <v>1.8022111934155299E-2</v>
      </c>
      <c r="T463" s="135">
        <v>1.8590870087425E-2</v>
      </c>
      <c r="U463" s="135">
        <v>1.86024427279902E-2</v>
      </c>
      <c r="V463" s="135">
        <v>2.1881015230260301E-2</v>
      </c>
      <c r="W463" s="135">
        <v>2.75601461584787E-2</v>
      </c>
      <c r="X463" s="135">
        <v>6.7654034791216705E-2</v>
      </c>
      <c r="Y463" s="135">
        <v>0.10180447628659101</v>
      </c>
      <c r="Z463" s="135">
        <v>0.10176443836221</v>
      </c>
      <c r="AA463" s="135">
        <v>8.6890892490170804E-2</v>
      </c>
      <c r="AB463" s="135">
        <v>6.5711417631559105E-2</v>
      </c>
      <c r="AC463" s="135">
        <v>3.59250960400549E-2</v>
      </c>
      <c r="AD463" s="135">
        <v>1.6491623105783101E-2</v>
      </c>
      <c r="AF463" s="243">
        <f t="shared" si="6"/>
        <v>0.14198918943794669</v>
      </c>
      <c r="AG463" s="275">
        <f t="shared" si="7"/>
        <v>0.34220208899717475</v>
      </c>
      <c r="AH463" s="391">
        <f t="shared" si="8"/>
        <v>0.58383607120785319</v>
      </c>
      <c r="AI463" s="135">
        <f t="shared" si="9"/>
        <v>0.92603816020502794</v>
      </c>
    </row>
    <row r="464" spans="1:35" ht="12.6">
      <c r="A464" s="10" t="s">
        <v>61</v>
      </c>
      <c r="B464" s="10">
        <v>98</v>
      </c>
      <c r="C464" s="10" t="s">
        <v>1513</v>
      </c>
      <c r="D464" s="388">
        <v>45024</v>
      </c>
      <c r="E464" s="389">
        <v>45024</v>
      </c>
      <c r="F464" s="390" t="str">
        <f t="shared" si="5"/>
        <v>Lighting</v>
      </c>
      <c r="G464" s="135">
        <v>1.2168200889167501E-2</v>
      </c>
      <c r="H464" s="135">
        <v>1.0282578645567499E-2</v>
      </c>
      <c r="I464" s="135">
        <v>9.6054332916604406E-3</v>
      </c>
      <c r="J464" s="135">
        <v>1.0655405728614099E-2</v>
      </c>
      <c r="K464" s="135">
        <v>1.16950109657803E-2</v>
      </c>
      <c r="L464" s="135">
        <v>1.69270076371234E-2</v>
      </c>
      <c r="M464" s="135">
        <v>2.8028010373002399E-2</v>
      </c>
      <c r="N464" s="135">
        <v>3.9036951663730599E-2</v>
      </c>
      <c r="O464" s="135">
        <v>4.2089493450570101E-2</v>
      </c>
      <c r="P464" s="135">
        <v>4.37617820862269E-2</v>
      </c>
      <c r="Q464" s="135">
        <v>4.0503923383543597E-2</v>
      </c>
      <c r="R464" s="135">
        <v>3.8987793496509403E-2</v>
      </c>
      <c r="S464" s="135">
        <v>3.4208620353931102E-2</v>
      </c>
      <c r="T464" s="135">
        <v>3.0240558003717499E-2</v>
      </c>
      <c r="U464" s="135">
        <v>3.1903199614705703E-2</v>
      </c>
      <c r="V464" s="135">
        <v>3.2363058965710297E-2</v>
      </c>
      <c r="W464" s="135">
        <v>4.2369431652361601E-2</v>
      </c>
      <c r="X464" s="135">
        <v>6.8538490143186706E-2</v>
      </c>
      <c r="Y464" s="135">
        <v>8.9070994842437703E-2</v>
      </c>
      <c r="Z464" s="135">
        <v>9.2376178210362994E-2</v>
      </c>
      <c r="AA464" s="135">
        <v>7.8167946474177602E-2</v>
      </c>
      <c r="AB464" s="135">
        <v>5.5762518293499597E-2</v>
      </c>
      <c r="AC464" s="135">
        <v>3.2121809257358698E-2</v>
      </c>
      <c r="AD464" s="135">
        <v>1.8911860255668399E-2</v>
      </c>
      <c r="AF464" s="243">
        <f t="shared" si="6"/>
        <v>0.25057658547047917</v>
      </c>
      <c r="AG464" s="275">
        <f t="shared" si="7"/>
        <v>0.32148018563436898</v>
      </c>
      <c r="AH464" s="391">
        <f t="shared" si="8"/>
        <v>0.58829607204424517</v>
      </c>
      <c r="AI464" s="135">
        <f t="shared" si="9"/>
        <v>0.90977625767861414</v>
      </c>
    </row>
    <row r="465" spans="1:35" ht="12.6">
      <c r="A465" s="10" t="s">
        <v>61</v>
      </c>
      <c r="B465" s="10">
        <v>99</v>
      </c>
      <c r="C465" s="10" t="s">
        <v>1513</v>
      </c>
      <c r="D465" s="388">
        <v>45025</v>
      </c>
      <c r="E465" s="389">
        <v>45025</v>
      </c>
      <c r="F465" s="390" t="str">
        <f t="shared" si="5"/>
        <v>Lighting</v>
      </c>
      <c r="G465" s="135">
        <v>1.2168200889167501E-2</v>
      </c>
      <c r="H465" s="135">
        <v>1.0282578645567499E-2</v>
      </c>
      <c r="I465" s="135">
        <v>9.6054332916604406E-3</v>
      </c>
      <c r="J465" s="135">
        <v>1.0655405728614099E-2</v>
      </c>
      <c r="K465" s="135">
        <v>1.16950109657803E-2</v>
      </c>
      <c r="L465" s="135">
        <v>1.69270076371234E-2</v>
      </c>
      <c r="M465" s="135">
        <v>2.8028010373002399E-2</v>
      </c>
      <c r="N465" s="135">
        <v>3.9036951663730599E-2</v>
      </c>
      <c r="O465" s="135">
        <v>4.2089493450570101E-2</v>
      </c>
      <c r="P465" s="135">
        <v>4.37617820862269E-2</v>
      </c>
      <c r="Q465" s="135">
        <v>4.0503923383543597E-2</v>
      </c>
      <c r="R465" s="135">
        <v>3.8987793496509403E-2</v>
      </c>
      <c r="S465" s="135">
        <v>3.4208620353931102E-2</v>
      </c>
      <c r="T465" s="135">
        <v>3.0240558003717499E-2</v>
      </c>
      <c r="U465" s="135">
        <v>3.1903199614705703E-2</v>
      </c>
      <c r="V465" s="135">
        <v>3.2363058965710297E-2</v>
      </c>
      <c r="W465" s="135">
        <v>4.2369431652361601E-2</v>
      </c>
      <c r="X465" s="135">
        <v>6.8538490143186706E-2</v>
      </c>
      <c r="Y465" s="135">
        <v>8.9070994842437703E-2</v>
      </c>
      <c r="Z465" s="135">
        <v>9.2376178210362994E-2</v>
      </c>
      <c r="AA465" s="135">
        <v>7.8167946474177602E-2</v>
      </c>
      <c r="AB465" s="135">
        <v>5.5762518293499597E-2</v>
      </c>
      <c r="AC465" s="135">
        <v>3.2121809257358698E-2</v>
      </c>
      <c r="AD465" s="135">
        <v>1.8911860255668399E-2</v>
      </c>
      <c r="AF465" s="243">
        <f t="shared" si="6"/>
        <v>0.25057658547047917</v>
      </c>
      <c r="AG465" s="275">
        <f t="shared" si="7"/>
        <v>0.32148018563436898</v>
      </c>
      <c r="AH465" s="391">
        <f t="shared" si="8"/>
        <v>0.58829607204424517</v>
      </c>
      <c r="AI465" s="135">
        <f t="shared" si="9"/>
        <v>0.90977625767861414</v>
      </c>
    </row>
    <row r="466" spans="1:35" ht="12.6">
      <c r="A466" s="10" t="s">
        <v>61</v>
      </c>
      <c r="B466" s="10">
        <v>100</v>
      </c>
      <c r="C466" s="10" t="s">
        <v>1513</v>
      </c>
      <c r="D466" s="388">
        <v>45026</v>
      </c>
      <c r="E466" s="389">
        <v>45026</v>
      </c>
      <c r="F466" s="390" t="str">
        <f t="shared" si="5"/>
        <v>Lighting</v>
      </c>
      <c r="G466" s="135">
        <v>1.0388793695589E-2</v>
      </c>
      <c r="H466" s="135">
        <v>9.2844853881446695E-3</v>
      </c>
      <c r="I466" s="135">
        <v>9.0779038289257891E-3</v>
      </c>
      <c r="J466" s="135">
        <v>9.9144291480233893E-3</v>
      </c>
      <c r="K466" s="135">
        <v>1.7728629050389199E-2</v>
      </c>
      <c r="L466" s="135">
        <v>5.0585304098568797E-2</v>
      </c>
      <c r="M466" s="135">
        <v>7.8149238503386301E-2</v>
      </c>
      <c r="N466" s="135">
        <v>6.5505416127073002E-2</v>
      </c>
      <c r="O466" s="135">
        <v>3.4113102306388698E-2</v>
      </c>
      <c r="P466" s="135">
        <v>2.3059689913006699E-2</v>
      </c>
      <c r="Q466" s="135">
        <v>1.9173460926933301E-2</v>
      </c>
      <c r="R466" s="135">
        <v>1.8159142372703899E-2</v>
      </c>
      <c r="S466" s="135">
        <v>1.8022111934155299E-2</v>
      </c>
      <c r="T466" s="135">
        <v>1.8590870087425E-2</v>
      </c>
      <c r="U466" s="135">
        <v>1.86024427279902E-2</v>
      </c>
      <c r="V466" s="135">
        <v>2.1881015230260301E-2</v>
      </c>
      <c r="W466" s="135">
        <v>2.75601461584787E-2</v>
      </c>
      <c r="X466" s="135">
        <v>6.7654034791216705E-2</v>
      </c>
      <c r="Y466" s="135">
        <v>0.10180447628659101</v>
      </c>
      <c r="Z466" s="135">
        <v>0.10176443836221</v>
      </c>
      <c r="AA466" s="135">
        <v>8.6890892490170804E-2</v>
      </c>
      <c r="AB466" s="135">
        <v>6.5711417631559105E-2</v>
      </c>
      <c r="AC466" s="135">
        <v>3.59250960400549E-2</v>
      </c>
      <c r="AD466" s="135">
        <v>1.6491623105783101E-2</v>
      </c>
      <c r="AF466" s="243">
        <f t="shared" si="6"/>
        <v>0.14198918943794669</v>
      </c>
      <c r="AG466" s="275">
        <f t="shared" si="7"/>
        <v>0.34220208899717475</v>
      </c>
      <c r="AH466" s="391">
        <f t="shared" si="8"/>
        <v>0.58383607120785319</v>
      </c>
      <c r="AI466" s="135">
        <f t="shared" si="9"/>
        <v>0.92603816020502794</v>
      </c>
    </row>
    <row r="467" spans="1:35" ht="12.6">
      <c r="A467" s="10" t="s">
        <v>61</v>
      </c>
      <c r="B467" s="10">
        <v>101</v>
      </c>
      <c r="C467" s="10" t="s">
        <v>1513</v>
      </c>
      <c r="D467" s="388">
        <v>45027</v>
      </c>
      <c r="E467" s="389">
        <v>45027</v>
      </c>
      <c r="F467" s="390" t="str">
        <f t="shared" si="5"/>
        <v>Lighting</v>
      </c>
      <c r="G467" s="135">
        <v>1.0388793695589E-2</v>
      </c>
      <c r="H467" s="135">
        <v>9.2844853881446695E-3</v>
      </c>
      <c r="I467" s="135">
        <v>9.0779038289257891E-3</v>
      </c>
      <c r="J467" s="135">
        <v>9.9144291480233893E-3</v>
      </c>
      <c r="K467" s="135">
        <v>1.7728629050389199E-2</v>
      </c>
      <c r="L467" s="135">
        <v>5.0585304098568797E-2</v>
      </c>
      <c r="M467" s="135">
        <v>7.8149238503386301E-2</v>
      </c>
      <c r="N467" s="135">
        <v>6.5505416127073002E-2</v>
      </c>
      <c r="O467" s="135">
        <v>3.4113102306388698E-2</v>
      </c>
      <c r="P467" s="135">
        <v>2.3059689913006699E-2</v>
      </c>
      <c r="Q467" s="135">
        <v>1.9173460926933301E-2</v>
      </c>
      <c r="R467" s="135">
        <v>1.8159142372703899E-2</v>
      </c>
      <c r="S467" s="135">
        <v>1.8022111934155299E-2</v>
      </c>
      <c r="T467" s="135">
        <v>1.8590870087425E-2</v>
      </c>
      <c r="U467" s="135">
        <v>1.86024427279902E-2</v>
      </c>
      <c r="V467" s="135">
        <v>2.1881015230260301E-2</v>
      </c>
      <c r="W467" s="135">
        <v>2.75601461584787E-2</v>
      </c>
      <c r="X467" s="135">
        <v>6.7654034791216705E-2</v>
      </c>
      <c r="Y467" s="135">
        <v>0.10180447628659101</v>
      </c>
      <c r="Z467" s="135">
        <v>0.10176443836221</v>
      </c>
      <c r="AA467" s="135">
        <v>8.6890892490170804E-2</v>
      </c>
      <c r="AB467" s="135">
        <v>6.5711417631559105E-2</v>
      </c>
      <c r="AC467" s="135">
        <v>3.59250960400549E-2</v>
      </c>
      <c r="AD467" s="135">
        <v>1.6491623105783101E-2</v>
      </c>
      <c r="AF467" s="243">
        <f t="shared" si="6"/>
        <v>0.14198918943794669</v>
      </c>
      <c r="AG467" s="275">
        <f t="shared" si="7"/>
        <v>0.34220208899717475</v>
      </c>
      <c r="AH467" s="391">
        <f t="shared" si="8"/>
        <v>0.58383607120785319</v>
      </c>
      <c r="AI467" s="135">
        <f t="shared" si="9"/>
        <v>0.92603816020502794</v>
      </c>
    </row>
    <row r="468" spans="1:35" ht="12.6">
      <c r="A468" s="10" t="s">
        <v>61</v>
      </c>
      <c r="B468" s="10">
        <v>102</v>
      </c>
      <c r="C468" s="10" t="s">
        <v>1513</v>
      </c>
      <c r="D468" s="388">
        <v>45028</v>
      </c>
      <c r="E468" s="389">
        <v>45028</v>
      </c>
      <c r="F468" s="390" t="str">
        <f t="shared" si="5"/>
        <v>Lighting</v>
      </c>
      <c r="G468" s="135">
        <v>1.0388793695589E-2</v>
      </c>
      <c r="H468" s="135">
        <v>9.2844853881446695E-3</v>
      </c>
      <c r="I468" s="135">
        <v>9.0779038289257891E-3</v>
      </c>
      <c r="J468" s="135">
        <v>9.9144291480233893E-3</v>
      </c>
      <c r="K468" s="135">
        <v>1.7728629050389199E-2</v>
      </c>
      <c r="L468" s="135">
        <v>5.0585304098568797E-2</v>
      </c>
      <c r="M468" s="135">
        <v>7.8149238503386301E-2</v>
      </c>
      <c r="N468" s="135">
        <v>6.5505416127073002E-2</v>
      </c>
      <c r="O468" s="135">
        <v>3.4113102306388698E-2</v>
      </c>
      <c r="P468" s="135">
        <v>2.3059689913006699E-2</v>
      </c>
      <c r="Q468" s="135">
        <v>1.9173460926933301E-2</v>
      </c>
      <c r="R468" s="135">
        <v>1.8159142372703899E-2</v>
      </c>
      <c r="S468" s="135">
        <v>1.8022111934155299E-2</v>
      </c>
      <c r="T468" s="135">
        <v>1.8590870087425E-2</v>
      </c>
      <c r="U468" s="135">
        <v>1.86024427279902E-2</v>
      </c>
      <c r="V468" s="135">
        <v>2.1881015230260301E-2</v>
      </c>
      <c r="W468" s="135">
        <v>2.75601461584787E-2</v>
      </c>
      <c r="X468" s="135">
        <v>6.7654034791216705E-2</v>
      </c>
      <c r="Y468" s="135">
        <v>0.10180447628659101</v>
      </c>
      <c r="Z468" s="135">
        <v>0.10176443836221</v>
      </c>
      <c r="AA468" s="135">
        <v>8.6890892490170804E-2</v>
      </c>
      <c r="AB468" s="135">
        <v>6.5711417631559105E-2</v>
      </c>
      <c r="AC468" s="135">
        <v>3.59250960400549E-2</v>
      </c>
      <c r="AD468" s="135">
        <v>1.6491623105783101E-2</v>
      </c>
      <c r="AF468" s="243">
        <f t="shared" si="6"/>
        <v>0.14198918943794669</v>
      </c>
      <c r="AG468" s="275">
        <f t="shared" si="7"/>
        <v>0.34220208899717475</v>
      </c>
      <c r="AH468" s="391">
        <f t="shared" si="8"/>
        <v>0.58383607120785319</v>
      </c>
      <c r="AI468" s="135">
        <f t="shared" si="9"/>
        <v>0.92603816020502794</v>
      </c>
    </row>
    <row r="469" spans="1:35" ht="12.6">
      <c r="A469" s="10" t="s">
        <v>61</v>
      </c>
      <c r="B469" s="10">
        <v>103</v>
      </c>
      <c r="C469" s="10" t="s">
        <v>1513</v>
      </c>
      <c r="D469" s="388">
        <v>45029</v>
      </c>
      <c r="E469" s="389">
        <v>45029</v>
      </c>
      <c r="F469" s="390" t="str">
        <f t="shared" si="5"/>
        <v>Lighting</v>
      </c>
      <c r="G469" s="135">
        <v>1.0388793695589E-2</v>
      </c>
      <c r="H469" s="135">
        <v>9.2844853881446695E-3</v>
      </c>
      <c r="I469" s="135">
        <v>9.0779038289257891E-3</v>
      </c>
      <c r="J469" s="135">
        <v>9.9144291480233893E-3</v>
      </c>
      <c r="K469" s="135">
        <v>1.7728629050389199E-2</v>
      </c>
      <c r="L469" s="135">
        <v>5.0585304098568797E-2</v>
      </c>
      <c r="M469" s="135">
        <v>7.8149238503386301E-2</v>
      </c>
      <c r="N469" s="135">
        <v>6.5505416127073002E-2</v>
      </c>
      <c r="O469" s="135">
        <v>3.4113102306388698E-2</v>
      </c>
      <c r="P469" s="135">
        <v>2.3059689913006699E-2</v>
      </c>
      <c r="Q469" s="135">
        <v>1.9173460926933301E-2</v>
      </c>
      <c r="R469" s="135">
        <v>1.8159142372703899E-2</v>
      </c>
      <c r="S469" s="135">
        <v>1.8022111934155299E-2</v>
      </c>
      <c r="T469" s="135">
        <v>1.8590870087425E-2</v>
      </c>
      <c r="U469" s="135">
        <v>1.86024427279902E-2</v>
      </c>
      <c r="V469" s="135">
        <v>2.1881015230260301E-2</v>
      </c>
      <c r="W469" s="135">
        <v>2.75601461584787E-2</v>
      </c>
      <c r="X469" s="135">
        <v>6.7654034791216705E-2</v>
      </c>
      <c r="Y469" s="135">
        <v>0.10180447628659101</v>
      </c>
      <c r="Z469" s="135">
        <v>0.10176443836221</v>
      </c>
      <c r="AA469" s="135">
        <v>8.6890892490170804E-2</v>
      </c>
      <c r="AB469" s="135">
        <v>6.5711417631559105E-2</v>
      </c>
      <c r="AC469" s="135">
        <v>3.59250960400549E-2</v>
      </c>
      <c r="AD469" s="135">
        <v>1.6491623105783101E-2</v>
      </c>
      <c r="AF469" s="243">
        <f t="shared" si="6"/>
        <v>0.14198918943794669</v>
      </c>
      <c r="AG469" s="275">
        <f t="shared" si="7"/>
        <v>0.34220208899717475</v>
      </c>
      <c r="AH469" s="391">
        <f t="shared" si="8"/>
        <v>0.58383607120785319</v>
      </c>
      <c r="AI469" s="135">
        <f t="shared" si="9"/>
        <v>0.92603816020502794</v>
      </c>
    </row>
    <row r="470" spans="1:35" ht="12.6">
      <c r="A470" s="10" t="s">
        <v>61</v>
      </c>
      <c r="B470" s="10">
        <v>104</v>
      </c>
      <c r="C470" s="10" t="s">
        <v>1513</v>
      </c>
      <c r="D470" s="388">
        <v>45030</v>
      </c>
      <c r="E470" s="389">
        <v>45030</v>
      </c>
      <c r="F470" s="390" t="str">
        <f t="shared" si="5"/>
        <v>Lighting</v>
      </c>
      <c r="G470" s="135">
        <v>1.0388793695589E-2</v>
      </c>
      <c r="H470" s="135">
        <v>9.2844853881446695E-3</v>
      </c>
      <c r="I470" s="135">
        <v>9.0779038289257891E-3</v>
      </c>
      <c r="J470" s="135">
        <v>9.9144291480233893E-3</v>
      </c>
      <c r="K470" s="135">
        <v>1.7728629050389199E-2</v>
      </c>
      <c r="L470" s="135">
        <v>5.0585304098568797E-2</v>
      </c>
      <c r="M470" s="135">
        <v>7.8149238503386301E-2</v>
      </c>
      <c r="N470" s="135">
        <v>6.5505416127073002E-2</v>
      </c>
      <c r="O470" s="135">
        <v>3.4113102306388698E-2</v>
      </c>
      <c r="P470" s="135">
        <v>2.3059689913006699E-2</v>
      </c>
      <c r="Q470" s="135">
        <v>1.9173460926933301E-2</v>
      </c>
      <c r="R470" s="135">
        <v>1.8159142372703899E-2</v>
      </c>
      <c r="S470" s="135">
        <v>1.8022111934155299E-2</v>
      </c>
      <c r="T470" s="135">
        <v>1.8590870087425E-2</v>
      </c>
      <c r="U470" s="135">
        <v>1.86024427279902E-2</v>
      </c>
      <c r="V470" s="135">
        <v>2.1881015230260301E-2</v>
      </c>
      <c r="W470" s="135">
        <v>2.75601461584787E-2</v>
      </c>
      <c r="X470" s="135">
        <v>6.7654034791216705E-2</v>
      </c>
      <c r="Y470" s="135">
        <v>0.10180447628659101</v>
      </c>
      <c r="Z470" s="135">
        <v>0.10176443836221</v>
      </c>
      <c r="AA470" s="135">
        <v>8.6890892490170804E-2</v>
      </c>
      <c r="AB470" s="135">
        <v>6.5711417631559105E-2</v>
      </c>
      <c r="AC470" s="135">
        <v>3.59250960400549E-2</v>
      </c>
      <c r="AD470" s="135">
        <v>1.6491623105783101E-2</v>
      </c>
      <c r="AF470" s="243">
        <f t="shared" si="6"/>
        <v>0.14198918943794669</v>
      </c>
      <c r="AG470" s="275">
        <f t="shared" si="7"/>
        <v>0.34220208899717475</v>
      </c>
      <c r="AH470" s="391">
        <f t="shared" si="8"/>
        <v>0.58383607120785319</v>
      </c>
      <c r="AI470" s="135">
        <f t="shared" si="9"/>
        <v>0.92603816020502794</v>
      </c>
    </row>
    <row r="471" spans="1:35" ht="12.6">
      <c r="A471" s="10" t="s">
        <v>61</v>
      </c>
      <c r="B471" s="10">
        <v>105</v>
      </c>
      <c r="C471" s="10" t="s">
        <v>1513</v>
      </c>
      <c r="D471" s="388">
        <v>45031</v>
      </c>
      <c r="E471" s="389">
        <v>45031</v>
      </c>
      <c r="F471" s="390" t="str">
        <f t="shared" si="5"/>
        <v>Lighting</v>
      </c>
      <c r="G471" s="135">
        <v>1.2168200889167501E-2</v>
      </c>
      <c r="H471" s="135">
        <v>1.0282578645567499E-2</v>
      </c>
      <c r="I471" s="135">
        <v>9.6054332916604406E-3</v>
      </c>
      <c r="J471" s="135">
        <v>1.0655405728614099E-2</v>
      </c>
      <c r="K471" s="135">
        <v>1.16950109657803E-2</v>
      </c>
      <c r="L471" s="135">
        <v>1.69270076371234E-2</v>
      </c>
      <c r="M471" s="135">
        <v>2.8028010373002399E-2</v>
      </c>
      <c r="N471" s="135">
        <v>3.9036951663730599E-2</v>
      </c>
      <c r="O471" s="135">
        <v>4.2089493450570101E-2</v>
      </c>
      <c r="P471" s="135">
        <v>4.37617820862269E-2</v>
      </c>
      <c r="Q471" s="135">
        <v>4.0503923383543597E-2</v>
      </c>
      <c r="R471" s="135">
        <v>3.8987793496509403E-2</v>
      </c>
      <c r="S471" s="135">
        <v>3.4208620353931102E-2</v>
      </c>
      <c r="T471" s="135">
        <v>3.0240558003717499E-2</v>
      </c>
      <c r="U471" s="135">
        <v>3.1903199614705703E-2</v>
      </c>
      <c r="V471" s="135">
        <v>3.2363058965710297E-2</v>
      </c>
      <c r="W471" s="135">
        <v>4.2369431652361601E-2</v>
      </c>
      <c r="X471" s="135">
        <v>6.8538490143186706E-2</v>
      </c>
      <c r="Y471" s="135">
        <v>8.9070994842437703E-2</v>
      </c>
      <c r="Z471" s="135">
        <v>9.2376178210362994E-2</v>
      </c>
      <c r="AA471" s="135">
        <v>7.8167946474177602E-2</v>
      </c>
      <c r="AB471" s="135">
        <v>5.5762518293499597E-2</v>
      </c>
      <c r="AC471" s="135">
        <v>3.2121809257358698E-2</v>
      </c>
      <c r="AD471" s="135">
        <v>1.8911860255668399E-2</v>
      </c>
      <c r="AF471" s="243">
        <f t="shared" si="6"/>
        <v>0.25057658547047917</v>
      </c>
      <c r="AG471" s="275">
        <f t="shared" si="7"/>
        <v>0.32148018563436898</v>
      </c>
      <c r="AH471" s="391">
        <f t="shared" si="8"/>
        <v>0.58829607204424517</v>
      </c>
      <c r="AI471" s="135">
        <f t="shared" si="9"/>
        <v>0.90977625767861414</v>
      </c>
    </row>
    <row r="472" spans="1:35" ht="12.6">
      <c r="A472" s="10" t="s">
        <v>61</v>
      </c>
      <c r="B472" s="10">
        <v>106</v>
      </c>
      <c r="C472" s="10" t="s">
        <v>1513</v>
      </c>
      <c r="D472" s="388">
        <v>45032</v>
      </c>
      <c r="E472" s="389">
        <v>45032</v>
      </c>
      <c r="F472" s="390" t="str">
        <f t="shared" si="5"/>
        <v>Lighting</v>
      </c>
      <c r="G472" s="135">
        <v>1.2168200889167501E-2</v>
      </c>
      <c r="H472" s="135">
        <v>1.0282578645567499E-2</v>
      </c>
      <c r="I472" s="135">
        <v>9.6054332916604406E-3</v>
      </c>
      <c r="J472" s="135">
        <v>1.0655405728614099E-2</v>
      </c>
      <c r="K472" s="135">
        <v>1.16950109657803E-2</v>
      </c>
      <c r="L472" s="135">
        <v>1.69270076371234E-2</v>
      </c>
      <c r="M472" s="135">
        <v>2.8028010373002399E-2</v>
      </c>
      <c r="N472" s="135">
        <v>3.9036951663730599E-2</v>
      </c>
      <c r="O472" s="135">
        <v>4.2089493450570101E-2</v>
      </c>
      <c r="P472" s="135">
        <v>4.37617820862269E-2</v>
      </c>
      <c r="Q472" s="135">
        <v>4.0503923383543597E-2</v>
      </c>
      <c r="R472" s="135">
        <v>3.8987793496509403E-2</v>
      </c>
      <c r="S472" s="135">
        <v>3.4208620353931102E-2</v>
      </c>
      <c r="T472" s="135">
        <v>3.0240558003717499E-2</v>
      </c>
      <c r="U472" s="135">
        <v>3.1903199614705703E-2</v>
      </c>
      <c r="V472" s="135">
        <v>3.2363058965710297E-2</v>
      </c>
      <c r="W472" s="135">
        <v>4.2369431652361601E-2</v>
      </c>
      <c r="X472" s="135">
        <v>6.8538490143186706E-2</v>
      </c>
      <c r="Y472" s="135">
        <v>8.9070994842437703E-2</v>
      </c>
      <c r="Z472" s="135">
        <v>9.2376178210362994E-2</v>
      </c>
      <c r="AA472" s="135">
        <v>7.8167946474177602E-2</v>
      </c>
      <c r="AB472" s="135">
        <v>5.5762518293499597E-2</v>
      </c>
      <c r="AC472" s="135">
        <v>3.2121809257358698E-2</v>
      </c>
      <c r="AD472" s="135">
        <v>1.8911860255668399E-2</v>
      </c>
      <c r="AF472" s="243">
        <f t="shared" si="6"/>
        <v>0.25057658547047917</v>
      </c>
      <c r="AG472" s="275">
        <f t="shared" si="7"/>
        <v>0.32148018563436898</v>
      </c>
      <c r="AH472" s="391">
        <f t="shared" si="8"/>
        <v>0.58829607204424517</v>
      </c>
      <c r="AI472" s="135">
        <f t="shared" si="9"/>
        <v>0.90977625767861414</v>
      </c>
    </row>
    <row r="473" spans="1:35" ht="12.6">
      <c r="A473" s="10" t="s">
        <v>61</v>
      </c>
      <c r="B473" s="10">
        <v>107</v>
      </c>
      <c r="C473" s="10" t="s">
        <v>1513</v>
      </c>
      <c r="D473" s="388">
        <v>45033</v>
      </c>
      <c r="E473" s="389">
        <v>45033</v>
      </c>
      <c r="F473" s="390" t="str">
        <f t="shared" si="5"/>
        <v>Lighting</v>
      </c>
      <c r="G473" s="135">
        <v>1.0388793695589E-2</v>
      </c>
      <c r="H473" s="135">
        <v>9.2844853881446695E-3</v>
      </c>
      <c r="I473" s="135">
        <v>9.0779038289257891E-3</v>
      </c>
      <c r="J473" s="135">
        <v>9.9144291480233893E-3</v>
      </c>
      <c r="K473" s="135">
        <v>1.7728629050389199E-2</v>
      </c>
      <c r="L473" s="135">
        <v>5.0585304098568797E-2</v>
      </c>
      <c r="M473" s="135">
        <v>7.8149238503386301E-2</v>
      </c>
      <c r="N473" s="135">
        <v>6.5505416127073002E-2</v>
      </c>
      <c r="O473" s="135">
        <v>3.4113102306388698E-2</v>
      </c>
      <c r="P473" s="135">
        <v>2.3059689913006699E-2</v>
      </c>
      <c r="Q473" s="135">
        <v>1.9173460926933301E-2</v>
      </c>
      <c r="R473" s="135">
        <v>1.8159142372703899E-2</v>
      </c>
      <c r="S473" s="135">
        <v>1.8022111934155299E-2</v>
      </c>
      <c r="T473" s="135">
        <v>1.8590870087425E-2</v>
      </c>
      <c r="U473" s="135">
        <v>1.86024427279902E-2</v>
      </c>
      <c r="V473" s="135">
        <v>2.1881015230260301E-2</v>
      </c>
      <c r="W473" s="135">
        <v>2.75601461584787E-2</v>
      </c>
      <c r="X473" s="135">
        <v>6.7654034791216705E-2</v>
      </c>
      <c r="Y473" s="135">
        <v>0.10180447628659101</v>
      </c>
      <c r="Z473" s="135">
        <v>0.10176443836221</v>
      </c>
      <c r="AA473" s="135">
        <v>8.6890892490170804E-2</v>
      </c>
      <c r="AB473" s="135">
        <v>6.5711417631559105E-2</v>
      </c>
      <c r="AC473" s="135">
        <v>3.59250960400549E-2</v>
      </c>
      <c r="AD473" s="135">
        <v>1.6491623105783101E-2</v>
      </c>
      <c r="AF473" s="243">
        <f t="shared" si="6"/>
        <v>0.14198918943794669</v>
      </c>
      <c r="AG473" s="275">
        <f t="shared" si="7"/>
        <v>0.34220208899717475</v>
      </c>
      <c r="AH473" s="391">
        <f t="shared" si="8"/>
        <v>0.58383607120785319</v>
      </c>
      <c r="AI473" s="135">
        <f t="shared" si="9"/>
        <v>0.92603816020502794</v>
      </c>
    </row>
    <row r="474" spans="1:35" ht="12.6">
      <c r="A474" s="10" t="s">
        <v>61</v>
      </c>
      <c r="B474" s="10">
        <v>108</v>
      </c>
      <c r="C474" s="10" t="s">
        <v>1513</v>
      </c>
      <c r="D474" s="388">
        <v>45034</v>
      </c>
      <c r="E474" s="389">
        <v>45034</v>
      </c>
      <c r="F474" s="390" t="str">
        <f t="shared" si="5"/>
        <v>Lighting</v>
      </c>
      <c r="G474" s="135">
        <v>1.0388793695589E-2</v>
      </c>
      <c r="H474" s="135">
        <v>9.2844853881446695E-3</v>
      </c>
      <c r="I474" s="135">
        <v>9.0779038289257891E-3</v>
      </c>
      <c r="J474" s="135">
        <v>9.9144291480233893E-3</v>
      </c>
      <c r="K474" s="135">
        <v>1.7728629050389199E-2</v>
      </c>
      <c r="L474" s="135">
        <v>5.0585304098568797E-2</v>
      </c>
      <c r="M474" s="135">
        <v>7.8149238503386301E-2</v>
      </c>
      <c r="N474" s="135">
        <v>6.5505416127073002E-2</v>
      </c>
      <c r="O474" s="135">
        <v>3.4113102306388698E-2</v>
      </c>
      <c r="P474" s="135">
        <v>2.3059689913006699E-2</v>
      </c>
      <c r="Q474" s="135">
        <v>1.9173460926933301E-2</v>
      </c>
      <c r="R474" s="135">
        <v>1.8159142372703899E-2</v>
      </c>
      <c r="S474" s="135">
        <v>1.8022111934155299E-2</v>
      </c>
      <c r="T474" s="135">
        <v>1.8590870087425E-2</v>
      </c>
      <c r="U474" s="135">
        <v>1.86024427279902E-2</v>
      </c>
      <c r="V474" s="135">
        <v>2.1881015230260301E-2</v>
      </c>
      <c r="W474" s="135">
        <v>2.75601461584787E-2</v>
      </c>
      <c r="X474" s="135">
        <v>6.7654034791216705E-2</v>
      </c>
      <c r="Y474" s="135">
        <v>0.10180447628659101</v>
      </c>
      <c r="Z474" s="135">
        <v>0.10176443836221</v>
      </c>
      <c r="AA474" s="135">
        <v>8.6890892490170804E-2</v>
      </c>
      <c r="AB474" s="135">
        <v>6.5711417631559105E-2</v>
      </c>
      <c r="AC474" s="135">
        <v>3.59250960400549E-2</v>
      </c>
      <c r="AD474" s="135">
        <v>1.6491623105783101E-2</v>
      </c>
      <c r="AF474" s="243">
        <f t="shared" si="6"/>
        <v>0.14198918943794669</v>
      </c>
      <c r="AG474" s="275">
        <f t="shared" si="7"/>
        <v>0.34220208899717475</v>
      </c>
      <c r="AH474" s="391">
        <f t="shared" si="8"/>
        <v>0.58383607120785319</v>
      </c>
      <c r="AI474" s="135">
        <f t="shared" si="9"/>
        <v>0.92603816020502794</v>
      </c>
    </row>
    <row r="475" spans="1:35" ht="12.6">
      <c r="A475" s="10" t="s">
        <v>61</v>
      </c>
      <c r="B475" s="10">
        <v>109</v>
      </c>
      <c r="C475" s="10" t="s">
        <v>1513</v>
      </c>
      <c r="D475" s="388">
        <v>45035</v>
      </c>
      <c r="E475" s="389">
        <v>45035</v>
      </c>
      <c r="F475" s="390" t="str">
        <f t="shared" si="5"/>
        <v>Lighting</v>
      </c>
      <c r="G475" s="135">
        <v>1.0388793695589E-2</v>
      </c>
      <c r="H475" s="135">
        <v>9.2844853881446695E-3</v>
      </c>
      <c r="I475" s="135">
        <v>9.0779038289257891E-3</v>
      </c>
      <c r="J475" s="135">
        <v>9.9144291480233893E-3</v>
      </c>
      <c r="K475" s="135">
        <v>1.7728629050389199E-2</v>
      </c>
      <c r="L475" s="135">
        <v>5.0585304098568797E-2</v>
      </c>
      <c r="M475" s="135">
        <v>7.8149238503386301E-2</v>
      </c>
      <c r="N475" s="135">
        <v>6.5505416127073002E-2</v>
      </c>
      <c r="O475" s="135">
        <v>3.4113102306388698E-2</v>
      </c>
      <c r="P475" s="135">
        <v>2.3059689913006699E-2</v>
      </c>
      <c r="Q475" s="135">
        <v>1.9173460926933301E-2</v>
      </c>
      <c r="R475" s="135">
        <v>1.8159142372703899E-2</v>
      </c>
      <c r="S475" s="135">
        <v>1.8022111934155299E-2</v>
      </c>
      <c r="T475" s="135">
        <v>1.8590870087425E-2</v>
      </c>
      <c r="U475" s="135">
        <v>1.86024427279902E-2</v>
      </c>
      <c r="V475" s="135">
        <v>2.1881015230260301E-2</v>
      </c>
      <c r="W475" s="135">
        <v>2.75601461584787E-2</v>
      </c>
      <c r="X475" s="135">
        <v>6.7654034791216705E-2</v>
      </c>
      <c r="Y475" s="135">
        <v>0.10180447628659101</v>
      </c>
      <c r="Z475" s="135">
        <v>0.10176443836221</v>
      </c>
      <c r="AA475" s="135">
        <v>8.6890892490170804E-2</v>
      </c>
      <c r="AB475" s="135">
        <v>6.5711417631559105E-2</v>
      </c>
      <c r="AC475" s="135">
        <v>3.59250960400549E-2</v>
      </c>
      <c r="AD475" s="135">
        <v>1.6491623105783101E-2</v>
      </c>
      <c r="AF475" s="243">
        <f t="shared" si="6"/>
        <v>0.14198918943794669</v>
      </c>
      <c r="AG475" s="275">
        <f t="shared" si="7"/>
        <v>0.34220208899717475</v>
      </c>
      <c r="AH475" s="391">
        <f t="shared" si="8"/>
        <v>0.58383607120785319</v>
      </c>
      <c r="AI475" s="135">
        <f t="shared" si="9"/>
        <v>0.92603816020502794</v>
      </c>
    </row>
    <row r="476" spans="1:35" ht="12.6">
      <c r="A476" s="10" t="s">
        <v>61</v>
      </c>
      <c r="B476" s="10">
        <v>110</v>
      </c>
      <c r="C476" s="10" t="s">
        <v>1513</v>
      </c>
      <c r="D476" s="388">
        <v>45036</v>
      </c>
      <c r="E476" s="389">
        <v>45036</v>
      </c>
      <c r="F476" s="390" t="str">
        <f t="shared" si="5"/>
        <v>Lighting</v>
      </c>
      <c r="G476" s="135">
        <v>1.0388793695589E-2</v>
      </c>
      <c r="H476" s="135">
        <v>9.2844853881446695E-3</v>
      </c>
      <c r="I476" s="135">
        <v>9.0779038289257891E-3</v>
      </c>
      <c r="J476" s="135">
        <v>9.9144291480233893E-3</v>
      </c>
      <c r="K476" s="135">
        <v>1.7728629050389199E-2</v>
      </c>
      <c r="L476" s="135">
        <v>5.0585304098568797E-2</v>
      </c>
      <c r="M476" s="135">
        <v>7.8149238503386301E-2</v>
      </c>
      <c r="N476" s="135">
        <v>6.5505416127073002E-2</v>
      </c>
      <c r="O476" s="135">
        <v>3.4113102306388698E-2</v>
      </c>
      <c r="P476" s="135">
        <v>2.3059689913006699E-2</v>
      </c>
      <c r="Q476" s="135">
        <v>1.9173460926933301E-2</v>
      </c>
      <c r="R476" s="135">
        <v>1.8159142372703899E-2</v>
      </c>
      <c r="S476" s="135">
        <v>1.8022111934155299E-2</v>
      </c>
      <c r="T476" s="135">
        <v>1.8590870087425E-2</v>
      </c>
      <c r="U476" s="135">
        <v>1.86024427279902E-2</v>
      </c>
      <c r="V476" s="135">
        <v>2.1881015230260301E-2</v>
      </c>
      <c r="W476" s="135">
        <v>2.75601461584787E-2</v>
      </c>
      <c r="X476" s="135">
        <v>6.7654034791216705E-2</v>
      </c>
      <c r="Y476" s="135">
        <v>0.10180447628659101</v>
      </c>
      <c r="Z476" s="135">
        <v>0.10176443836221</v>
      </c>
      <c r="AA476" s="135">
        <v>8.6890892490170804E-2</v>
      </c>
      <c r="AB476" s="135">
        <v>6.5711417631559105E-2</v>
      </c>
      <c r="AC476" s="135">
        <v>3.59250960400549E-2</v>
      </c>
      <c r="AD476" s="135">
        <v>1.6491623105783101E-2</v>
      </c>
      <c r="AF476" s="243">
        <f t="shared" si="6"/>
        <v>0.14198918943794669</v>
      </c>
      <c r="AG476" s="275">
        <f t="shared" si="7"/>
        <v>0.34220208899717475</v>
      </c>
      <c r="AH476" s="391">
        <f t="shared" si="8"/>
        <v>0.58383607120785319</v>
      </c>
      <c r="AI476" s="135">
        <f t="shared" si="9"/>
        <v>0.92603816020502794</v>
      </c>
    </row>
    <row r="477" spans="1:35" ht="12.6">
      <c r="A477" s="10" t="s">
        <v>61</v>
      </c>
      <c r="B477" s="10">
        <v>111</v>
      </c>
      <c r="C477" s="10" t="s">
        <v>1513</v>
      </c>
      <c r="D477" s="388">
        <v>45037</v>
      </c>
      <c r="E477" s="389">
        <v>45037</v>
      </c>
      <c r="F477" s="390" t="str">
        <f t="shared" si="5"/>
        <v>Lighting</v>
      </c>
      <c r="G477" s="135">
        <v>1.0388793695589E-2</v>
      </c>
      <c r="H477" s="135">
        <v>9.2844853881446695E-3</v>
      </c>
      <c r="I477" s="135">
        <v>9.0779038289257891E-3</v>
      </c>
      <c r="J477" s="135">
        <v>9.9144291480233893E-3</v>
      </c>
      <c r="K477" s="135">
        <v>1.7728629050389199E-2</v>
      </c>
      <c r="L477" s="135">
        <v>5.0585304098568797E-2</v>
      </c>
      <c r="M477" s="135">
        <v>7.8149238503386301E-2</v>
      </c>
      <c r="N477" s="135">
        <v>6.5505416127073002E-2</v>
      </c>
      <c r="O477" s="135">
        <v>3.4113102306388698E-2</v>
      </c>
      <c r="P477" s="135">
        <v>2.3059689913006699E-2</v>
      </c>
      <c r="Q477" s="135">
        <v>1.9173460926933301E-2</v>
      </c>
      <c r="R477" s="135">
        <v>1.8159142372703899E-2</v>
      </c>
      <c r="S477" s="135">
        <v>1.8022111934155299E-2</v>
      </c>
      <c r="T477" s="135">
        <v>1.8590870087425E-2</v>
      </c>
      <c r="U477" s="135">
        <v>1.86024427279902E-2</v>
      </c>
      <c r="V477" s="135">
        <v>2.1881015230260301E-2</v>
      </c>
      <c r="W477" s="135">
        <v>2.75601461584787E-2</v>
      </c>
      <c r="X477" s="135">
        <v>6.7654034791216705E-2</v>
      </c>
      <c r="Y477" s="135">
        <v>0.10180447628659101</v>
      </c>
      <c r="Z477" s="135">
        <v>0.10176443836221</v>
      </c>
      <c r="AA477" s="135">
        <v>8.6890892490170804E-2</v>
      </c>
      <c r="AB477" s="135">
        <v>6.5711417631559105E-2</v>
      </c>
      <c r="AC477" s="135">
        <v>3.59250960400549E-2</v>
      </c>
      <c r="AD477" s="135">
        <v>1.6491623105783101E-2</v>
      </c>
      <c r="AF477" s="243">
        <f t="shared" si="6"/>
        <v>0.14198918943794669</v>
      </c>
      <c r="AG477" s="275">
        <f t="shared" si="7"/>
        <v>0.34220208899717475</v>
      </c>
      <c r="AH477" s="391">
        <f t="shared" si="8"/>
        <v>0.58383607120785319</v>
      </c>
      <c r="AI477" s="135">
        <f t="shared" si="9"/>
        <v>0.92603816020502794</v>
      </c>
    </row>
    <row r="478" spans="1:35" ht="12.6">
      <c r="A478" s="10" t="s">
        <v>61</v>
      </c>
      <c r="B478" s="10">
        <v>112</v>
      </c>
      <c r="C478" s="10" t="s">
        <v>1513</v>
      </c>
      <c r="D478" s="388">
        <v>45038</v>
      </c>
      <c r="E478" s="389">
        <v>45038</v>
      </c>
      <c r="F478" s="390" t="str">
        <f t="shared" si="5"/>
        <v>Lighting</v>
      </c>
      <c r="G478" s="135">
        <v>1.2168200889167501E-2</v>
      </c>
      <c r="H478" s="135">
        <v>1.0282578645567499E-2</v>
      </c>
      <c r="I478" s="135">
        <v>9.6054332916604406E-3</v>
      </c>
      <c r="J478" s="135">
        <v>1.0655405728614099E-2</v>
      </c>
      <c r="K478" s="135">
        <v>1.16950109657803E-2</v>
      </c>
      <c r="L478" s="135">
        <v>1.69270076371234E-2</v>
      </c>
      <c r="M478" s="135">
        <v>2.8028010373002399E-2</v>
      </c>
      <c r="N478" s="135">
        <v>3.9036951663730599E-2</v>
      </c>
      <c r="O478" s="135">
        <v>4.2089493450570101E-2</v>
      </c>
      <c r="P478" s="135">
        <v>4.37617820862269E-2</v>
      </c>
      <c r="Q478" s="135">
        <v>4.0503923383543597E-2</v>
      </c>
      <c r="R478" s="135">
        <v>3.8987793496509403E-2</v>
      </c>
      <c r="S478" s="135">
        <v>3.4208620353931102E-2</v>
      </c>
      <c r="T478" s="135">
        <v>3.0240558003717499E-2</v>
      </c>
      <c r="U478" s="135">
        <v>3.1903199614705703E-2</v>
      </c>
      <c r="V478" s="135">
        <v>3.2363058965710297E-2</v>
      </c>
      <c r="W478" s="135">
        <v>4.2369431652361601E-2</v>
      </c>
      <c r="X478" s="135">
        <v>6.8538490143186706E-2</v>
      </c>
      <c r="Y478" s="135">
        <v>8.9070994842437703E-2</v>
      </c>
      <c r="Z478" s="135">
        <v>9.2376178210362994E-2</v>
      </c>
      <c r="AA478" s="135">
        <v>7.8167946474177602E-2</v>
      </c>
      <c r="AB478" s="135">
        <v>5.5762518293499597E-2</v>
      </c>
      <c r="AC478" s="135">
        <v>3.2121809257358698E-2</v>
      </c>
      <c r="AD478" s="135">
        <v>1.8911860255668399E-2</v>
      </c>
      <c r="AF478" s="243">
        <f t="shared" si="6"/>
        <v>0.25057658547047917</v>
      </c>
      <c r="AG478" s="275">
        <f t="shared" si="7"/>
        <v>0.32148018563436898</v>
      </c>
      <c r="AH478" s="391">
        <f t="shared" si="8"/>
        <v>0.58829607204424517</v>
      </c>
      <c r="AI478" s="135">
        <f t="shared" si="9"/>
        <v>0.90977625767861414</v>
      </c>
    </row>
    <row r="479" spans="1:35" ht="12.6">
      <c r="A479" s="10" t="s">
        <v>61</v>
      </c>
      <c r="B479" s="10">
        <v>113</v>
      </c>
      <c r="C479" s="10" t="s">
        <v>1513</v>
      </c>
      <c r="D479" s="388">
        <v>45039</v>
      </c>
      <c r="E479" s="389">
        <v>45039</v>
      </c>
      <c r="F479" s="390" t="str">
        <f t="shared" si="5"/>
        <v>Lighting</v>
      </c>
      <c r="G479" s="135">
        <v>1.2168200889167501E-2</v>
      </c>
      <c r="H479" s="135">
        <v>1.0282578645567499E-2</v>
      </c>
      <c r="I479" s="135">
        <v>9.6054332916604406E-3</v>
      </c>
      <c r="J479" s="135">
        <v>1.0655405728614099E-2</v>
      </c>
      <c r="K479" s="135">
        <v>1.16950109657803E-2</v>
      </c>
      <c r="L479" s="135">
        <v>1.69270076371234E-2</v>
      </c>
      <c r="M479" s="135">
        <v>2.8028010373002399E-2</v>
      </c>
      <c r="N479" s="135">
        <v>3.9036951663730599E-2</v>
      </c>
      <c r="O479" s="135">
        <v>4.2089493450570101E-2</v>
      </c>
      <c r="P479" s="135">
        <v>4.37617820862269E-2</v>
      </c>
      <c r="Q479" s="135">
        <v>4.0503923383543597E-2</v>
      </c>
      <c r="R479" s="135">
        <v>3.8987793496509403E-2</v>
      </c>
      <c r="S479" s="135">
        <v>3.4208620353931102E-2</v>
      </c>
      <c r="T479" s="135">
        <v>3.0240558003717499E-2</v>
      </c>
      <c r="U479" s="135">
        <v>3.1903199614705703E-2</v>
      </c>
      <c r="V479" s="135">
        <v>3.2363058965710297E-2</v>
      </c>
      <c r="W479" s="135">
        <v>4.2369431652361601E-2</v>
      </c>
      <c r="X479" s="135">
        <v>6.8538490143186706E-2</v>
      </c>
      <c r="Y479" s="135">
        <v>8.9070994842437703E-2</v>
      </c>
      <c r="Z479" s="135">
        <v>9.2376178210362994E-2</v>
      </c>
      <c r="AA479" s="135">
        <v>7.8167946474177602E-2</v>
      </c>
      <c r="AB479" s="135">
        <v>5.5762518293499597E-2</v>
      </c>
      <c r="AC479" s="135">
        <v>3.2121809257358698E-2</v>
      </c>
      <c r="AD479" s="135">
        <v>1.8911860255668399E-2</v>
      </c>
      <c r="AF479" s="243">
        <f t="shared" si="6"/>
        <v>0.25057658547047917</v>
      </c>
      <c r="AG479" s="275">
        <f t="shared" si="7"/>
        <v>0.32148018563436898</v>
      </c>
      <c r="AH479" s="391">
        <f t="shared" si="8"/>
        <v>0.58829607204424517</v>
      </c>
      <c r="AI479" s="135">
        <f t="shared" si="9"/>
        <v>0.90977625767861414</v>
      </c>
    </row>
    <row r="480" spans="1:35" ht="12.6">
      <c r="A480" s="10" t="s">
        <v>61</v>
      </c>
      <c r="B480" s="10">
        <v>114</v>
      </c>
      <c r="C480" s="10" t="s">
        <v>1513</v>
      </c>
      <c r="D480" s="388">
        <v>45040</v>
      </c>
      <c r="E480" s="389">
        <v>45040</v>
      </c>
      <c r="F480" s="390" t="str">
        <f t="shared" si="5"/>
        <v>Lighting</v>
      </c>
      <c r="G480" s="135">
        <v>1.0388793695589E-2</v>
      </c>
      <c r="H480" s="135">
        <v>9.2844853881446695E-3</v>
      </c>
      <c r="I480" s="135">
        <v>9.0779038289257891E-3</v>
      </c>
      <c r="J480" s="135">
        <v>9.9144291480233893E-3</v>
      </c>
      <c r="K480" s="135">
        <v>1.7728629050389199E-2</v>
      </c>
      <c r="L480" s="135">
        <v>5.0585304098568797E-2</v>
      </c>
      <c r="M480" s="135">
        <v>7.8149238503386301E-2</v>
      </c>
      <c r="N480" s="135">
        <v>6.5505416127073002E-2</v>
      </c>
      <c r="O480" s="135">
        <v>3.4113102306388698E-2</v>
      </c>
      <c r="P480" s="135">
        <v>2.3059689913006699E-2</v>
      </c>
      <c r="Q480" s="135">
        <v>1.9173460926933301E-2</v>
      </c>
      <c r="R480" s="135">
        <v>1.8159142372703899E-2</v>
      </c>
      <c r="S480" s="135">
        <v>1.8022111934155299E-2</v>
      </c>
      <c r="T480" s="135">
        <v>1.8590870087425E-2</v>
      </c>
      <c r="U480" s="135">
        <v>1.86024427279902E-2</v>
      </c>
      <c r="V480" s="135">
        <v>2.1881015230260301E-2</v>
      </c>
      <c r="W480" s="135">
        <v>2.75601461584787E-2</v>
      </c>
      <c r="X480" s="135">
        <v>6.7654034791216705E-2</v>
      </c>
      <c r="Y480" s="135">
        <v>0.10180447628659101</v>
      </c>
      <c r="Z480" s="135">
        <v>0.10176443836221</v>
      </c>
      <c r="AA480" s="135">
        <v>8.6890892490170804E-2</v>
      </c>
      <c r="AB480" s="135">
        <v>6.5711417631559105E-2</v>
      </c>
      <c r="AC480" s="135">
        <v>3.59250960400549E-2</v>
      </c>
      <c r="AD480" s="135">
        <v>1.6491623105783101E-2</v>
      </c>
      <c r="AF480" s="243">
        <f t="shared" si="6"/>
        <v>0.14198918943794669</v>
      </c>
      <c r="AG480" s="275">
        <f t="shared" si="7"/>
        <v>0.34220208899717475</v>
      </c>
      <c r="AH480" s="391">
        <f t="shared" si="8"/>
        <v>0.58383607120785319</v>
      </c>
      <c r="AI480" s="135">
        <f t="shared" si="9"/>
        <v>0.92603816020502794</v>
      </c>
    </row>
    <row r="481" spans="1:35" ht="12.6">
      <c r="A481" s="10" t="s">
        <v>61</v>
      </c>
      <c r="B481" s="10">
        <v>115</v>
      </c>
      <c r="C481" s="10" t="s">
        <v>1513</v>
      </c>
      <c r="D481" s="388">
        <v>45041</v>
      </c>
      <c r="E481" s="389">
        <v>45041</v>
      </c>
      <c r="F481" s="390" t="str">
        <f t="shared" si="5"/>
        <v>Lighting</v>
      </c>
      <c r="G481" s="135">
        <v>1.0388793695589E-2</v>
      </c>
      <c r="H481" s="135">
        <v>9.2844853881446695E-3</v>
      </c>
      <c r="I481" s="135">
        <v>9.0779038289257891E-3</v>
      </c>
      <c r="J481" s="135">
        <v>9.9144291480233893E-3</v>
      </c>
      <c r="K481" s="135">
        <v>1.7728629050389199E-2</v>
      </c>
      <c r="L481" s="135">
        <v>5.0585304098568797E-2</v>
      </c>
      <c r="M481" s="135">
        <v>7.8149238503386301E-2</v>
      </c>
      <c r="N481" s="135">
        <v>6.5505416127073002E-2</v>
      </c>
      <c r="O481" s="135">
        <v>3.4113102306388698E-2</v>
      </c>
      <c r="P481" s="135">
        <v>2.3059689913006699E-2</v>
      </c>
      <c r="Q481" s="135">
        <v>1.9173460926933301E-2</v>
      </c>
      <c r="R481" s="135">
        <v>1.8159142372703899E-2</v>
      </c>
      <c r="S481" s="135">
        <v>1.8022111934155299E-2</v>
      </c>
      <c r="T481" s="135">
        <v>1.8590870087425E-2</v>
      </c>
      <c r="U481" s="135">
        <v>1.86024427279902E-2</v>
      </c>
      <c r="V481" s="135">
        <v>2.1881015230260301E-2</v>
      </c>
      <c r="W481" s="135">
        <v>2.75601461584787E-2</v>
      </c>
      <c r="X481" s="135">
        <v>6.7654034791216705E-2</v>
      </c>
      <c r="Y481" s="135">
        <v>0.10180447628659101</v>
      </c>
      <c r="Z481" s="135">
        <v>0.10176443836221</v>
      </c>
      <c r="AA481" s="135">
        <v>8.6890892490170804E-2</v>
      </c>
      <c r="AB481" s="135">
        <v>6.5711417631559105E-2</v>
      </c>
      <c r="AC481" s="135">
        <v>3.59250960400549E-2</v>
      </c>
      <c r="AD481" s="135">
        <v>1.6491623105783101E-2</v>
      </c>
      <c r="AF481" s="243">
        <f t="shared" si="6"/>
        <v>0.14198918943794669</v>
      </c>
      <c r="AG481" s="275">
        <f t="shared" si="7"/>
        <v>0.34220208899717475</v>
      </c>
      <c r="AH481" s="391">
        <f t="shared" si="8"/>
        <v>0.58383607120785319</v>
      </c>
      <c r="AI481" s="135">
        <f t="shared" si="9"/>
        <v>0.92603816020502794</v>
      </c>
    </row>
    <row r="482" spans="1:35" ht="12.6">
      <c r="A482" s="10" t="s">
        <v>61</v>
      </c>
      <c r="B482" s="10">
        <v>116</v>
      </c>
      <c r="C482" s="10" t="s">
        <v>1513</v>
      </c>
      <c r="D482" s="388">
        <v>45042</v>
      </c>
      <c r="E482" s="389">
        <v>45042</v>
      </c>
      <c r="F482" s="390" t="str">
        <f t="shared" si="5"/>
        <v>Lighting</v>
      </c>
      <c r="G482" s="135">
        <v>1.0388793695589E-2</v>
      </c>
      <c r="H482" s="135">
        <v>9.2844853881446695E-3</v>
      </c>
      <c r="I482" s="135">
        <v>9.0779038289257891E-3</v>
      </c>
      <c r="J482" s="135">
        <v>9.9144291480233893E-3</v>
      </c>
      <c r="K482" s="135">
        <v>1.7728629050389199E-2</v>
      </c>
      <c r="L482" s="135">
        <v>5.0585304098568797E-2</v>
      </c>
      <c r="M482" s="135">
        <v>7.8149238503386301E-2</v>
      </c>
      <c r="N482" s="135">
        <v>6.5505416127073002E-2</v>
      </c>
      <c r="O482" s="135">
        <v>3.4113102306388698E-2</v>
      </c>
      <c r="P482" s="135">
        <v>2.3059689913006699E-2</v>
      </c>
      <c r="Q482" s="135">
        <v>1.9173460926933301E-2</v>
      </c>
      <c r="R482" s="135">
        <v>1.8159142372703899E-2</v>
      </c>
      <c r="S482" s="135">
        <v>1.8022111934155299E-2</v>
      </c>
      <c r="T482" s="135">
        <v>1.8590870087425E-2</v>
      </c>
      <c r="U482" s="135">
        <v>1.86024427279902E-2</v>
      </c>
      <c r="V482" s="135">
        <v>2.1881015230260301E-2</v>
      </c>
      <c r="W482" s="135">
        <v>2.75601461584787E-2</v>
      </c>
      <c r="X482" s="135">
        <v>6.7654034791216705E-2</v>
      </c>
      <c r="Y482" s="135">
        <v>0.10180447628659101</v>
      </c>
      <c r="Z482" s="135">
        <v>0.10176443836221</v>
      </c>
      <c r="AA482" s="135">
        <v>8.6890892490170804E-2</v>
      </c>
      <c r="AB482" s="135">
        <v>6.5711417631559105E-2</v>
      </c>
      <c r="AC482" s="135">
        <v>3.59250960400549E-2</v>
      </c>
      <c r="AD482" s="135">
        <v>1.6491623105783101E-2</v>
      </c>
      <c r="AF482" s="243">
        <f t="shared" si="6"/>
        <v>0.14198918943794669</v>
      </c>
      <c r="AG482" s="275">
        <f t="shared" si="7"/>
        <v>0.34220208899717475</v>
      </c>
      <c r="AH482" s="391">
        <f t="shared" si="8"/>
        <v>0.58383607120785319</v>
      </c>
      <c r="AI482" s="135">
        <f t="shared" si="9"/>
        <v>0.92603816020502794</v>
      </c>
    </row>
    <row r="483" spans="1:35" ht="12.6">
      <c r="A483" s="10" t="s">
        <v>61</v>
      </c>
      <c r="B483" s="10">
        <v>117</v>
      </c>
      <c r="C483" s="10" t="s">
        <v>1513</v>
      </c>
      <c r="D483" s="388">
        <v>45043</v>
      </c>
      <c r="E483" s="389">
        <v>45043</v>
      </c>
      <c r="F483" s="390" t="str">
        <f t="shared" si="5"/>
        <v>Lighting</v>
      </c>
      <c r="G483" s="135">
        <v>1.0388793695589E-2</v>
      </c>
      <c r="H483" s="135">
        <v>9.2844853881446695E-3</v>
      </c>
      <c r="I483" s="135">
        <v>9.0779038289257891E-3</v>
      </c>
      <c r="J483" s="135">
        <v>9.9144291480233893E-3</v>
      </c>
      <c r="K483" s="135">
        <v>1.7728629050389199E-2</v>
      </c>
      <c r="L483" s="135">
        <v>5.0585304098568797E-2</v>
      </c>
      <c r="M483" s="135">
        <v>7.8149238503386301E-2</v>
      </c>
      <c r="N483" s="135">
        <v>6.5505416127073002E-2</v>
      </c>
      <c r="O483" s="135">
        <v>3.4113102306388698E-2</v>
      </c>
      <c r="P483" s="135">
        <v>2.3059689913006699E-2</v>
      </c>
      <c r="Q483" s="135">
        <v>1.9173460926933301E-2</v>
      </c>
      <c r="R483" s="135">
        <v>1.8159142372703899E-2</v>
      </c>
      <c r="S483" s="135">
        <v>1.8022111934155299E-2</v>
      </c>
      <c r="T483" s="135">
        <v>1.8590870087425E-2</v>
      </c>
      <c r="U483" s="135">
        <v>1.86024427279902E-2</v>
      </c>
      <c r="V483" s="135">
        <v>2.1881015230260301E-2</v>
      </c>
      <c r="W483" s="135">
        <v>2.75601461584787E-2</v>
      </c>
      <c r="X483" s="135">
        <v>6.7654034791216705E-2</v>
      </c>
      <c r="Y483" s="135">
        <v>0.10180447628659101</v>
      </c>
      <c r="Z483" s="135">
        <v>0.10176443836221</v>
      </c>
      <c r="AA483" s="135">
        <v>8.6890892490170804E-2</v>
      </c>
      <c r="AB483" s="135">
        <v>6.5711417631559105E-2</v>
      </c>
      <c r="AC483" s="135">
        <v>3.59250960400549E-2</v>
      </c>
      <c r="AD483" s="135">
        <v>1.6491623105783101E-2</v>
      </c>
      <c r="AF483" s="243">
        <f t="shared" si="6"/>
        <v>0.14198918943794669</v>
      </c>
      <c r="AG483" s="275">
        <f t="shared" si="7"/>
        <v>0.34220208899717475</v>
      </c>
      <c r="AH483" s="391">
        <f t="shared" si="8"/>
        <v>0.58383607120785319</v>
      </c>
      <c r="AI483" s="135">
        <f t="shared" si="9"/>
        <v>0.92603816020502794</v>
      </c>
    </row>
    <row r="484" spans="1:35" ht="12.6">
      <c r="A484" s="10" t="s">
        <v>61</v>
      </c>
      <c r="B484" s="10">
        <v>118</v>
      </c>
      <c r="C484" s="10" t="s">
        <v>1513</v>
      </c>
      <c r="D484" s="388">
        <v>45044</v>
      </c>
      <c r="E484" s="389">
        <v>45044</v>
      </c>
      <c r="F484" s="390" t="str">
        <f t="shared" si="5"/>
        <v>Lighting</v>
      </c>
      <c r="G484" s="135">
        <v>1.0388793695589E-2</v>
      </c>
      <c r="H484" s="135">
        <v>9.2844853881446695E-3</v>
      </c>
      <c r="I484" s="135">
        <v>9.0779038289257891E-3</v>
      </c>
      <c r="J484" s="135">
        <v>9.9144291480233893E-3</v>
      </c>
      <c r="K484" s="135">
        <v>1.7728629050389199E-2</v>
      </c>
      <c r="L484" s="135">
        <v>5.0585304098568797E-2</v>
      </c>
      <c r="M484" s="135">
        <v>7.8149238503386301E-2</v>
      </c>
      <c r="N484" s="135">
        <v>6.5505416127073002E-2</v>
      </c>
      <c r="O484" s="135">
        <v>3.4113102306388698E-2</v>
      </c>
      <c r="P484" s="135">
        <v>2.3059689913006699E-2</v>
      </c>
      <c r="Q484" s="135">
        <v>1.9173460926933301E-2</v>
      </c>
      <c r="R484" s="135">
        <v>1.8159142372703899E-2</v>
      </c>
      <c r="S484" s="135">
        <v>1.8022111934155299E-2</v>
      </c>
      <c r="T484" s="135">
        <v>1.8590870087425E-2</v>
      </c>
      <c r="U484" s="135">
        <v>1.86024427279902E-2</v>
      </c>
      <c r="V484" s="135">
        <v>2.1881015230260301E-2</v>
      </c>
      <c r="W484" s="135">
        <v>2.75601461584787E-2</v>
      </c>
      <c r="X484" s="135">
        <v>6.7654034791216705E-2</v>
      </c>
      <c r="Y484" s="135">
        <v>0.10180447628659101</v>
      </c>
      <c r="Z484" s="135">
        <v>0.10176443836221</v>
      </c>
      <c r="AA484" s="135">
        <v>8.6890892490170804E-2</v>
      </c>
      <c r="AB484" s="135">
        <v>6.5711417631559105E-2</v>
      </c>
      <c r="AC484" s="135">
        <v>3.59250960400549E-2</v>
      </c>
      <c r="AD484" s="135">
        <v>1.6491623105783101E-2</v>
      </c>
      <c r="AF484" s="243">
        <f t="shared" si="6"/>
        <v>0.14198918943794669</v>
      </c>
      <c r="AG484" s="275">
        <f t="shared" si="7"/>
        <v>0.34220208899717475</v>
      </c>
      <c r="AH484" s="391">
        <f t="shared" si="8"/>
        <v>0.58383607120785319</v>
      </c>
      <c r="AI484" s="135">
        <f t="shared" si="9"/>
        <v>0.92603816020502794</v>
      </c>
    </row>
    <row r="485" spans="1:35" ht="12.6">
      <c r="A485" s="10" t="s">
        <v>61</v>
      </c>
      <c r="B485" s="10">
        <v>119</v>
      </c>
      <c r="C485" s="10" t="s">
        <v>1513</v>
      </c>
      <c r="D485" s="388">
        <v>45045</v>
      </c>
      <c r="E485" s="389">
        <v>45045</v>
      </c>
      <c r="F485" s="390" t="str">
        <f t="shared" si="5"/>
        <v>Lighting</v>
      </c>
      <c r="G485" s="135">
        <v>1.2168200889167501E-2</v>
      </c>
      <c r="H485" s="135">
        <v>1.0282578645567499E-2</v>
      </c>
      <c r="I485" s="135">
        <v>9.6054332916604406E-3</v>
      </c>
      <c r="J485" s="135">
        <v>1.0655405728614099E-2</v>
      </c>
      <c r="K485" s="135">
        <v>1.16950109657803E-2</v>
      </c>
      <c r="L485" s="135">
        <v>1.69270076371234E-2</v>
      </c>
      <c r="M485" s="135">
        <v>2.8028010373002399E-2</v>
      </c>
      <c r="N485" s="135">
        <v>3.9036951663730599E-2</v>
      </c>
      <c r="O485" s="135">
        <v>4.2089493450570101E-2</v>
      </c>
      <c r="P485" s="135">
        <v>4.37617820862269E-2</v>
      </c>
      <c r="Q485" s="135">
        <v>4.0503923383543597E-2</v>
      </c>
      <c r="R485" s="135">
        <v>3.8987793496509403E-2</v>
      </c>
      <c r="S485" s="135">
        <v>3.4208620353931102E-2</v>
      </c>
      <c r="T485" s="135">
        <v>3.0240558003717499E-2</v>
      </c>
      <c r="U485" s="135">
        <v>3.1903199614705703E-2</v>
      </c>
      <c r="V485" s="135">
        <v>3.2363058965710297E-2</v>
      </c>
      <c r="W485" s="135">
        <v>4.2369431652361601E-2</v>
      </c>
      <c r="X485" s="135">
        <v>6.8538490143186706E-2</v>
      </c>
      <c r="Y485" s="135">
        <v>8.9070994842437703E-2</v>
      </c>
      <c r="Z485" s="135">
        <v>9.2376178210362994E-2</v>
      </c>
      <c r="AA485" s="135">
        <v>7.8167946474177602E-2</v>
      </c>
      <c r="AB485" s="135">
        <v>5.5762518293499597E-2</v>
      </c>
      <c r="AC485" s="135">
        <v>3.2121809257358698E-2</v>
      </c>
      <c r="AD485" s="135">
        <v>1.8911860255668399E-2</v>
      </c>
      <c r="AF485" s="243">
        <f t="shared" si="6"/>
        <v>0.25057658547047917</v>
      </c>
      <c r="AG485" s="275">
        <f t="shared" si="7"/>
        <v>0.32148018563436898</v>
      </c>
      <c r="AH485" s="391">
        <f t="shared" si="8"/>
        <v>0.58829607204424517</v>
      </c>
      <c r="AI485" s="135">
        <f t="shared" si="9"/>
        <v>0.90977625767861414</v>
      </c>
    </row>
    <row r="486" spans="1:35" ht="12.6">
      <c r="A486" s="10" t="s">
        <v>61</v>
      </c>
      <c r="B486" s="10">
        <v>120</v>
      </c>
      <c r="C486" s="10" t="s">
        <v>1513</v>
      </c>
      <c r="D486" s="388">
        <v>45046</v>
      </c>
      <c r="E486" s="389">
        <v>45046</v>
      </c>
      <c r="F486" s="390" t="str">
        <f t="shared" si="5"/>
        <v>Lighting</v>
      </c>
      <c r="G486" s="135">
        <v>1.2168200889167501E-2</v>
      </c>
      <c r="H486" s="135">
        <v>1.0282578645567499E-2</v>
      </c>
      <c r="I486" s="135">
        <v>9.6054332916604406E-3</v>
      </c>
      <c r="J486" s="135">
        <v>1.0655405728614099E-2</v>
      </c>
      <c r="K486" s="135">
        <v>1.16950109657803E-2</v>
      </c>
      <c r="L486" s="135">
        <v>1.69270076371234E-2</v>
      </c>
      <c r="M486" s="135">
        <v>2.8028010373002399E-2</v>
      </c>
      <c r="N486" s="135">
        <v>3.9036951663730599E-2</v>
      </c>
      <c r="O486" s="135">
        <v>4.2089493450570101E-2</v>
      </c>
      <c r="P486" s="135">
        <v>4.37617820862269E-2</v>
      </c>
      <c r="Q486" s="135">
        <v>4.0503923383543597E-2</v>
      </c>
      <c r="R486" s="135">
        <v>3.8987793496509403E-2</v>
      </c>
      <c r="S486" s="135">
        <v>3.4208620353931102E-2</v>
      </c>
      <c r="T486" s="135">
        <v>3.0240558003717499E-2</v>
      </c>
      <c r="U486" s="135">
        <v>3.1903199614705703E-2</v>
      </c>
      <c r="V486" s="135">
        <v>3.2363058965710297E-2</v>
      </c>
      <c r="W486" s="135">
        <v>4.2369431652361601E-2</v>
      </c>
      <c r="X486" s="135">
        <v>6.8538490143186706E-2</v>
      </c>
      <c r="Y486" s="135">
        <v>8.9070994842437703E-2</v>
      </c>
      <c r="Z486" s="135">
        <v>9.2376178210362994E-2</v>
      </c>
      <c r="AA486" s="135">
        <v>7.8167946474177602E-2</v>
      </c>
      <c r="AB486" s="135">
        <v>5.5762518293499597E-2</v>
      </c>
      <c r="AC486" s="135">
        <v>3.2121809257358698E-2</v>
      </c>
      <c r="AD486" s="135">
        <v>1.8911860255668399E-2</v>
      </c>
      <c r="AF486" s="243">
        <f t="shared" si="6"/>
        <v>0.25057658547047917</v>
      </c>
      <c r="AG486" s="275">
        <f t="shared" si="7"/>
        <v>0.32148018563436898</v>
      </c>
      <c r="AH486" s="391">
        <f t="shared" si="8"/>
        <v>0.58829607204424517</v>
      </c>
      <c r="AI486" s="135">
        <f t="shared" si="9"/>
        <v>0.90977625767861414</v>
      </c>
    </row>
    <row r="487" spans="1:35" ht="12.6">
      <c r="A487" s="10" t="s">
        <v>61</v>
      </c>
      <c r="B487" s="10">
        <v>121</v>
      </c>
      <c r="C487" s="10" t="s">
        <v>1513</v>
      </c>
      <c r="D487" s="388">
        <v>45047</v>
      </c>
      <c r="E487" s="389">
        <v>45047</v>
      </c>
      <c r="F487" s="390" t="str">
        <f t="shared" si="5"/>
        <v>Lighting</v>
      </c>
      <c r="G487" s="135">
        <v>1.0388793695589E-2</v>
      </c>
      <c r="H487" s="135">
        <v>9.2844853881446695E-3</v>
      </c>
      <c r="I487" s="135">
        <v>9.0779038289257891E-3</v>
      </c>
      <c r="J487" s="135">
        <v>9.9144291480233893E-3</v>
      </c>
      <c r="K487" s="135">
        <v>1.7728629050389199E-2</v>
      </c>
      <c r="L487" s="135">
        <v>5.0585304098568797E-2</v>
      </c>
      <c r="M487" s="135">
        <v>7.8149238503386301E-2</v>
      </c>
      <c r="N487" s="135">
        <v>6.5505416127073002E-2</v>
      </c>
      <c r="O487" s="135">
        <v>3.4113102306388698E-2</v>
      </c>
      <c r="P487" s="135">
        <v>2.3059689913006699E-2</v>
      </c>
      <c r="Q487" s="135">
        <v>1.9173460926933301E-2</v>
      </c>
      <c r="R487" s="135">
        <v>1.8159142372703899E-2</v>
      </c>
      <c r="S487" s="135">
        <v>1.8022111934155299E-2</v>
      </c>
      <c r="T487" s="135">
        <v>1.8590870087425E-2</v>
      </c>
      <c r="U487" s="135">
        <v>1.86024427279902E-2</v>
      </c>
      <c r="V487" s="135">
        <v>2.1881015230260301E-2</v>
      </c>
      <c r="W487" s="135">
        <v>2.75601461584787E-2</v>
      </c>
      <c r="X487" s="135">
        <v>6.7654034791216705E-2</v>
      </c>
      <c r="Y487" s="135">
        <v>0.10180447628659101</v>
      </c>
      <c r="Z487" s="135">
        <v>0.10176443836221</v>
      </c>
      <c r="AA487" s="135">
        <v>8.6890892490170804E-2</v>
      </c>
      <c r="AB487" s="135">
        <v>6.5711417631559105E-2</v>
      </c>
      <c r="AC487" s="135">
        <v>3.59250960400549E-2</v>
      </c>
      <c r="AD487" s="135">
        <v>1.6491623105783101E-2</v>
      </c>
      <c r="AF487" s="243">
        <f t="shared" si="6"/>
        <v>0.14198918943794669</v>
      </c>
      <c r="AG487" s="275">
        <f t="shared" si="7"/>
        <v>0.34220208899717475</v>
      </c>
      <c r="AH487" s="391">
        <f t="shared" si="8"/>
        <v>0.58383607120785319</v>
      </c>
      <c r="AI487" s="135">
        <f t="shared" si="9"/>
        <v>0.92603816020502794</v>
      </c>
    </row>
    <row r="488" spans="1:35" ht="12.6">
      <c r="A488" s="10" t="s">
        <v>61</v>
      </c>
      <c r="B488" s="10">
        <v>122</v>
      </c>
      <c r="C488" s="10" t="s">
        <v>1513</v>
      </c>
      <c r="D488" s="388">
        <v>45048</v>
      </c>
      <c r="E488" s="389">
        <v>45048</v>
      </c>
      <c r="F488" s="390" t="str">
        <f t="shared" si="5"/>
        <v>Lighting</v>
      </c>
      <c r="G488" s="135">
        <v>1.0388793695589E-2</v>
      </c>
      <c r="H488" s="135">
        <v>9.2844853881446695E-3</v>
      </c>
      <c r="I488" s="135">
        <v>9.0779038289257891E-3</v>
      </c>
      <c r="J488" s="135">
        <v>9.9144291480233893E-3</v>
      </c>
      <c r="K488" s="135">
        <v>1.7728629050389199E-2</v>
      </c>
      <c r="L488" s="135">
        <v>5.0585304098568797E-2</v>
      </c>
      <c r="M488" s="135">
        <v>7.8149238503386301E-2</v>
      </c>
      <c r="N488" s="135">
        <v>6.5505416127073002E-2</v>
      </c>
      <c r="O488" s="135">
        <v>3.4113102306388698E-2</v>
      </c>
      <c r="P488" s="135">
        <v>2.3059689913006699E-2</v>
      </c>
      <c r="Q488" s="135">
        <v>1.9173460926933301E-2</v>
      </c>
      <c r="R488" s="135">
        <v>1.8159142372703899E-2</v>
      </c>
      <c r="S488" s="135">
        <v>1.8022111934155299E-2</v>
      </c>
      <c r="T488" s="135">
        <v>1.8590870087425E-2</v>
      </c>
      <c r="U488" s="135">
        <v>1.86024427279902E-2</v>
      </c>
      <c r="V488" s="135">
        <v>2.1881015230260301E-2</v>
      </c>
      <c r="W488" s="135">
        <v>2.75601461584787E-2</v>
      </c>
      <c r="X488" s="135">
        <v>6.7654034791216705E-2</v>
      </c>
      <c r="Y488" s="135">
        <v>0.10180447628659101</v>
      </c>
      <c r="Z488" s="135">
        <v>0.10176443836221</v>
      </c>
      <c r="AA488" s="135">
        <v>8.6890892490170804E-2</v>
      </c>
      <c r="AB488" s="135">
        <v>6.5711417631559105E-2</v>
      </c>
      <c r="AC488" s="135">
        <v>3.59250960400549E-2</v>
      </c>
      <c r="AD488" s="135">
        <v>1.6491623105783101E-2</v>
      </c>
      <c r="AF488" s="243">
        <f t="shared" si="6"/>
        <v>0.14198918943794669</v>
      </c>
      <c r="AG488" s="275">
        <f t="shared" si="7"/>
        <v>0.34220208899717475</v>
      </c>
      <c r="AH488" s="391">
        <f t="shared" si="8"/>
        <v>0.58383607120785319</v>
      </c>
      <c r="AI488" s="135">
        <f t="shared" si="9"/>
        <v>0.92603816020502794</v>
      </c>
    </row>
    <row r="489" spans="1:35" ht="12.6">
      <c r="A489" s="10" t="s">
        <v>61</v>
      </c>
      <c r="B489" s="10">
        <v>123</v>
      </c>
      <c r="C489" s="10" t="s">
        <v>1513</v>
      </c>
      <c r="D489" s="388">
        <v>45049</v>
      </c>
      <c r="E489" s="389">
        <v>45049</v>
      </c>
      <c r="F489" s="390" t="str">
        <f t="shared" si="5"/>
        <v>Lighting</v>
      </c>
      <c r="G489" s="135">
        <v>1.0388793695589E-2</v>
      </c>
      <c r="H489" s="135">
        <v>9.2844853881446695E-3</v>
      </c>
      <c r="I489" s="135">
        <v>9.0779038289257891E-3</v>
      </c>
      <c r="J489" s="135">
        <v>9.9144291480233893E-3</v>
      </c>
      <c r="K489" s="135">
        <v>1.7728629050389199E-2</v>
      </c>
      <c r="L489" s="135">
        <v>5.0585304098568797E-2</v>
      </c>
      <c r="M489" s="135">
        <v>7.8149238503386301E-2</v>
      </c>
      <c r="N489" s="135">
        <v>6.5505416127073002E-2</v>
      </c>
      <c r="O489" s="135">
        <v>3.4113102306388698E-2</v>
      </c>
      <c r="P489" s="135">
        <v>2.3059689913006699E-2</v>
      </c>
      <c r="Q489" s="135">
        <v>1.9173460926933301E-2</v>
      </c>
      <c r="R489" s="135">
        <v>1.8159142372703899E-2</v>
      </c>
      <c r="S489" s="135">
        <v>1.8022111934155299E-2</v>
      </c>
      <c r="T489" s="135">
        <v>1.8590870087425E-2</v>
      </c>
      <c r="U489" s="135">
        <v>1.86024427279902E-2</v>
      </c>
      <c r="V489" s="135">
        <v>2.1881015230260301E-2</v>
      </c>
      <c r="W489" s="135">
        <v>2.75601461584787E-2</v>
      </c>
      <c r="X489" s="135">
        <v>6.7654034791216705E-2</v>
      </c>
      <c r="Y489" s="135">
        <v>0.10180447628659101</v>
      </c>
      <c r="Z489" s="135">
        <v>0.10176443836221</v>
      </c>
      <c r="AA489" s="135">
        <v>8.6890892490170804E-2</v>
      </c>
      <c r="AB489" s="135">
        <v>6.5711417631559105E-2</v>
      </c>
      <c r="AC489" s="135">
        <v>3.59250960400549E-2</v>
      </c>
      <c r="AD489" s="135">
        <v>1.6491623105783101E-2</v>
      </c>
      <c r="AF489" s="243">
        <f t="shared" si="6"/>
        <v>0.14198918943794669</v>
      </c>
      <c r="AG489" s="275">
        <f t="shared" si="7"/>
        <v>0.34220208899717475</v>
      </c>
      <c r="AH489" s="391">
        <f t="shared" si="8"/>
        <v>0.58383607120785319</v>
      </c>
      <c r="AI489" s="135">
        <f t="shared" si="9"/>
        <v>0.92603816020502794</v>
      </c>
    </row>
    <row r="490" spans="1:35" ht="12.6">
      <c r="A490" s="10" t="s">
        <v>61</v>
      </c>
      <c r="B490" s="10">
        <v>124</v>
      </c>
      <c r="C490" s="10" t="s">
        <v>1513</v>
      </c>
      <c r="D490" s="388">
        <v>45050</v>
      </c>
      <c r="E490" s="389">
        <v>45050</v>
      </c>
      <c r="F490" s="390" t="str">
        <f t="shared" si="5"/>
        <v>Lighting</v>
      </c>
      <c r="G490" s="135">
        <v>1.0388793695589E-2</v>
      </c>
      <c r="H490" s="135">
        <v>9.2844853881446695E-3</v>
      </c>
      <c r="I490" s="135">
        <v>9.0779038289257891E-3</v>
      </c>
      <c r="J490" s="135">
        <v>9.9144291480233893E-3</v>
      </c>
      <c r="K490" s="135">
        <v>1.7728629050389199E-2</v>
      </c>
      <c r="L490" s="135">
        <v>5.0585304098568797E-2</v>
      </c>
      <c r="M490" s="135">
        <v>7.8149238503386301E-2</v>
      </c>
      <c r="N490" s="135">
        <v>6.5505416127073002E-2</v>
      </c>
      <c r="O490" s="135">
        <v>3.4113102306388698E-2</v>
      </c>
      <c r="P490" s="135">
        <v>2.3059689913006699E-2</v>
      </c>
      <c r="Q490" s="135">
        <v>1.9173460926933301E-2</v>
      </c>
      <c r="R490" s="135">
        <v>1.8159142372703899E-2</v>
      </c>
      <c r="S490" s="135">
        <v>1.8022111934155299E-2</v>
      </c>
      <c r="T490" s="135">
        <v>1.8590870087425E-2</v>
      </c>
      <c r="U490" s="135">
        <v>1.86024427279902E-2</v>
      </c>
      <c r="V490" s="135">
        <v>2.1881015230260301E-2</v>
      </c>
      <c r="W490" s="135">
        <v>2.75601461584787E-2</v>
      </c>
      <c r="X490" s="135">
        <v>6.7654034791216705E-2</v>
      </c>
      <c r="Y490" s="135">
        <v>0.10180447628659101</v>
      </c>
      <c r="Z490" s="135">
        <v>0.10176443836221</v>
      </c>
      <c r="AA490" s="135">
        <v>8.6890892490170804E-2</v>
      </c>
      <c r="AB490" s="135">
        <v>6.5711417631559105E-2</v>
      </c>
      <c r="AC490" s="135">
        <v>3.59250960400549E-2</v>
      </c>
      <c r="AD490" s="135">
        <v>1.6491623105783101E-2</v>
      </c>
      <c r="AF490" s="243">
        <f t="shared" si="6"/>
        <v>0.14198918943794669</v>
      </c>
      <c r="AG490" s="275">
        <f t="shared" si="7"/>
        <v>0.34220208899717475</v>
      </c>
      <c r="AH490" s="391">
        <f t="shared" si="8"/>
        <v>0.58383607120785319</v>
      </c>
      <c r="AI490" s="135">
        <f t="shared" si="9"/>
        <v>0.92603816020502794</v>
      </c>
    </row>
    <row r="491" spans="1:35" ht="12.6">
      <c r="A491" s="10" t="s">
        <v>61</v>
      </c>
      <c r="B491" s="10">
        <v>125</v>
      </c>
      <c r="C491" s="10" t="s">
        <v>1513</v>
      </c>
      <c r="D491" s="388">
        <v>45051</v>
      </c>
      <c r="E491" s="389">
        <v>45051</v>
      </c>
      <c r="F491" s="390" t="str">
        <f t="shared" si="5"/>
        <v>Lighting</v>
      </c>
      <c r="G491" s="135">
        <v>1.0388793695589E-2</v>
      </c>
      <c r="H491" s="135">
        <v>9.2844853881446695E-3</v>
      </c>
      <c r="I491" s="135">
        <v>9.0779038289257891E-3</v>
      </c>
      <c r="J491" s="135">
        <v>9.9144291480233893E-3</v>
      </c>
      <c r="K491" s="135">
        <v>1.7728629050389199E-2</v>
      </c>
      <c r="L491" s="135">
        <v>5.0585304098568797E-2</v>
      </c>
      <c r="M491" s="135">
        <v>7.8149238503386301E-2</v>
      </c>
      <c r="N491" s="135">
        <v>6.5505416127073002E-2</v>
      </c>
      <c r="O491" s="135">
        <v>3.4113102306388698E-2</v>
      </c>
      <c r="P491" s="135">
        <v>2.3059689913006699E-2</v>
      </c>
      <c r="Q491" s="135">
        <v>1.9173460926933301E-2</v>
      </c>
      <c r="R491" s="135">
        <v>1.8159142372703899E-2</v>
      </c>
      <c r="S491" s="135">
        <v>1.8022111934155299E-2</v>
      </c>
      <c r="T491" s="135">
        <v>1.8590870087425E-2</v>
      </c>
      <c r="U491" s="135">
        <v>1.86024427279902E-2</v>
      </c>
      <c r="V491" s="135">
        <v>2.1881015230260301E-2</v>
      </c>
      <c r="W491" s="135">
        <v>2.75601461584787E-2</v>
      </c>
      <c r="X491" s="135">
        <v>6.7654034791216705E-2</v>
      </c>
      <c r="Y491" s="135">
        <v>0.10180447628659101</v>
      </c>
      <c r="Z491" s="135">
        <v>0.10176443836221</v>
      </c>
      <c r="AA491" s="135">
        <v>8.6890892490170804E-2</v>
      </c>
      <c r="AB491" s="135">
        <v>6.5711417631559105E-2</v>
      </c>
      <c r="AC491" s="135">
        <v>3.59250960400549E-2</v>
      </c>
      <c r="AD491" s="135">
        <v>1.6491623105783101E-2</v>
      </c>
      <c r="AF491" s="243">
        <f t="shared" si="6"/>
        <v>0.14198918943794669</v>
      </c>
      <c r="AG491" s="275">
        <f t="shared" si="7"/>
        <v>0.34220208899717475</v>
      </c>
      <c r="AH491" s="391">
        <f t="shared" si="8"/>
        <v>0.58383607120785319</v>
      </c>
      <c r="AI491" s="135">
        <f t="shared" si="9"/>
        <v>0.92603816020502794</v>
      </c>
    </row>
    <row r="492" spans="1:35" ht="12.6">
      <c r="A492" s="10" t="s">
        <v>61</v>
      </c>
      <c r="B492" s="10">
        <v>126</v>
      </c>
      <c r="C492" s="10" t="s">
        <v>1513</v>
      </c>
      <c r="D492" s="388">
        <v>45052</v>
      </c>
      <c r="E492" s="389">
        <v>45052</v>
      </c>
      <c r="F492" s="390" t="str">
        <f t="shared" si="5"/>
        <v>Lighting</v>
      </c>
      <c r="G492" s="135">
        <v>1.2168200889167501E-2</v>
      </c>
      <c r="H492" s="135">
        <v>1.0282578645567499E-2</v>
      </c>
      <c r="I492" s="135">
        <v>9.6054332916604406E-3</v>
      </c>
      <c r="J492" s="135">
        <v>1.0655405728614099E-2</v>
      </c>
      <c r="K492" s="135">
        <v>1.16950109657803E-2</v>
      </c>
      <c r="L492" s="135">
        <v>1.69270076371234E-2</v>
      </c>
      <c r="M492" s="135">
        <v>2.8028010373002399E-2</v>
      </c>
      <c r="N492" s="135">
        <v>3.9036951663730599E-2</v>
      </c>
      <c r="O492" s="135">
        <v>4.2089493450570101E-2</v>
      </c>
      <c r="P492" s="135">
        <v>4.37617820862269E-2</v>
      </c>
      <c r="Q492" s="135">
        <v>4.0503923383543597E-2</v>
      </c>
      <c r="R492" s="135">
        <v>3.8987793496509403E-2</v>
      </c>
      <c r="S492" s="135">
        <v>3.4208620353931102E-2</v>
      </c>
      <c r="T492" s="135">
        <v>3.0240558003717499E-2</v>
      </c>
      <c r="U492" s="135">
        <v>3.1903199614705703E-2</v>
      </c>
      <c r="V492" s="135">
        <v>3.2363058965710297E-2</v>
      </c>
      <c r="W492" s="135">
        <v>4.2369431652361601E-2</v>
      </c>
      <c r="X492" s="135">
        <v>6.8538490143186706E-2</v>
      </c>
      <c r="Y492" s="135">
        <v>8.9070994842437703E-2</v>
      </c>
      <c r="Z492" s="135">
        <v>9.2376178210362994E-2</v>
      </c>
      <c r="AA492" s="135">
        <v>7.8167946474177602E-2</v>
      </c>
      <c r="AB492" s="135">
        <v>5.5762518293499597E-2</v>
      </c>
      <c r="AC492" s="135">
        <v>3.2121809257358698E-2</v>
      </c>
      <c r="AD492" s="135">
        <v>1.8911860255668399E-2</v>
      </c>
      <c r="AF492" s="243">
        <f t="shared" si="6"/>
        <v>0.25057658547047917</v>
      </c>
      <c r="AG492" s="275">
        <f t="shared" si="7"/>
        <v>0.32148018563436898</v>
      </c>
      <c r="AH492" s="391">
        <f t="shared" si="8"/>
        <v>0.58829607204424517</v>
      </c>
      <c r="AI492" s="135">
        <f t="shared" si="9"/>
        <v>0.90977625767861414</v>
      </c>
    </row>
    <row r="493" spans="1:35" ht="12.6">
      <c r="A493" s="10" t="s">
        <v>61</v>
      </c>
      <c r="B493" s="10">
        <v>127</v>
      </c>
      <c r="C493" s="10" t="s">
        <v>1513</v>
      </c>
      <c r="D493" s="388">
        <v>45053</v>
      </c>
      <c r="E493" s="389">
        <v>45053</v>
      </c>
      <c r="F493" s="390" t="str">
        <f t="shared" si="5"/>
        <v>Lighting</v>
      </c>
      <c r="G493" s="135">
        <v>1.2168200889167501E-2</v>
      </c>
      <c r="H493" s="135">
        <v>1.0282578645567499E-2</v>
      </c>
      <c r="I493" s="135">
        <v>9.6054332916604406E-3</v>
      </c>
      <c r="J493" s="135">
        <v>1.0655405728614099E-2</v>
      </c>
      <c r="K493" s="135">
        <v>1.16950109657803E-2</v>
      </c>
      <c r="L493" s="135">
        <v>1.69270076371234E-2</v>
      </c>
      <c r="M493" s="135">
        <v>2.8028010373002399E-2</v>
      </c>
      <c r="N493" s="135">
        <v>3.9036951663730599E-2</v>
      </c>
      <c r="O493" s="135">
        <v>4.2089493450570101E-2</v>
      </c>
      <c r="P493" s="135">
        <v>4.37617820862269E-2</v>
      </c>
      <c r="Q493" s="135">
        <v>4.0503923383543597E-2</v>
      </c>
      <c r="R493" s="135">
        <v>3.8987793496509403E-2</v>
      </c>
      <c r="S493" s="135">
        <v>3.4208620353931102E-2</v>
      </c>
      <c r="T493" s="135">
        <v>3.0240558003717499E-2</v>
      </c>
      <c r="U493" s="135">
        <v>3.1903199614705703E-2</v>
      </c>
      <c r="V493" s="135">
        <v>3.2363058965710297E-2</v>
      </c>
      <c r="W493" s="135">
        <v>4.2369431652361601E-2</v>
      </c>
      <c r="X493" s="135">
        <v>6.8538490143186706E-2</v>
      </c>
      <c r="Y493" s="135">
        <v>8.9070994842437703E-2</v>
      </c>
      <c r="Z493" s="135">
        <v>9.2376178210362994E-2</v>
      </c>
      <c r="AA493" s="135">
        <v>7.8167946474177602E-2</v>
      </c>
      <c r="AB493" s="135">
        <v>5.5762518293499597E-2</v>
      </c>
      <c r="AC493" s="135">
        <v>3.2121809257358698E-2</v>
      </c>
      <c r="AD493" s="135">
        <v>1.8911860255668399E-2</v>
      </c>
      <c r="AF493" s="243">
        <f t="shared" si="6"/>
        <v>0.25057658547047917</v>
      </c>
      <c r="AG493" s="275">
        <f t="shared" si="7"/>
        <v>0.32148018563436898</v>
      </c>
      <c r="AH493" s="391">
        <f t="shared" si="8"/>
        <v>0.58829607204424517</v>
      </c>
      <c r="AI493" s="135">
        <f t="shared" si="9"/>
        <v>0.90977625767861414</v>
      </c>
    </row>
    <row r="494" spans="1:35" ht="12.6">
      <c r="A494" s="10" t="s">
        <v>61</v>
      </c>
      <c r="B494" s="10">
        <v>128</v>
      </c>
      <c r="C494" s="10" t="s">
        <v>1513</v>
      </c>
      <c r="D494" s="388">
        <v>45054</v>
      </c>
      <c r="E494" s="389">
        <v>45054</v>
      </c>
      <c r="F494" s="390" t="str">
        <f t="shared" si="5"/>
        <v>Lighting</v>
      </c>
      <c r="G494" s="135">
        <v>1.0388793695589E-2</v>
      </c>
      <c r="H494" s="135">
        <v>9.2844853881446695E-3</v>
      </c>
      <c r="I494" s="135">
        <v>9.0779038289257891E-3</v>
      </c>
      <c r="J494" s="135">
        <v>9.9144291480233893E-3</v>
      </c>
      <c r="K494" s="135">
        <v>1.7728629050389199E-2</v>
      </c>
      <c r="L494" s="135">
        <v>5.0585304098568797E-2</v>
      </c>
      <c r="M494" s="135">
        <v>7.8149238503386301E-2</v>
      </c>
      <c r="N494" s="135">
        <v>6.5505416127073002E-2</v>
      </c>
      <c r="O494" s="135">
        <v>3.4113102306388698E-2</v>
      </c>
      <c r="P494" s="135">
        <v>2.3059689913006699E-2</v>
      </c>
      <c r="Q494" s="135">
        <v>1.9173460926933301E-2</v>
      </c>
      <c r="R494" s="135">
        <v>1.8159142372703899E-2</v>
      </c>
      <c r="S494" s="135">
        <v>1.8022111934155299E-2</v>
      </c>
      <c r="T494" s="135">
        <v>1.8590870087425E-2</v>
      </c>
      <c r="U494" s="135">
        <v>1.86024427279902E-2</v>
      </c>
      <c r="V494" s="135">
        <v>2.1881015230260301E-2</v>
      </c>
      <c r="W494" s="135">
        <v>2.75601461584787E-2</v>
      </c>
      <c r="X494" s="135">
        <v>6.7654034791216705E-2</v>
      </c>
      <c r="Y494" s="135">
        <v>0.10180447628659101</v>
      </c>
      <c r="Z494" s="135">
        <v>0.10176443836221</v>
      </c>
      <c r="AA494" s="135">
        <v>8.6890892490170804E-2</v>
      </c>
      <c r="AB494" s="135">
        <v>6.5711417631559105E-2</v>
      </c>
      <c r="AC494" s="135">
        <v>3.59250960400549E-2</v>
      </c>
      <c r="AD494" s="135">
        <v>1.6491623105783101E-2</v>
      </c>
      <c r="AF494" s="243">
        <f t="shared" si="6"/>
        <v>0.14198918943794669</v>
      </c>
      <c r="AG494" s="275">
        <f t="shared" si="7"/>
        <v>0.34220208899717475</v>
      </c>
      <c r="AH494" s="391">
        <f t="shared" si="8"/>
        <v>0.58383607120785319</v>
      </c>
      <c r="AI494" s="135">
        <f t="shared" si="9"/>
        <v>0.92603816020502794</v>
      </c>
    </row>
    <row r="495" spans="1:35" ht="12.6">
      <c r="A495" s="10" t="s">
        <v>61</v>
      </c>
      <c r="B495" s="10">
        <v>129</v>
      </c>
      <c r="C495" s="10" t="s">
        <v>1513</v>
      </c>
      <c r="D495" s="388">
        <v>45055</v>
      </c>
      <c r="E495" s="389">
        <v>45055</v>
      </c>
      <c r="F495" s="390" t="str">
        <f t="shared" si="5"/>
        <v>Lighting</v>
      </c>
      <c r="G495" s="135">
        <v>1.0388793695589E-2</v>
      </c>
      <c r="H495" s="135">
        <v>9.2844853881446695E-3</v>
      </c>
      <c r="I495" s="135">
        <v>9.0779038289257891E-3</v>
      </c>
      <c r="J495" s="135">
        <v>9.9144291480233893E-3</v>
      </c>
      <c r="K495" s="135">
        <v>1.7728629050389199E-2</v>
      </c>
      <c r="L495" s="135">
        <v>5.0585304098568797E-2</v>
      </c>
      <c r="M495" s="135">
        <v>7.8149238503386301E-2</v>
      </c>
      <c r="N495" s="135">
        <v>6.5505416127073002E-2</v>
      </c>
      <c r="O495" s="135">
        <v>3.4113102306388698E-2</v>
      </c>
      <c r="P495" s="135">
        <v>2.3059689913006699E-2</v>
      </c>
      <c r="Q495" s="135">
        <v>1.9173460926933301E-2</v>
      </c>
      <c r="R495" s="135">
        <v>1.8159142372703899E-2</v>
      </c>
      <c r="S495" s="135">
        <v>1.8022111934155299E-2</v>
      </c>
      <c r="T495" s="135">
        <v>1.8590870087425E-2</v>
      </c>
      <c r="U495" s="135">
        <v>1.86024427279902E-2</v>
      </c>
      <c r="V495" s="135">
        <v>2.1881015230260301E-2</v>
      </c>
      <c r="W495" s="135">
        <v>2.75601461584787E-2</v>
      </c>
      <c r="X495" s="135">
        <v>6.7654034791216705E-2</v>
      </c>
      <c r="Y495" s="135">
        <v>0.10180447628659101</v>
      </c>
      <c r="Z495" s="135">
        <v>0.10176443836221</v>
      </c>
      <c r="AA495" s="135">
        <v>8.6890892490170804E-2</v>
      </c>
      <c r="AB495" s="135">
        <v>6.5711417631559105E-2</v>
      </c>
      <c r="AC495" s="135">
        <v>3.59250960400549E-2</v>
      </c>
      <c r="AD495" s="135">
        <v>1.6491623105783101E-2</v>
      </c>
      <c r="AF495" s="243">
        <f t="shared" si="6"/>
        <v>0.14198918943794669</v>
      </c>
      <c r="AG495" s="275">
        <f t="shared" si="7"/>
        <v>0.34220208899717475</v>
      </c>
      <c r="AH495" s="391">
        <f t="shared" si="8"/>
        <v>0.58383607120785319</v>
      </c>
      <c r="AI495" s="135">
        <f t="shared" si="9"/>
        <v>0.92603816020502794</v>
      </c>
    </row>
    <row r="496" spans="1:35" ht="12.6">
      <c r="A496" s="10" t="s">
        <v>61</v>
      </c>
      <c r="B496" s="10">
        <v>130</v>
      </c>
      <c r="C496" s="10" t="s">
        <v>1513</v>
      </c>
      <c r="D496" s="388">
        <v>45056</v>
      </c>
      <c r="E496" s="389">
        <v>45056</v>
      </c>
      <c r="F496" s="390" t="str">
        <f t="shared" si="5"/>
        <v>Lighting</v>
      </c>
      <c r="G496" s="135">
        <v>1.0388793695589E-2</v>
      </c>
      <c r="H496" s="135">
        <v>9.2844853881446695E-3</v>
      </c>
      <c r="I496" s="135">
        <v>9.0779038289257891E-3</v>
      </c>
      <c r="J496" s="135">
        <v>9.9144291480233893E-3</v>
      </c>
      <c r="K496" s="135">
        <v>1.7728629050389199E-2</v>
      </c>
      <c r="L496" s="135">
        <v>5.0585304098568797E-2</v>
      </c>
      <c r="M496" s="135">
        <v>7.8149238503386301E-2</v>
      </c>
      <c r="N496" s="135">
        <v>6.5505416127073002E-2</v>
      </c>
      <c r="O496" s="135">
        <v>3.4113102306388698E-2</v>
      </c>
      <c r="P496" s="135">
        <v>2.3059689913006699E-2</v>
      </c>
      <c r="Q496" s="135">
        <v>1.9173460926933301E-2</v>
      </c>
      <c r="R496" s="135">
        <v>1.8159142372703899E-2</v>
      </c>
      <c r="S496" s="135">
        <v>1.8022111934155299E-2</v>
      </c>
      <c r="T496" s="135">
        <v>1.8590870087425E-2</v>
      </c>
      <c r="U496" s="135">
        <v>1.86024427279902E-2</v>
      </c>
      <c r="V496" s="135">
        <v>2.1881015230260301E-2</v>
      </c>
      <c r="W496" s="135">
        <v>2.75601461584787E-2</v>
      </c>
      <c r="X496" s="135">
        <v>6.7654034791216705E-2</v>
      </c>
      <c r="Y496" s="135">
        <v>0.10180447628659101</v>
      </c>
      <c r="Z496" s="135">
        <v>0.10176443836221</v>
      </c>
      <c r="AA496" s="135">
        <v>8.6890892490170804E-2</v>
      </c>
      <c r="AB496" s="135">
        <v>6.5711417631559105E-2</v>
      </c>
      <c r="AC496" s="135">
        <v>3.59250960400549E-2</v>
      </c>
      <c r="AD496" s="135">
        <v>1.6491623105783101E-2</v>
      </c>
      <c r="AF496" s="243">
        <f t="shared" si="6"/>
        <v>0.14198918943794669</v>
      </c>
      <c r="AG496" s="275">
        <f t="shared" si="7"/>
        <v>0.34220208899717475</v>
      </c>
      <c r="AH496" s="391">
        <f t="shared" si="8"/>
        <v>0.58383607120785319</v>
      </c>
      <c r="AI496" s="135">
        <f t="shared" si="9"/>
        <v>0.92603816020502794</v>
      </c>
    </row>
    <row r="497" spans="1:35" ht="12.6">
      <c r="A497" s="10" t="s">
        <v>61</v>
      </c>
      <c r="B497" s="10">
        <v>131</v>
      </c>
      <c r="C497" s="10" t="s">
        <v>1513</v>
      </c>
      <c r="D497" s="388">
        <v>45057</v>
      </c>
      <c r="E497" s="389">
        <v>45057</v>
      </c>
      <c r="F497" s="390" t="str">
        <f t="shared" si="5"/>
        <v>Lighting</v>
      </c>
      <c r="G497" s="135">
        <v>1.0388793695589E-2</v>
      </c>
      <c r="H497" s="135">
        <v>9.2844853881446695E-3</v>
      </c>
      <c r="I497" s="135">
        <v>9.0779038289257891E-3</v>
      </c>
      <c r="J497" s="135">
        <v>9.9144291480233893E-3</v>
      </c>
      <c r="K497" s="135">
        <v>1.7728629050389199E-2</v>
      </c>
      <c r="L497" s="135">
        <v>5.0585304098568797E-2</v>
      </c>
      <c r="M497" s="135">
        <v>7.8149238503386301E-2</v>
      </c>
      <c r="N497" s="135">
        <v>6.5505416127073002E-2</v>
      </c>
      <c r="O497" s="135">
        <v>3.4113102306388698E-2</v>
      </c>
      <c r="P497" s="135">
        <v>2.3059689913006699E-2</v>
      </c>
      <c r="Q497" s="135">
        <v>1.9173460926933301E-2</v>
      </c>
      <c r="R497" s="135">
        <v>1.8159142372703899E-2</v>
      </c>
      <c r="S497" s="135">
        <v>1.8022111934155299E-2</v>
      </c>
      <c r="T497" s="135">
        <v>1.8590870087425E-2</v>
      </c>
      <c r="U497" s="135">
        <v>1.86024427279902E-2</v>
      </c>
      <c r="V497" s="135">
        <v>2.1881015230260301E-2</v>
      </c>
      <c r="W497" s="135">
        <v>2.75601461584787E-2</v>
      </c>
      <c r="X497" s="135">
        <v>6.7654034791216705E-2</v>
      </c>
      <c r="Y497" s="135">
        <v>0.10180447628659101</v>
      </c>
      <c r="Z497" s="135">
        <v>0.10176443836221</v>
      </c>
      <c r="AA497" s="135">
        <v>8.6890892490170804E-2</v>
      </c>
      <c r="AB497" s="135">
        <v>6.5711417631559105E-2</v>
      </c>
      <c r="AC497" s="135">
        <v>3.59250960400549E-2</v>
      </c>
      <c r="AD497" s="135">
        <v>1.6491623105783101E-2</v>
      </c>
      <c r="AF497" s="243">
        <f t="shared" si="6"/>
        <v>0.14198918943794669</v>
      </c>
      <c r="AG497" s="275">
        <f t="shared" si="7"/>
        <v>0.34220208899717475</v>
      </c>
      <c r="AH497" s="391">
        <f t="shared" si="8"/>
        <v>0.58383607120785319</v>
      </c>
      <c r="AI497" s="135">
        <f t="shared" si="9"/>
        <v>0.92603816020502794</v>
      </c>
    </row>
    <row r="498" spans="1:35" ht="12.6">
      <c r="A498" s="10" t="s">
        <v>61</v>
      </c>
      <c r="B498" s="10">
        <v>132</v>
      </c>
      <c r="C498" s="10" t="s">
        <v>1513</v>
      </c>
      <c r="D498" s="388">
        <v>45058</v>
      </c>
      <c r="E498" s="389">
        <v>45058</v>
      </c>
      <c r="F498" s="390" t="str">
        <f t="shared" si="5"/>
        <v>Lighting</v>
      </c>
      <c r="G498" s="135">
        <v>1.0388793695589E-2</v>
      </c>
      <c r="H498" s="135">
        <v>9.2844853881446695E-3</v>
      </c>
      <c r="I498" s="135">
        <v>9.0779038289257891E-3</v>
      </c>
      <c r="J498" s="135">
        <v>9.9144291480233893E-3</v>
      </c>
      <c r="K498" s="135">
        <v>1.7728629050389199E-2</v>
      </c>
      <c r="L498" s="135">
        <v>5.0585304098568797E-2</v>
      </c>
      <c r="M498" s="135">
        <v>7.8149238503386301E-2</v>
      </c>
      <c r="N498" s="135">
        <v>6.5505416127073002E-2</v>
      </c>
      <c r="O498" s="135">
        <v>3.4113102306388698E-2</v>
      </c>
      <c r="P498" s="135">
        <v>2.3059689913006699E-2</v>
      </c>
      <c r="Q498" s="135">
        <v>1.9173460926933301E-2</v>
      </c>
      <c r="R498" s="135">
        <v>1.8159142372703899E-2</v>
      </c>
      <c r="S498" s="135">
        <v>1.8022111934155299E-2</v>
      </c>
      <c r="T498" s="135">
        <v>1.8590870087425E-2</v>
      </c>
      <c r="U498" s="135">
        <v>1.86024427279902E-2</v>
      </c>
      <c r="V498" s="135">
        <v>2.1881015230260301E-2</v>
      </c>
      <c r="W498" s="135">
        <v>2.75601461584787E-2</v>
      </c>
      <c r="X498" s="135">
        <v>6.7654034791216705E-2</v>
      </c>
      <c r="Y498" s="135">
        <v>0.10180447628659101</v>
      </c>
      <c r="Z498" s="135">
        <v>0.10176443836221</v>
      </c>
      <c r="AA498" s="135">
        <v>8.6890892490170804E-2</v>
      </c>
      <c r="AB498" s="135">
        <v>6.5711417631559105E-2</v>
      </c>
      <c r="AC498" s="135">
        <v>3.59250960400549E-2</v>
      </c>
      <c r="AD498" s="135">
        <v>1.6491623105783101E-2</v>
      </c>
      <c r="AF498" s="243">
        <f t="shared" si="6"/>
        <v>0.14198918943794669</v>
      </c>
      <c r="AG498" s="275">
        <f t="shared" si="7"/>
        <v>0.34220208899717475</v>
      </c>
      <c r="AH498" s="391">
        <f t="shared" si="8"/>
        <v>0.58383607120785319</v>
      </c>
      <c r="AI498" s="135">
        <f t="shared" si="9"/>
        <v>0.92603816020502794</v>
      </c>
    </row>
    <row r="499" spans="1:35" ht="12.6">
      <c r="A499" s="10" t="s">
        <v>61</v>
      </c>
      <c r="B499" s="10">
        <v>133</v>
      </c>
      <c r="C499" s="10" t="s">
        <v>1513</v>
      </c>
      <c r="D499" s="388">
        <v>45059</v>
      </c>
      <c r="E499" s="389">
        <v>45059</v>
      </c>
      <c r="F499" s="390" t="str">
        <f t="shared" si="5"/>
        <v>Lighting</v>
      </c>
      <c r="G499" s="135">
        <v>1.2168200889167501E-2</v>
      </c>
      <c r="H499" s="135">
        <v>1.0282578645567499E-2</v>
      </c>
      <c r="I499" s="135">
        <v>9.6054332916604406E-3</v>
      </c>
      <c r="J499" s="135">
        <v>1.0655405728614099E-2</v>
      </c>
      <c r="K499" s="135">
        <v>1.16950109657803E-2</v>
      </c>
      <c r="L499" s="135">
        <v>1.69270076371234E-2</v>
      </c>
      <c r="M499" s="135">
        <v>2.8028010373002399E-2</v>
      </c>
      <c r="N499" s="135">
        <v>3.9036951663730599E-2</v>
      </c>
      <c r="O499" s="135">
        <v>4.2089493450570101E-2</v>
      </c>
      <c r="P499" s="135">
        <v>4.37617820862269E-2</v>
      </c>
      <c r="Q499" s="135">
        <v>4.0503923383543597E-2</v>
      </c>
      <c r="R499" s="135">
        <v>3.8987793496509403E-2</v>
      </c>
      <c r="S499" s="135">
        <v>3.4208620353931102E-2</v>
      </c>
      <c r="T499" s="135">
        <v>3.0240558003717499E-2</v>
      </c>
      <c r="U499" s="135">
        <v>3.1903199614705703E-2</v>
      </c>
      <c r="V499" s="135">
        <v>3.2363058965710297E-2</v>
      </c>
      <c r="W499" s="135">
        <v>4.2369431652361601E-2</v>
      </c>
      <c r="X499" s="135">
        <v>6.8538490143186706E-2</v>
      </c>
      <c r="Y499" s="135">
        <v>8.9070994842437703E-2</v>
      </c>
      <c r="Z499" s="135">
        <v>9.2376178210362994E-2</v>
      </c>
      <c r="AA499" s="135">
        <v>7.8167946474177602E-2</v>
      </c>
      <c r="AB499" s="135">
        <v>5.5762518293499597E-2</v>
      </c>
      <c r="AC499" s="135">
        <v>3.2121809257358698E-2</v>
      </c>
      <c r="AD499" s="135">
        <v>1.8911860255668399E-2</v>
      </c>
      <c r="AF499" s="243">
        <f t="shared" si="6"/>
        <v>0.25057658547047917</v>
      </c>
      <c r="AG499" s="275">
        <f t="shared" si="7"/>
        <v>0.32148018563436898</v>
      </c>
      <c r="AH499" s="391">
        <f t="shared" si="8"/>
        <v>0.58829607204424517</v>
      </c>
      <c r="AI499" s="135">
        <f t="shared" si="9"/>
        <v>0.90977625767861414</v>
      </c>
    </row>
    <row r="500" spans="1:35" ht="12.6">
      <c r="A500" s="10" t="s">
        <v>61</v>
      </c>
      <c r="B500" s="10">
        <v>134</v>
      </c>
      <c r="C500" s="10" t="s">
        <v>1513</v>
      </c>
      <c r="D500" s="388">
        <v>45060</v>
      </c>
      <c r="E500" s="389">
        <v>45060</v>
      </c>
      <c r="F500" s="390" t="str">
        <f t="shared" si="5"/>
        <v>Lighting</v>
      </c>
      <c r="G500" s="135">
        <v>1.2168200889167501E-2</v>
      </c>
      <c r="H500" s="135">
        <v>1.0282578645567499E-2</v>
      </c>
      <c r="I500" s="135">
        <v>9.6054332916604406E-3</v>
      </c>
      <c r="J500" s="135">
        <v>1.0655405728614099E-2</v>
      </c>
      <c r="K500" s="135">
        <v>1.16950109657803E-2</v>
      </c>
      <c r="L500" s="135">
        <v>1.69270076371234E-2</v>
      </c>
      <c r="M500" s="135">
        <v>2.8028010373002399E-2</v>
      </c>
      <c r="N500" s="135">
        <v>3.9036951663730599E-2</v>
      </c>
      <c r="O500" s="135">
        <v>4.2089493450570101E-2</v>
      </c>
      <c r="P500" s="135">
        <v>4.37617820862269E-2</v>
      </c>
      <c r="Q500" s="135">
        <v>4.0503923383543597E-2</v>
      </c>
      <c r="R500" s="135">
        <v>3.8987793496509403E-2</v>
      </c>
      <c r="S500" s="135">
        <v>3.4208620353931102E-2</v>
      </c>
      <c r="T500" s="135">
        <v>3.0240558003717499E-2</v>
      </c>
      <c r="U500" s="135">
        <v>3.1903199614705703E-2</v>
      </c>
      <c r="V500" s="135">
        <v>3.2363058965710297E-2</v>
      </c>
      <c r="W500" s="135">
        <v>4.2369431652361601E-2</v>
      </c>
      <c r="X500" s="135">
        <v>6.8538490143186706E-2</v>
      </c>
      <c r="Y500" s="135">
        <v>8.9070994842437703E-2</v>
      </c>
      <c r="Z500" s="135">
        <v>9.2376178210362994E-2</v>
      </c>
      <c r="AA500" s="135">
        <v>7.8167946474177602E-2</v>
      </c>
      <c r="AB500" s="135">
        <v>5.5762518293499597E-2</v>
      </c>
      <c r="AC500" s="135">
        <v>3.2121809257358698E-2</v>
      </c>
      <c r="AD500" s="135">
        <v>1.8911860255668399E-2</v>
      </c>
      <c r="AF500" s="243">
        <f t="shared" si="6"/>
        <v>0.25057658547047917</v>
      </c>
      <c r="AG500" s="275">
        <f t="shared" si="7"/>
        <v>0.32148018563436898</v>
      </c>
      <c r="AH500" s="391">
        <f t="shared" si="8"/>
        <v>0.58829607204424517</v>
      </c>
      <c r="AI500" s="135">
        <f t="shared" si="9"/>
        <v>0.90977625767861414</v>
      </c>
    </row>
    <row r="501" spans="1:35" ht="12.6">
      <c r="A501" s="10" t="s">
        <v>61</v>
      </c>
      <c r="B501" s="10">
        <v>135</v>
      </c>
      <c r="C501" s="10" t="s">
        <v>1513</v>
      </c>
      <c r="D501" s="388">
        <v>45061</v>
      </c>
      <c r="E501" s="389">
        <v>45061</v>
      </c>
      <c r="F501" s="390" t="str">
        <f t="shared" si="5"/>
        <v>Lighting</v>
      </c>
      <c r="G501" s="135">
        <v>1.0388793695589E-2</v>
      </c>
      <c r="H501" s="135">
        <v>9.2844853881446695E-3</v>
      </c>
      <c r="I501" s="135">
        <v>9.0779038289257891E-3</v>
      </c>
      <c r="J501" s="135">
        <v>9.9144291480233893E-3</v>
      </c>
      <c r="K501" s="135">
        <v>1.7728629050389199E-2</v>
      </c>
      <c r="L501" s="135">
        <v>5.0585304098568797E-2</v>
      </c>
      <c r="M501" s="135">
        <v>7.8149238503386301E-2</v>
      </c>
      <c r="N501" s="135">
        <v>6.5505416127073002E-2</v>
      </c>
      <c r="O501" s="135">
        <v>3.4113102306388698E-2</v>
      </c>
      <c r="P501" s="135">
        <v>2.3059689913006699E-2</v>
      </c>
      <c r="Q501" s="135">
        <v>1.9173460926933301E-2</v>
      </c>
      <c r="R501" s="135">
        <v>1.8159142372703899E-2</v>
      </c>
      <c r="S501" s="135">
        <v>1.8022111934155299E-2</v>
      </c>
      <c r="T501" s="135">
        <v>1.8590870087425E-2</v>
      </c>
      <c r="U501" s="135">
        <v>1.86024427279902E-2</v>
      </c>
      <c r="V501" s="135">
        <v>2.1881015230260301E-2</v>
      </c>
      <c r="W501" s="135">
        <v>2.75601461584787E-2</v>
      </c>
      <c r="X501" s="135">
        <v>6.7654034791216705E-2</v>
      </c>
      <c r="Y501" s="135">
        <v>0.10180447628659101</v>
      </c>
      <c r="Z501" s="135">
        <v>0.10176443836221</v>
      </c>
      <c r="AA501" s="135">
        <v>8.6890892490170804E-2</v>
      </c>
      <c r="AB501" s="135">
        <v>6.5711417631559105E-2</v>
      </c>
      <c r="AC501" s="135">
        <v>3.59250960400549E-2</v>
      </c>
      <c r="AD501" s="135">
        <v>1.6491623105783101E-2</v>
      </c>
      <c r="AF501" s="243">
        <f t="shared" si="6"/>
        <v>0.14198918943794669</v>
      </c>
      <c r="AG501" s="275">
        <f t="shared" si="7"/>
        <v>0.34220208899717475</v>
      </c>
      <c r="AH501" s="391">
        <f t="shared" si="8"/>
        <v>0.58383607120785319</v>
      </c>
      <c r="AI501" s="135">
        <f t="shared" si="9"/>
        <v>0.92603816020502794</v>
      </c>
    </row>
    <row r="502" spans="1:35" ht="12.6">
      <c r="A502" s="10" t="s">
        <v>61</v>
      </c>
      <c r="B502" s="10">
        <v>136</v>
      </c>
      <c r="C502" s="10" t="s">
        <v>1513</v>
      </c>
      <c r="D502" s="388">
        <v>45062</v>
      </c>
      <c r="E502" s="389">
        <v>45062</v>
      </c>
      <c r="F502" s="390" t="str">
        <f t="shared" si="5"/>
        <v>Lighting</v>
      </c>
      <c r="G502" s="135">
        <v>1.0388793695589E-2</v>
      </c>
      <c r="H502" s="135">
        <v>9.2844853881446695E-3</v>
      </c>
      <c r="I502" s="135">
        <v>9.0779038289257891E-3</v>
      </c>
      <c r="J502" s="135">
        <v>9.9144291480233893E-3</v>
      </c>
      <c r="K502" s="135">
        <v>1.7728629050389199E-2</v>
      </c>
      <c r="L502" s="135">
        <v>5.0585304098568797E-2</v>
      </c>
      <c r="M502" s="135">
        <v>7.8149238503386301E-2</v>
      </c>
      <c r="N502" s="135">
        <v>6.5505416127073002E-2</v>
      </c>
      <c r="O502" s="135">
        <v>3.4113102306388698E-2</v>
      </c>
      <c r="P502" s="135">
        <v>2.3059689913006699E-2</v>
      </c>
      <c r="Q502" s="135">
        <v>1.9173460926933301E-2</v>
      </c>
      <c r="R502" s="135">
        <v>1.8159142372703899E-2</v>
      </c>
      <c r="S502" s="135">
        <v>1.8022111934155299E-2</v>
      </c>
      <c r="T502" s="135">
        <v>1.8590870087425E-2</v>
      </c>
      <c r="U502" s="135">
        <v>1.86024427279902E-2</v>
      </c>
      <c r="V502" s="135">
        <v>2.1881015230260301E-2</v>
      </c>
      <c r="W502" s="135">
        <v>2.75601461584787E-2</v>
      </c>
      <c r="X502" s="135">
        <v>6.7654034791216705E-2</v>
      </c>
      <c r="Y502" s="135">
        <v>0.10180447628659101</v>
      </c>
      <c r="Z502" s="135">
        <v>0.10176443836221</v>
      </c>
      <c r="AA502" s="135">
        <v>8.6890892490170804E-2</v>
      </c>
      <c r="AB502" s="135">
        <v>6.5711417631559105E-2</v>
      </c>
      <c r="AC502" s="135">
        <v>3.59250960400549E-2</v>
      </c>
      <c r="AD502" s="135">
        <v>1.6491623105783101E-2</v>
      </c>
      <c r="AF502" s="243">
        <f t="shared" si="6"/>
        <v>0.14198918943794669</v>
      </c>
      <c r="AG502" s="275">
        <f t="shared" si="7"/>
        <v>0.34220208899717475</v>
      </c>
      <c r="AH502" s="391">
        <f t="shared" si="8"/>
        <v>0.58383607120785319</v>
      </c>
      <c r="AI502" s="135">
        <f t="shared" si="9"/>
        <v>0.92603816020502794</v>
      </c>
    </row>
    <row r="503" spans="1:35" ht="12.6">
      <c r="A503" s="10" t="s">
        <v>61</v>
      </c>
      <c r="B503" s="10">
        <v>137</v>
      </c>
      <c r="C503" s="10" t="s">
        <v>1513</v>
      </c>
      <c r="D503" s="388">
        <v>45063</v>
      </c>
      <c r="E503" s="389">
        <v>45063</v>
      </c>
      <c r="F503" s="390" t="str">
        <f t="shared" si="5"/>
        <v>Lighting</v>
      </c>
      <c r="G503" s="135">
        <v>1.0388793695589E-2</v>
      </c>
      <c r="H503" s="135">
        <v>9.2844853881446695E-3</v>
      </c>
      <c r="I503" s="135">
        <v>9.0779038289257891E-3</v>
      </c>
      <c r="J503" s="135">
        <v>9.9144291480233893E-3</v>
      </c>
      <c r="K503" s="135">
        <v>1.7728629050389199E-2</v>
      </c>
      <c r="L503" s="135">
        <v>5.0585304098568797E-2</v>
      </c>
      <c r="M503" s="135">
        <v>7.8149238503386301E-2</v>
      </c>
      <c r="N503" s="135">
        <v>6.5505416127073002E-2</v>
      </c>
      <c r="O503" s="135">
        <v>3.4113102306388698E-2</v>
      </c>
      <c r="P503" s="135">
        <v>2.3059689913006699E-2</v>
      </c>
      <c r="Q503" s="135">
        <v>1.9173460926933301E-2</v>
      </c>
      <c r="R503" s="135">
        <v>1.8159142372703899E-2</v>
      </c>
      <c r="S503" s="135">
        <v>1.8022111934155299E-2</v>
      </c>
      <c r="T503" s="135">
        <v>1.8590870087425E-2</v>
      </c>
      <c r="U503" s="135">
        <v>1.86024427279902E-2</v>
      </c>
      <c r="V503" s="135">
        <v>2.1881015230260301E-2</v>
      </c>
      <c r="W503" s="135">
        <v>2.75601461584787E-2</v>
      </c>
      <c r="X503" s="135">
        <v>6.7654034791216705E-2</v>
      </c>
      <c r="Y503" s="135">
        <v>0.10180447628659101</v>
      </c>
      <c r="Z503" s="135">
        <v>0.10176443836221</v>
      </c>
      <c r="AA503" s="135">
        <v>8.6890892490170804E-2</v>
      </c>
      <c r="AB503" s="135">
        <v>6.5711417631559105E-2</v>
      </c>
      <c r="AC503" s="135">
        <v>3.59250960400549E-2</v>
      </c>
      <c r="AD503" s="135">
        <v>1.6491623105783101E-2</v>
      </c>
      <c r="AF503" s="243">
        <f t="shared" si="6"/>
        <v>0.14198918943794669</v>
      </c>
      <c r="AG503" s="275">
        <f t="shared" si="7"/>
        <v>0.34220208899717475</v>
      </c>
      <c r="AH503" s="391">
        <f t="shared" si="8"/>
        <v>0.58383607120785319</v>
      </c>
      <c r="AI503" s="135">
        <f t="shared" si="9"/>
        <v>0.92603816020502794</v>
      </c>
    </row>
    <row r="504" spans="1:35" ht="12.6">
      <c r="A504" s="10" t="s">
        <v>61</v>
      </c>
      <c r="B504" s="10">
        <v>138</v>
      </c>
      <c r="C504" s="10" t="s">
        <v>1513</v>
      </c>
      <c r="D504" s="388">
        <v>45064</v>
      </c>
      <c r="E504" s="389">
        <v>45064</v>
      </c>
      <c r="F504" s="390" t="str">
        <f t="shared" si="5"/>
        <v>Lighting</v>
      </c>
      <c r="G504" s="135">
        <v>1.0388793695589E-2</v>
      </c>
      <c r="H504" s="135">
        <v>9.2844853881446695E-3</v>
      </c>
      <c r="I504" s="135">
        <v>9.0779038289257891E-3</v>
      </c>
      <c r="J504" s="135">
        <v>9.9144291480233893E-3</v>
      </c>
      <c r="K504" s="135">
        <v>1.7728629050389199E-2</v>
      </c>
      <c r="L504" s="135">
        <v>5.0585304098568797E-2</v>
      </c>
      <c r="M504" s="135">
        <v>7.8149238503386301E-2</v>
      </c>
      <c r="N504" s="135">
        <v>6.5505416127073002E-2</v>
      </c>
      <c r="O504" s="135">
        <v>3.4113102306388698E-2</v>
      </c>
      <c r="P504" s="135">
        <v>2.3059689913006699E-2</v>
      </c>
      <c r="Q504" s="135">
        <v>1.9173460926933301E-2</v>
      </c>
      <c r="R504" s="135">
        <v>1.8159142372703899E-2</v>
      </c>
      <c r="S504" s="135">
        <v>1.8022111934155299E-2</v>
      </c>
      <c r="T504" s="135">
        <v>1.8590870087425E-2</v>
      </c>
      <c r="U504" s="135">
        <v>1.86024427279902E-2</v>
      </c>
      <c r="V504" s="135">
        <v>2.1881015230260301E-2</v>
      </c>
      <c r="W504" s="135">
        <v>2.75601461584787E-2</v>
      </c>
      <c r="X504" s="135">
        <v>6.7654034791216705E-2</v>
      </c>
      <c r="Y504" s="135">
        <v>0.10180447628659101</v>
      </c>
      <c r="Z504" s="135">
        <v>0.10176443836221</v>
      </c>
      <c r="AA504" s="135">
        <v>8.6890892490170804E-2</v>
      </c>
      <c r="AB504" s="135">
        <v>6.5711417631559105E-2</v>
      </c>
      <c r="AC504" s="135">
        <v>3.59250960400549E-2</v>
      </c>
      <c r="AD504" s="135">
        <v>1.6491623105783101E-2</v>
      </c>
      <c r="AF504" s="243">
        <f t="shared" si="6"/>
        <v>0.14198918943794669</v>
      </c>
      <c r="AG504" s="275">
        <f t="shared" si="7"/>
        <v>0.34220208899717475</v>
      </c>
      <c r="AH504" s="391">
        <f t="shared" si="8"/>
        <v>0.58383607120785319</v>
      </c>
      <c r="AI504" s="135">
        <f t="shared" si="9"/>
        <v>0.92603816020502794</v>
      </c>
    </row>
    <row r="505" spans="1:35" ht="12.6">
      <c r="A505" s="10" t="s">
        <v>61</v>
      </c>
      <c r="B505" s="10">
        <v>139</v>
      </c>
      <c r="C505" s="10" t="s">
        <v>1513</v>
      </c>
      <c r="D505" s="388">
        <v>45065</v>
      </c>
      <c r="E505" s="389">
        <v>45065</v>
      </c>
      <c r="F505" s="390" t="str">
        <f t="shared" si="5"/>
        <v>Lighting</v>
      </c>
      <c r="G505" s="135">
        <v>1.0388793695589E-2</v>
      </c>
      <c r="H505" s="135">
        <v>9.2844853881446695E-3</v>
      </c>
      <c r="I505" s="135">
        <v>9.0779038289257891E-3</v>
      </c>
      <c r="J505" s="135">
        <v>9.9144291480233893E-3</v>
      </c>
      <c r="K505" s="135">
        <v>1.7728629050389199E-2</v>
      </c>
      <c r="L505" s="135">
        <v>5.0585304098568797E-2</v>
      </c>
      <c r="M505" s="135">
        <v>7.8149238503386301E-2</v>
      </c>
      <c r="N505" s="135">
        <v>6.5505416127073002E-2</v>
      </c>
      <c r="O505" s="135">
        <v>3.4113102306388698E-2</v>
      </c>
      <c r="P505" s="135">
        <v>2.3059689913006699E-2</v>
      </c>
      <c r="Q505" s="135">
        <v>1.9173460926933301E-2</v>
      </c>
      <c r="R505" s="135">
        <v>1.8159142372703899E-2</v>
      </c>
      <c r="S505" s="135">
        <v>1.8022111934155299E-2</v>
      </c>
      <c r="T505" s="135">
        <v>1.8590870087425E-2</v>
      </c>
      <c r="U505" s="135">
        <v>1.86024427279902E-2</v>
      </c>
      <c r="V505" s="135">
        <v>2.1881015230260301E-2</v>
      </c>
      <c r="W505" s="135">
        <v>2.75601461584787E-2</v>
      </c>
      <c r="X505" s="135">
        <v>6.7654034791216705E-2</v>
      </c>
      <c r="Y505" s="135">
        <v>0.10180447628659101</v>
      </c>
      <c r="Z505" s="135">
        <v>0.10176443836221</v>
      </c>
      <c r="AA505" s="135">
        <v>8.6890892490170804E-2</v>
      </c>
      <c r="AB505" s="135">
        <v>6.5711417631559105E-2</v>
      </c>
      <c r="AC505" s="135">
        <v>3.59250960400549E-2</v>
      </c>
      <c r="AD505" s="135">
        <v>1.6491623105783101E-2</v>
      </c>
      <c r="AF505" s="243">
        <f t="shared" si="6"/>
        <v>0.14198918943794669</v>
      </c>
      <c r="AG505" s="275">
        <f t="shared" si="7"/>
        <v>0.34220208899717475</v>
      </c>
      <c r="AH505" s="391">
        <f t="shared" si="8"/>
        <v>0.58383607120785319</v>
      </c>
      <c r="AI505" s="135">
        <f t="shared" si="9"/>
        <v>0.92603816020502794</v>
      </c>
    </row>
    <row r="506" spans="1:35" ht="12.6">
      <c r="A506" s="10" t="s">
        <v>61</v>
      </c>
      <c r="B506" s="10">
        <v>140</v>
      </c>
      <c r="C506" s="10" t="s">
        <v>1513</v>
      </c>
      <c r="D506" s="388">
        <v>45066</v>
      </c>
      <c r="E506" s="389">
        <v>45066</v>
      </c>
      <c r="F506" s="390" t="str">
        <f t="shared" si="5"/>
        <v>Lighting</v>
      </c>
      <c r="G506" s="135">
        <v>1.2168200889167501E-2</v>
      </c>
      <c r="H506" s="135">
        <v>1.0282578645567499E-2</v>
      </c>
      <c r="I506" s="135">
        <v>9.6054332916604406E-3</v>
      </c>
      <c r="J506" s="135">
        <v>1.0655405728614099E-2</v>
      </c>
      <c r="K506" s="135">
        <v>1.16950109657803E-2</v>
      </c>
      <c r="L506" s="135">
        <v>1.69270076371234E-2</v>
      </c>
      <c r="M506" s="135">
        <v>2.8028010373002399E-2</v>
      </c>
      <c r="N506" s="135">
        <v>3.9036951663730599E-2</v>
      </c>
      <c r="O506" s="135">
        <v>4.2089493450570101E-2</v>
      </c>
      <c r="P506" s="135">
        <v>4.37617820862269E-2</v>
      </c>
      <c r="Q506" s="135">
        <v>4.0503923383543597E-2</v>
      </c>
      <c r="R506" s="135">
        <v>3.8987793496509403E-2</v>
      </c>
      <c r="S506" s="135">
        <v>3.4208620353931102E-2</v>
      </c>
      <c r="T506" s="135">
        <v>3.0240558003717499E-2</v>
      </c>
      <c r="U506" s="135">
        <v>3.1903199614705703E-2</v>
      </c>
      <c r="V506" s="135">
        <v>3.2363058965710297E-2</v>
      </c>
      <c r="W506" s="135">
        <v>4.2369431652361601E-2</v>
      </c>
      <c r="X506" s="135">
        <v>6.8538490143186706E-2</v>
      </c>
      <c r="Y506" s="135">
        <v>8.9070994842437703E-2</v>
      </c>
      <c r="Z506" s="135">
        <v>9.2376178210362994E-2</v>
      </c>
      <c r="AA506" s="135">
        <v>7.8167946474177602E-2</v>
      </c>
      <c r="AB506" s="135">
        <v>5.5762518293499597E-2</v>
      </c>
      <c r="AC506" s="135">
        <v>3.2121809257358698E-2</v>
      </c>
      <c r="AD506" s="135">
        <v>1.8911860255668399E-2</v>
      </c>
      <c r="AF506" s="243">
        <f t="shared" si="6"/>
        <v>0.25057658547047917</v>
      </c>
      <c r="AG506" s="275">
        <f t="shared" si="7"/>
        <v>0.32148018563436898</v>
      </c>
      <c r="AH506" s="391">
        <f t="shared" si="8"/>
        <v>0.58829607204424517</v>
      </c>
      <c r="AI506" s="135">
        <f t="shared" si="9"/>
        <v>0.90977625767861414</v>
      </c>
    </row>
    <row r="507" spans="1:35" ht="12.6">
      <c r="A507" s="10" t="s">
        <v>61</v>
      </c>
      <c r="B507" s="10">
        <v>141</v>
      </c>
      <c r="C507" s="10" t="s">
        <v>1513</v>
      </c>
      <c r="D507" s="388">
        <v>45067</v>
      </c>
      <c r="E507" s="389">
        <v>45067</v>
      </c>
      <c r="F507" s="390" t="str">
        <f t="shared" si="5"/>
        <v>Lighting</v>
      </c>
      <c r="G507" s="135">
        <v>1.2168200889167501E-2</v>
      </c>
      <c r="H507" s="135">
        <v>1.0282578645567499E-2</v>
      </c>
      <c r="I507" s="135">
        <v>9.6054332916604406E-3</v>
      </c>
      <c r="J507" s="135">
        <v>1.0655405728614099E-2</v>
      </c>
      <c r="K507" s="135">
        <v>1.16950109657803E-2</v>
      </c>
      <c r="L507" s="135">
        <v>1.69270076371234E-2</v>
      </c>
      <c r="M507" s="135">
        <v>2.8028010373002399E-2</v>
      </c>
      <c r="N507" s="135">
        <v>3.9036951663730599E-2</v>
      </c>
      <c r="O507" s="135">
        <v>4.2089493450570101E-2</v>
      </c>
      <c r="P507" s="135">
        <v>4.37617820862269E-2</v>
      </c>
      <c r="Q507" s="135">
        <v>4.0503923383543597E-2</v>
      </c>
      <c r="R507" s="135">
        <v>3.8987793496509403E-2</v>
      </c>
      <c r="S507" s="135">
        <v>3.4208620353931102E-2</v>
      </c>
      <c r="T507" s="135">
        <v>3.0240558003717499E-2</v>
      </c>
      <c r="U507" s="135">
        <v>3.1903199614705703E-2</v>
      </c>
      <c r="V507" s="135">
        <v>3.2363058965710297E-2</v>
      </c>
      <c r="W507" s="135">
        <v>4.2369431652361601E-2</v>
      </c>
      <c r="X507" s="135">
        <v>6.8538490143186706E-2</v>
      </c>
      <c r="Y507" s="135">
        <v>8.9070994842437703E-2</v>
      </c>
      <c r="Z507" s="135">
        <v>9.2376178210362994E-2</v>
      </c>
      <c r="AA507" s="135">
        <v>7.8167946474177602E-2</v>
      </c>
      <c r="AB507" s="135">
        <v>5.5762518293499597E-2</v>
      </c>
      <c r="AC507" s="135">
        <v>3.2121809257358698E-2</v>
      </c>
      <c r="AD507" s="135">
        <v>1.8911860255668399E-2</v>
      </c>
      <c r="AF507" s="243">
        <f t="shared" si="6"/>
        <v>0.25057658547047917</v>
      </c>
      <c r="AG507" s="275">
        <f t="shared" si="7"/>
        <v>0.32148018563436898</v>
      </c>
      <c r="AH507" s="391">
        <f t="shared" si="8"/>
        <v>0.58829607204424517</v>
      </c>
      <c r="AI507" s="135">
        <f t="shared" si="9"/>
        <v>0.90977625767861414</v>
      </c>
    </row>
    <row r="508" spans="1:35" ht="12.6">
      <c r="A508" s="10" t="s">
        <v>61</v>
      </c>
      <c r="B508" s="10">
        <v>142</v>
      </c>
      <c r="C508" s="10" t="s">
        <v>1513</v>
      </c>
      <c r="D508" s="388">
        <v>45068</v>
      </c>
      <c r="E508" s="389">
        <v>45068</v>
      </c>
      <c r="F508" s="390" t="str">
        <f t="shared" si="5"/>
        <v>Lighting</v>
      </c>
      <c r="G508" s="135">
        <v>1.0388793695589E-2</v>
      </c>
      <c r="H508" s="135">
        <v>9.2844853881446695E-3</v>
      </c>
      <c r="I508" s="135">
        <v>9.0779038289257891E-3</v>
      </c>
      <c r="J508" s="135">
        <v>9.9144291480233893E-3</v>
      </c>
      <c r="K508" s="135">
        <v>1.7728629050389199E-2</v>
      </c>
      <c r="L508" s="135">
        <v>5.0585304098568797E-2</v>
      </c>
      <c r="M508" s="135">
        <v>7.8149238503386301E-2</v>
      </c>
      <c r="N508" s="135">
        <v>6.5505416127073002E-2</v>
      </c>
      <c r="O508" s="135">
        <v>3.4113102306388698E-2</v>
      </c>
      <c r="P508" s="135">
        <v>2.3059689913006699E-2</v>
      </c>
      <c r="Q508" s="135">
        <v>1.9173460926933301E-2</v>
      </c>
      <c r="R508" s="135">
        <v>1.8159142372703899E-2</v>
      </c>
      <c r="S508" s="135">
        <v>1.8022111934155299E-2</v>
      </c>
      <c r="T508" s="135">
        <v>1.8590870087425E-2</v>
      </c>
      <c r="U508" s="135">
        <v>1.86024427279902E-2</v>
      </c>
      <c r="V508" s="135">
        <v>2.1881015230260301E-2</v>
      </c>
      <c r="W508" s="135">
        <v>2.75601461584787E-2</v>
      </c>
      <c r="X508" s="135">
        <v>6.7654034791216705E-2</v>
      </c>
      <c r="Y508" s="135">
        <v>0.10180447628659101</v>
      </c>
      <c r="Z508" s="135">
        <v>0.10176443836221</v>
      </c>
      <c r="AA508" s="135">
        <v>8.6890892490170804E-2</v>
      </c>
      <c r="AB508" s="135">
        <v>6.5711417631559105E-2</v>
      </c>
      <c r="AC508" s="135">
        <v>3.59250960400549E-2</v>
      </c>
      <c r="AD508" s="135">
        <v>1.6491623105783101E-2</v>
      </c>
      <c r="AF508" s="243">
        <f t="shared" si="6"/>
        <v>0.14198918943794669</v>
      </c>
      <c r="AG508" s="275">
        <f t="shared" si="7"/>
        <v>0.34220208899717475</v>
      </c>
      <c r="AH508" s="391">
        <f t="shared" si="8"/>
        <v>0.58383607120785319</v>
      </c>
      <c r="AI508" s="135">
        <f t="shared" si="9"/>
        <v>0.92603816020502794</v>
      </c>
    </row>
    <row r="509" spans="1:35" ht="12.6">
      <c r="A509" s="10" t="s">
        <v>61</v>
      </c>
      <c r="B509" s="10">
        <v>143</v>
      </c>
      <c r="C509" s="10" t="s">
        <v>1513</v>
      </c>
      <c r="D509" s="388">
        <v>45069</v>
      </c>
      <c r="E509" s="389">
        <v>45069</v>
      </c>
      <c r="F509" s="390" t="str">
        <f t="shared" si="5"/>
        <v>Lighting</v>
      </c>
      <c r="G509" s="135">
        <v>1.0388793695589E-2</v>
      </c>
      <c r="H509" s="135">
        <v>9.2844853881446695E-3</v>
      </c>
      <c r="I509" s="135">
        <v>9.0779038289257891E-3</v>
      </c>
      <c r="J509" s="135">
        <v>9.9144291480233893E-3</v>
      </c>
      <c r="K509" s="135">
        <v>1.7728629050389199E-2</v>
      </c>
      <c r="L509" s="135">
        <v>5.0585304098568797E-2</v>
      </c>
      <c r="M509" s="135">
        <v>7.8149238503386301E-2</v>
      </c>
      <c r="N509" s="135">
        <v>6.5505416127073002E-2</v>
      </c>
      <c r="O509" s="135">
        <v>3.4113102306388698E-2</v>
      </c>
      <c r="P509" s="135">
        <v>2.3059689913006699E-2</v>
      </c>
      <c r="Q509" s="135">
        <v>1.9173460926933301E-2</v>
      </c>
      <c r="R509" s="135">
        <v>1.8159142372703899E-2</v>
      </c>
      <c r="S509" s="135">
        <v>1.8022111934155299E-2</v>
      </c>
      <c r="T509" s="135">
        <v>1.8590870087425E-2</v>
      </c>
      <c r="U509" s="135">
        <v>1.86024427279902E-2</v>
      </c>
      <c r="V509" s="135">
        <v>2.1881015230260301E-2</v>
      </c>
      <c r="W509" s="135">
        <v>2.75601461584787E-2</v>
      </c>
      <c r="X509" s="135">
        <v>6.7654034791216705E-2</v>
      </c>
      <c r="Y509" s="135">
        <v>0.10180447628659101</v>
      </c>
      <c r="Z509" s="135">
        <v>0.10176443836221</v>
      </c>
      <c r="AA509" s="135">
        <v>8.6890892490170804E-2</v>
      </c>
      <c r="AB509" s="135">
        <v>6.5711417631559105E-2</v>
      </c>
      <c r="AC509" s="135">
        <v>3.59250960400549E-2</v>
      </c>
      <c r="AD509" s="135">
        <v>1.6491623105783101E-2</v>
      </c>
      <c r="AF509" s="243">
        <f t="shared" si="6"/>
        <v>0.14198918943794669</v>
      </c>
      <c r="AG509" s="275">
        <f t="shared" si="7"/>
        <v>0.34220208899717475</v>
      </c>
      <c r="AH509" s="391">
        <f t="shared" si="8"/>
        <v>0.58383607120785319</v>
      </c>
      <c r="AI509" s="135">
        <f t="shared" si="9"/>
        <v>0.92603816020502794</v>
      </c>
    </row>
    <row r="510" spans="1:35" ht="12.6">
      <c r="A510" s="10" t="s">
        <v>61</v>
      </c>
      <c r="B510" s="10">
        <v>144</v>
      </c>
      <c r="C510" s="10" t="s">
        <v>1513</v>
      </c>
      <c r="D510" s="388">
        <v>45070</v>
      </c>
      <c r="E510" s="389">
        <v>45070</v>
      </c>
      <c r="F510" s="390" t="str">
        <f t="shared" si="5"/>
        <v>Lighting</v>
      </c>
      <c r="G510" s="135">
        <v>1.0388793695589E-2</v>
      </c>
      <c r="H510" s="135">
        <v>9.2844853881446695E-3</v>
      </c>
      <c r="I510" s="135">
        <v>9.0779038289257891E-3</v>
      </c>
      <c r="J510" s="135">
        <v>9.9144291480233893E-3</v>
      </c>
      <c r="K510" s="135">
        <v>1.7728629050389199E-2</v>
      </c>
      <c r="L510" s="135">
        <v>5.0585304098568797E-2</v>
      </c>
      <c r="M510" s="135">
        <v>7.8149238503386301E-2</v>
      </c>
      <c r="N510" s="135">
        <v>6.5505416127073002E-2</v>
      </c>
      <c r="O510" s="135">
        <v>3.4113102306388698E-2</v>
      </c>
      <c r="P510" s="135">
        <v>2.3059689913006699E-2</v>
      </c>
      <c r="Q510" s="135">
        <v>1.9173460926933301E-2</v>
      </c>
      <c r="R510" s="135">
        <v>1.8159142372703899E-2</v>
      </c>
      <c r="S510" s="135">
        <v>1.8022111934155299E-2</v>
      </c>
      <c r="T510" s="135">
        <v>1.8590870087425E-2</v>
      </c>
      <c r="U510" s="135">
        <v>1.86024427279902E-2</v>
      </c>
      <c r="V510" s="135">
        <v>2.1881015230260301E-2</v>
      </c>
      <c r="W510" s="135">
        <v>2.75601461584787E-2</v>
      </c>
      <c r="X510" s="135">
        <v>6.7654034791216705E-2</v>
      </c>
      <c r="Y510" s="135">
        <v>0.10180447628659101</v>
      </c>
      <c r="Z510" s="135">
        <v>0.10176443836221</v>
      </c>
      <c r="AA510" s="135">
        <v>8.6890892490170804E-2</v>
      </c>
      <c r="AB510" s="135">
        <v>6.5711417631559105E-2</v>
      </c>
      <c r="AC510" s="135">
        <v>3.59250960400549E-2</v>
      </c>
      <c r="AD510" s="135">
        <v>1.6491623105783101E-2</v>
      </c>
      <c r="AF510" s="243">
        <f t="shared" si="6"/>
        <v>0.14198918943794669</v>
      </c>
      <c r="AG510" s="275">
        <f t="shared" si="7"/>
        <v>0.34220208899717475</v>
      </c>
      <c r="AH510" s="391">
        <f t="shared" si="8"/>
        <v>0.58383607120785319</v>
      </c>
      <c r="AI510" s="135">
        <f t="shared" si="9"/>
        <v>0.92603816020502794</v>
      </c>
    </row>
    <row r="511" spans="1:35" ht="12.6">
      <c r="A511" s="10" t="s">
        <v>61</v>
      </c>
      <c r="B511" s="10">
        <v>145</v>
      </c>
      <c r="C511" s="10" t="s">
        <v>1513</v>
      </c>
      <c r="D511" s="388">
        <v>45071</v>
      </c>
      <c r="E511" s="389">
        <v>45071</v>
      </c>
      <c r="F511" s="390" t="str">
        <f t="shared" ref="F511:F765" si="10">A511</f>
        <v>Lighting</v>
      </c>
      <c r="G511" s="135">
        <v>1.0388793695589E-2</v>
      </c>
      <c r="H511" s="135">
        <v>9.2844853881446695E-3</v>
      </c>
      <c r="I511" s="135">
        <v>9.0779038289257891E-3</v>
      </c>
      <c r="J511" s="135">
        <v>9.9144291480233893E-3</v>
      </c>
      <c r="K511" s="135">
        <v>1.7728629050389199E-2</v>
      </c>
      <c r="L511" s="135">
        <v>5.0585304098568797E-2</v>
      </c>
      <c r="M511" s="135">
        <v>7.8149238503386301E-2</v>
      </c>
      <c r="N511" s="135">
        <v>6.5505416127073002E-2</v>
      </c>
      <c r="O511" s="135">
        <v>3.4113102306388698E-2</v>
      </c>
      <c r="P511" s="135">
        <v>2.3059689913006699E-2</v>
      </c>
      <c r="Q511" s="135">
        <v>1.9173460926933301E-2</v>
      </c>
      <c r="R511" s="135">
        <v>1.8159142372703899E-2</v>
      </c>
      <c r="S511" s="135">
        <v>1.8022111934155299E-2</v>
      </c>
      <c r="T511" s="135">
        <v>1.8590870087425E-2</v>
      </c>
      <c r="U511" s="135">
        <v>1.86024427279902E-2</v>
      </c>
      <c r="V511" s="135">
        <v>2.1881015230260301E-2</v>
      </c>
      <c r="W511" s="135">
        <v>2.75601461584787E-2</v>
      </c>
      <c r="X511" s="135">
        <v>6.7654034791216705E-2</v>
      </c>
      <c r="Y511" s="135">
        <v>0.10180447628659101</v>
      </c>
      <c r="Z511" s="135">
        <v>0.10176443836221</v>
      </c>
      <c r="AA511" s="135">
        <v>8.6890892490170804E-2</v>
      </c>
      <c r="AB511" s="135">
        <v>6.5711417631559105E-2</v>
      </c>
      <c r="AC511" s="135">
        <v>3.59250960400549E-2</v>
      </c>
      <c r="AD511" s="135">
        <v>1.6491623105783101E-2</v>
      </c>
      <c r="AF511" s="243">
        <f t="shared" si="6"/>
        <v>0.14198918943794669</v>
      </c>
      <c r="AG511" s="275">
        <f t="shared" si="7"/>
        <v>0.34220208899717475</v>
      </c>
      <c r="AH511" s="391">
        <f t="shared" si="8"/>
        <v>0.58383607120785319</v>
      </c>
      <c r="AI511" s="135">
        <f t="shared" si="9"/>
        <v>0.92603816020502794</v>
      </c>
    </row>
    <row r="512" spans="1:35" ht="12.6">
      <c r="A512" s="10" t="s">
        <v>61</v>
      </c>
      <c r="B512" s="10">
        <v>146</v>
      </c>
      <c r="C512" s="10" t="s">
        <v>1513</v>
      </c>
      <c r="D512" s="388">
        <v>45072</v>
      </c>
      <c r="E512" s="389">
        <v>45072</v>
      </c>
      <c r="F512" s="390" t="str">
        <f t="shared" si="10"/>
        <v>Lighting</v>
      </c>
      <c r="G512" s="135">
        <v>1.0388793695589E-2</v>
      </c>
      <c r="H512" s="135">
        <v>9.2844853881446695E-3</v>
      </c>
      <c r="I512" s="135">
        <v>9.0779038289257891E-3</v>
      </c>
      <c r="J512" s="135">
        <v>9.9144291480233893E-3</v>
      </c>
      <c r="K512" s="135">
        <v>1.7728629050389199E-2</v>
      </c>
      <c r="L512" s="135">
        <v>5.0585304098568797E-2</v>
      </c>
      <c r="M512" s="135">
        <v>7.8149238503386301E-2</v>
      </c>
      <c r="N512" s="135">
        <v>6.5505416127073002E-2</v>
      </c>
      <c r="O512" s="135">
        <v>3.4113102306388698E-2</v>
      </c>
      <c r="P512" s="135">
        <v>2.3059689913006699E-2</v>
      </c>
      <c r="Q512" s="135">
        <v>1.9173460926933301E-2</v>
      </c>
      <c r="R512" s="135">
        <v>1.8159142372703899E-2</v>
      </c>
      <c r="S512" s="135">
        <v>1.8022111934155299E-2</v>
      </c>
      <c r="T512" s="135">
        <v>1.8590870087425E-2</v>
      </c>
      <c r="U512" s="135">
        <v>1.86024427279902E-2</v>
      </c>
      <c r="V512" s="135">
        <v>2.1881015230260301E-2</v>
      </c>
      <c r="W512" s="135">
        <v>2.75601461584787E-2</v>
      </c>
      <c r="X512" s="135">
        <v>6.7654034791216705E-2</v>
      </c>
      <c r="Y512" s="135">
        <v>0.10180447628659101</v>
      </c>
      <c r="Z512" s="135">
        <v>0.10176443836221</v>
      </c>
      <c r="AA512" s="135">
        <v>8.6890892490170804E-2</v>
      </c>
      <c r="AB512" s="135">
        <v>6.5711417631559105E-2</v>
      </c>
      <c r="AC512" s="135">
        <v>3.59250960400549E-2</v>
      </c>
      <c r="AD512" s="135">
        <v>1.6491623105783101E-2</v>
      </c>
      <c r="AF512" s="243">
        <f t="shared" ref="AF512:AF766" si="11">SUM(Q512:W512)</f>
        <v>0.14198918943794669</v>
      </c>
      <c r="AG512" s="275">
        <f t="shared" ref="AG512:AG766" si="12">SUM(G512:AD512)-AH512</f>
        <v>0.34220208899717475</v>
      </c>
      <c r="AH512" s="391">
        <f t="shared" ref="AH512:AH766" si="13">SUM(N512:R512,X512:AB512)</f>
        <v>0.58383607120785319</v>
      </c>
      <c r="AI512" s="135">
        <f t="shared" ref="AI512:AI766" si="14">SUM(G512:AD512)</f>
        <v>0.92603816020502794</v>
      </c>
    </row>
    <row r="513" spans="1:35" ht="12.6">
      <c r="A513" s="10" t="s">
        <v>61</v>
      </c>
      <c r="B513" s="10">
        <v>147</v>
      </c>
      <c r="C513" s="10" t="s">
        <v>1513</v>
      </c>
      <c r="D513" s="388">
        <v>45073</v>
      </c>
      <c r="E513" s="389">
        <v>45073</v>
      </c>
      <c r="F513" s="390" t="str">
        <f t="shared" si="10"/>
        <v>Lighting</v>
      </c>
      <c r="G513" s="135">
        <v>1.2168200889167501E-2</v>
      </c>
      <c r="H513" s="135">
        <v>1.0282578645567499E-2</v>
      </c>
      <c r="I513" s="135">
        <v>9.6054332916604406E-3</v>
      </c>
      <c r="J513" s="135">
        <v>1.0655405728614099E-2</v>
      </c>
      <c r="K513" s="135">
        <v>1.16950109657803E-2</v>
      </c>
      <c r="L513" s="135">
        <v>1.69270076371234E-2</v>
      </c>
      <c r="M513" s="135">
        <v>2.8028010373002399E-2</v>
      </c>
      <c r="N513" s="135">
        <v>3.9036951663730599E-2</v>
      </c>
      <c r="O513" s="135">
        <v>4.2089493450570101E-2</v>
      </c>
      <c r="P513" s="135">
        <v>4.37617820862269E-2</v>
      </c>
      <c r="Q513" s="135">
        <v>4.0503923383543597E-2</v>
      </c>
      <c r="R513" s="135">
        <v>3.8987793496509403E-2</v>
      </c>
      <c r="S513" s="135">
        <v>3.4208620353931102E-2</v>
      </c>
      <c r="T513" s="135">
        <v>3.0240558003717499E-2</v>
      </c>
      <c r="U513" s="135">
        <v>3.1903199614705703E-2</v>
      </c>
      <c r="V513" s="135">
        <v>3.2363058965710297E-2</v>
      </c>
      <c r="W513" s="135">
        <v>4.2369431652361601E-2</v>
      </c>
      <c r="X513" s="135">
        <v>6.8538490143186706E-2</v>
      </c>
      <c r="Y513" s="135">
        <v>8.9070994842437703E-2</v>
      </c>
      <c r="Z513" s="135">
        <v>9.2376178210362994E-2</v>
      </c>
      <c r="AA513" s="135">
        <v>7.8167946474177602E-2</v>
      </c>
      <c r="AB513" s="135">
        <v>5.5762518293499597E-2</v>
      </c>
      <c r="AC513" s="135">
        <v>3.2121809257358698E-2</v>
      </c>
      <c r="AD513" s="135">
        <v>1.8911860255668399E-2</v>
      </c>
      <c r="AF513" s="243">
        <f t="shared" si="11"/>
        <v>0.25057658547047917</v>
      </c>
      <c r="AG513" s="275">
        <f t="shared" si="12"/>
        <v>0.32148018563436898</v>
      </c>
      <c r="AH513" s="391">
        <f t="shared" si="13"/>
        <v>0.58829607204424517</v>
      </c>
      <c r="AI513" s="135">
        <f t="shared" si="14"/>
        <v>0.90977625767861414</v>
      </c>
    </row>
    <row r="514" spans="1:35" ht="12.6">
      <c r="A514" s="10" t="s">
        <v>61</v>
      </c>
      <c r="B514" s="10">
        <v>148</v>
      </c>
      <c r="C514" s="10" t="s">
        <v>1513</v>
      </c>
      <c r="D514" s="388">
        <v>45074</v>
      </c>
      <c r="E514" s="389">
        <v>45074</v>
      </c>
      <c r="F514" s="390" t="str">
        <f t="shared" si="10"/>
        <v>Lighting</v>
      </c>
      <c r="G514" s="135">
        <v>1.2168200889167501E-2</v>
      </c>
      <c r="H514" s="135">
        <v>1.0282578645567499E-2</v>
      </c>
      <c r="I514" s="135">
        <v>9.6054332916604406E-3</v>
      </c>
      <c r="J514" s="135">
        <v>1.0655405728614099E-2</v>
      </c>
      <c r="K514" s="135">
        <v>1.16950109657803E-2</v>
      </c>
      <c r="L514" s="135">
        <v>1.69270076371234E-2</v>
      </c>
      <c r="M514" s="135">
        <v>2.8028010373002399E-2</v>
      </c>
      <c r="N514" s="135">
        <v>3.9036951663730599E-2</v>
      </c>
      <c r="O514" s="135">
        <v>4.2089493450570101E-2</v>
      </c>
      <c r="P514" s="135">
        <v>4.37617820862269E-2</v>
      </c>
      <c r="Q514" s="135">
        <v>4.0503923383543597E-2</v>
      </c>
      <c r="R514" s="135">
        <v>3.8987793496509403E-2</v>
      </c>
      <c r="S514" s="135">
        <v>3.4208620353931102E-2</v>
      </c>
      <c r="T514" s="135">
        <v>3.0240558003717499E-2</v>
      </c>
      <c r="U514" s="135">
        <v>3.1903199614705703E-2</v>
      </c>
      <c r="V514" s="135">
        <v>3.2363058965710297E-2</v>
      </c>
      <c r="W514" s="135">
        <v>4.2369431652361601E-2</v>
      </c>
      <c r="X514" s="135">
        <v>6.8538490143186706E-2</v>
      </c>
      <c r="Y514" s="135">
        <v>8.9070994842437703E-2</v>
      </c>
      <c r="Z514" s="135">
        <v>9.2376178210362994E-2</v>
      </c>
      <c r="AA514" s="135">
        <v>7.8167946474177602E-2</v>
      </c>
      <c r="AB514" s="135">
        <v>5.5762518293499597E-2</v>
      </c>
      <c r="AC514" s="135">
        <v>3.2121809257358698E-2</v>
      </c>
      <c r="AD514" s="135">
        <v>1.8911860255668399E-2</v>
      </c>
      <c r="AF514" s="243">
        <f t="shared" si="11"/>
        <v>0.25057658547047917</v>
      </c>
      <c r="AG514" s="275">
        <f t="shared" si="12"/>
        <v>0.32148018563436898</v>
      </c>
      <c r="AH514" s="391">
        <f t="shared" si="13"/>
        <v>0.58829607204424517</v>
      </c>
      <c r="AI514" s="135">
        <f t="shared" si="14"/>
        <v>0.90977625767861414</v>
      </c>
    </row>
    <row r="515" spans="1:35" ht="12.6">
      <c r="A515" s="10" t="s">
        <v>61</v>
      </c>
      <c r="B515" s="10">
        <v>149</v>
      </c>
      <c r="C515" s="10" t="s">
        <v>1513</v>
      </c>
      <c r="D515" s="388">
        <v>45075</v>
      </c>
      <c r="E515" s="389">
        <v>45075</v>
      </c>
      <c r="F515" s="390" t="str">
        <f t="shared" si="10"/>
        <v>Lighting</v>
      </c>
      <c r="G515" s="135">
        <v>1.0388793695589E-2</v>
      </c>
      <c r="H515" s="135">
        <v>9.2844853881446695E-3</v>
      </c>
      <c r="I515" s="135">
        <v>9.0779038289257891E-3</v>
      </c>
      <c r="J515" s="135">
        <v>9.9144291480233893E-3</v>
      </c>
      <c r="K515" s="135">
        <v>1.7728629050389199E-2</v>
      </c>
      <c r="L515" s="135">
        <v>5.0585304098568797E-2</v>
      </c>
      <c r="M515" s="135">
        <v>7.8149238503386301E-2</v>
      </c>
      <c r="N515" s="135">
        <v>6.5505416127073002E-2</v>
      </c>
      <c r="O515" s="135">
        <v>3.4113102306388698E-2</v>
      </c>
      <c r="P515" s="135">
        <v>2.3059689913006699E-2</v>
      </c>
      <c r="Q515" s="135">
        <v>1.9173460926933301E-2</v>
      </c>
      <c r="R515" s="135">
        <v>1.8159142372703899E-2</v>
      </c>
      <c r="S515" s="135">
        <v>1.8022111934155299E-2</v>
      </c>
      <c r="T515" s="135">
        <v>1.8590870087425E-2</v>
      </c>
      <c r="U515" s="135">
        <v>1.86024427279902E-2</v>
      </c>
      <c r="V515" s="135">
        <v>2.1881015230260301E-2</v>
      </c>
      <c r="W515" s="135">
        <v>2.75601461584787E-2</v>
      </c>
      <c r="X515" s="135">
        <v>6.7654034791216705E-2</v>
      </c>
      <c r="Y515" s="135">
        <v>0.10180447628659101</v>
      </c>
      <c r="Z515" s="135">
        <v>0.10176443836221</v>
      </c>
      <c r="AA515" s="135">
        <v>8.6890892490170804E-2</v>
      </c>
      <c r="AB515" s="135">
        <v>6.5711417631559105E-2</v>
      </c>
      <c r="AC515" s="135">
        <v>3.59250960400549E-2</v>
      </c>
      <c r="AD515" s="135">
        <v>1.6491623105783101E-2</v>
      </c>
      <c r="AF515" s="243">
        <f t="shared" si="11"/>
        <v>0.14198918943794669</v>
      </c>
      <c r="AG515" s="275">
        <f t="shared" si="12"/>
        <v>0.34220208899717475</v>
      </c>
      <c r="AH515" s="391">
        <f t="shared" si="13"/>
        <v>0.58383607120785319</v>
      </c>
      <c r="AI515" s="135">
        <f t="shared" si="14"/>
        <v>0.92603816020502794</v>
      </c>
    </row>
    <row r="516" spans="1:35" ht="12.6">
      <c r="A516" s="10" t="s">
        <v>61</v>
      </c>
      <c r="B516" s="10">
        <v>150</v>
      </c>
      <c r="C516" s="10" t="s">
        <v>1513</v>
      </c>
      <c r="D516" s="388">
        <v>45076</v>
      </c>
      <c r="E516" s="389">
        <v>45076</v>
      </c>
      <c r="F516" s="390" t="str">
        <f t="shared" si="10"/>
        <v>Lighting</v>
      </c>
      <c r="G516" s="135">
        <v>1.0388793695589E-2</v>
      </c>
      <c r="H516" s="135">
        <v>9.2844853881446695E-3</v>
      </c>
      <c r="I516" s="135">
        <v>9.0779038289257891E-3</v>
      </c>
      <c r="J516" s="135">
        <v>9.9144291480233893E-3</v>
      </c>
      <c r="K516" s="135">
        <v>1.7728629050389199E-2</v>
      </c>
      <c r="L516" s="135">
        <v>5.0585304098568797E-2</v>
      </c>
      <c r="M516" s="135">
        <v>7.8149238503386301E-2</v>
      </c>
      <c r="N516" s="135">
        <v>6.5505416127073002E-2</v>
      </c>
      <c r="O516" s="135">
        <v>3.4113102306388698E-2</v>
      </c>
      <c r="P516" s="135">
        <v>2.3059689913006699E-2</v>
      </c>
      <c r="Q516" s="135">
        <v>1.9173460926933301E-2</v>
      </c>
      <c r="R516" s="135">
        <v>1.8159142372703899E-2</v>
      </c>
      <c r="S516" s="135">
        <v>1.8022111934155299E-2</v>
      </c>
      <c r="T516" s="135">
        <v>1.8590870087425E-2</v>
      </c>
      <c r="U516" s="135">
        <v>1.86024427279902E-2</v>
      </c>
      <c r="V516" s="135">
        <v>2.1881015230260301E-2</v>
      </c>
      <c r="W516" s="135">
        <v>2.75601461584787E-2</v>
      </c>
      <c r="X516" s="135">
        <v>6.7654034791216705E-2</v>
      </c>
      <c r="Y516" s="135">
        <v>0.10180447628659101</v>
      </c>
      <c r="Z516" s="135">
        <v>0.10176443836221</v>
      </c>
      <c r="AA516" s="135">
        <v>8.6890892490170804E-2</v>
      </c>
      <c r="AB516" s="135">
        <v>6.5711417631559105E-2</v>
      </c>
      <c r="AC516" s="135">
        <v>3.59250960400549E-2</v>
      </c>
      <c r="AD516" s="135">
        <v>1.6491623105783101E-2</v>
      </c>
      <c r="AF516" s="243">
        <f t="shared" si="11"/>
        <v>0.14198918943794669</v>
      </c>
      <c r="AG516" s="275">
        <f t="shared" si="12"/>
        <v>0.34220208899717475</v>
      </c>
      <c r="AH516" s="391">
        <f t="shared" si="13"/>
        <v>0.58383607120785319</v>
      </c>
      <c r="AI516" s="135">
        <f t="shared" si="14"/>
        <v>0.92603816020502794</v>
      </c>
    </row>
    <row r="517" spans="1:35" ht="12.6">
      <c r="A517" s="10" t="s">
        <v>61</v>
      </c>
      <c r="B517" s="10">
        <v>151</v>
      </c>
      <c r="C517" s="10" t="s">
        <v>1513</v>
      </c>
      <c r="D517" s="388">
        <v>45077</v>
      </c>
      <c r="E517" s="389">
        <v>45077</v>
      </c>
      <c r="F517" s="390" t="str">
        <f t="shared" si="10"/>
        <v>Lighting</v>
      </c>
      <c r="G517" s="135">
        <v>1.0388793695589E-2</v>
      </c>
      <c r="H517" s="135">
        <v>9.2844853881446695E-3</v>
      </c>
      <c r="I517" s="135">
        <v>9.0779038289257891E-3</v>
      </c>
      <c r="J517" s="135">
        <v>9.9144291480233893E-3</v>
      </c>
      <c r="K517" s="135">
        <v>1.7728629050389199E-2</v>
      </c>
      <c r="L517" s="135">
        <v>5.0585304098568797E-2</v>
      </c>
      <c r="M517" s="135">
        <v>7.8149238503386301E-2</v>
      </c>
      <c r="N517" s="135">
        <v>6.5505416127073002E-2</v>
      </c>
      <c r="O517" s="135">
        <v>3.4113102306388698E-2</v>
      </c>
      <c r="P517" s="135">
        <v>2.3059689913006699E-2</v>
      </c>
      <c r="Q517" s="135">
        <v>1.9173460926933301E-2</v>
      </c>
      <c r="R517" s="135">
        <v>1.8159142372703899E-2</v>
      </c>
      <c r="S517" s="135">
        <v>1.8022111934155299E-2</v>
      </c>
      <c r="T517" s="135">
        <v>1.8590870087425E-2</v>
      </c>
      <c r="U517" s="135">
        <v>1.86024427279902E-2</v>
      </c>
      <c r="V517" s="135">
        <v>2.1881015230260301E-2</v>
      </c>
      <c r="W517" s="135">
        <v>2.75601461584787E-2</v>
      </c>
      <c r="X517" s="135">
        <v>6.7654034791216705E-2</v>
      </c>
      <c r="Y517" s="135">
        <v>0.10180447628659101</v>
      </c>
      <c r="Z517" s="135">
        <v>0.10176443836221</v>
      </c>
      <c r="AA517" s="135">
        <v>8.6890892490170804E-2</v>
      </c>
      <c r="AB517" s="135">
        <v>6.5711417631559105E-2</v>
      </c>
      <c r="AC517" s="135">
        <v>3.59250960400549E-2</v>
      </c>
      <c r="AD517" s="135">
        <v>1.6491623105783101E-2</v>
      </c>
      <c r="AF517" s="243">
        <f t="shared" si="11"/>
        <v>0.14198918943794669</v>
      </c>
      <c r="AG517" s="275">
        <f t="shared" si="12"/>
        <v>0.34220208899717475</v>
      </c>
      <c r="AH517" s="391">
        <f t="shared" si="13"/>
        <v>0.58383607120785319</v>
      </c>
      <c r="AI517" s="135">
        <f t="shared" si="14"/>
        <v>0.92603816020502794</v>
      </c>
    </row>
    <row r="518" spans="1:35" ht="12.6">
      <c r="A518" s="10" t="s">
        <v>61</v>
      </c>
      <c r="B518" s="10">
        <v>152</v>
      </c>
      <c r="C518" s="10" t="s">
        <v>1514</v>
      </c>
      <c r="D518" s="388">
        <v>45078</v>
      </c>
      <c r="E518" s="389">
        <v>45078</v>
      </c>
      <c r="F518" s="390" t="str">
        <f t="shared" si="10"/>
        <v>Lighting</v>
      </c>
      <c r="G518" s="135">
        <v>1.51939930822498E-2</v>
      </c>
      <c r="H518" s="135">
        <v>1.22229316458579E-2</v>
      </c>
      <c r="I518" s="135">
        <v>1.06943250732968E-2</v>
      </c>
      <c r="J518" s="135">
        <v>1.24308059308939E-2</v>
      </c>
      <c r="K518" s="135">
        <v>2.1250318129478502E-2</v>
      </c>
      <c r="L518" s="135">
        <v>6.4842902599983293E-2</v>
      </c>
      <c r="M518" s="135">
        <v>0.11119326025135901</v>
      </c>
      <c r="N518" s="135">
        <v>0.11776177716990199</v>
      </c>
      <c r="O518" s="135">
        <v>5.70029562799775E-2</v>
      </c>
      <c r="P518" s="135">
        <v>3.7586508112636002E-2</v>
      </c>
      <c r="Q518" s="135">
        <v>3.2826460901145001E-2</v>
      </c>
      <c r="R518" s="135">
        <v>3.0464230842780899E-2</v>
      </c>
      <c r="S518" s="135">
        <v>2.9228998705234301E-2</v>
      </c>
      <c r="T518" s="135">
        <v>2.9240018158098201E-2</v>
      </c>
      <c r="U518" s="135">
        <v>2.8194066011519199E-2</v>
      </c>
      <c r="V518" s="135">
        <v>3.03199568323166E-2</v>
      </c>
      <c r="W518" s="135">
        <v>4.6572586641689999E-2</v>
      </c>
      <c r="X518" s="135">
        <v>0.11758444378832</v>
      </c>
      <c r="Y518" s="135">
        <v>0.145489325666049</v>
      </c>
      <c r="Z518" s="135">
        <v>0.126999884027793</v>
      </c>
      <c r="AA518" s="135">
        <v>0.109002859212428</v>
      </c>
      <c r="AB518" s="135">
        <v>9.3078985941609502E-2</v>
      </c>
      <c r="AC518" s="135">
        <v>5.9929500625319002E-2</v>
      </c>
      <c r="AD518" s="135">
        <v>2.9256156954005599E-2</v>
      </c>
      <c r="AF518" s="243">
        <f t="shared" si="11"/>
        <v>0.22684631809278422</v>
      </c>
      <c r="AG518" s="275">
        <f t="shared" si="12"/>
        <v>0.50056982064130195</v>
      </c>
      <c r="AH518" s="391">
        <f t="shared" si="13"/>
        <v>0.86779743194264081</v>
      </c>
      <c r="AI518" s="135">
        <f t="shared" si="14"/>
        <v>1.3683672525839428</v>
      </c>
    </row>
    <row r="519" spans="1:35" ht="12.6">
      <c r="A519" s="10" t="s">
        <v>61</v>
      </c>
      <c r="B519" s="10">
        <v>153</v>
      </c>
      <c r="C519" s="10" t="s">
        <v>1514</v>
      </c>
      <c r="D519" s="388">
        <v>45079</v>
      </c>
      <c r="E519" s="389">
        <v>45079</v>
      </c>
      <c r="F519" s="390" t="str">
        <f t="shared" si="10"/>
        <v>Lighting</v>
      </c>
      <c r="G519" s="135">
        <v>1.51939930822498E-2</v>
      </c>
      <c r="H519" s="135">
        <v>1.22229316458579E-2</v>
      </c>
      <c r="I519" s="135">
        <v>1.06943250732968E-2</v>
      </c>
      <c r="J519" s="135">
        <v>1.24308059308939E-2</v>
      </c>
      <c r="K519" s="135">
        <v>2.1250318129478502E-2</v>
      </c>
      <c r="L519" s="135">
        <v>6.4842902599983293E-2</v>
      </c>
      <c r="M519" s="135">
        <v>0.11119326025135901</v>
      </c>
      <c r="N519" s="135">
        <v>0.11776177716990199</v>
      </c>
      <c r="O519" s="135">
        <v>5.70029562799775E-2</v>
      </c>
      <c r="P519" s="135">
        <v>3.7586508112636002E-2</v>
      </c>
      <c r="Q519" s="135">
        <v>3.2826460901145001E-2</v>
      </c>
      <c r="R519" s="135">
        <v>3.0464230842780899E-2</v>
      </c>
      <c r="S519" s="135">
        <v>2.9228998705234301E-2</v>
      </c>
      <c r="T519" s="135">
        <v>2.9240018158098201E-2</v>
      </c>
      <c r="U519" s="135">
        <v>2.8194066011519199E-2</v>
      </c>
      <c r="V519" s="135">
        <v>3.03199568323166E-2</v>
      </c>
      <c r="W519" s="135">
        <v>4.6572586641689999E-2</v>
      </c>
      <c r="X519" s="135">
        <v>0.11758444378832</v>
      </c>
      <c r="Y519" s="135">
        <v>0.145489325666049</v>
      </c>
      <c r="Z519" s="135">
        <v>0.126999884027793</v>
      </c>
      <c r="AA519" s="135">
        <v>0.109002859212428</v>
      </c>
      <c r="AB519" s="135">
        <v>9.3078985941609502E-2</v>
      </c>
      <c r="AC519" s="135">
        <v>5.9929500625319002E-2</v>
      </c>
      <c r="AD519" s="135">
        <v>2.9256156954005599E-2</v>
      </c>
      <c r="AF519" s="243">
        <f t="shared" si="11"/>
        <v>0.22684631809278422</v>
      </c>
      <c r="AG519" s="275">
        <f t="shared" si="12"/>
        <v>0.50056982064130195</v>
      </c>
      <c r="AH519" s="391">
        <f t="shared" si="13"/>
        <v>0.86779743194264081</v>
      </c>
      <c r="AI519" s="135">
        <f t="shared" si="14"/>
        <v>1.3683672525839428</v>
      </c>
    </row>
    <row r="520" spans="1:35" ht="12.6">
      <c r="A520" s="10" t="s">
        <v>61</v>
      </c>
      <c r="B520" s="10">
        <v>154</v>
      </c>
      <c r="C520" s="10" t="s">
        <v>1514</v>
      </c>
      <c r="D520" s="388">
        <v>45080</v>
      </c>
      <c r="E520" s="389">
        <v>45080</v>
      </c>
      <c r="F520" s="390" t="str">
        <f t="shared" si="10"/>
        <v>Lighting</v>
      </c>
      <c r="G520" s="135">
        <v>1.77568707231919E-2</v>
      </c>
      <c r="H520" s="135">
        <v>1.38586404349303E-2</v>
      </c>
      <c r="I520" s="135">
        <v>1.23875695988033E-2</v>
      </c>
      <c r="J520" s="135">
        <v>1.34094886965183E-2</v>
      </c>
      <c r="K520" s="135">
        <v>1.84399907402737E-2</v>
      </c>
      <c r="L520" s="135">
        <v>3.2534257335777597E-2</v>
      </c>
      <c r="M520" s="135">
        <v>4.0473895568907202E-2</v>
      </c>
      <c r="N520" s="135">
        <v>5.27745501817075E-2</v>
      </c>
      <c r="O520" s="135">
        <v>6.3894771099025E-2</v>
      </c>
      <c r="P520" s="135">
        <v>6.4849982436399306E-2</v>
      </c>
      <c r="Q520" s="135">
        <v>6.0253746811533899E-2</v>
      </c>
      <c r="R520" s="135">
        <v>6.1659022897766001E-2</v>
      </c>
      <c r="S520" s="135">
        <v>6.0177930783413901E-2</v>
      </c>
      <c r="T520" s="135">
        <v>5.3637810843995999E-2</v>
      </c>
      <c r="U520" s="135">
        <v>4.9042488832951099E-2</v>
      </c>
      <c r="V520" s="135">
        <v>5.0859669687459003E-2</v>
      </c>
      <c r="W520" s="135">
        <v>7.9141990679540405E-2</v>
      </c>
      <c r="X520" s="135">
        <v>0.115945087526673</v>
      </c>
      <c r="Y520" s="135">
        <v>0.13369218166070301</v>
      </c>
      <c r="Z520" s="135">
        <v>0.11753565886384899</v>
      </c>
      <c r="AA520" s="135">
        <v>0.102295577579488</v>
      </c>
      <c r="AB520" s="135">
        <v>8.5409913041520694E-2</v>
      </c>
      <c r="AC520" s="135">
        <v>5.5938593890379203E-2</v>
      </c>
      <c r="AD520" s="135">
        <v>3.1180526147134398E-2</v>
      </c>
      <c r="AF520" s="243">
        <f t="shared" si="11"/>
        <v>0.41477266053666029</v>
      </c>
      <c r="AG520" s="275">
        <f t="shared" si="12"/>
        <v>0.52883972396327616</v>
      </c>
      <c r="AH520" s="391">
        <f t="shared" si="13"/>
        <v>0.85831049209866539</v>
      </c>
      <c r="AI520" s="135">
        <f t="shared" si="14"/>
        <v>1.3871502160619416</v>
      </c>
    </row>
    <row r="521" spans="1:35" ht="12.6">
      <c r="A521" s="10" t="s">
        <v>61</v>
      </c>
      <c r="B521" s="10">
        <v>155</v>
      </c>
      <c r="C521" s="10" t="s">
        <v>1514</v>
      </c>
      <c r="D521" s="388">
        <v>45081</v>
      </c>
      <c r="E521" s="389">
        <v>45081</v>
      </c>
      <c r="F521" s="390" t="str">
        <f t="shared" si="10"/>
        <v>Lighting</v>
      </c>
      <c r="G521" s="135">
        <v>1.77568707231919E-2</v>
      </c>
      <c r="H521" s="135">
        <v>1.38586404349303E-2</v>
      </c>
      <c r="I521" s="135">
        <v>1.23875695988033E-2</v>
      </c>
      <c r="J521" s="135">
        <v>1.34094886965183E-2</v>
      </c>
      <c r="K521" s="135">
        <v>1.84399907402737E-2</v>
      </c>
      <c r="L521" s="135">
        <v>3.2534257335777597E-2</v>
      </c>
      <c r="M521" s="135">
        <v>4.0473895568907202E-2</v>
      </c>
      <c r="N521" s="135">
        <v>5.27745501817075E-2</v>
      </c>
      <c r="O521" s="135">
        <v>6.3894771099025E-2</v>
      </c>
      <c r="P521" s="135">
        <v>6.4849982436399306E-2</v>
      </c>
      <c r="Q521" s="135">
        <v>6.0253746811533899E-2</v>
      </c>
      <c r="R521" s="135">
        <v>6.1659022897766001E-2</v>
      </c>
      <c r="S521" s="135">
        <v>6.0177930783413901E-2</v>
      </c>
      <c r="T521" s="135">
        <v>5.3637810843995999E-2</v>
      </c>
      <c r="U521" s="135">
        <v>4.9042488832951099E-2</v>
      </c>
      <c r="V521" s="135">
        <v>5.0859669687459003E-2</v>
      </c>
      <c r="W521" s="135">
        <v>7.9141990679540405E-2</v>
      </c>
      <c r="X521" s="135">
        <v>0.115945087526673</v>
      </c>
      <c r="Y521" s="135">
        <v>0.13369218166070301</v>
      </c>
      <c r="Z521" s="135">
        <v>0.11753565886384899</v>
      </c>
      <c r="AA521" s="135">
        <v>0.102295577579488</v>
      </c>
      <c r="AB521" s="135">
        <v>8.5409913041520694E-2</v>
      </c>
      <c r="AC521" s="135">
        <v>5.5938593890379203E-2</v>
      </c>
      <c r="AD521" s="135">
        <v>3.1180526147134398E-2</v>
      </c>
      <c r="AF521" s="243">
        <f t="shared" si="11"/>
        <v>0.41477266053666029</v>
      </c>
      <c r="AG521" s="275">
        <f t="shared" si="12"/>
        <v>0.52883972396327616</v>
      </c>
      <c r="AH521" s="391">
        <f t="shared" si="13"/>
        <v>0.85831049209866539</v>
      </c>
      <c r="AI521" s="135">
        <f t="shared" si="14"/>
        <v>1.3871502160619416</v>
      </c>
    </row>
    <row r="522" spans="1:35" ht="12.6">
      <c r="A522" s="10" t="s">
        <v>61</v>
      </c>
      <c r="B522" s="10">
        <v>156</v>
      </c>
      <c r="C522" s="10" t="s">
        <v>1514</v>
      </c>
      <c r="D522" s="388">
        <v>45082</v>
      </c>
      <c r="E522" s="389">
        <v>45082</v>
      </c>
      <c r="F522" s="390" t="str">
        <f t="shared" si="10"/>
        <v>Lighting</v>
      </c>
      <c r="G522" s="135">
        <v>1.51939930822498E-2</v>
      </c>
      <c r="H522" s="135">
        <v>1.22229316458579E-2</v>
      </c>
      <c r="I522" s="135">
        <v>1.06943250732968E-2</v>
      </c>
      <c r="J522" s="135">
        <v>1.24308059308939E-2</v>
      </c>
      <c r="K522" s="135">
        <v>2.1250318129478502E-2</v>
      </c>
      <c r="L522" s="135">
        <v>6.4842902599983293E-2</v>
      </c>
      <c r="M522" s="135">
        <v>0.11119326025135901</v>
      </c>
      <c r="N522" s="135">
        <v>0.11776177716990199</v>
      </c>
      <c r="O522" s="135">
        <v>5.70029562799775E-2</v>
      </c>
      <c r="P522" s="135">
        <v>3.7586508112636002E-2</v>
      </c>
      <c r="Q522" s="135">
        <v>3.2826460901145001E-2</v>
      </c>
      <c r="R522" s="135">
        <v>3.0464230842780899E-2</v>
      </c>
      <c r="S522" s="135">
        <v>2.9228998705234301E-2</v>
      </c>
      <c r="T522" s="135">
        <v>2.9240018158098201E-2</v>
      </c>
      <c r="U522" s="135">
        <v>2.8194066011519199E-2</v>
      </c>
      <c r="V522" s="135">
        <v>3.03199568323166E-2</v>
      </c>
      <c r="W522" s="135">
        <v>4.6572586641689999E-2</v>
      </c>
      <c r="X522" s="135">
        <v>0.11758444378832</v>
      </c>
      <c r="Y522" s="135">
        <v>0.145489325666049</v>
      </c>
      <c r="Z522" s="135">
        <v>0.126999884027793</v>
      </c>
      <c r="AA522" s="135">
        <v>0.109002859212428</v>
      </c>
      <c r="AB522" s="135">
        <v>9.3078985941609502E-2</v>
      </c>
      <c r="AC522" s="135">
        <v>5.9929500625319002E-2</v>
      </c>
      <c r="AD522" s="135">
        <v>2.9256156954005599E-2</v>
      </c>
      <c r="AF522" s="243">
        <f t="shared" si="11"/>
        <v>0.22684631809278422</v>
      </c>
      <c r="AG522" s="275">
        <f t="shared" si="12"/>
        <v>0.50056982064130195</v>
      </c>
      <c r="AH522" s="391">
        <f t="shared" si="13"/>
        <v>0.86779743194264081</v>
      </c>
      <c r="AI522" s="135">
        <f t="shared" si="14"/>
        <v>1.3683672525839428</v>
      </c>
    </row>
    <row r="523" spans="1:35" ht="12.6">
      <c r="A523" s="10" t="s">
        <v>61</v>
      </c>
      <c r="B523" s="10">
        <v>157</v>
      </c>
      <c r="C523" s="10" t="s">
        <v>1514</v>
      </c>
      <c r="D523" s="388">
        <v>45083</v>
      </c>
      <c r="E523" s="389">
        <v>45083</v>
      </c>
      <c r="F523" s="390" t="str">
        <f t="shared" si="10"/>
        <v>Lighting</v>
      </c>
      <c r="G523" s="135">
        <v>1.51939930822498E-2</v>
      </c>
      <c r="H523" s="135">
        <v>1.22229316458579E-2</v>
      </c>
      <c r="I523" s="135">
        <v>1.06943250732968E-2</v>
      </c>
      <c r="J523" s="135">
        <v>1.24308059308939E-2</v>
      </c>
      <c r="K523" s="135">
        <v>2.1250318129478502E-2</v>
      </c>
      <c r="L523" s="135">
        <v>6.4842902599983293E-2</v>
      </c>
      <c r="M523" s="135">
        <v>0.11119326025135901</v>
      </c>
      <c r="N523" s="135">
        <v>0.11776177716990199</v>
      </c>
      <c r="O523" s="135">
        <v>5.70029562799775E-2</v>
      </c>
      <c r="P523" s="135">
        <v>3.7586508112636002E-2</v>
      </c>
      <c r="Q523" s="135">
        <v>3.2826460901145001E-2</v>
      </c>
      <c r="R523" s="135">
        <v>3.0464230842780899E-2</v>
      </c>
      <c r="S523" s="135">
        <v>2.9228998705234301E-2</v>
      </c>
      <c r="T523" s="135">
        <v>2.9240018158098201E-2</v>
      </c>
      <c r="U523" s="135">
        <v>2.8194066011519199E-2</v>
      </c>
      <c r="V523" s="135">
        <v>3.03199568323166E-2</v>
      </c>
      <c r="W523" s="135">
        <v>4.6572586641689999E-2</v>
      </c>
      <c r="X523" s="135">
        <v>0.11758444378832</v>
      </c>
      <c r="Y523" s="135">
        <v>0.145489325666049</v>
      </c>
      <c r="Z523" s="135">
        <v>0.126999884027793</v>
      </c>
      <c r="AA523" s="135">
        <v>0.109002859212428</v>
      </c>
      <c r="AB523" s="135">
        <v>9.3078985941609502E-2</v>
      </c>
      <c r="AC523" s="135">
        <v>5.9929500625319002E-2</v>
      </c>
      <c r="AD523" s="135">
        <v>2.9256156954005599E-2</v>
      </c>
      <c r="AF523" s="243">
        <f t="shared" si="11"/>
        <v>0.22684631809278422</v>
      </c>
      <c r="AG523" s="275">
        <f t="shared" si="12"/>
        <v>0.50056982064130195</v>
      </c>
      <c r="AH523" s="391">
        <f t="shared" si="13"/>
        <v>0.86779743194264081</v>
      </c>
      <c r="AI523" s="135">
        <f t="shared" si="14"/>
        <v>1.3683672525839428</v>
      </c>
    </row>
    <row r="524" spans="1:35" ht="12.6">
      <c r="A524" s="10" t="s">
        <v>61</v>
      </c>
      <c r="B524" s="10">
        <v>158</v>
      </c>
      <c r="C524" s="10" t="s">
        <v>1514</v>
      </c>
      <c r="D524" s="388">
        <v>45084</v>
      </c>
      <c r="E524" s="389">
        <v>45084</v>
      </c>
      <c r="F524" s="390" t="str">
        <f t="shared" si="10"/>
        <v>Lighting</v>
      </c>
      <c r="G524" s="135">
        <v>1.51939930822498E-2</v>
      </c>
      <c r="H524" s="135">
        <v>1.22229316458579E-2</v>
      </c>
      <c r="I524" s="135">
        <v>1.06943250732968E-2</v>
      </c>
      <c r="J524" s="135">
        <v>1.24308059308939E-2</v>
      </c>
      <c r="K524" s="135">
        <v>2.1250318129478502E-2</v>
      </c>
      <c r="L524" s="135">
        <v>6.4842902599983293E-2</v>
      </c>
      <c r="M524" s="135">
        <v>0.11119326025135901</v>
      </c>
      <c r="N524" s="135">
        <v>0.11776177716990199</v>
      </c>
      <c r="O524" s="135">
        <v>5.70029562799775E-2</v>
      </c>
      <c r="P524" s="135">
        <v>3.7586508112636002E-2</v>
      </c>
      <c r="Q524" s="135">
        <v>3.2826460901145001E-2</v>
      </c>
      <c r="R524" s="135">
        <v>3.0464230842780899E-2</v>
      </c>
      <c r="S524" s="135">
        <v>2.9228998705234301E-2</v>
      </c>
      <c r="T524" s="135">
        <v>2.9240018158098201E-2</v>
      </c>
      <c r="U524" s="135">
        <v>2.8194066011519199E-2</v>
      </c>
      <c r="V524" s="135">
        <v>3.03199568323166E-2</v>
      </c>
      <c r="W524" s="135">
        <v>4.6572586641689999E-2</v>
      </c>
      <c r="X524" s="135">
        <v>0.11758444378832</v>
      </c>
      <c r="Y524" s="135">
        <v>0.145489325666049</v>
      </c>
      <c r="Z524" s="135">
        <v>0.126999884027793</v>
      </c>
      <c r="AA524" s="135">
        <v>0.109002859212428</v>
      </c>
      <c r="AB524" s="135">
        <v>9.3078985941609502E-2</v>
      </c>
      <c r="AC524" s="135">
        <v>5.9929500625319002E-2</v>
      </c>
      <c r="AD524" s="135">
        <v>2.9256156954005599E-2</v>
      </c>
      <c r="AF524" s="243">
        <f t="shared" si="11"/>
        <v>0.22684631809278422</v>
      </c>
      <c r="AG524" s="275">
        <f t="shared" si="12"/>
        <v>0.50056982064130195</v>
      </c>
      <c r="AH524" s="391">
        <f t="shared" si="13"/>
        <v>0.86779743194264081</v>
      </c>
      <c r="AI524" s="135">
        <f t="shared" si="14"/>
        <v>1.3683672525839428</v>
      </c>
    </row>
    <row r="525" spans="1:35" ht="12.6">
      <c r="A525" s="10" t="s">
        <v>61</v>
      </c>
      <c r="B525" s="10">
        <v>159</v>
      </c>
      <c r="C525" s="10" t="s">
        <v>1514</v>
      </c>
      <c r="D525" s="388">
        <v>45085</v>
      </c>
      <c r="E525" s="389">
        <v>45085</v>
      </c>
      <c r="F525" s="390" t="str">
        <f t="shared" si="10"/>
        <v>Lighting</v>
      </c>
      <c r="G525" s="135">
        <v>1.51939930822498E-2</v>
      </c>
      <c r="H525" s="135">
        <v>1.22229316458579E-2</v>
      </c>
      <c r="I525" s="135">
        <v>1.06943250732968E-2</v>
      </c>
      <c r="J525" s="135">
        <v>1.24308059308939E-2</v>
      </c>
      <c r="K525" s="135">
        <v>2.1250318129478502E-2</v>
      </c>
      <c r="L525" s="135">
        <v>6.4842902599983293E-2</v>
      </c>
      <c r="M525" s="135">
        <v>0.11119326025135901</v>
      </c>
      <c r="N525" s="135">
        <v>0.11776177716990199</v>
      </c>
      <c r="O525" s="135">
        <v>5.70029562799775E-2</v>
      </c>
      <c r="P525" s="135">
        <v>3.7586508112636002E-2</v>
      </c>
      <c r="Q525" s="135">
        <v>3.2826460901145001E-2</v>
      </c>
      <c r="R525" s="135">
        <v>3.0464230842780899E-2</v>
      </c>
      <c r="S525" s="135">
        <v>2.9228998705234301E-2</v>
      </c>
      <c r="T525" s="135">
        <v>2.9240018158098201E-2</v>
      </c>
      <c r="U525" s="135">
        <v>2.8194066011519199E-2</v>
      </c>
      <c r="V525" s="135">
        <v>3.03199568323166E-2</v>
      </c>
      <c r="W525" s="135">
        <v>4.6572586641689999E-2</v>
      </c>
      <c r="X525" s="135">
        <v>0.11758444378832</v>
      </c>
      <c r="Y525" s="135">
        <v>0.145489325666049</v>
      </c>
      <c r="Z525" s="135">
        <v>0.126999884027793</v>
      </c>
      <c r="AA525" s="135">
        <v>0.109002859212428</v>
      </c>
      <c r="AB525" s="135">
        <v>9.3078985941609502E-2</v>
      </c>
      <c r="AC525" s="135">
        <v>5.9929500625319002E-2</v>
      </c>
      <c r="AD525" s="135">
        <v>2.9256156954005599E-2</v>
      </c>
      <c r="AF525" s="243">
        <f t="shared" si="11"/>
        <v>0.22684631809278422</v>
      </c>
      <c r="AG525" s="275">
        <f t="shared" si="12"/>
        <v>0.50056982064130195</v>
      </c>
      <c r="AH525" s="391">
        <f t="shared" si="13"/>
        <v>0.86779743194264081</v>
      </c>
      <c r="AI525" s="135">
        <f t="shared" si="14"/>
        <v>1.3683672525839428</v>
      </c>
    </row>
    <row r="526" spans="1:35" ht="12.6">
      <c r="A526" s="10" t="s">
        <v>61</v>
      </c>
      <c r="B526" s="10">
        <v>160</v>
      </c>
      <c r="C526" s="10" t="s">
        <v>1514</v>
      </c>
      <c r="D526" s="388">
        <v>45086</v>
      </c>
      <c r="E526" s="389">
        <v>45086</v>
      </c>
      <c r="F526" s="390" t="str">
        <f t="shared" si="10"/>
        <v>Lighting</v>
      </c>
      <c r="G526" s="135">
        <v>1.51939930822498E-2</v>
      </c>
      <c r="H526" s="135">
        <v>1.22229316458579E-2</v>
      </c>
      <c r="I526" s="135">
        <v>1.06943250732968E-2</v>
      </c>
      <c r="J526" s="135">
        <v>1.24308059308939E-2</v>
      </c>
      <c r="K526" s="135">
        <v>2.1250318129478502E-2</v>
      </c>
      <c r="L526" s="135">
        <v>6.4842902599983293E-2</v>
      </c>
      <c r="M526" s="135">
        <v>0.11119326025135901</v>
      </c>
      <c r="N526" s="135">
        <v>0.11776177716990199</v>
      </c>
      <c r="O526" s="135">
        <v>5.70029562799775E-2</v>
      </c>
      <c r="P526" s="135">
        <v>3.7586508112636002E-2</v>
      </c>
      <c r="Q526" s="135">
        <v>3.2826460901145001E-2</v>
      </c>
      <c r="R526" s="135">
        <v>3.0464230842780899E-2</v>
      </c>
      <c r="S526" s="135">
        <v>2.9228998705234301E-2</v>
      </c>
      <c r="T526" s="135">
        <v>2.9240018158098201E-2</v>
      </c>
      <c r="U526" s="135">
        <v>2.8194066011519199E-2</v>
      </c>
      <c r="V526" s="135">
        <v>3.03199568323166E-2</v>
      </c>
      <c r="W526" s="135">
        <v>4.6572586641689999E-2</v>
      </c>
      <c r="X526" s="135">
        <v>0.11758444378832</v>
      </c>
      <c r="Y526" s="135">
        <v>0.145489325666049</v>
      </c>
      <c r="Z526" s="135">
        <v>0.126999884027793</v>
      </c>
      <c r="AA526" s="135">
        <v>0.109002859212428</v>
      </c>
      <c r="AB526" s="135">
        <v>9.3078985941609502E-2</v>
      </c>
      <c r="AC526" s="135">
        <v>5.9929500625319002E-2</v>
      </c>
      <c r="AD526" s="135">
        <v>2.9256156954005599E-2</v>
      </c>
      <c r="AF526" s="243">
        <f t="shared" si="11"/>
        <v>0.22684631809278422</v>
      </c>
      <c r="AG526" s="275">
        <f t="shared" si="12"/>
        <v>0.50056982064130195</v>
      </c>
      <c r="AH526" s="391">
        <f t="shared" si="13"/>
        <v>0.86779743194264081</v>
      </c>
      <c r="AI526" s="135">
        <f t="shared" si="14"/>
        <v>1.3683672525839428</v>
      </c>
    </row>
    <row r="527" spans="1:35" ht="12.6">
      <c r="A527" s="10" t="s">
        <v>61</v>
      </c>
      <c r="B527" s="10">
        <v>161</v>
      </c>
      <c r="C527" s="10" t="s">
        <v>1514</v>
      </c>
      <c r="D527" s="388">
        <v>45087</v>
      </c>
      <c r="E527" s="389">
        <v>45087</v>
      </c>
      <c r="F527" s="390" t="str">
        <f t="shared" si="10"/>
        <v>Lighting</v>
      </c>
      <c r="G527" s="135">
        <v>1.77568707231919E-2</v>
      </c>
      <c r="H527" s="135">
        <v>1.38586404349303E-2</v>
      </c>
      <c r="I527" s="135">
        <v>1.23875695988033E-2</v>
      </c>
      <c r="J527" s="135">
        <v>1.34094886965183E-2</v>
      </c>
      <c r="K527" s="135">
        <v>1.84399907402737E-2</v>
      </c>
      <c r="L527" s="135">
        <v>3.2534257335777597E-2</v>
      </c>
      <c r="M527" s="135">
        <v>4.0473895568907202E-2</v>
      </c>
      <c r="N527" s="135">
        <v>5.27745501817075E-2</v>
      </c>
      <c r="O527" s="135">
        <v>6.3894771099025E-2</v>
      </c>
      <c r="P527" s="135">
        <v>6.4849982436399306E-2</v>
      </c>
      <c r="Q527" s="135">
        <v>6.0253746811533899E-2</v>
      </c>
      <c r="R527" s="135">
        <v>6.1659022897766001E-2</v>
      </c>
      <c r="S527" s="135">
        <v>6.0177930783413901E-2</v>
      </c>
      <c r="T527" s="135">
        <v>5.3637810843995999E-2</v>
      </c>
      <c r="U527" s="135">
        <v>4.9042488832951099E-2</v>
      </c>
      <c r="V527" s="135">
        <v>5.0859669687459003E-2</v>
      </c>
      <c r="W527" s="135">
        <v>7.9141990679540405E-2</v>
      </c>
      <c r="X527" s="135">
        <v>0.115945087526673</v>
      </c>
      <c r="Y527" s="135">
        <v>0.13369218166070301</v>
      </c>
      <c r="Z527" s="135">
        <v>0.11753565886384899</v>
      </c>
      <c r="AA527" s="135">
        <v>0.102295577579488</v>
      </c>
      <c r="AB527" s="135">
        <v>8.5409913041520694E-2</v>
      </c>
      <c r="AC527" s="135">
        <v>5.5938593890379203E-2</v>
      </c>
      <c r="AD527" s="135">
        <v>3.1180526147134398E-2</v>
      </c>
      <c r="AF527" s="243">
        <f t="shared" si="11"/>
        <v>0.41477266053666029</v>
      </c>
      <c r="AG527" s="275">
        <f t="shared" si="12"/>
        <v>0.52883972396327616</v>
      </c>
      <c r="AH527" s="391">
        <f t="shared" si="13"/>
        <v>0.85831049209866539</v>
      </c>
      <c r="AI527" s="135">
        <f t="shared" si="14"/>
        <v>1.3871502160619416</v>
      </c>
    </row>
    <row r="528" spans="1:35" ht="12.6">
      <c r="A528" s="10" t="s">
        <v>61</v>
      </c>
      <c r="B528" s="10">
        <v>162</v>
      </c>
      <c r="C528" s="10" t="s">
        <v>1514</v>
      </c>
      <c r="D528" s="388">
        <v>45088</v>
      </c>
      <c r="E528" s="389">
        <v>45088</v>
      </c>
      <c r="F528" s="390" t="str">
        <f t="shared" si="10"/>
        <v>Lighting</v>
      </c>
      <c r="G528" s="135">
        <v>1.77568707231919E-2</v>
      </c>
      <c r="H528" s="135">
        <v>1.38586404349303E-2</v>
      </c>
      <c r="I528" s="135">
        <v>1.23875695988033E-2</v>
      </c>
      <c r="J528" s="135">
        <v>1.34094886965183E-2</v>
      </c>
      <c r="K528" s="135">
        <v>1.84399907402737E-2</v>
      </c>
      <c r="L528" s="135">
        <v>3.2534257335777597E-2</v>
      </c>
      <c r="M528" s="135">
        <v>4.0473895568907202E-2</v>
      </c>
      <c r="N528" s="135">
        <v>5.27745501817075E-2</v>
      </c>
      <c r="O528" s="135">
        <v>6.3894771099025E-2</v>
      </c>
      <c r="P528" s="135">
        <v>6.4849982436399306E-2</v>
      </c>
      <c r="Q528" s="135">
        <v>6.0253746811533899E-2</v>
      </c>
      <c r="R528" s="135">
        <v>6.1659022897766001E-2</v>
      </c>
      <c r="S528" s="135">
        <v>6.0177930783413901E-2</v>
      </c>
      <c r="T528" s="135">
        <v>5.3637810843995999E-2</v>
      </c>
      <c r="U528" s="135">
        <v>4.9042488832951099E-2</v>
      </c>
      <c r="V528" s="135">
        <v>5.0859669687459003E-2</v>
      </c>
      <c r="W528" s="135">
        <v>7.9141990679540405E-2</v>
      </c>
      <c r="X528" s="135">
        <v>0.115945087526673</v>
      </c>
      <c r="Y528" s="135">
        <v>0.13369218166070301</v>
      </c>
      <c r="Z528" s="135">
        <v>0.11753565886384899</v>
      </c>
      <c r="AA528" s="135">
        <v>0.102295577579488</v>
      </c>
      <c r="AB528" s="135">
        <v>8.5409913041520694E-2</v>
      </c>
      <c r="AC528" s="135">
        <v>5.5938593890379203E-2</v>
      </c>
      <c r="AD528" s="135">
        <v>3.1180526147134398E-2</v>
      </c>
      <c r="AF528" s="243">
        <f t="shared" si="11"/>
        <v>0.41477266053666029</v>
      </c>
      <c r="AG528" s="275">
        <f t="shared" si="12"/>
        <v>0.52883972396327616</v>
      </c>
      <c r="AH528" s="391">
        <f t="shared" si="13"/>
        <v>0.85831049209866539</v>
      </c>
      <c r="AI528" s="135">
        <f t="shared" si="14"/>
        <v>1.3871502160619416</v>
      </c>
    </row>
    <row r="529" spans="1:35" ht="12.6">
      <c r="A529" s="10" t="s">
        <v>61</v>
      </c>
      <c r="B529" s="10">
        <v>163</v>
      </c>
      <c r="C529" s="10" t="s">
        <v>1514</v>
      </c>
      <c r="D529" s="388">
        <v>45089</v>
      </c>
      <c r="E529" s="389">
        <v>45089</v>
      </c>
      <c r="F529" s="390" t="str">
        <f t="shared" si="10"/>
        <v>Lighting</v>
      </c>
      <c r="G529" s="135">
        <v>1.51939930822498E-2</v>
      </c>
      <c r="H529" s="135">
        <v>1.22229316458579E-2</v>
      </c>
      <c r="I529" s="135">
        <v>1.06943250732968E-2</v>
      </c>
      <c r="J529" s="135">
        <v>1.24308059308939E-2</v>
      </c>
      <c r="K529" s="135">
        <v>2.1250318129478502E-2</v>
      </c>
      <c r="L529" s="135">
        <v>6.4842902599983293E-2</v>
      </c>
      <c r="M529" s="135">
        <v>0.11119326025135901</v>
      </c>
      <c r="N529" s="135">
        <v>0.11776177716990199</v>
      </c>
      <c r="O529" s="135">
        <v>5.70029562799775E-2</v>
      </c>
      <c r="P529" s="135">
        <v>3.7586508112636002E-2</v>
      </c>
      <c r="Q529" s="135">
        <v>3.2826460901145001E-2</v>
      </c>
      <c r="R529" s="135">
        <v>3.0464230842780899E-2</v>
      </c>
      <c r="S529" s="135">
        <v>2.9228998705234301E-2</v>
      </c>
      <c r="T529" s="135">
        <v>2.9240018158098201E-2</v>
      </c>
      <c r="U529" s="135">
        <v>2.8194066011519199E-2</v>
      </c>
      <c r="V529" s="135">
        <v>3.03199568323166E-2</v>
      </c>
      <c r="W529" s="135">
        <v>4.6572586641689999E-2</v>
      </c>
      <c r="X529" s="135">
        <v>0.11758444378832</v>
      </c>
      <c r="Y529" s="135">
        <v>0.145489325666049</v>
      </c>
      <c r="Z529" s="135">
        <v>0.126999884027793</v>
      </c>
      <c r="AA529" s="135">
        <v>0.109002859212428</v>
      </c>
      <c r="AB529" s="135">
        <v>9.3078985941609502E-2</v>
      </c>
      <c r="AC529" s="135">
        <v>5.9929500625319002E-2</v>
      </c>
      <c r="AD529" s="135">
        <v>2.9256156954005599E-2</v>
      </c>
      <c r="AF529" s="243">
        <f t="shared" si="11"/>
        <v>0.22684631809278422</v>
      </c>
      <c r="AG529" s="275">
        <f t="shared" si="12"/>
        <v>0.50056982064130195</v>
      </c>
      <c r="AH529" s="391">
        <f t="shared" si="13"/>
        <v>0.86779743194264081</v>
      </c>
      <c r="AI529" s="135">
        <f t="shared" si="14"/>
        <v>1.3683672525839428</v>
      </c>
    </row>
    <row r="530" spans="1:35" ht="12.6">
      <c r="A530" s="10" t="s">
        <v>61</v>
      </c>
      <c r="B530" s="10">
        <v>164</v>
      </c>
      <c r="C530" s="10" t="s">
        <v>1514</v>
      </c>
      <c r="D530" s="388">
        <v>45090</v>
      </c>
      <c r="E530" s="389">
        <v>45090</v>
      </c>
      <c r="F530" s="390" t="str">
        <f t="shared" si="10"/>
        <v>Lighting</v>
      </c>
      <c r="G530" s="135">
        <v>1.51939930822498E-2</v>
      </c>
      <c r="H530" s="135">
        <v>1.22229316458579E-2</v>
      </c>
      <c r="I530" s="135">
        <v>1.06943250732968E-2</v>
      </c>
      <c r="J530" s="135">
        <v>1.24308059308939E-2</v>
      </c>
      <c r="K530" s="135">
        <v>2.1250318129478502E-2</v>
      </c>
      <c r="L530" s="135">
        <v>6.4842902599983293E-2</v>
      </c>
      <c r="M530" s="135">
        <v>0.11119326025135901</v>
      </c>
      <c r="N530" s="135">
        <v>0.11776177716990199</v>
      </c>
      <c r="O530" s="135">
        <v>5.70029562799775E-2</v>
      </c>
      <c r="P530" s="135">
        <v>3.7586508112636002E-2</v>
      </c>
      <c r="Q530" s="135">
        <v>3.2826460901145001E-2</v>
      </c>
      <c r="R530" s="135">
        <v>3.0464230842780899E-2</v>
      </c>
      <c r="S530" s="135">
        <v>2.9228998705234301E-2</v>
      </c>
      <c r="T530" s="135">
        <v>2.9240018158098201E-2</v>
      </c>
      <c r="U530" s="135">
        <v>2.8194066011519199E-2</v>
      </c>
      <c r="V530" s="135">
        <v>3.03199568323166E-2</v>
      </c>
      <c r="W530" s="135">
        <v>4.6572586641689999E-2</v>
      </c>
      <c r="X530" s="135">
        <v>0.11758444378832</v>
      </c>
      <c r="Y530" s="135">
        <v>0.145489325666049</v>
      </c>
      <c r="Z530" s="135">
        <v>0.126999884027793</v>
      </c>
      <c r="AA530" s="135">
        <v>0.109002859212428</v>
      </c>
      <c r="AB530" s="135">
        <v>9.3078985941609502E-2</v>
      </c>
      <c r="AC530" s="135">
        <v>5.9929500625319002E-2</v>
      </c>
      <c r="AD530" s="135">
        <v>2.9256156954005599E-2</v>
      </c>
      <c r="AF530" s="243">
        <f t="shared" si="11"/>
        <v>0.22684631809278422</v>
      </c>
      <c r="AG530" s="275">
        <f t="shared" si="12"/>
        <v>0.50056982064130195</v>
      </c>
      <c r="AH530" s="391">
        <f t="shared" si="13"/>
        <v>0.86779743194264081</v>
      </c>
      <c r="AI530" s="135">
        <f t="shared" si="14"/>
        <v>1.3683672525839428</v>
      </c>
    </row>
    <row r="531" spans="1:35" ht="12.6">
      <c r="A531" s="10" t="s">
        <v>61</v>
      </c>
      <c r="B531" s="10">
        <v>165</v>
      </c>
      <c r="C531" s="10" t="s">
        <v>1514</v>
      </c>
      <c r="D531" s="388">
        <v>45091</v>
      </c>
      <c r="E531" s="389">
        <v>45091</v>
      </c>
      <c r="F531" s="390" t="str">
        <f t="shared" si="10"/>
        <v>Lighting</v>
      </c>
      <c r="G531" s="135">
        <v>1.51939930822498E-2</v>
      </c>
      <c r="H531" s="135">
        <v>1.22229316458579E-2</v>
      </c>
      <c r="I531" s="135">
        <v>1.06943250732968E-2</v>
      </c>
      <c r="J531" s="135">
        <v>1.24308059308939E-2</v>
      </c>
      <c r="K531" s="135">
        <v>2.1250318129478502E-2</v>
      </c>
      <c r="L531" s="135">
        <v>6.4842902599983293E-2</v>
      </c>
      <c r="M531" s="135">
        <v>0.11119326025135901</v>
      </c>
      <c r="N531" s="135">
        <v>0.11776177716990199</v>
      </c>
      <c r="O531" s="135">
        <v>5.70029562799775E-2</v>
      </c>
      <c r="P531" s="135">
        <v>3.7586508112636002E-2</v>
      </c>
      <c r="Q531" s="135">
        <v>3.2826460901145001E-2</v>
      </c>
      <c r="R531" s="135">
        <v>3.0464230842780899E-2</v>
      </c>
      <c r="S531" s="135">
        <v>2.9228998705234301E-2</v>
      </c>
      <c r="T531" s="135">
        <v>2.9240018158098201E-2</v>
      </c>
      <c r="U531" s="135">
        <v>2.8194066011519199E-2</v>
      </c>
      <c r="V531" s="135">
        <v>3.03199568323166E-2</v>
      </c>
      <c r="W531" s="135">
        <v>4.6572586641689999E-2</v>
      </c>
      <c r="X531" s="135">
        <v>0.11758444378832</v>
      </c>
      <c r="Y531" s="135">
        <v>0.145489325666049</v>
      </c>
      <c r="Z531" s="135">
        <v>0.126999884027793</v>
      </c>
      <c r="AA531" s="135">
        <v>0.109002859212428</v>
      </c>
      <c r="AB531" s="135">
        <v>9.3078985941609502E-2</v>
      </c>
      <c r="AC531" s="135">
        <v>5.9929500625319002E-2</v>
      </c>
      <c r="AD531" s="135">
        <v>2.9256156954005599E-2</v>
      </c>
      <c r="AF531" s="243">
        <f t="shared" si="11"/>
        <v>0.22684631809278422</v>
      </c>
      <c r="AG531" s="275">
        <f t="shared" si="12"/>
        <v>0.50056982064130195</v>
      </c>
      <c r="AH531" s="391">
        <f t="shared" si="13"/>
        <v>0.86779743194264081</v>
      </c>
      <c r="AI531" s="135">
        <f t="shared" si="14"/>
        <v>1.3683672525839428</v>
      </c>
    </row>
    <row r="532" spans="1:35" ht="12.6">
      <c r="A532" s="10" t="s">
        <v>61</v>
      </c>
      <c r="B532" s="10">
        <v>166</v>
      </c>
      <c r="C532" s="10" t="s">
        <v>1514</v>
      </c>
      <c r="D532" s="388">
        <v>45092</v>
      </c>
      <c r="E532" s="389">
        <v>45092</v>
      </c>
      <c r="F532" s="390" t="str">
        <f t="shared" si="10"/>
        <v>Lighting</v>
      </c>
      <c r="G532" s="135">
        <v>1.51939930822498E-2</v>
      </c>
      <c r="H532" s="135">
        <v>1.22229316458579E-2</v>
      </c>
      <c r="I532" s="135">
        <v>1.06943250732968E-2</v>
      </c>
      <c r="J532" s="135">
        <v>1.24308059308939E-2</v>
      </c>
      <c r="K532" s="135">
        <v>2.1250318129478502E-2</v>
      </c>
      <c r="L532" s="135">
        <v>6.4842902599983293E-2</v>
      </c>
      <c r="M532" s="135">
        <v>0.11119326025135901</v>
      </c>
      <c r="N532" s="135">
        <v>0.11776177716990199</v>
      </c>
      <c r="O532" s="135">
        <v>5.70029562799775E-2</v>
      </c>
      <c r="P532" s="135">
        <v>3.7586508112636002E-2</v>
      </c>
      <c r="Q532" s="135">
        <v>3.2826460901145001E-2</v>
      </c>
      <c r="R532" s="135">
        <v>3.0464230842780899E-2</v>
      </c>
      <c r="S532" s="135">
        <v>2.9228998705234301E-2</v>
      </c>
      <c r="T532" s="135">
        <v>2.9240018158098201E-2</v>
      </c>
      <c r="U532" s="135">
        <v>2.8194066011519199E-2</v>
      </c>
      <c r="V532" s="135">
        <v>3.03199568323166E-2</v>
      </c>
      <c r="W532" s="135">
        <v>4.6572586641689999E-2</v>
      </c>
      <c r="X532" s="135">
        <v>0.11758444378832</v>
      </c>
      <c r="Y532" s="135">
        <v>0.145489325666049</v>
      </c>
      <c r="Z532" s="135">
        <v>0.126999884027793</v>
      </c>
      <c r="AA532" s="135">
        <v>0.109002859212428</v>
      </c>
      <c r="AB532" s="135">
        <v>9.3078985941609502E-2</v>
      </c>
      <c r="AC532" s="135">
        <v>5.9929500625319002E-2</v>
      </c>
      <c r="AD532" s="135">
        <v>2.9256156954005599E-2</v>
      </c>
      <c r="AF532" s="243">
        <f t="shared" si="11"/>
        <v>0.22684631809278422</v>
      </c>
      <c r="AG532" s="275">
        <f t="shared" si="12"/>
        <v>0.50056982064130195</v>
      </c>
      <c r="AH532" s="391">
        <f t="shared" si="13"/>
        <v>0.86779743194264081</v>
      </c>
      <c r="AI532" s="135">
        <f t="shared" si="14"/>
        <v>1.3683672525839428</v>
      </c>
    </row>
    <row r="533" spans="1:35" ht="12.6">
      <c r="A533" s="10" t="s">
        <v>61</v>
      </c>
      <c r="B533" s="10">
        <v>167</v>
      </c>
      <c r="C533" s="10" t="s">
        <v>1514</v>
      </c>
      <c r="D533" s="388">
        <v>45093</v>
      </c>
      <c r="E533" s="389">
        <v>45093</v>
      </c>
      <c r="F533" s="390" t="str">
        <f t="shared" si="10"/>
        <v>Lighting</v>
      </c>
      <c r="G533" s="135">
        <v>1.51939930822498E-2</v>
      </c>
      <c r="H533" s="135">
        <v>1.22229316458579E-2</v>
      </c>
      <c r="I533" s="135">
        <v>1.06943250732968E-2</v>
      </c>
      <c r="J533" s="135">
        <v>1.24308059308939E-2</v>
      </c>
      <c r="K533" s="135">
        <v>2.1250318129478502E-2</v>
      </c>
      <c r="L533" s="135">
        <v>6.4842902599983293E-2</v>
      </c>
      <c r="M533" s="135">
        <v>0.11119326025135901</v>
      </c>
      <c r="N533" s="135">
        <v>0.11776177716990199</v>
      </c>
      <c r="O533" s="135">
        <v>5.70029562799775E-2</v>
      </c>
      <c r="P533" s="135">
        <v>3.7586508112636002E-2</v>
      </c>
      <c r="Q533" s="135">
        <v>3.2826460901145001E-2</v>
      </c>
      <c r="R533" s="135">
        <v>3.0464230842780899E-2</v>
      </c>
      <c r="S533" s="135">
        <v>2.9228998705234301E-2</v>
      </c>
      <c r="T533" s="135">
        <v>2.9240018158098201E-2</v>
      </c>
      <c r="U533" s="135">
        <v>2.8194066011519199E-2</v>
      </c>
      <c r="V533" s="135">
        <v>3.03199568323166E-2</v>
      </c>
      <c r="W533" s="135">
        <v>4.6572586641689999E-2</v>
      </c>
      <c r="X533" s="135">
        <v>0.11758444378832</v>
      </c>
      <c r="Y533" s="135">
        <v>0.145489325666049</v>
      </c>
      <c r="Z533" s="135">
        <v>0.126999884027793</v>
      </c>
      <c r="AA533" s="135">
        <v>0.109002859212428</v>
      </c>
      <c r="AB533" s="135">
        <v>9.3078985941609502E-2</v>
      </c>
      <c r="AC533" s="135">
        <v>5.9929500625319002E-2</v>
      </c>
      <c r="AD533" s="135">
        <v>2.9256156954005599E-2</v>
      </c>
      <c r="AF533" s="243">
        <f t="shared" si="11"/>
        <v>0.22684631809278422</v>
      </c>
      <c r="AG533" s="275">
        <f t="shared" si="12"/>
        <v>0.50056982064130195</v>
      </c>
      <c r="AH533" s="391">
        <f t="shared" si="13"/>
        <v>0.86779743194264081</v>
      </c>
      <c r="AI533" s="135">
        <f t="shared" si="14"/>
        <v>1.3683672525839428</v>
      </c>
    </row>
    <row r="534" spans="1:35" ht="12.6">
      <c r="A534" s="10" t="s">
        <v>61</v>
      </c>
      <c r="B534" s="10">
        <v>168</v>
      </c>
      <c r="C534" s="10" t="s">
        <v>1514</v>
      </c>
      <c r="D534" s="388">
        <v>45094</v>
      </c>
      <c r="E534" s="389">
        <v>45094</v>
      </c>
      <c r="F534" s="390" t="str">
        <f t="shared" si="10"/>
        <v>Lighting</v>
      </c>
      <c r="G534" s="135">
        <v>1.77568707231919E-2</v>
      </c>
      <c r="H534" s="135">
        <v>1.38586404349303E-2</v>
      </c>
      <c r="I534" s="135">
        <v>1.23875695988033E-2</v>
      </c>
      <c r="J534" s="135">
        <v>1.34094886965183E-2</v>
      </c>
      <c r="K534" s="135">
        <v>1.84399907402737E-2</v>
      </c>
      <c r="L534" s="135">
        <v>3.2534257335777597E-2</v>
      </c>
      <c r="M534" s="135">
        <v>4.0473895568907202E-2</v>
      </c>
      <c r="N534" s="135">
        <v>5.27745501817075E-2</v>
      </c>
      <c r="O534" s="135">
        <v>6.3894771099025E-2</v>
      </c>
      <c r="P534" s="135">
        <v>6.4849982436399306E-2</v>
      </c>
      <c r="Q534" s="135">
        <v>6.0253746811533899E-2</v>
      </c>
      <c r="R534" s="135">
        <v>6.1659022897766001E-2</v>
      </c>
      <c r="S534" s="135">
        <v>6.0177930783413901E-2</v>
      </c>
      <c r="T534" s="135">
        <v>5.3637810843995999E-2</v>
      </c>
      <c r="U534" s="135">
        <v>4.9042488832951099E-2</v>
      </c>
      <c r="V534" s="135">
        <v>5.0859669687459003E-2</v>
      </c>
      <c r="W534" s="135">
        <v>7.9141990679540405E-2</v>
      </c>
      <c r="X534" s="135">
        <v>0.115945087526673</v>
      </c>
      <c r="Y534" s="135">
        <v>0.13369218166070301</v>
      </c>
      <c r="Z534" s="135">
        <v>0.11753565886384899</v>
      </c>
      <c r="AA534" s="135">
        <v>0.102295577579488</v>
      </c>
      <c r="AB534" s="135">
        <v>8.5409913041520694E-2</v>
      </c>
      <c r="AC534" s="135">
        <v>5.5938593890379203E-2</v>
      </c>
      <c r="AD534" s="135">
        <v>3.1180526147134398E-2</v>
      </c>
      <c r="AF534" s="243">
        <f t="shared" si="11"/>
        <v>0.41477266053666029</v>
      </c>
      <c r="AG534" s="275">
        <f t="shared" si="12"/>
        <v>0.52883972396327616</v>
      </c>
      <c r="AH534" s="391">
        <f t="shared" si="13"/>
        <v>0.85831049209866539</v>
      </c>
      <c r="AI534" s="135">
        <f t="shared" si="14"/>
        <v>1.3871502160619416</v>
      </c>
    </row>
    <row r="535" spans="1:35" ht="12.6">
      <c r="A535" s="10" t="s">
        <v>61</v>
      </c>
      <c r="B535" s="10">
        <v>169</v>
      </c>
      <c r="C535" s="10" t="s">
        <v>1514</v>
      </c>
      <c r="D535" s="388">
        <v>45095</v>
      </c>
      <c r="E535" s="389">
        <v>45095</v>
      </c>
      <c r="F535" s="390" t="str">
        <f t="shared" si="10"/>
        <v>Lighting</v>
      </c>
      <c r="G535" s="135">
        <v>1.77568707231919E-2</v>
      </c>
      <c r="H535" s="135">
        <v>1.38586404349303E-2</v>
      </c>
      <c r="I535" s="135">
        <v>1.23875695988033E-2</v>
      </c>
      <c r="J535" s="135">
        <v>1.34094886965183E-2</v>
      </c>
      <c r="K535" s="135">
        <v>1.84399907402737E-2</v>
      </c>
      <c r="L535" s="135">
        <v>3.2534257335777597E-2</v>
      </c>
      <c r="M535" s="135">
        <v>4.0473895568907202E-2</v>
      </c>
      <c r="N535" s="135">
        <v>5.27745501817075E-2</v>
      </c>
      <c r="O535" s="135">
        <v>6.3894771099025E-2</v>
      </c>
      <c r="P535" s="135">
        <v>6.4849982436399306E-2</v>
      </c>
      <c r="Q535" s="135">
        <v>6.0253746811533899E-2</v>
      </c>
      <c r="R535" s="135">
        <v>6.1659022897766001E-2</v>
      </c>
      <c r="S535" s="135">
        <v>6.0177930783413901E-2</v>
      </c>
      <c r="T535" s="135">
        <v>5.3637810843995999E-2</v>
      </c>
      <c r="U535" s="135">
        <v>4.9042488832951099E-2</v>
      </c>
      <c r="V535" s="135">
        <v>5.0859669687459003E-2</v>
      </c>
      <c r="W535" s="135">
        <v>7.9141990679540405E-2</v>
      </c>
      <c r="X535" s="135">
        <v>0.115945087526673</v>
      </c>
      <c r="Y535" s="135">
        <v>0.13369218166070301</v>
      </c>
      <c r="Z535" s="135">
        <v>0.11753565886384899</v>
      </c>
      <c r="AA535" s="135">
        <v>0.102295577579488</v>
      </c>
      <c r="AB535" s="135">
        <v>8.5409913041520694E-2</v>
      </c>
      <c r="AC535" s="135">
        <v>5.5938593890379203E-2</v>
      </c>
      <c r="AD535" s="135">
        <v>3.1180526147134398E-2</v>
      </c>
      <c r="AF535" s="243">
        <f t="shared" si="11"/>
        <v>0.41477266053666029</v>
      </c>
      <c r="AG535" s="275">
        <f t="shared" si="12"/>
        <v>0.52883972396327616</v>
      </c>
      <c r="AH535" s="391">
        <f t="shared" si="13"/>
        <v>0.85831049209866539</v>
      </c>
      <c r="AI535" s="135">
        <f t="shared" si="14"/>
        <v>1.3871502160619416</v>
      </c>
    </row>
    <row r="536" spans="1:35" ht="12.6">
      <c r="A536" s="10" t="s">
        <v>61</v>
      </c>
      <c r="B536" s="10">
        <v>170</v>
      </c>
      <c r="C536" s="10" t="s">
        <v>1514</v>
      </c>
      <c r="D536" s="388">
        <v>45096</v>
      </c>
      <c r="E536" s="389">
        <v>45096</v>
      </c>
      <c r="F536" s="390" t="str">
        <f t="shared" si="10"/>
        <v>Lighting</v>
      </c>
      <c r="G536" s="135">
        <v>1.51939930822498E-2</v>
      </c>
      <c r="H536" s="135">
        <v>1.22229316458579E-2</v>
      </c>
      <c r="I536" s="135">
        <v>1.06943250732968E-2</v>
      </c>
      <c r="J536" s="135">
        <v>1.24308059308939E-2</v>
      </c>
      <c r="K536" s="135">
        <v>2.1250318129478502E-2</v>
      </c>
      <c r="L536" s="135">
        <v>6.4842902599983293E-2</v>
      </c>
      <c r="M536" s="135">
        <v>0.11119326025135901</v>
      </c>
      <c r="N536" s="135">
        <v>0.11776177716990199</v>
      </c>
      <c r="O536" s="135">
        <v>5.70029562799775E-2</v>
      </c>
      <c r="P536" s="135">
        <v>3.7586508112636002E-2</v>
      </c>
      <c r="Q536" s="135">
        <v>3.2826460901145001E-2</v>
      </c>
      <c r="R536" s="135">
        <v>3.0464230842780899E-2</v>
      </c>
      <c r="S536" s="135">
        <v>2.9228998705234301E-2</v>
      </c>
      <c r="T536" s="135">
        <v>2.9240018158098201E-2</v>
      </c>
      <c r="U536" s="135">
        <v>2.8194066011519199E-2</v>
      </c>
      <c r="V536" s="135">
        <v>3.03199568323166E-2</v>
      </c>
      <c r="W536" s="135">
        <v>4.6572586641689999E-2</v>
      </c>
      <c r="X536" s="135">
        <v>0.11758444378832</v>
      </c>
      <c r="Y536" s="135">
        <v>0.145489325666049</v>
      </c>
      <c r="Z536" s="135">
        <v>0.126999884027793</v>
      </c>
      <c r="AA536" s="135">
        <v>0.109002859212428</v>
      </c>
      <c r="AB536" s="135">
        <v>9.3078985941609502E-2</v>
      </c>
      <c r="AC536" s="135">
        <v>5.9929500625319002E-2</v>
      </c>
      <c r="AD536" s="135">
        <v>2.9256156954005599E-2</v>
      </c>
      <c r="AF536" s="243">
        <f t="shared" si="11"/>
        <v>0.22684631809278422</v>
      </c>
      <c r="AG536" s="275">
        <f t="shared" si="12"/>
        <v>0.50056982064130195</v>
      </c>
      <c r="AH536" s="391">
        <f t="shared" si="13"/>
        <v>0.86779743194264081</v>
      </c>
      <c r="AI536" s="135">
        <f t="shared" si="14"/>
        <v>1.3683672525839428</v>
      </c>
    </row>
    <row r="537" spans="1:35" ht="12.6">
      <c r="A537" s="10" t="s">
        <v>61</v>
      </c>
      <c r="B537" s="10">
        <v>171</v>
      </c>
      <c r="C537" s="10" t="s">
        <v>1514</v>
      </c>
      <c r="D537" s="388">
        <v>45097</v>
      </c>
      <c r="E537" s="389">
        <v>45097</v>
      </c>
      <c r="F537" s="390" t="str">
        <f t="shared" si="10"/>
        <v>Lighting</v>
      </c>
      <c r="G537" s="135">
        <v>1.51939930822498E-2</v>
      </c>
      <c r="H537" s="135">
        <v>1.22229316458579E-2</v>
      </c>
      <c r="I537" s="135">
        <v>1.06943250732968E-2</v>
      </c>
      <c r="J537" s="135">
        <v>1.24308059308939E-2</v>
      </c>
      <c r="K537" s="135">
        <v>2.1250318129478502E-2</v>
      </c>
      <c r="L537" s="135">
        <v>6.4842902599983293E-2</v>
      </c>
      <c r="M537" s="135">
        <v>0.11119326025135901</v>
      </c>
      <c r="N537" s="135">
        <v>0.11776177716990199</v>
      </c>
      <c r="O537" s="135">
        <v>5.70029562799775E-2</v>
      </c>
      <c r="P537" s="135">
        <v>3.7586508112636002E-2</v>
      </c>
      <c r="Q537" s="135">
        <v>3.2826460901145001E-2</v>
      </c>
      <c r="R537" s="135">
        <v>3.0464230842780899E-2</v>
      </c>
      <c r="S537" s="135">
        <v>2.9228998705234301E-2</v>
      </c>
      <c r="T537" s="135">
        <v>2.9240018158098201E-2</v>
      </c>
      <c r="U537" s="135">
        <v>2.8194066011519199E-2</v>
      </c>
      <c r="V537" s="135">
        <v>3.03199568323166E-2</v>
      </c>
      <c r="W537" s="135">
        <v>4.6572586641689999E-2</v>
      </c>
      <c r="X537" s="135">
        <v>0.11758444378832</v>
      </c>
      <c r="Y537" s="135">
        <v>0.145489325666049</v>
      </c>
      <c r="Z537" s="135">
        <v>0.126999884027793</v>
      </c>
      <c r="AA537" s="135">
        <v>0.109002859212428</v>
      </c>
      <c r="AB537" s="135">
        <v>9.3078985941609502E-2</v>
      </c>
      <c r="AC537" s="135">
        <v>5.9929500625319002E-2</v>
      </c>
      <c r="AD537" s="135">
        <v>2.9256156954005599E-2</v>
      </c>
      <c r="AF537" s="243">
        <f t="shared" si="11"/>
        <v>0.22684631809278422</v>
      </c>
      <c r="AG537" s="275">
        <f t="shared" si="12"/>
        <v>0.50056982064130195</v>
      </c>
      <c r="AH537" s="391">
        <f t="shared" si="13"/>
        <v>0.86779743194264081</v>
      </c>
      <c r="AI537" s="135">
        <f t="shared" si="14"/>
        <v>1.3683672525839428</v>
      </c>
    </row>
    <row r="538" spans="1:35" ht="12.6">
      <c r="A538" s="10" t="s">
        <v>61</v>
      </c>
      <c r="B538" s="10">
        <v>172</v>
      </c>
      <c r="C538" s="10" t="s">
        <v>1514</v>
      </c>
      <c r="D538" s="388">
        <v>45098</v>
      </c>
      <c r="E538" s="389">
        <v>45098</v>
      </c>
      <c r="F538" s="390" t="str">
        <f t="shared" si="10"/>
        <v>Lighting</v>
      </c>
      <c r="G538" s="135">
        <v>1.51939930822498E-2</v>
      </c>
      <c r="H538" s="135">
        <v>1.22229316458579E-2</v>
      </c>
      <c r="I538" s="135">
        <v>1.06943250732968E-2</v>
      </c>
      <c r="J538" s="135">
        <v>1.24308059308939E-2</v>
      </c>
      <c r="K538" s="135">
        <v>2.1250318129478502E-2</v>
      </c>
      <c r="L538" s="135">
        <v>6.4842902599983293E-2</v>
      </c>
      <c r="M538" s="135">
        <v>0.11119326025135901</v>
      </c>
      <c r="N538" s="135">
        <v>0.11776177716990199</v>
      </c>
      <c r="O538" s="135">
        <v>5.70029562799775E-2</v>
      </c>
      <c r="P538" s="135">
        <v>3.7586508112636002E-2</v>
      </c>
      <c r="Q538" s="135">
        <v>3.2826460901145001E-2</v>
      </c>
      <c r="R538" s="135">
        <v>3.0464230842780899E-2</v>
      </c>
      <c r="S538" s="135">
        <v>2.9228998705234301E-2</v>
      </c>
      <c r="T538" s="135">
        <v>2.9240018158098201E-2</v>
      </c>
      <c r="U538" s="135">
        <v>2.8194066011519199E-2</v>
      </c>
      <c r="V538" s="135">
        <v>3.03199568323166E-2</v>
      </c>
      <c r="W538" s="135">
        <v>4.6572586641689999E-2</v>
      </c>
      <c r="X538" s="135">
        <v>0.11758444378832</v>
      </c>
      <c r="Y538" s="135">
        <v>0.145489325666049</v>
      </c>
      <c r="Z538" s="135">
        <v>0.126999884027793</v>
      </c>
      <c r="AA538" s="135">
        <v>0.109002859212428</v>
      </c>
      <c r="AB538" s="135">
        <v>9.3078985941609502E-2</v>
      </c>
      <c r="AC538" s="135">
        <v>5.9929500625319002E-2</v>
      </c>
      <c r="AD538" s="135">
        <v>2.9256156954005599E-2</v>
      </c>
      <c r="AF538" s="243">
        <f t="shared" si="11"/>
        <v>0.22684631809278422</v>
      </c>
      <c r="AG538" s="275">
        <f t="shared" si="12"/>
        <v>0.50056982064130195</v>
      </c>
      <c r="AH538" s="391">
        <f t="shared" si="13"/>
        <v>0.86779743194264081</v>
      </c>
      <c r="AI538" s="135">
        <f t="shared" si="14"/>
        <v>1.3683672525839428</v>
      </c>
    </row>
    <row r="539" spans="1:35" ht="12.6">
      <c r="A539" s="10" t="s">
        <v>61</v>
      </c>
      <c r="B539" s="10">
        <v>173</v>
      </c>
      <c r="C539" s="10" t="s">
        <v>1514</v>
      </c>
      <c r="D539" s="388">
        <v>45099</v>
      </c>
      <c r="E539" s="389">
        <v>45099</v>
      </c>
      <c r="F539" s="390" t="str">
        <f t="shared" si="10"/>
        <v>Lighting</v>
      </c>
      <c r="G539" s="135">
        <v>1.51939930822498E-2</v>
      </c>
      <c r="H539" s="135">
        <v>1.22229316458579E-2</v>
      </c>
      <c r="I539" s="135">
        <v>1.06943250732968E-2</v>
      </c>
      <c r="J539" s="135">
        <v>1.24308059308939E-2</v>
      </c>
      <c r="K539" s="135">
        <v>2.1250318129478502E-2</v>
      </c>
      <c r="L539" s="135">
        <v>6.4842902599983293E-2</v>
      </c>
      <c r="M539" s="135">
        <v>0.11119326025135901</v>
      </c>
      <c r="N539" s="135">
        <v>0.11776177716990199</v>
      </c>
      <c r="O539" s="135">
        <v>5.70029562799775E-2</v>
      </c>
      <c r="P539" s="135">
        <v>3.7586508112636002E-2</v>
      </c>
      <c r="Q539" s="135">
        <v>3.2826460901145001E-2</v>
      </c>
      <c r="R539" s="135">
        <v>3.0464230842780899E-2</v>
      </c>
      <c r="S539" s="135">
        <v>2.9228998705234301E-2</v>
      </c>
      <c r="T539" s="135">
        <v>2.9240018158098201E-2</v>
      </c>
      <c r="U539" s="135">
        <v>2.8194066011519199E-2</v>
      </c>
      <c r="V539" s="135">
        <v>3.03199568323166E-2</v>
      </c>
      <c r="W539" s="135">
        <v>4.6572586641689999E-2</v>
      </c>
      <c r="X539" s="135">
        <v>0.11758444378832</v>
      </c>
      <c r="Y539" s="135">
        <v>0.145489325666049</v>
      </c>
      <c r="Z539" s="135">
        <v>0.126999884027793</v>
      </c>
      <c r="AA539" s="135">
        <v>0.109002859212428</v>
      </c>
      <c r="AB539" s="135">
        <v>9.3078985941609502E-2</v>
      </c>
      <c r="AC539" s="135">
        <v>5.9929500625319002E-2</v>
      </c>
      <c r="AD539" s="135">
        <v>2.9256156954005599E-2</v>
      </c>
      <c r="AF539" s="243">
        <f t="shared" si="11"/>
        <v>0.22684631809278422</v>
      </c>
      <c r="AG539" s="275">
        <f t="shared" si="12"/>
        <v>0.50056982064130195</v>
      </c>
      <c r="AH539" s="391">
        <f t="shared" si="13"/>
        <v>0.86779743194264081</v>
      </c>
      <c r="AI539" s="135">
        <f t="shared" si="14"/>
        <v>1.3683672525839428</v>
      </c>
    </row>
    <row r="540" spans="1:35" ht="12.6">
      <c r="A540" s="10" t="s">
        <v>61</v>
      </c>
      <c r="B540" s="10">
        <v>174</v>
      </c>
      <c r="C540" s="10" t="s">
        <v>1514</v>
      </c>
      <c r="D540" s="388">
        <v>45100</v>
      </c>
      <c r="E540" s="389">
        <v>45100</v>
      </c>
      <c r="F540" s="390" t="str">
        <f t="shared" si="10"/>
        <v>Lighting</v>
      </c>
      <c r="G540" s="135">
        <v>1.51939930822498E-2</v>
      </c>
      <c r="H540" s="135">
        <v>1.22229316458579E-2</v>
      </c>
      <c r="I540" s="135">
        <v>1.06943250732968E-2</v>
      </c>
      <c r="J540" s="135">
        <v>1.24308059308939E-2</v>
      </c>
      <c r="K540" s="135">
        <v>2.1250318129478502E-2</v>
      </c>
      <c r="L540" s="135">
        <v>6.4842902599983293E-2</v>
      </c>
      <c r="M540" s="135">
        <v>0.11119326025135901</v>
      </c>
      <c r="N540" s="135">
        <v>0.11776177716990199</v>
      </c>
      <c r="O540" s="135">
        <v>5.70029562799775E-2</v>
      </c>
      <c r="P540" s="135">
        <v>3.7586508112636002E-2</v>
      </c>
      <c r="Q540" s="135">
        <v>3.2826460901145001E-2</v>
      </c>
      <c r="R540" s="135">
        <v>3.0464230842780899E-2</v>
      </c>
      <c r="S540" s="135">
        <v>2.9228998705234301E-2</v>
      </c>
      <c r="T540" s="135">
        <v>2.9240018158098201E-2</v>
      </c>
      <c r="U540" s="135">
        <v>2.8194066011519199E-2</v>
      </c>
      <c r="V540" s="135">
        <v>3.03199568323166E-2</v>
      </c>
      <c r="W540" s="135">
        <v>4.6572586641689999E-2</v>
      </c>
      <c r="X540" s="135">
        <v>0.11758444378832</v>
      </c>
      <c r="Y540" s="135">
        <v>0.145489325666049</v>
      </c>
      <c r="Z540" s="135">
        <v>0.126999884027793</v>
      </c>
      <c r="AA540" s="135">
        <v>0.109002859212428</v>
      </c>
      <c r="AB540" s="135">
        <v>9.3078985941609502E-2</v>
      </c>
      <c r="AC540" s="135">
        <v>5.9929500625319002E-2</v>
      </c>
      <c r="AD540" s="135">
        <v>2.9256156954005599E-2</v>
      </c>
      <c r="AF540" s="243">
        <f t="shared" si="11"/>
        <v>0.22684631809278422</v>
      </c>
      <c r="AG540" s="275">
        <f t="shared" si="12"/>
        <v>0.50056982064130195</v>
      </c>
      <c r="AH540" s="391">
        <f t="shared" si="13"/>
        <v>0.86779743194264081</v>
      </c>
      <c r="AI540" s="135">
        <f t="shared" si="14"/>
        <v>1.3683672525839428</v>
      </c>
    </row>
    <row r="541" spans="1:35" ht="12.6">
      <c r="A541" s="10" t="s">
        <v>61</v>
      </c>
      <c r="B541" s="10">
        <v>175</v>
      </c>
      <c r="C541" s="10" t="s">
        <v>1514</v>
      </c>
      <c r="D541" s="388">
        <v>45101</v>
      </c>
      <c r="E541" s="389">
        <v>45101</v>
      </c>
      <c r="F541" s="390" t="str">
        <f t="shared" si="10"/>
        <v>Lighting</v>
      </c>
      <c r="G541" s="135">
        <v>1.77568707231919E-2</v>
      </c>
      <c r="H541" s="135">
        <v>1.38586404349303E-2</v>
      </c>
      <c r="I541" s="135">
        <v>1.23875695988033E-2</v>
      </c>
      <c r="J541" s="135">
        <v>1.34094886965183E-2</v>
      </c>
      <c r="K541" s="135">
        <v>1.84399907402737E-2</v>
      </c>
      <c r="L541" s="135">
        <v>3.2534257335777597E-2</v>
      </c>
      <c r="M541" s="135">
        <v>4.0473895568907202E-2</v>
      </c>
      <c r="N541" s="135">
        <v>5.27745501817075E-2</v>
      </c>
      <c r="O541" s="135">
        <v>6.3894771099025E-2</v>
      </c>
      <c r="P541" s="135">
        <v>6.4849982436399306E-2</v>
      </c>
      <c r="Q541" s="135">
        <v>6.0253746811533899E-2</v>
      </c>
      <c r="R541" s="135">
        <v>6.1659022897766001E-2</v>
      </c>
      <c r="S541" s="135">
        <v>6.0177930783413901E-2</v>
      </c>
      <c r="T541" s="135">
        <v>5.3637810843995999E-2</v>
      </c>
      <c r="U541" s="135">
        <v>4.9042488832951099E-2</v>
      </c>
      <c r="V541" s="135">
        <v>5.0859669687459003E-2</v>
      </c>
      <c r="W541" s="135">
        <v>7.9141990679540405E-2</v>
      </c>
      <c r="X541" s="135">
        <v>0.115945087526673</v>
      </c>
      <c r="Y541" s="135">
        <v>0.13369218166070301</v>
      </c>
      <c r="Z541" s="135">
        <v>0.11753565886384899</v>
      </c>
      <c r="AA541" s="135">
        <v>0.102295577579488</v>
      </c>
      <c r="AB541" s="135">
        <v>8.5409913041520694E-2</v>
      </c>
      <c r="AC541" s="135">
        <v>5.5938593890379203E-2</v>
      </c>
      <c r="AD541" s="135">
        <v>3.1180526147134398E-2</v>
      </c>
      <c r="AF541" s="243">
        <f t="shared" si="11"/>
        <v>0.41477266053666029</v>
      </c>
      <c r="AG541" s="275">
        <f t="shared" si="12"/>
        <v>0.52883972396327616</v>
      </c>
      <c r="AH541" s="391">
        <f t="shared" si="13"/>
        <v>0.85831049209866539</v>
      </c>
      <c r="AI541" s="135">
        <f t="shared" si="14"/>
        <v>1.3871502160619416</v>
      </c>
    </row>
    <row r="542" spans="1:35" ht="12.6">
      <c r="A542" s="10" t="s">
        <v>61</v>
      </c>
      <c r="B542" s="10">
        <v>176</v>
      </c>
      <c r="C542" s="10" t="s">
        <v>1514</v>
      </c>
      <c r="D542" s="388">
        <v>45102</v>
      </c>
      <c r="E542" s="389">
        <v>45102</v>
      </c>
      <c r="F542" s="390" t="str">
        <f t="shared" si="10"/>
        <v>Lighting</v>
      </c>
      <c r="G542" s="135">
        <v>1.77568707231919E-2</v>
      </c>
      <c r="H542" s="135">
        <v>1.38586404349303E-2</v>
      </c>
      <c r="I542" s="135">
        <v>1.23875695988033E-2</v>
      </c>
      <c r="J542" s="135">
        <v>1.34094886965183E-2</v>
      </c>
      <c r="K542" s="135">
        <v>1.84399907402737E-2</v>
      </c>
      <c r="L542" s="135">
        <v>3.2534257335777597E-2</v>
      </c>
      <c r="M542" s="135">
        <v>4.0473895568907202E-2</v>
      </c>
      <c r="N542" s="135">
        <v>5.27745501817075E-2</v>
      </c>
      <c r="O542" s="135">
        <v>6.3894771099025E-2</v>
      </c>
      <c r="P542" s="135">
        <v>6.4849982436399306E-2</v>
      </c>
      <c r="Q542" s="135">
        <v>6.0253746811533899E-2</v>
      </c>
      <c r="R542" s="135">
        <v>6.1659022897766001E-2</v>
      </c>
      <c r="S542" s="135">
        <v>6.0177930783413901E-2</v>
      </c>
      <c r="T542" s="135">
        <v>5.3637810843995999E-2</v>
      </c>
      <c r="U542" s="135">
        <v>4.9042488832951099E-2</v>
      </c>
      <c r="V542" s="135">
        <v>5.0859669687459003E-2</v>
      </c>
      <c r="W542" s="135">
        <v>7.9141990679540405E-2</v>
      </c>
      <c r="X542" s="135">
        <v>0.115945087526673</v>
      </c>
      <c r="Y542" s="135">
        <v>0.13369218166070301</v>
      </c>
      <c r="Z542" s="135">
        <v>0.11753565886384899</v>
      </c>
      <c r="AA542" s="135">
        <v>0.102295577579488</v>
      </c>
      <c r="AB542" s="135">
        <v>8.5409913041520694E-2</v>
      </c>
      <c r="AC542" s="135">
        <v>5.5938593890379203E-2</v>
      </c>
      <c r="AD542" s="135">
        <v>3.1180526147134398E-2</v>
      </c>
      <c r="AF542" s="243">
        <f t="shared" si="11"/>
        <v>0.41477266053666029</v>
      </c>
      <c r="AG542" s="275">
        <f t="shared" si="12"/>
        <v>0.52883972396327616</v>
      </c>
      <c r="AH542" s="391">
        <f t="shared" si="13"/>
        <v>0.85831049209866539</v>
      </c>
      <c r="AI542" s="135">
        <f t="shared" si="14"/>
        <v>1.3871502160619416</v>
      </c>
    </row>
    <row r="543" spans="1:35" ht="12.6">
      <c r="A543" s="10" t="s">
        <v>61</v>
      </c>
      <c r="B543" s="10">
        <v>177</v>
      </c>
      <c r="C543" s="10" t="s">
        <v>1514</v>
      </c>
      <c r="D543" s="388">
        <v>45103</v>
      </c>
      <c r="E543" s="389">
        <v>45103</v>
      </c>
      <c r="F543" s="390" t="str">
        <f t="shared" si="10"/>
        <v>Lighting</v>
      </c>
      <c r="G543" s="135">
        <v>1.51939930822498E-2</v>
      </c>
      <c r="H543" s="135">
        <v>1.22229316458579E-2</v>
      </c>
      <c r="I543" s="135">
        <v>1.06943250732968E-2</v>
      </c>
      <c r="J543" s="135">
        <v>1.24308059308939E-2</v>
      </c>
      <c r="K543" s="135">
        <v>2.1250318129478502E-2</v>
      </c>
      <c r="L543" s="135">
        <v>6.4842902599983293E-2</v>
      </c>
      <c r="M543" s="135">
        <v>0.11119326025135901</v>
      </c>
      <c r="N543" s="135">
        <v>0.11776177716990199</v>
      </c>
      <c r="O543" s="135">
        <v>5.70029562799775E-2</v>
      </c>
      <c r="P543" s="135">
        <v>3.7586508112636002E-2</v>
      </c>
      <c r="Q543" s="135">
        <v>3.2826460901145001E-2</v>
      </c>
      <c r="R543" s="135">
        <v>3.0464230842780899E-2</v>
      </c>
      <c r="S543" s="135">
        <v>2.9228998705234301E-2</v>
      </c>
      <c r="T543" s="135">
        <v>2.9240018158098201E-2</v>
      </c>
      <c r="U543" s="135">
        <v>2.8194066011519199E-2</v>
      </c>
      <c r="V543" s="135">
        <v>3.03199568323166E-2</v>
      </c>
      <c r="W543" s="135">
        <v>4.6572586641689999E-2</v>
      </c>
      <c r="X543" s="135">
        <v>0.11758444378832</v>
      </c>
      <c r="Y543" s="135">
        <v>0.145489325666049</v>
      </c>
      <c r="Z543" s="135">
        <v>0.126999884027793</v>
      </c>
      <c r="AA543" s="135">
        <v>0.109002859212428</v>
      </c>
      <c r="AB543" s="135">
        <v>9.3078985941609502E-2</v>
      </c>
      <c r="AC543" s="135">
        <v>5.9929500625319002E-2</v>
      </c>
      <c r="AD543" s="135">
        <v>2.9256156954005599E-2</v>
      </c>
      <c r="AF543" s="243">
        <f t="shared" si="11"/>
        <v>0.22684631809278422</v>
      </c>
      <c r="AG543" s="275">
        <f t="shared" si="12"/>
        <v>0.50056982064130195</v>
      </c>
      <c r="AH543" s="391">
        <f t="shared" si="13"/>
        <v>0.86779743194264081</v>
      </c>
      <c r="AI543" s="135">
        <f t="shared" si="14"/>
        <v>1.3683672525839428</v>
      </c>
    </row>
    <row r="544" spans="1:35" ht="12.6">
      <c r="A544" s="10" t="s">
        <v>61</v>
      </c>
      <c r="B544" s="10">
        <v>178</v>
      </c>
      <c r="C544" s="10" t="s">
        <v>1514</v>
      </c>
      <c r="D544" s="388">
        <v>45104</v>
      </c>
      <c r="E544" s="389">
        <v>45104</v>
      </c>
      <c r="F544" s="390" t="str">
        <f t="shared" si="10"/>
        <v>Lighting</v>
      </c>
      <c r="G544" s="135">
        <v>1.51939930822498E-2</v>
      </c>
      <c r="H544" s="135">
        <v>1.22229316458579E-2</v>
      </c>
      <c r="I544" s="135">
        <v>1.06943250732968E-2</v>
      </c>
      <c r="J544" s="135">
        <v>1.24308059308939E-2</v>
      </c>
      <c r="K544" s="135">
        <v>2.1250318129478502E-2</v>
      </c>
      <c r="L544" s="135">
        <v>6.4842902599983293E-2</v>
      </c>
      <c r="M544" s="135">
        <v>0.11119326025135901</v>
      </c>
      <c r="N544" s="135">
        <v>0.11776177716990199</v>
      </c>
      <c r="O544" s="135">
        <v>5.70029562799775E-2</v>
      </c>
      <c r="P544" s="135">
        <v>3.7586508112636002E-2</v>
      </c>
      <c r="Q544" s="135">
        <v>3.2826460901145001E-2</v>
      </c>
      <c r="R544" s="135">
        <v>3.0464230842780899E-2</v>
      </c>
      <c r="S544" s="135">
        <v>2.9228998705234301E-2</v>
      </c>
      <c r="T544" s="135">
        <v>2.9240018158098201E-2</v>
      </c>
      <c r="U544" s="135">
        <v>2.8194066011519199E-2</v>
      </c>
      <c r="V544" s="135">
        <v>3.03199568323166E-2</v>
      </c>
      <c r="W544" s="135">
        <v>4.6572586641689999E-2</v>
      </c>
      <c r="X544" s="135">
        <v>0.11758444378832</v>
      </c>
      <c r="Y544" s="135">
        <v>0.145489325666049</v>
      </c>
      <c r="Z544" s="135">
        <v>0.126999884027793</v>
      </c>
      <c r="AA544" s="135">
        <v>0.109002859212428</v>
      </c>
      <c r="AB544" s="135">
        <v>9.3078985941609502E-2</v>
      </c>
      <c r="AC544" s="135">
        <v>5.9929500625319002E-2</v>
      </c>
      <c r="AD544" s="135">
        <v>2.9256156954005599E-2</v>
      </c>
      <c r="AF544" s="243">
        <f t="shared" si="11"/>
        <v>0.22684631809278422</v>
      </c>
      <c r="AG544" s="275">
        <f t="shared" si="12"/>
        <v>0.50056982064130195</v>
      </c>
      <c r="AH544" s="391">
        <f t="shared" si="13"/>
        <v>0.86779743194264081</v>
      </c>
      <c r="AI544" s="135">
        <f t="shared" si="14"/>
        <v>1.3683672525839428</v>
      </c>
    </row>
    <row r="545" spans="1:35" ht="12.6">
      <c r="A545" s="10" t="s">
        <v>61</v>
      </c>
      <c r="B545" s="10">
        <v>179</v>
      </c>
      <c r="C545" s="10" t="s">
        <v>1514</v>
      </c>
      <c r="D545" s="388">
        <v>45105</v>
      </c>
      <c r="E545" s="389">
        <v>45105</v>
      </c>
      <c r="F545" s="390" t="str">
        <f t="shared" si="10"/>
        <v>Lighting</v>
      </c>
      <c r="G545" s="135">
        <v>1.51939930822498E-2</v>
      </c>
      <c r="H545" s="135">
        <v>1.22229316458579E-2</v>
      </c>
      <c r="I545" s="135">
        <v>1.06943250732968E-2</v>
      </c>
      <c r="J545" s="135">
        <v>1.24308059308939E-2</v>
      </c>
      <c r="K545" s="135">
        <v>2.1250318129478502E-2</v>
      </c>
      <c r="L545" s="135">
        <v>6.4842902599983293E-2</v>
      </c>
      <c r="M545" s="135">
        <v>0.11119326025135901</v>
      </c>
      <c r="N545" s="135">
        <v>0.11776177716990199</v>
      </c>
      <c r="O545" s="135">
        <v>5.70029562799775E-2</v>
      </c>
      <c r="P545" s="135">
        <v>3.7586508112636002E-2</v>
      </c>
      <c r="Q545" s="135">
        <v>3.2826460901145001E-2</v>
      </c>
      <c r="R545" s="135">
        <v>3.0464230842780899E-2</v>
      </c>
      <c r="S545" s="135">
        <v>2.9228998705234301E-2</v>
      </c>
      <c r="T545" s="135">
        <v>2.9240018158098201E-2</v>
      </c>
      <c r="U545" s="135">
        <v>2.8194066011519199E-2</v>
      </c>
      <c r="V545" s="135">
        <v>3.03199568323166E-2</v>
      </c>
      <c r="W545" s="135">
        <v>4.6572586641689999E-2</v>
      </c>
      <c r="X545" s="135">
        <v>0.11758444378832</v>
      </c>
      <c r="Y545" s="135">
        <v>0.145489325666049</v>
      </c>
      <c r="Z545" s="135">
        <v>0.126999884027793</v>
      </c>
      <c r="AA545" s="135">
        <v>0.109002859212428</v>
      </c>
      <c r="AB545" s="135">
        <v>9.3078985941609502E-2</v>
      </c>
      <c r="AC545" s="135">
        <v>5.9929500625319002E-2</v>
      </c>
      <c r="AD545" s="135">
        <v>2.9256156954005599E-2</v>
      </c>
      <c r="AF545" s="243">
        <f t="shared" si="11"/>
        <v>0.22684631809278422</v>
      </c>
      <c r="AG545" s="275">
        <f t="shared" si="12"/>
        <v>0.50056982064130195</v>
      </c>
      <c r="AH545" s="391">
        <f t="shared" si="13"/>
        <v>0.86779743194264081</v>
      </c>
      <c r="AI545" s="135">
        <f t="shared" si="14"/>
        <v>1.3683672525839428</v>
      </c>
    </row>
    <row r="546" spans="1:35" ht="12.6">
      <c r="A546" s="10" t="s">
        <v>61</v>
      </c>
      <c r="B546" s="10">
        <v>180</v>
      </c>
      <c r="C546" s="10" t="s">
        <v>1514</v>
      </c>
      <c r="D546" s="388">
        <v>45106</v>
      </c>
      <c r="E546" s="389">
        <v>45106</v>
      </c>
      <c r="F546" s="390" t="str">
        <f t="shared" si="10"/>
        <v>Lighting</v>
      </c>
      <c r="G546" s="135">
        <v>1.51939930822498E-2</v>
      </c>
      <c r="H546" s="135">
        <v>1.22229316458579E-2</v>
      </c>
      <c r="I546" s="135">
        <v>1.06943250732968E-2</v>
      </c>
      <c r="J546" s="135">
        <v>1.24308059308939E-2</v>
      </c>
      <c r="K546" s="135">
        <v>2.1250318129478502E-2</v>
      </c>
      <c r="L546" s="135">
        <v>6.4842902599983293E-2</v>
      </c>
      <c r="M546" s="135">
        <v>0.11119326025135901</v>
      </c>
      <c r="N546" s="135">
        <v>0.11776177716990199</v>
      </c>
      <c r="O546" s="135">
        <v>5.70029562799775E-2</v>
      </c>
      <c r="P546" s="135">
        <v>3.7586508112636002E-2</v>
      </c>
      <c r="Q546" s="135">
        <v>3.2826460901145001E-2</v>
      </c>
      <c r="R546" s="135">
        <v>3.0464230842780899E-2</v>
      </c>
      <c r="S546" s="135">
        <v>2.9228998705234301E-2</v>
      </c>
      <c r="T546" s="135">
        <v>2.9240018158098201E-2</v>
      </c>
      <c r="U546" s="135">
        <v>2.8194066011519199E-2</v>
      </c>
      <c r="V546" s="135">
        <v>3.03199568323166E-2</v>
      </c>
      <c r="W546" s="135">
        <v>4.6572586641689999E-2</v>
      </c>
      <c r="X546" s="135">
        <v>0.11758444378832</v>
      </c>
      <c r="Y546" s="135">
        <v>0.145489325666049</v>
      </c>
      <c r="Z546" s="135">
        <v>0.126999884027793</v>
      </c>
      <c r="AA546" s="135">
        <v>0.109002859212428</v>
      </c>
      <c r="AB546" s="135">
        <v>9.3078985941609502E-2</v>
      </c>
      <c r="AC546" s="135">
        <v>5.9929500625319002E-2</v>
      </c>
      <c r="AD546" s="135">
        <v>2.9256156954005599E-2</v>
      </c>
      <c r="AF546" s="243">
        <f t="shared" si="11"/>
        <v>0.22684631809278422</v>
      </c>
      <c r="AG546" s="275">
        <f t="shared" si="12"/>
        <v>0.50056982064130195</v>
      </c>
      <c r="AH546" s="391">
        <f t="shared" si="13"/>
        <v>0.86779743194264081</v>
      </c>
      <c r="AI546" s="135">
        <f t="shared" si="14"/>
        <v>1.3683672525839428</v>
      </c>
    </row>
    <row r="547" spans="1:35" ht="12.6">
      <c r="A547" s="10" t="s">
        <v>61</v>
      </c>
      <c r="B547" s="10">
        <v>181</v>
      </c>
      <c r="C547" s="10" t="s">
        <v>1514</v>
      </c>
      <c r="D547" s="388">
        <v>45107</v>
      </c>
      <c r="E547" s="389">
        <v>45107</v>
      </c>
      <c r="F547" s="390" t="str">
        <f t="shared" si="10"/>
        <v>Lighting</v>
      </c>
      <c r="G547" s="135">
        <v>1.51939930822498E-2</v>
      </c>
      <c r="H547" s="135">
        <v>1.22229316458579E-2</v>
      </c>
      <c r="I547" s="135">
        <v>1.06943250732968E-2</v>
      </c>
      <c r="J547" s="135">
        <v>1.24308059308939E-2</v>
      </c>
      <c r="K547" s="135">
        <v>2.1250318129478502E-2</v>
      </c>
      <c r="L547" s="135">
        <v>6.4842902599983293E-2</v>
      </c>
      <c r="M547" s="135">
        <v>0.11119326025135901</v>
      </c>
      <c r="N547" s="135">
        <v>0.11776177716990199</v>
      </c>
      <c r="O547" s="135">
        <v>5.70029562799775E-2</v>
      </c>
      <c r="P547" s="135">
        <v>3.7586508112636002E-2</v>
      </c>
      <c r="Q547" s="135">
        <v>3.2826460901145001E-2</v>
      </c>
      <c r="R547" s="135">
        <v>3.0464230842780899E-2</v>
      </c>
      <c r="S547" s="135">
        <v>2.9228998705234301E-2</v>
      </c>
      <c r="T547" s="135">
        <v>2.9240018158098201E-2</v>
      </c>
      <c r="U547" s="135">
        <v>2.8194066011519199E-2</v>
      </c>
      <c r="V547" s="135">
        <v>3.03199568323166E-2</v>
      </c>
      <c r="W547" s="135">
        <v>4.6572586641689999E-2</v>
      </c>
      <c r="X547" s="135">
        <v>0.11758444378832</v>
      </c>
      <c r="Y547" s="135">
        <v>0.145489325666049</v>
      </c>
      <c r="Z547" s="135">
        <v>0.126999884027793</v>
      </c>
      <c r="AA547" s="135">
        <v>0.109002859212428</v>
      </c>
      <c r="AB547" s="135">
        <v>9.3078985941609502E-2</v>
      </c>
      <c r="AC547" s="135">
        <v>5.9929500625319002E-2</v>
      </c>
      <c r="AD547" s="135">
        <v>2.9256156954005599E-2</v>
      </c>
      <c r="AF547" s="243">
        <f t="shared" si="11"/>
        <v>0.22684631809278422</v>
      </c>
      <c r="AG547" s="275">
        <f t="shared" si="12"/>
        <v>0.50056982064130195</v>
      </c>
      <c r="AH547" s="391">
        <f t="shared" si="13"/>
        <v>0.86779743194264081</v>
      </c>
      <c r="AI547" s="135">
        <f t="shared" si="14"/>
        <v>1.3683672525839428</v>
      </c>
    </row>
    <row r="548" spans="1:35" ht="12.6">
      <c r="A548" s="10" t="s">
        <v>61</v>
      </c>
      <c r="B548" s="10">
        <v>182</v>
      </c>
      <c r="C548" s="10" t="s">
        <v>1514</v>
      </c>
      <c r="D548" s="388">
        <v>45108</v>
      </c>
      <c r="E548" s="389">
        <v>45108</v>
      </c>
      <c r="F548" s="390" t="str">
        <f t="shared" si="10"/>
        <v>Lighting</v>
      </c>
      <c r="G548" s="135">
        <v>1.77568707231919E-2</v>
      </c>
      <c r="H548" s="135">
        <v>1.38586404349303E-2</v>
      </c>
      <c r="I548" s="135">
        <v>1.23875695988033E-2</v>
      </c>
      <c r="J548" s="135">
        <v>1.34094886965183E-2</v>
      </c>
      <c r="K548" s="135">
        <v>1.84399907402737E-2</v>
      </c>
      <c r="L548" s="135">
        <v>3.2534257335777597E-2</v>
      </c>
      <c r="M548" s="135">
        <v>4.0473895568907202E-2</v>
      </c>
      <c r="N548" s="135">
        <v>5.27745501817075E-2</v>
      </c>
      <c r="O548" s="135">
        <v>6.3894771099025E-2</v>
      </c>
      <c r="P548" s="135">
        <v>6.4849982436399306E-2</v>
      </c>
      <c r="Q548" s="135">
        <v>6.0253746811533899E-2</v>
      </c>
      <c r="R548" s="135">
        <v>6.1659022897766001E-2</v>
      </c>
      <c r="S548" s="135">
        <v>6.0177930783413901E-2</v>
      </c>
      <c r="T548" s="135">
        <v>5.3637810843995999E-2</v>
      </c>
      <c r="U548" s="135">
        <v>4.9042488832951099E-2</v>
      </c>
      <c r="V548" s="135">
        <v>5.0859669687459003E-2</v>
      </c>
      <c r="W548" s="135">
        <v>7.9141990679540405E-2</v>
      </c>
      <c r="X548" s="135">
        <v>0.115945087526673</v>
      </c>
      <c r="Y548" s="135">
        <v>0.13369218166070301</v>
      </c>
      <c r="Z548" s="135">
        <v>0.11753565886384899</v>
      </c>
      <c r="AA548" s="135">
        <v>0.102295577579488</v>
      </c>
      <c r="AB548" s="135">
        <v>8.5409913041520694E-2</v>
      </c>
      <c r="AC548" s="135">
        <v>5.5938593890379203E-2</v>
      </c>
      <c r="AD548" s="135">
        <v>3.1180526147134398E-2</v>
      </c>
      <c r="AF548" s="243">
        <f t="shared" si="11"/>
        <v>0.41477266053666029</v>
      </c>
      <c r="AG548" s="275">
        <f t="shared" si="12"/>
        <v>0.52883972396327616</v>
      </c>
      <c r="AH548" s="391">
        <f t="shared" si="13"/>
        <v>0.85831049209866539</v>
      </c>
      <c r="AI548" s="135">
        <f t="shared" si="14"/>
        <v>1.3871502160619416</v>
      </c>
    </row>
    <row r="549" spans="1:35" ht="12.6">
      <c r="A549" s="10" t="s">
        <v>61</v>
      </c>
      <c r="B549" s="10">
        <v>183</v>
      </c>
      <c r="C549" s="10" t="s">
        <v>1514</v>
      </c>
      <c r="D549" s="388">
        <v>45109</v>
      </c>
      <c r="E549" s="389">
        <v>45109</v>
      </c>
      <c r="F549" s="390" t="str">
        <f t="shared" si="10"/>
        <v>Lighting</v>
      </c>
      <c r="G549" s="135">
        <v>1.77568707231919E-2</v>
      </c>
      <c r="H549" s="135">
        <v>1.38586404349303E-2</v>
      </c>
      <c r="I549" s="135">
        <v>1.23875695988033E-2</v>
      </c>
      <c r="J549" s="135">
        <v>1.34094886965183E-2</v>
      </c>
      <c r="K549" s="135">
        <v>1.84399907402737E-2</v>
      </c>
      <c r="L549" s="135">
        <v>3.2534257335777597E-2</v>
      </c>
      <c r="M549" s="135">
        <v>4.0473895568907202E-2</v>
      </c>
      <c r="N549" s="135">
        <v>5.27745501817075E-2</v>
      </c>
      <c r="O549" s="135">
        <v>6.3894771099025E-2</v>
      </c>
      <c r="P549" s="135">
        <v>6.4849982436399306E-2</v>
      </c>
      <c r="Q549" s="135">
        <v>6.0253746811533899E-2</v>
      </c>
      <c r="R549" s="135">
        <v>6.1659022897766001E-2</v>
      </c>
      <c r="S549" s="135">
        <v>6.0177930783413901E-2</v>
      </c>
      <c r="T549" s="135">
        <v>5.3637810843995999E-2</v>
      </c>
      <c r="U549" s="135">
        <v>4.9042488832951099E-2</v>
      </c>
      <c r="V549" s="135">
        <v>5.0859669687459003E-2</v>
      </c>
      <c r="W549" s="135">
        <v>7.9141990679540405E-2</v>
      </c>
      <c r="X549" s="135">
        <v>0.115945087526673</v>
      </c>
      <c r="Y549" s="135">
        <v>0.13369218166070301</v>
      </c>
      <c r="Z549" s="135">
        <v>0.11753565886384899</v>
      </c>
      <c r="AA549" s="135">
        <v>0.102295577579488</v>
      </c>
      <c r="AB549" s="135">
        <v>8.5409913041520694E-2</v>
      </c>
      <c r="AC549" s="135">
        <v>5.5938593890379203E-2</v>
      </c>
      <c r="AD549" s="135">
        <v>3.1180526147134398E-2</v>
      </c>
      <c r="AF549" s="243">
        <f t="shared" si="11"/>
        <v>0.41477266053666029</v>
      </c>
      <c r="AG549" s="275">
        <f t="shared" si="12"/>
        <v>0.52883972396327616</v>
      </c>
      <c r="AH549" s="391">
        <f t="shared" si="13"/>
        <v>0.85831049209866539</v>
      </c>
      <c r="AI549" s="135">
        <f t="shared" si="14"/>
        <v>1.3871502160619416</v>
      </c>
    </row>
    <row r="550" spans="1:35" ht="12.6">
      <c r="A550" s="10" t="s">
        <v>61</v>
      </c>
      <c r="B550" s="10">
        <v>184</v>
      </c>
      <c r="C550" s="10" t="s">
        <v>1514</v>
      </c>
      <c r="D550" s="388">
        <v>45110</v>
      </c>
      <c r="E550" s="389">
        <v>45110</v>
      </c>
      <c r="F550" s="390" t="str">
        <f t="shared" si="10"/>
        <v>Lighting</v>
      </c>
      <c r="G550" s="135">
        <v>1.51939930822498E-2</v>
      </c>
      <c r="H550" s="135">
        <v>1.22229316458579E-2</v>
      </c>
      <c r="I550" s="135">
        <v>1.06943250732968E-2</v>
      </c>
      <c r="J550" s="135">
        <v>1.24308059308939E-2</v>
      </c>
      <c r="K550" s="135">
        <v>2.1250318129478502E-2</v>
      </c>
      <c r="L550" s="135">
        <v>6.4842902599983293E-2</v>
      </c>
      <c r="M550" s="135">
        <v>0.11119326025135901</v>
      </c>
      <c r="N550" s="135">
        <v>0.11776177716990199</v>
      </c>
      <c r="O550" s="135">
        <v>5.70029562799775E-2</v>
      </c>
      <c r="P550" s="135">
        <v>3.7586508112636002E-2</v>
      </c>
      <c r="Q550" s="135">
        <v>3.2826460901145001E-2</v>
      </c>
      <c r="R550" s="135">
        <v>3.0464230842780899E-2</v>
      </c>
      <c r="S550" s="135">
        <v>2.9228998705234301E-2</v>
      </c>
      <c r="T550" s="135">
        <v>2.9240018158098201E-2</v>
      </c>
      <c r="U550" s="135">
        <v>2.8194066011519199E-2</v>
      </c>
      <c r="V550" s="135">
        <v>3.03199568323166E-2</v>
      </c>
      <c r="W550" s="135">
        <v>4.6572586641689999E-2</v>
      </c>
      <c r="X550" s="135">
        <v>0.11758444378832</v>
      </c>
      <c r="Y550" s="135">
        <v>0.145489325666049</v>
      </c>
      <c r="Z550" s="135">
        <v>0.126999884027793</v>
      </c>
      <c r="AA550" s="135">
        <v>0.109002859212428</v>
      </c>
      <c r="AB550" s="135">
        <v>9.3078985941609502E-2</v>
      </c>
      <c r="AC550" s="135">
        <v>5.9929500625319002E-2</v>
      </c>
      <c r="AD550" s="135">
        <v>2.9256156954005599E-2</v>
      </c>
      <c r="AF550" s="243">
        <f t="shared" si="11"/>
        <v>0.22684631809278422</v>
      </c>
      <c r="AG550" s="275">
        <f t="shared" si="12"/>
        <v>0.50056982064130195</v>
      </c>
      <c r="AH550" s="391">
        <f t="shared" si="13"/>
        <v>0.86779743194264081</v>
      </c>
      <c r="AI550" s="135">
        <f t="shared" si="14"/>
        <v>1.3683672525839428</v>
      </c>
    </row>
    <row r="551" spans="1:35" ht="12.6">
      <c r="A551" s="10" t="s">
        <v>61</v>
      </c>
      <c r="B551" s="10">
        <v>185</v>
      </c>
      <c r="C551" s="10" t="s">
        <v>1514</v>
      </c>
      <c r="D551" s="388">
        <v>45111</v>
      </c>
      <c r="E551" s="389">
        <v>45111</v>
      </c>
      <c r="F551" s="390" t="str">
        <f t="shared" si="10"/>
        <v>Lighting</v>
      </c>
      <c r="G551" s="135">
        <v>1.51939930822498E-2</v>
      </c>
      <c r="H551" s="135">
        <v>1.22229316458579E-2</v>
      </c>
      <c r="I551" s="135">
        <v>1.06943250732968E-2</v>
      </c>
      <c r="J551" s="135">
        <v>1.24308059308939E-2</v>
      </c>
      <c r="K551" s="135">
        <v>2.1250318129478502E-2</v>
      </c>
      <c r="L551" s="135">
        <v>6.4842902599983293E-2</v>
      </c>
      <c r="M551" s="135">
        <v>0.11119326025135901</v>
      </c>
      <c r="N551" s="135">
        <v>0.11776177716990199</v>
      </c>
      <c r="O551" s="135">
        <v>5.70029562799775E-2</v>
      </c>
      <c r="P551" s="135">
        <v>3.7586508112636002E-2</v>
      </c>
      <c r="Q551" s="135">
        <v>3.2826460901145001E-2</v>
      </c>
      <c r="R551" s="135">
        <v>3.0464230842780899E-2</v>
      </c>
      <c r="S551" s="135">
        <v>2.9228998705234301E-2</v>
      </c>
      <c r="T551" s="135">
        <v>2.9240018158098201E-2</v>
      </c>
      <c r="U551" s="135">
        <v>2.8194066011519199E-2</v>
      </c>
      <c r="V551" s="135">
        <v>3.03199568323166E-2</v>
      </c>
      <c r="W551" s="135">
        <v>4.6572586641689999E-2</v>
      </c>
      <c r="X551" s="135">
        <v>0.11758444378832</v>
      </c>
      <c r="Y551" s="135">
        <v>0.145489325666049</v>
      </c>
      <c r="Z551" s="135">
        <v>0.126999884027793</v>
      </c>
      <c r="AA551" s="135">
        <v>0.109002859212428</v>
      </c>
      <c r="AB551" s="135">
        <v>9.3078985941609502E-2</v>
      </c>
      <c r="AC551" s="135">
        <v>5.9929500625319002E-2</v>
      </c>
      <c r="AD551" s="135">
        <v>2.9256156954005599E-2</v>
      </c>
      <c r="AF551" s="243">
        <f t="shared" si="11"/>
        <v>0.22684631809278422</v>
      </c>
      <c r="AG551" s="275">
        <f t="shared" si="12"/>
        <v>0.50056982064130195</v>
      </c>
      <c r="AH551" s="391">
        <f t="shared" si="13"/>
        <v>0.86779743194264081</v>
      </c>
      <c r="AI551" s="135">
        <f t="shared" si="14"/>
        <v>1.3683672525839428</v>
      </c>
    </row>
    <row r="552" spans="1:35" ht="12.6">
      <c r="A552" s="10" t="s">
        <v>61</v>
      </c>
      <c r="B552" s="10">
        <v>186</v>
      </c>
      <c r="C552" s="10" t="s">
        <v>1514</v>
      </c>
      <c r="D552" s="388">
        <v>45112</v>
      </c>
      <c r="E552" s="389">
        <v>45112</v>
      </c>
      <c r="F552" s="390" t="str">
        <f t="shared" si="10"/>
        <v>Lighting</v>
      </c>
      <c r="G552" s="135">
        <v>1.51939930822498E-2</v>
      </c>
      <c r="H552" s="135">
        <v>1.22229316458579E-2</v>
      </c>
      <c r="I552" s="135">
        <v>1.06943250732968E-2</v>
      </c>
      <c r="J552" s="135">
        <v>1.24308059308939E-2</v>
      </c>
      <c r="K552" s="135">
        <v>2.1250318129478502E-2</v>
      </c>
      <c r="L552" s="135">
        <v>6.4842902599983293E-2</v>
      </c>
      <c r="M552" s="135">
        <v>0.11119326025135901</v>
      </c>
      <c r="N552" s="135">
        <v>0.11776177716990199</v>
      </c>
      <c r="O552" s="135">
        <v>5.70029562799775E-2</v>
      </c>
      <c r="P552" s="135">
        <v>3.7586508112636002E-2</v>
      </c>
      <c r="Q552" s="135">
        <v>3.2826460901145001E-2</v>
      </c>
      <c r="R552" s="135">
        <v>3.0464230842780899E-2</v>
      </c>
      <c r="S552" s="135">
        <v>2.9228998705234301E-2</v>
      </c>
      <c r="T552" s="135">
        <v>2.9240018158098201E-2</v>
      </c>
      <c r="U552" s="135">
        <v>2.8194066011519199E-2</v>
      </c>
      <c r="V552" s="135">
        <v>3.03199568323166E-2</v>
      </c>
      <c r="W552" s="135">
        <v>4.6572586641689999E-2</v>
      </c>
      <c r="X552" s="135">
        <v>0.11758444378832</v>
      </c>
      <c r="Y552" s="135">
        <v>0.145489325666049</v>
      </c>
      <c r="Z552" s="135">
        <v>0.126999884027793</v>
      </c>
      <c r="AA552" s="135">
        <v>0.109002859212428</v>
      </c>
      <c r="AB552" s="135">
        <v>9.3078985941609502E-2</v>
      </c>
      <c r="AC552" s="135">
        <v>5.9929500625319002E-2</v>
      </c>
      <c r="AD552" s="135">
        <v>2.9256156954005599E-2</v>
      </c>
      <c r="AF552" s="243">
        <f t="shared" si="11"/>
        <v>0.22684631809278422</v>
      </c>
      <c r="AG552" s="275">
        <f t="shared" si="12"/>
        <v>0.50056982064130195</v>
      </c>
      <c r="AH552" s="391">
        <f t="shared" si="13"/>
        <v>0.86779743194264081</v>
      </c>
      <c r="AI552" s="135">
        <f t="shared" si="14"/>
        <v>1.3683672525839428</v>
      </c>
    </row>
    <row r="553" spans="1:35" ht="12.6">
      <c r="A553" s="10" t="s">
        <v>61</v>
      </c>
      <c r="B553" s="10">
        <v>187</v>
      </c>
      <c r="C553" s="10" t="s">
        <v>1514</v>
      </c>
      <c r="D553" s="388">
        <v>45113</v>
      </c>
      <c r="E553" s="389">
        <v>45113</v>
      </c>
      <c r="F553" s="390" t="str">
        <f t="shared" si="10"/>
        <v>Lighting</v>
      </c>
      <c r="G553" s="135">
        <v>1.51939930822498E-2</v>
      </c>
      <c r="H553" s="135">
        <v>1.22229316458579E-2</v>
      </c>
      <c r="I553" s="135">
        <v>1.06943250732968E-2</v>
      </c>
      <c r="J553" s="135">
        <v>1.24308059308939E-2</v>
      </c>
      <c r="K553" s="135">
        <v>2.1250318129478502E-2</v>
      </c>
      <c r="L553" s="135">
        <v>6.4842902599983293E-2</v>
      </c>
      <c r="M553" s="135">
        <v>0.11119326025135901</v>
      </c>
      <c r="N553" s="135">
        <v>0.11776177716990199</v>
      </c>
      <c r="O553" s="135">
        <v>5.70029562799775E-2</v>
      </c>
      <c r="P553" s="135">
        <v>3.7586508112636002E-2</v>
      </c>
      <c r="Q553" s="135">
        <v>3.2826460901145001E-2</v>
      </c>
      <c r="R553" s="135">
        <v>3.0464230842780899E-2</v>
      </c>
      <c r="S553" s="135">
        <v>2.9228998705234301E-2</v>
      </c>
      <c r="T553" s="135">
        <v>2.9240018158098201E-2</v>
      </c>
      <c r="U553" s="135">
        <v>2.8194066011519199E-2</v>
      </c>
      <c r="V553" s="135">
        <v>3.03199568323166E-2</v>
      </c>
      <c r="W553" s="135">
        <v>4.6572586641689999E-2</v>
      </c>
      <c r="X553" s="135">
        <v>0.11758444378832</v>
      </c>
      <c r="Y553" s="135">
        <v>0.145489325666049</v>
      </c>
      <c r="Z553" s="135">
        <v>0.126999884027793</v>
      </c>
      <c r="AA553" s="135">
        <v>0.109002859212428</v>
      </c>
      <c r="AB553" s="135">
        <v>9.3078985941609502E-2</v>
      </c>
      <c r="AC553" s="135">
        <v>5.9929500625319002E-2</v>
      </c>
      <c r="AD553" s="135">
        <v>2.9256156954005599E-2</v>
      </c>
      <c r="AF553" s="243">
        <f t="shared" si="11"/>
        <v>0.22684631809278422</v>
      </c>
      <c r="AG553" s="275">
        <f t="shared" si="12"/>
        <v>0.50056982064130195</v>
      </c>
      <c r="AH553" s="391">
        <f t="shared" si="13"/>
        <v>0.86779743194264081</v>
      </c>
      <c r="AI553" s="135">
        <f t="shared" si="14"/>
        <v>1.3683672525839428</v>
      </c>
    </row>
    <row r="554" spans="1:35" ht="12.6">
      <c r="A554" s="10" t="s">
        <v>61</v>
      </c>
      <c r="B554" s="10">
        <v>188</v>
      </c>
      <c r="C554" s="10" t="s">
        <v>1514</v>
      </c>
      <c r="D554" s="388">
        <v>45114</v>
      </c>
      <c r="E554" s="389">
        <v>45114</v>
      </c>
      <c r="F554" s="390" t="str">
        <f t="shared" si="10"/>
        <v>Lighting</v>
      </c>
      <c r="G554" s="135">
        <v>1.51939930822498E-2</v>
      </c>
      <c r="H554" s="135">
        <v>1.22229316458579E-2</v>
      </c>
      <c r="I554" s="135">
        <v>1.06943250732968E-2</v>
      </c>
      <c r="J554" s="135">
        <v>1.24308059308939E-2</v>
      </c>
      <c r="K554" s="135">
        <v>2.1250318129478502E-2</v>
      </c>
      <c r="L554" s="135">
        <v>6.4842902599983293E-2</v>
      </c>
      <c r="M554" s="135">
        <v>0.11119326025135901</v>
      </c>
      <c r="N554" s="135">
        <v>0.11776177716990199</v>
      </c>
      <c r="O554" s="135">
        <v>5.70029562799775E-2</v>
      </c>
      <c r="P554" s="135">
        <v>3.7586508112636002E-2</v>
      </c>
      <c r="Q554" s="135">
        <v>3.2826460901145001E-2</v>
      </c>
      <c r="R554" s="135">
        <v>3.0464230842780899E-2</v>
      </c>
      <c r="S554" s="135">
        <v>2.9228998705234301E-2</v>
      </c>
      <c r="T554" s="135">
        <v>2.9240018158098201E-2</v>
      </c>
      <c r="U554" s="135">
        <v>2.8194066011519199E-2</v>
      </c>
      <c r="V554" s="135">
        <v>3.03199568323166E-2</v>
      </c>
      <c r="W554" s="135">
        <v>4.6572586641689999E-2</v>
      </c>
      <c r="X554" s="135">
        <v>0.11758444378832</v>
      </c>
      <c r="Y554" s="135">
        <v>0.145489325666049</v>
      </c>
      <c r="Z554" s="135">
        <v>0.126999884027793</v>
      </c>
      <c r="AA554" s="135">
        <v>0.109002859212428</v>
      </c>
      <c r="AB554" s="135">
        <v>9.3078985941609502E-2</v>
      </c>
      <c r="AC554" s="135">
        <v>5.9929500625319002E-2</v>
      </c>
      <c r="AD554" s="135">
        <v>2.9256156954005599E-2</v>
      </c>
      <c r="AF554" s="243">
        <f t="shared" si="11"/>
        <v>0.22684631809278422</v>
      </c>
      <c r="AG554" s="275">
        <f t="shared" si="12"/>
        <v>0.50056982064130195</v>
      </c>
      <c r="AH554" s="391">
        <f t="shared" si="13"/>
        <v>0.86779743194264081</v>
      </c>
      <c r="AI554" s="135">
        <f t="shared" si="14"/>
        <v>1.3683672525839428</v>
      </c>
    </row>
    <row r="555" spans="1:35" ht="12.6">
      <c r="A555" s="10" t="s">
        <v>61</v>
      </c>
      <c r="B555" s="10">
        <v>189</v>
      </c>
      <c r="C555" s="10" t="s">
        <v>1514</v>
      </c>
      <c r="D555" s="388">
        <v>45115</v>
      </c>
      <c r="E555" s="389">
        <v>45115</v>
      </c>
      <c r="F555" s="390" t="str">
        <f t="shared" si="10"/>
        <v>Lighting</v>
      </c>
      <c r="G555" s="135">
        <v>1.77568707231919E-2</v>
      </c>
      <c r="H555" s="135">
        <v>1.38586404349303E-2</v>
      </c>
      <c r="I555" s="135">
        <v>1.23875695988033E-2</v>
      </c>
      <c r="J555" s="135">
        <v>1.34094886965183E-2</v>
      </c>
      <c r="K555" s="135">
        <v>1.84399907402737E-2</v>
      </c>
      <c r="L555" s="135">
        <v>3.2534257335777597E-2</v>
      </c>
      <c r="M555" s="135">
        <v>4.0473895568907202E-2</v>
      </c>
      <c r="N555" s="135">
        <v>5.27745501817075E-2</v>
      </c>
      <c r="O555" s="135">
        <v>6.3894771099025E-2</v>
      </c>
      <c r="P555" s="135">
        <v>6.4849982436399306E-2</v>
      </c>
      <c r="Q555" s="135">
        <v>6.0253746811533899E-2</v>
      </c>
      <c r="R555" s="135">
        <v>6.1659022897766001E-2</v>
      </c>
      <c r="S555" s="135">
        <v>6.0177930783413901E-2</v>
      </c>
      <c r="T555" s="135">
        <v>5.3637810843995999E-2</v>
      </c>
      <c r="U555" s="135">
        <v>4.9042488832951099E-2</v>
      </c>
      <c r="V555" s="135">
        <v>5.0859669687459003E-2</v>
      </c>
      <c r="W555" s="135">
        <v>7.9141990679540405E-2</v>
      </c>
      <c r="X555" s="135">
        <v>0.115945087526673</v>
      </c>
      <c r="Y555" s="135">
        <v>0.13369218166070301</v>
      </c>
      <c r="Z555" s="135">
        <v>0.11753565886384899</v>
      </c>
      <c r="AA555" s="135">
        <v>0.102295577579488</v>
      </c>
      <c r="AB555" s="135">
        <v>8.5409913041520694E-2</v>
      </c>
      <c r="AC555" s="135">
        <v>5.5938593890379203E-2</v>
      </c>
      <c r="AD555" s="135">
        <v>3.1180526147134398E-2</v>
      </c>
      <c r="AF555" s="243">
        <f t="shared" si="11"/>
        <v>0.41477266053666029</v>
      </c>
      <c r="AG555" s="275">
        <f t="shared" si="12"/>
        <v>0.52883972396327616</v>
      </c>
      <c r="AH555" s="391">
        <f t="shared" si="13"/>
        <v>0.85831049209866539</v>
      </c>
      <c r="AI555" s="135">
        <f t="shared" si="14"/>
        <v>1.3871502160619416</v>
      </c>
    </row>
    <row r="556" spans="1:35" ht="12.6">
      <c r="A556" s="10" t="s">
        <v>61</v>
      </c>
      <c r="B556" s="10">
        <v>190</v>
      </c>
      <c r="C556" s="10" t="s">
        <v>1514</v>
      </c>
      <c r="D556" s="388">
        <v>45116</v>
      </c>
      <c r="E556" s="389">
        <v>45116</v>
      </c>
      <c r="F556" s="390" t="str">
        <f t="shared" si="10"/>
        <v>Lighting</v>
      </c>
      <c r="G556" s="135">
        <v>1.77568707231919E-2</v>
      </c>
      <c r="H556" s="135">
        <v>1.38586404349303E-2</v>
      </c>
      <c r="I556" s="135">
        <v>1.23875695988033E-2</v>
      </c>
      <c r="J556" s="135">
        <v>1.34094886965183E-2</v>
      </c>
      <c r="K556" s="135">
        <v>1.84399907402737E-2</v>
      </c>
      <c r="L556" s="135">
        <v>3.2534257335777597E-2</v>
      </c>
      <c r="M556" s="135">
        <v>4.0473895568907202E-2</v>
      </c>
      <c r="N556" s="135">
        <v>5.27745501817075E-2</v>
      </c>
      <c r="O556" s="135">
        <v>6.3894771099025E-2</v>
      </c>
      <c r="P556" s="135">
        <v>6.4849982436399306E-2</v>
      </c>
      <c r="Q556" s="135">
        <v>6.0253746811533899E-2</v>
      </c>
      <c r="R556" s="135">
        <v>6.1659022897766001E-2</v>
      </c>
      <c r="S556" s="135">
        <v>6.0177930783413901E-2</v>
      </c>
      <c r="T556" s="135">
        <v>5.3637810843995999E-2</v>
      </c>
      <c r="U556" s="135">
        <v>4.9042488832951099E-2</v>
      </c>
      <c r="V556" s="135">
        <v>5.0859669687459003E-2</v>
      </c>
      <c r="W556" s="135">
        <v>7.9141990679540405E-2</v>
      </c>
      <c r="X556" s="135">
        <v>0.115945087526673</v>
      </c>
      <c r="Y556" s="135">
        <v>0.13369218166070301</v>
      </c>
      <c r="Z556" s="135">
        <v>0.11753565886384899</v>
      </c>
      <c r="AA556" s="135">
        <v>0.102295577579488</v>
      </c>
      <c r="AB556" s="135">
        <v>8.5409913041520694E-2</v>
      </c>
      <c r="AC556" s="135">
        <v>5.5938593890379203E-2</v>
      </c>
      <c r="AD556" s="135">
        <v>3.1180526147134398E-2</v>
      </c>
      <c r="AF556" s="243">
        <f t="shared" si="11"/>
        <v>0.41477266053666029</v>
      </c>
      <c r="AG556" s="275">
        <f t="shared" si="12"/>
        <v>0.52883972396327616</v>
      </c>
      <c r="AH556" s="391">
        <f t="shared" si="13"/>
        <v>0.85831049209866539</v>
      </c>
      <c r="AI556" s="135">
        <f t="shared" si="14"/>
        <v>1.3871502160619416</v>
      </c>
    </row>
    <row r="557" spans="1:35" ht="12.6">
      <c r="A557" s="10" t="s">
        <v>61</v>
      </c>
      <c r="B557" s="10">
        <v>191</v>
      </c>
      <c r="C557" s="10" t="s">
        <v>1514</v>
      </c>
      <c r="D557" s="388">
        <v>45117</v>
      </c>
      <c r="E557" s="389">
        <v>45117</v>
      </c>
      <c r="F557" s="390" t="str">
        <f t="shared" si="10"/>
        <v>Lighting</v>
      </c>
      <c r="G557" s="135">
        <v>1.51939930822498E-2</v>
      </c>
      <c r="H557" s="135">
        <v>1.22229316458579E-2</v>
      </c>
      <c r="I557" s="135">
        <v>1.06943250732968E-2</v>
      </c>
      <c r="J557" s="135">
        <v>1.24308059308939E-2</v>
      </c>
      <c r="K557" s="135">
        <v>2.1250318129478502E-2</v>
      </c>
      <c r="L557" s="135">
        <v>6.4842902599983293E-2</v>
      </c>
      <c r="M557" s="135">
        <v>0.11119326025135901</v>
      </c>
      <c r="N557" s="135">
        <v>0.11776177716990199</v>
      </c>
      <c r="O557" s="135">
        <v>5.70029562799775E-2</v>
      </c>
      <c r="P557" s="135">
        <v>3.7586508112636002E-2</v>
      </c>
      <c r="Q557" s="135">
        <v>3.2826460901145001E-2</v>
      </c>
      <c r="R557" s="135">
        <v>3.0464230842780899E-2</v>
      </c>
      <c r="S557" s="135">
        <v>2.9228998705234301E-2</v>
      </c>
      <c r="T557" s="135">
        <v>2.9240018158098201E-2</v>
      </c>
      <c r="U557" s="135">
        <v>2.8194066011519199E-2</v>
      </c>
      <c r="V557" s="135">
        <v>3.03199568323166E-2</v>
      </c>
      <c r="W557" s="135">
        <v>4.6572586641689999E-2</v>
      </c>
      <c r="X557" s="135">
        <v>0.11758444378832</v>
      </c>
      <c r="Y557" s="135">
        <v>0.145489325666049</v>
      </c>
      <c r="Z557" s="135">
        <v>0.126999884027793</v>
      </c>
      <c r="AA557" s="135">
        <v>0.109002859212428</v>
      </c>
      <c r="AB557" s="135">
        <v>9.3078985941609502E-2</v>
      </c>
      <c r="AC557" s="135">
        <v>5.9929500625319002E-2</v>
      </c>
      <c r="AD557" s="135">
        <v>2.9256156954005599E-2</v>
      </c>
      <c r="AF557" s="243">
        <f t="shared" si="11"/>
        <v>0.22684631809278422</v>
      </c>
      <c r="AG557" s="275">
        <f t="shared" si="12"/>
        <v>0.50056982064130195</v>
      </c>
      <c r="AH557" s="391">
        <f t="shared" si="13"/>
        <v>0.86779743194264081</v>
      </c>
      <c r="AI557" s="135">
        <f t="shared" si="14"/>
        <v>1.3683672525839428</v>
      </c>
    </row>
    <row r="558" spans="1:35" ht="12.6">
      <c r="A558" s="10" t="s">
        <v>61</v>
      </c>
      <c r="B558" s="10">
        <v>192</v>
      </c>
      <c r="C558" s="10" t="s">
        <v>1514</v>
      </c>
      <c r="D558" s="388">
        <v>45118</v>
      </c>
      <c r="E558" s="389">
        <v>45118</v>
      </c>
      <c r="F558" s="390" t="str">
        <f t="shared" si="10"/>
        <v>Lighting</v>
      </c>
      <c r="G558" s="135">
        <v>1.51939930822498E-2</v>
      </c>
      <c r="H558" s="135">
        <v>1.22229316458579E-2</v>
      </c>
      <c r="I558" s="135">
        <v>1.06943250732968E-2</v>
      </c>
      <c r="J558" s="135">
        <v>1.24308059308939E-2</v>
      </c>
      <c r="K558" s="135">
        <v>2.1250318129478502E-2</v>
      </c>
      <c r="L558" s="135">
        <v>6.4842902599983293E-2</v>
      </c>
      <c r="M558" s="135">
        <v>0.11119326025135901</v>
      </c>
      <c r="N558" s="135">
        <v>0.11776177716990199</v>
      </c>
      <c r="O558" s="135">
        <v>5.70029562799775E-2</v>
      </c>
      <c r="P558" s="135">
        <v>3.7586508112636002E-2</v>
      </c>
      <c r="Q558" s="135">
        <v>3.2826460901145001E-2</v>
      </c>
      <c r="R558" s="135">
        <v>3.0464230842780899E-2</v>
      </c>
      <c r="S558" s="135">
        <v>2.9228998705234301E-2</v>
      </c>
      <c r="T558" s="135">
        <v>2.9240018158098201E-2</v>
      </c>
      <c r="U558" s="135">
        <v>2.8194066011519199E-2</v>
      </c>
      <c r="V558" s="135">
        <v>3.03199568323166E-2</v>
      </c>
      <c r="W558" s="135">
        <v>4.6572586641689999E-2</v>
      </c>
      <c r="X558" s="135">
        <v>0.11758444378832</v>
      </c>
      <c r="Y558" s="135">
        <v>0.145489325666049</v>
      </c>
      <c r="Z558" s="135">
        <v>0.126999884027793</v>
      </c>
      <c r="AA558" s="135">
        <v>0.109002859212428</v>
      </c>
      <c r="AB558" s="135">
        <v>9.3078985941609502E-2</v>
      </c>
      <c r="AC558" s="135">
        <v>5.9929500625319002E-2</v>
      </c>
      <c r="AD558" s="135">
        <v>2.9256156954005599E-2</v>
      </c>
      <c r="AF558" s="243">
        <f t="shared" si="11"/>
        <v>0.22684631809278422</v>
      </c>
      <c r="AG558" s="275">
        <f t="shared" si="12"/>
        <v>0.50056982064130195</v>
      </c>
      <c r="AH558" s="391">
        <f t="shared" si="13"/>
        <v>0.86779743194264081</v>
      </c>
      <c r="AI558" s="135">
        <f t="shared" si="14"/>
        <v>1.3683672525839428</v>
      </c>
    </row>
    <row r="559" spans="1:35" ht="12.6">
      <c r="A559" s="10" t="s">
        <v>61</v>
      </c>
      <c r="B559" s="10">
        <v>193</v>
      </c>
      <c r="C559" s="10" t="s">
        <v>1514</v>
      </c>
      <c r="D559" s="388">
        <v>45119</v>
      </c>
      <c r="E559" s="389">
        <v>45119</v>
      </c>
      <c r="F559" s="390" t="str">
        <f t="shared" si="10"/>
        <v>Lighting</v>
      </c>
      <c r="G559" s="135">
        <v>1.51939930822498E-2</v>
      </c>
      <c r="H559" s="135">
        <v>1.22229316458579E-2</v>
      </c>
      <c r="I559" s="135">
        <v>1.06943250732968E-2</v>
      </c>
      <c r="J559" s="135">
        <v>1.24308059308939E-2</v>
      </c>
      <c r="K559" s="135">
        <v>2.1250318129478502E-2</v>
      </c>
      <c r="L559" s="135">
        <v>6.4842902599983293E-2</v>
      </c>
      <c r="M559" s="135">
        <v>0.11119326025135901</v>
      </c>
      <c r="N559" s="135">
        <v>0.11776177716990199</v>
      </c>
      <c r="O559" s="135">
        <v>5.70029562799775E-2</v>
      </c>
      <c r="P559" s="135">
        <v>3.7586508112636002E-2</v>
      </c>
      <c r="Q559" s="135">
        <v>3.2826460901145001E-2</v>
      </c>
      <c r="R559" s="135">
        <v>3.0464230842780899E-2</v>
      </c>
      <c r="S559" s="135">
        <v>2.9228998705234301E-2</v>
      </c>
      <c r="T559" s="135">
        <v>2.9240018158098201E-2</v>
      </c>
      <c r="U559" s="135">
        <v>2.8194066011519199E-2</v>
      </c>
      <c r="V559" s="135">
        <v>3.03199568323166E-2</v>
      </c>
      <c r="W559" s="135">
        <v>4.6572586641689999E-2</v>
      </c>
      <c r="X559" s="135">
        <v>0.11758444378832</v>
      </c>
      <c r="Y559" s="135">
        <v>0.145489325666049</v>
      </c>
      <c r="Z559" s="135">
        <v>0.126999884027793</v>
      </c>
      <c r="AA559" s="135">
        <v>0.109002859212428</v>
      </c>
      <c r="AB559" s="135">
        <v>9.3078985941609502E-2</v>
      </c>
      <c r="AC559" s="135">
        <v>5.9929500625319002E-2</v>
      </c>
      <c r="AD559" s="135">
        <v>2.9256156954005599E-2</v>
      </c>
      <c r="AF559" s="243">
        <f t="shared" si="11"/>
        <v>0.22684631809278422</v>
      </c>
      <c r="AG559" s="275">
        <f t="shared" si="12"/>
        <v>0.50056982064130195</v>
      </c>
      <c r="AH559" s="391">
        <f t="shared" si="13"/>
        <v>0.86779743194264081</v>
      </c>
      <c r="AI559" s="135">
        <f t="shared" si="14"/>
        <v>1.3683672525839428</v>
      </c>
    </row>
    <row r="560" spans="1:35" ht="12.6">
      <c r="A560" s="10" t="s">
        <v>61</v>
      </c>
      <c r="B560" s="10">
        <v>194</v>
      </c>
      <c r="C560" s="10" t="s">
        <v>1514</v>
      </c>
      <c r="D560" s="388">
        <v>45120</v>
      </c>
      <c r="E560" s="389">
        <v>45120</v>
      </c>
      <c r="F560" s="390" t="str">
        <f t="shared" si="10"/>
        <v>Lighting</v>
      </c>
      <c r="G560" s="135">
        <v>1.51939930822498E-2</v>
      </c>
      <c r="H560" s="135">
        <v>1.22229316458579E-2</v>
      </c>
      <c r="I560" s="135">
        <v>1.06943250732968E-2</v>
      </c>
      <c r="J560" s="135">
        <v>1.24308059308939E-2</v>
      </c>
      <c r="K560" s="135">
        <v>2.1250318129478502E-2</v>
      </c>
      <c r="L560" s="135">
        <v>6.4842902599983293E-2</v>
      </c>
      <c r="M560" s="135">
        <v>0.11119326025135901</v>
      </c>
      <c r="N560" s="135">
        <v>0.11776177716990199</v>
      </c>
      <c r="O560" s="135">
        <v>5.70029562799775E-2</v>
      </c>
      <c r="P560" s="135">
        <v>3.7586508112636002E-2</v>
      </c>
      <c r="Q560" s="135">
        <v>3.2826460901145001E-2</v>
      </c>
      <c r="R560" s="135">
        <v>3.0464230842780899E-2</v>
      </c>
      <c r="S560" s="135">
        <v>2.9228998705234301E-2</v>
      </c>
      <c r="T560" s="135">
        <v>2.9240018158098201E-2</v>
      </c>
      <c r="U560" s="135">
        <v>2.8194066011519199E-2</v>
      </c>
      <c r="V560" s="135">
        <v>3.03199568323166E-2</v>
      </c>
      <c r="W560" s="135">
        <v>4.6572586641689999E-2</v>
      </c>
      <c r="X560" s="135">
        <v>0.11758444378832</v>
      </c>
      <c r="Y560" s="135">
        <v>0.145489325666049</v>
      </c>
      <c r="Z560" s="135">
        <v>0.126999884027793</v>
      </c>
      <c r="AA560" s="135">
        <v>0.109002859212428</v>
      </c>
      <c r="AB560" s="135">
        <v>9.3078985941609502E-2</v>
      </c>
      <c r="AC560" s="135">
        <v>5.9929500625319002E-2</v>
      </c>
      <c r="AD560" s="135">
        <v>2.9256156954005599E-2</v>
      </c>
      <c r="AF560" s="243">
        <f t="shared" si="11"/>
        <v>0.22684631809278422</v>
      </c>
      <c r="AG560" s="275">
        <f t="shared" si="12"/>
        <v>0.50056982064130195</v>
      </c>
      <c r="AH560" s="391">
        <f t="shared" si="13"/>
        <v>0.86779743194264081</v>
      </c>
      <c r="AI560" s="135">
        <f t="shared" si="14"/>
        <v>1.3683672525839428</v>
      </c>
    </row>
    <row r="561" spans="1:35" ht="12.6">
      <c r="A561" s="10" t="s">
        <v>61</v>
      </c>
      <c r="B561" s="10">
        <v>195</v>
      </c>
      <c r="C561" s="10" t="s">
        <v>1514</v>
      </c>
      <c r="D561" s="388">
        <v>45121</v>
      </c>
      <c r="E561" s="389">
        <v>45121</v>
      </c>
      <c r="F561" s="390" t="str">
        <f t="shared" si="10"/>
        <v>Lighting</v>
      </c>
      <c r="G561" s="135">
        <v>1.51939930822498E-2</v>
      </c>
      <c r="H561" s="135">
        <v>1.22229316458579E-2</v>
      </c>
      <c r="I561" s="135">
        <v>1.06943250732968E-2</v>
      </c>
      <c r="J561" s="135">
        <v>1.24308059308939E-2</v>
      </c>
      <c r="K561" s="135">
        <v>2.1250318129478502E-2</v>
      </c>
      <c r="L561" s="135">
        <v>6.4842902599983293E-2</v>
      </c>
      <c r="M561" s="135">
        <v>0.11119326025135901</v>
      </c>
      <c r="N561" s="135">
        <v>0.11776177716990199</v>
      </c>
      <c r="O561" s="135">
        <v>5.70029562799775E-2</v>
      </c>
      <c r="P561" s="135">
        <v>3.7586508112636002E-2</v>
      </c>
      <c r="Q561" s="135">
        <v>3.2826460901145001E-2</v>
      </c>
      <c r="R561" s="135">
        <v>3.0464230842780899E-2</v>
      </c>
      <c r="S561" s="135">
        <v>2.9228998705234301E-2</v>
      </c>
      <c r="T561" s="135">
        <v>2.9240018158098201E-2</v>
      </c>
      <c r="U561" s="135">
        <v>2.8194066011519199E-2</v>
      </c>
      <c r="V561" s="135">
        <v>3.03199568323166E-2</v>
      </c>
      <c r="W561" s="135">
        <v>4.6572586641689999E-2</v>
      </c>
      <c r="X561" s="135">
        <v>0.11758444378832</v>
      </c>
      <c r="Y561" s="135">
        <v>0.145489325666049</v>
      </c>
      <c r="Z561" s="135">
        <v>0.126999884027793</v>
      </c>
      <c r="AA561" s="135">
        <v>0.109002859212428</v>
      </c>
      <c r="AB561" s="135">
        <v>9.3078985941609502E-2</v>
      </c>
      <c r="AC561" s="135">
        <v>5.9929500625319002E-2</v>
      </c>
      <c r="AD561" s="135">
        <v>2.9256156954005599E-2</v>
      </c>
      <c r="AF561" s="243">
        <f t="shared" si="11"/>
        <v>0.22684631809278422</v>
      </c>
      <c r="AG561" s="275">
        <f t="shared" si="12"/>
        <v>0.50056982064130195</v>
      </c>
      <c r="AH561" s="391">
        <f t="shared" si="13"/>
        <v>0.86779743194264081</v>
      </c>
      <c r="AI561" s="135">
        <f t="shared" si="14"/>
        <v>1.3683672525839428</v>
      </c>
    </row>
    <row r="562" spans="1:35" ht="12.6">
      <c r="A562" s="10" t="s">
        <v>61</v>
      </c>
      <c r="B562" s="10">
        <v>196</v>
      </c>
      <c r="C562" s="10" t="s">
        <v>1514</v>
      </c>
      <c r="D562" s="388">
        <v>45122</v>
      </c>
      <c r="E562" s="389">
        <v>45122</v>
      </c>
      <c r="F562" s="390" t="str">
        <f t="shared" si="10"/>
        <v>Lighting</v>
      </c>
      <c r="G562" s="135">
        <v>1.77568707231919E-2</v>
      </c>
      <c r="H562" s="135">
        <v>1.38586404349303E-2</v>
      </c>
      <c r="I562" s="135">
        <v>1.23875695988033E-2</v>
      </c>
      <c r="J562" s="135">
        <v>1.34094886965183E-2</v>
      </c>
      <c r="K562" s="135">
        <v>1.84399907402737E-2</v>
      </c>
      <c r="L562" s="135">
        <v>3.2534257335777597E-2</v>
      </c>
      <c r="M562" s="135">
        <v>4.0473895568907202E-2</v>
      </c>
      <c r="N562" s="135">
        <v>5.27745501817075E-2</v>
      </c>
      <c r="O562" s="135">
        <v>6.3894771099025E-2</v>
      </c>
      <c r="P562" s="135">
        <v>6.4849982436399306E-2</v>
      </c>
      <c r="Q562" s="135">
        <v>6.0253746811533899E-2</v>
      </c>
      <c r="R562" s="135">
        <v>6.1659022897766001E-2</v>
      </c>
      <c r="S562" s="135">
        <v>6.0177930783413901E-2</v>
      </c>
      <c r="T562" s="135">
        <v>5.3637810843995999E-2</v>
      </c>
      <c r="U562" s="135">
        <v>4.9042488832951099E-2</v>
      </c>
      <c r="V562" s="135">
        <v>5.0859669687459003E-2</v>
      </c>
      <c r="W562" s="135">
        <v>7.9141990679540405E-2</v>
      </c>
      <c r="X562" s="135">
        <v>0.115945087526673</v>
      </c>
      <c r="Y562" s="135">
        <v>0.13369218166070301</v>
      </c>
      <c r="Z562" s="135">
        <v>0.11753565886384899</v>
      </c>
      <c r="AA562" s="135">
        <v>0.102295577579488</v>
      </c>
      <c r="AB562" s="135">
        <v>8.5409913041520694E-2</v>
      </c>
      <c r="AC562" s="135">
        <v>5.5938593890379203E-2</v>
      </c>
      <c r="AD562" s="135">
        <v>3.1180526147134398E-2</v>
      </c>
      <c r="AF562" s="243">
        <f t="shared" si="11"/>
        <v>0.41477266053666029</v>
      </c>
      <c r="AG562" s="275">
        <f t="shared" si="12"/>
        <v>0.52883972396327616</v>
      </c>
      <c r="AH562" s="391">
        <f t="shared" si="13"/>
        <v>0.85831049209866539</v>
      </c>
      <c r="AI562" s="135">
        <f t="shared" si="14"/>
        <v>1.3871502160619416</v>
      </c>
    </row>
    <row r="563" spans="1:35" ht="12.6">
      <c r="A563" s="10" t="s">
        <v>61</v>
      </c>
      <c r="B563" s="10">
        <v>197</v>
      </c>
      <c r="C563" s="10" t="s">
        <v>1514</v>
      </c>
      <c r="D563" s="388">
        <v>45123</v>
      </c>
      <c r="E563" s="389">
        <v>45123</v>
      </c>
      <c r="F563" s="390" t="str">
        <f t="shared" si="10"/>
        <v>Lighting</v>
      </c>
      <c r="G563" s="135">
        <v>1.77568707231919E-2</v>
      </c>
      <c r="H563" s="135">
        <v>1.38586404349303E-2</v>
      </c>
      <c r="I563" s="135">
        <v>1.23875695988033E-2</v>
      </c>
      <c r="J563" s="135">
        <v>1.34094886965183E-2</v>
      </c>
      <c r="K563" s="135">
        <v>1.84399907402737E-2</v>
      </c>
      <c r="L563" s="135">
        <v>3.2534257335777597E-2</v>
      </c>
      <c r="M563" s="135">
        <v>4.0473895568907202E-2</v>
      </c>
      <c r="N563" s="135">
        <v>5.27745501817075E-2</v>
      </c>
      <c r="O563" s="135">
        <v>6.3894771099025E-2</v>
      </c>
      <c r="P563" s="135">
        <v>6.4849982436399306E-2</v>
      </c>
      <c r="Q563" s="135">
        <v>6.0253746811533899E-2</v>
      </c>
      <c r="R563" s="135">
        <v>6.1659022897766001E-2</v>
      </c>
      <c r="S563" s="135">
        <v>6.0177930783413901E-2</v>
      </c>
      <c r="T563" s="135">
        <v>5.3637810843995999E-2</v>
      </c>
      <c r="U563" s="135">
        <v>4.9042488832951099E-2</v>
      </c>
      <c r="V563" s="135">
        <v>5.0859669687459003E-2</v>
      </c>
      <c r="W563" s="135">
        <v>7.9141990679540405E-2</v>
      </c>
      <c r="X563" s="135">
        <v>0.115945087526673</v>
      </c>
      <c r="Y563" s="135">
        <v>0.13369218166070301</v>
      </c>
      <c r="Z563" s="135">
        <v>0.11753565886384899</v>
      </c>
      <c r="AA563" s="135">
        <v>0.102295577579488</v>
      </c>
      <c r="AB563" s="135">
        <v>8.5409913041520694E-2</v>
      </c>
      <c r="AC563" s="135">
        <v>5.5938593890379203E-2</v>
      </c>
      <c r="AD563" s="135">
        <v>3.1180526147134398E-2</v>
      </c>
      <c r="AF563" s="243">
        <f t="shared" si="11"/>
        <v>0.41477266053666029</v>
      </c>
      <c r="AG563" s="275">
        <f t="shared" si="12"/>
        <v>0.52883972396327616</v>
      </c>
      <c r="AH563" s="391">
        <f t="shared" si="13"/>
        <v>0.85831049209866539</v>
      </c>
      <c r="AI563" s="135">
        <f t="shared" si="14"/>
        <v>1.3871502160619416</v>
      </c>
    </row>
    <row r="564" spans="1:35" ht="12.6">
      <c r="A564" s="10" t="s">
        <v>61</v>
      </c>
      <c r="B564" s="10">
        <v>198</v>
      </c>
      <c r="C564" s="10" t="s">
        <v>1514</v>
      </c>
      <c r="D564" s="388">
        <v>45124</v>
      </c>
      <c r="E564" s="389">
        <v>45124</v>
      </c>
      <c r="F564" s="390" t="str">
        <f t="shared" si="10"/>
        <v>Lighting</v>
      </c>
      <c r="G564" s="135">
        <v>1.51939930822498E-2</v>
      </c>
      <c r="H564" s="135">
        <v>1.22229316458579E-2</v>
      </c>
      <c r="I564" s="135">
        <v>1.06943250732968E-2</v>
      </c>
      <c r="J564" s="135">
        <v>1.24308059308939E-2</v>
      </c>
      <c r="K564" s="135">
        <v>2.1250318129478502E-2</v>
      </c>
      <c r="L564" s="135">
        <v>6.4842902599983293E-2</v>
      </c>
      <c r="M564" s="135">
        <v>0.11119326025135901</v>
      </c>
      <c r="N564" s="135">
        <v>0.11776177716990199</v>
      </c>
      <c r="O564" s="135">
        <v>5.70029562799775E-2</v>
      </c>
      <c r="P564" s="135">
        <v>3.7586508112636002E-2</v>
      </c>
      <c r="Q564" s="135">
        <v>3.2826460901145001E-2</v>
      </c>
      <c r="R564" s="135">
        <v>3.0464230842780899E-2</v>
      </c>
      <c r="S564" s="135">
        <v>2.9228998705234301E-2</v>
      </c>
      <c r="T564" s="135">
        <v>2.9240018158098201E-2</v>
      </c>
      <c r="U564" s="135">
        <v>2.8194066011519199E-2</v>
      </c>
      <c r="V564" s="135">
        <v>3.03199568323166E-2</v>
      </c>
      <c r="W564" s="135">
        <v>4.6572586641689999E-2</v>
      </c>
      <c r="X564" s="135">
        <v>0.11758444378832</v>
      </c>
      <c r="Y564" s="135">
        <v>0.145489325666049</v>
      </c>
      <c r="Z564" s="135">
        <v>0.126999884027793</v>
      </c>
      <c r="AA564" s="135">
        <v>0.109002859212428</v>
      </c>
      <c r="AB564" s="135">
        <v>9.3078985941609502E-2</v>
      </c>
      <c r="AC564" s="135">
        <v>5.9929500625319002E-2</v>
      </c>
      <c r="AD564" s="135">
        <v>2.9256156954005599E-2</v>
      </c>
      <c r="AF564" s="243">
        <f t="shared" si="11"/>
        <v>0.22684631809278422</v>
      </c>
      <c r="AG564" s="275">
        <f t="shared" si="12"/>
        <v>0.50056982064130195</v>
      </c>
      <c r="AH564" s="391">
        <f t="shared" si="13"/>
        <v>0.86779743194264081</v>
      </c>
      <c r="AI564" s="135">
        <f t="shared" si="14"/>
        <v>1.3683672525839428</v>
      </c>
    </row>
    <row r="565" spans="1:35" ht="12.6">
      <c r="A565" s="10" t="s">
        <v>61</v>
      </c>
      <c r="B565" s="10">
        <v>199</v>
      </c>
      <c r="C565" s="10" t="s">
        <v>1514</v>
      </c>
      <c r="D565" s="388">
        <v>45125</v>
      </c>
      <c r="E565" s="389">
        <v>45125</v>
      </c>
      <c r="F565" s="390" t="str">
        <f t="shared" si="10"/>
        <v>Lighting</v>
      </c>
      <c r="G565" s="135">
        <v>1.51939930822498E-2</v>
      </c>
      <c r="H565" s="135">
        <v>1.22229316458579E-2</v>
      </c>
      <c r="I565" s="135">
        <v>1.06943250732968E-2</v>
      </c>
      <c r="J565" s="135">
        <v>1.24308059308939E-2</v>
      </c>
      <c r="K565" s="135">
        <v>2.1250318129478502E-2</v>
      </c>
      <c r="L565" s="135">
        <v>6.4842902599983293E-2</v>
      </c>
      <c r="M565" s="135">
        <v>0.11119326025135901</v>
      </c>
      <c r="N565" s="135">
        <v>0.11776177716990199</v>
      </c>
      <c r="O565" s="135">
        <v>5.70029562799775E-2</v>
      </c>
      <c r="P565" s="135">
        <v>3.7586508112636002E-2</v>
      </c>
      <c r="Q565" s="135">
        <v>3.2826460901145001E-2</v>
      </c>
      <c r="R565" s="135">
        <v>3.0464230842780899E-2</v>
      </c>
      <c r="S565" s="135">
        <v>2.9228998705234301E-2</v>
      </c>
      <c r="T565" s="135">
        <v>2.9240018158098201E-2</v>
      </c>
      <c r="U565" s="135">
        <v>2.8194066011519199E-2</v>
      </c>
      <c r="V565" s="135">
        <v>3.03199568323166E-2</v>
      </c>
      <c r="W565" s="135">
        <v>4.6572586641689999E-2</v>
      </c>
      <c r="X565" s="135">
        <v>0.11758444378832</v>
      </c>
      <c r="Y565" s="135">
        <v>0.145489325666049</v>
      </c>
      <c r="Z565" s="135">
        <v>0.126999884027793</v>
      </c>
      <c r="AA565" s="135">
        <v>0.109002859212428</v>
      </c>
      <c r="AB565" s="135">
        <v>9.3078985941609502E-2</v>
      </c>
      <c r="AC565" s="135">
        <v>5.9929500625319002E-2</v>
      </c>
      <c r="AD565" s="135">
        <v>2.9256156954005599E-2</v>
      </c>
      <c r="AF565" s="243">
        <f t="shared" si="11"/>
        <v>0.22684631809278422</v>
      </c>
      <c r="AG565" s="275">
        <f t="shared" si="12"/>
        <v>0.50056982064130195</v>
      </c>
      <c r="AH565" s="391">
        <f t="shared" si="13"/>
        <v>0.86779743194264081</v>
      </c>
      <c r="AI565" s="135">
        <f t="shared" si="14"/>
        <v>1.3683672525839428</v>
      </c>
    </row>
    <row r="566" spans="1:35" ht="12.6">
      <c r="A566" s="10" t="s">
        <v>61</v>
      </c>
      <c r="B566" s="10">
        <v>200</v>
      </c>
      <c r="C566" s="10" t="s">
        <v>1514</v>
      </c>
      <c r="D566" s="388">
        <v>45126</v>
      </c>
      <c r="E566" s="389">
        <v>45126</v>
      </c>
      <c r="F566" s="390" t="str">
        <f t="shared" si="10"/>
        <v>Lighting</v>
      </c>
      <c r="G566" s="135">
        <v>1.51939930822498E-2</v>
      </c>
      <c r="H566" s="135">
        <v>1.22229316458579E-2</v>
      </c>
      <c r="I566" s="135">
        <v>1.06943250732968E-2</v>
      </c>
      <c r="J566" s="135">
        <v>1.24308059308939E-2</v>
      </c>
      <c r="K566" s="135">
        <v>2.1250318129478502E-2</v>
      </c>
      <c r="L566" s="135">
        <v>6.4842902599983293E-2</v>
      </c>
      <c r="M566" s="135">
        <v>0.11119326025135901</v>
      </c>
      <c r="N566" s="135">
        <v>0.11776177716990199</v>
      </c>
      <c r="O566" s="135">
        <v>5.70029562799775E-2</v>
      </c>
      <c r="P566" s="135">
        <v>3.7586508112636002E-2</v>
      </c>
      <c r="Q566" s="135">
        <v>3.2826460901145001E-2</v>
      </c>
      <c r="R566" s="135">
        <v>3.0464230842780899E-2</v>
      </c>
      <c r="S566" s="135">
        <v>2.9228998705234301E-2</v>
      </c>
      <c r="T566" s="135">
        <v>2.9240018158098201E-2</v>
      </c>
      <c r="U566" s="135">
        <v>2.8194066011519199E-2</v>
      </c>
      <c r="V566" s="135">
        <v>3.03199568323166E-2</v>
      </c>
      <c r="W566" s="135">
        <v>4.6572586641689999E-2</v>
      </c>
      <c r="X566" s="135">
        <v>0.11758444378832</v>
      </c>
      <c r="Y566" s="135">
        <v>0.145489325666049</v>
      </c>
      <c r="Z566" s="135">
        <v>0.126999884027793</v>
      </c>
      <c r="AA566" s="135">
        <v>0.109002859212428</v>
      </c>
      <c r="AB566" s="135">
        <v>9.3078985941609502E-2</v>
      </c>
      <c r="AC566" s="135">
        <v>5.9929500625319002E-2</v>
      </c>
      <c r="AD566" s="135">
        <v>2.9256156954005599E-2</v>
      </c>
      <c r="AF566" s="243">
        <f t="shared" si="11"/>
        <v>0.22684631809278422</v>
      </c>
      <c r="AG566" s="275">
        <f t="shared" si="12"/>
        <v>0.50056982064130195</v>
      </c>
      <c r="AH566" s="391">
        <f t="shared" si="13"/>
        <v>0.86779743194264081</v>
      </c>
      <c r="AI566" s="135">
        <f t="shared" si="14"/>
        <v>1.3683672525839428</v>
      </c>
    </row>
    <row r="567" spans="1:35" ht="12.6">
      <c r="A567" s="10" t="s">
        <v>61</v>
      </c>
      <c r="B567" s="10">
        <v>201</v>
      </c>
      <c r="C567" s="10" t="s">
        <v>1514</v>
      </c>
      <c r="D567" s="388">
        <v>45127</v>
      </c>
      <c r="E567" s="389">
        <v>45127</v>
      </c>
      <c r="F567" s="390" t="str">
        <f t="shared" si="10"/>
        <v>Lighting</v>
      </c>
      <c r="G567" s="135">
        <v>1.51939930822498E-2</v>
      </c>
      <c r="H567" s="135">
        <v>1.22229316458579E-2</v>
      </c>
      <c r="I567" s="135">
        <v>1.06943250732968E-2</v>
      </c>
      <c r="J567" s="135">
        <v>1.24308059308939E-2</v>
      </c>
      <c r="K567" s="135">
        <v>2.1250318129478502E-2</v>
      </c>
      <c r="L567" s="135">
        <v>6.4842902599983293E-2</v>
      </c>
      <c r="M567" s="135">
        <v>0.11119326025135901</v>
      </c>
      <c r="N567" s="135">
        <v>0.11776177716990199</v>
      </c>
      <c r="O567" s="135">
        <v>5.70029562799775E-2</v>
      </c>
      <c r="P567" s="135">
        <v>3.7586508112636002E-2</v>
      </c>
      <c r="Q567" s="135">
        <v>3.2826460901145001E-2</v>
      </c>
      <c r="R567" s="135">
        <v>3.0464230842780899E-2</v>
      </c>
      <c r="S567" s="135">
        <v>2.9228998705234301E-2</v>
      </c>
      <c r="T567" s="135">
        <v>2.9240018158098201E-2</v>
      </c>
      <c r="U567" s="135">
        <v>2.8194066011519199E-2</v>
      </c>
      <c r="V567" s="135">
        <v>3.03199568323166E-2</v>
      </c>
      <c r="W567" s="135">
        <v>4.6572586641689999E-2</v>
      </c>
      <c r="X567" s="135">
        <v>0.11758444378832</v>
      </c>
      <c r="Y567" s="135">
        <v>0.145489325666049</v>
      </c>
      <c r="Z567" s="135">
        <v>0.126999884027793</v>
      </c>
      <c r="AA567" s="135">
        <v>0.109002859212428</v>
      </c>
      <c r="AB567" s="135">
        <v>9.3078985941609502E-2</v>
      </c>
      <c r="AC567" s="135">
        <v>5.9929500625319002E-2</v>
      </c>
      <c r="AD567" s="135">
        <v>2.9256156954005599E-2</v>
      </c>
      <c r="AF567" s="243">
        <f t="shared" si="11"/>
        <v>0.22684631809278422</v>
      </c>
      <c r="AG567" s="275">
        <f t="shared" si="12"/>
        <v>0.50056982064130195</v>
      </c>
      <c r="AH567" s="391">
        <f t="shared" si="13"/>
        <v>0.86779743194264081</v>
      </c>
      <c r="AI567" s="135">
        <f t="shared" si="14"/>
        <v>1.3683672525839428</v>
      </c>
    </row>
    <row r="568" spans="1:35" ht="12.6">
      <c r="A568" s="10" t="s">
        <v>61</v>
      </c>
      <c r="B568" s="10">
        <v>202</v>
      </c>
      <c r="C568" s="10" t="s">
        <v>1514</v>
      </c>
      <c r="D568" s="388">
        <v>45128</v>
      </c>
      <c r="E568" s="389">
        <v>45128</v>
      </c>
      <c r="F568" s="390" t="str">
        <f t="shared" si="10"/>
        <v>Lighting</v>
      </c>
      <c r="G568" s="135">
        <v>1.51939930822498E-2</v>
      </c>
      <c r="H568" s="135">
        <v>1.22229316458579E-2</v>
      </c>
      <c r="I568" s="135">
        <v>1.06943250732968E-2</v>
      </c>
      <c r="J568" s="135">
        <v>1.24308059308939E-2</v>
      </c>
      <c r="K568" s="135">
        <v>2.1250318129478502E-2</v>
      </c>
      <c r="L568" s="135">
        <v>6.4842902599983293E-2</v>
      </c>
      <c r="M568" s="135">
        <v>0.11119326025135901</v>
      </c>
      <c r="N568" s="135">
        <v>0.11776177716990199</v>
      </c>
      <c r="O568" s="135">
        <v>5.70029562799775E-2</v>
      </c>
      <c r="P568" s="135">
        <v>3.7586508112636002E-2</v>
      </c>
      <c r="Q568" s="135">
        <v>3.2826460901145001E-2</v>
      </c>
      <c r="R568" s="135">
        <v>3.0464230842780899E-2</v>
      </c>
      <c r="S568" s="135">
        <v>2.9228998705234301E-2</v>
      </c>
      <c r="T568" s="135">
        <v>2.9240018158098201E-2</v>
      </c>
      <c r="U568" s="135">
        <v>2.8194066011519199E-2</v>
      </c>
      <c r="V568" s="135">
        <v>3.03199568323166E-2</v>
      </c>
      <c r="W568" s="135">
        <v>4.6572586641689999E-2</v>
      </c>
      <c r="X568" s="135">
        <v>0.11758444378832</v>
      </c>
      <c r="Y568" s="135">
        <v>0.145489325666049</v>
      </c>
      <c r="Z568" s="135">
        <v>0.126999884027793</v>
      </c>
      <c r="AA568" s="135">
        <v>0.109002859212428</v>
      </c>
      <c r="AB568" s="135">
        <v>9.3078985941609502E-2</v>
      </c>
      <c r="AC568" s="135">
        <v>5.9929500625319002E-2</v>
      </c>
      <c r="AD568" s="135">
        <v>2.9256156954005599E-2</v>
      </c>
      <c r="AF568" s="243">
        <f t="shared" si="11"/>
        <v>0.22684631809278422</v>
      </c>
      <c r="AG568" s="275">
        <f t="shared" si="12"/>
        <v>0.50056982064130195</v>
      </c>
      <c r="AH568" s="391">
        <f t="shared" si="13"/>
        <v>0.86779743194264081</v>
      </c>
      <c r="AI568" s="135">
        <f t="shared" si="14"/>
        <v>1.3683672525839428</v>
      </c>
    </row>
    <row r="569" spans="1:35" ht="12.6">
      <c r="A569" s="10" t="s">
        <v>61</v>
      </c>
      <c r="B569" s="10">
        <v>203</v>
      </c>
      <c r="C569" s="10" t="s">
        <v>1514</v>
      </c>
      <c r="D569" s="388">
        <v>45129</v>
      </c>
      <c r="E569" s="389">
        <v>45129</v>
      </c>
      <c r="F569" s="390" t="str">
        <f t="shared" si="10"/>
        <v>Lighting</v>
      </c>
      <c r="G569" s="135">
        <v>1.77568707231919E-2</v>
      </c>
      <c r="H569" s="135">
        <v>1.38586404349303E-2</v>
      </c>
      <c r="I569" s="135">
        <v>1.23875695988033E-2</v>
      </c>
      <c r="J569" s="135">
        <v>1.34094886965183E-2</v>
      </c>
      <c r="K569" s="135">
        <v>1.84399907402737E-2</v>
      </c>
      <c r="L569" s="135">
        <v>3.2534257335777597E-2</v>
      </c>
      <c r="M569" s="135">
        <v>4.0473895568907202E-2</v>
      </c>
      <c r="N569" s="135">
        <v>5.27745501817075E-2</v>
      </c>
      <c r="O569" s="135">
        <v>6.3894771099025E-2</v>
      </c>
      <c r="P569" s="135">
        <v>6.4849982436399306E-2</v>
      </c>
      <c r="Q569" s="135">
        <v>6.0253746811533899E-2</v>
      </c>
      <c r="R569" s="135">
        <v>6.1659022897766001E-2</v>
      </c>
      <c r="S569" s="135">
        <v>6.0177930783413901E-2</v>
      </c>
      <c r="T569" s="135">
        <v>5.3637810843995999E-2</v>
      </c>
      <c r="U569" s="135">
        <v>4.9042488832951099E-2</v>
      </c>
      <c r="V569" s="135">
        <v>5.0859669687459003E-2</v>
      </c>
      <c r="W569" s="135">
        <v>7.9141990679540405E-2</v>
      </c>
      <c r="X569" s="135">
        <v>0.115945087526673</v>
      </c>
      <c r="Y569" s="135">
        <v>0.13369218166070301</v>
      </c>
      <c r="Z569" s="135">
        <v>0.11753565886384899</v>
      </c>
      <c r="AA569" s="135">
        <v>0.102295577579488</v>
      </c>
      <c r="AB569" s="135">
        <v>8.5409913041520694E-2</v>
      </c>
      <c r="AC569" s="135">
        <v>5.5938593890379203E-2</v>
      </c>
      <c r="AD569" s="135">
        <v>3.1180526147134398E-2</v>
      </c>
      <c r="AF569" s="243">
        <f t="shared" si="11"/>
        <v>0.41477266053666029</v>
      </c>
      <c r="AG569" s="275">
        <f t="shared" si="12"/>
        <v>0.52883972396327616</v>
      </c>
      <c r="AH569" s="391">
        <f t="shared" si="13"/>
        <v>0.85831049209866539</v>
      </c>
      <c r="AI569" s="135">
        <f t="shared" si="14"/>
        <v>1.3871502160619416</v>
      </c>
    </row>
    <row r="570" spans="1:35" ht="12.6">
      <c r="A570" s="10" t="s">
        <v>61</v>
      </c>
      <c r="B570" s="10">
        <v>204</v>
      </c>
      <c r="C570" s="10" t="s">
        <v>1514</v>
      </c>
      <c r="D570" s="388">
        <v>45130</v>
      </c>
      <c r="E570" s="389">
        <v>45130</v>
      </c>
      <c r="F570" s="390" t="str">
        <f t="shared" si="10"/>
        <v>Lighting</v>
      </c>
      <c r="G570" s="135">
        <v>1.77568707231919E-2</v>
      </c>
      <c r="H570" s="135">
        <v>1.38586404349303E-2</v>
      </c>
      <c r="I570" s="135">
        <v>1.23875695988033E-2</v>
      </c>
      <c r="J570" s="135">
        <v>1.34094886965183E-2</v>
      </c>
      <c r="K570" s="135">
        <v>1.84399907402737E-2</v>
      </c>
      <c r="L570" s="135">
        <v>3.2534257335777597E-2</v>
      </c>
      <c r="M570" s="135">
        <v>4.0473895568907202E-2</v>
      </c>
      <c r="N570" s="135">
        <v>5.27745501817075E-2</v>
      </c>
      <c r="O570" s="135">
        <v>6.3894771099025E-2</v>
      </c>
      <c r="P570" s="135">
        <v>6.4849982436399306E-2</v>
      </c>
      <c r="Q570" s="135">
        <v>6.0253746811533899E-2</v>
      </c>
      <c r="R570" s="135">
        <v>6.1659022897766001E-2</v>
      </c>
      <c r="S570" s="135">
        <v>6.0177930783413901E-2</v>
      </c>
      <c r="T570" s="135">
        <v>5.3637810843995999E-2</v>
      </c>
      <c r="U570" s="135">
        <v>4.9042488832951099E-2</v>
      </c>
      <c r="V570" s="135">
        <v>5.0859669687459003E-2</v>
      </c>
      <c r="W570" s="135">
        <v>7.9141990679540405E-2</v>
      </c>
      <c r="X570" s="135">
        <v>0.115945087526673</v>
      </c>
      <c r="Y570" s="135">
        <v>0.13369218166070301</v>
      </c>
      <c r="Z570" s="135">
        <v>0.11753565886384899</v>
      </c>
      <c r="AA570" s="135">
        <v>0.102295577579488</v>
      </c>
      <c r="AB570" s="135">
        <v>8.5409913041520694E-2</v>
      </c>
      <c r="AC570" s="135">
        <v>5.5938593890379203E-2</v>
      </c>
      <c r="AD570" s="135">
        <v>3.1180526147134398E-2</v>
      </c>
      <c r="AF570" s="243">
        <f t="shared" si="11"/>
        <v>0.41477266053666029</v>
      </c>
      <c r="AG570" s="275">
        <f t="shared" si="12"/>
        <v>0.52883972396327616</v>
      </c>
      <c r="AH570" s="391">
        <f t="shared" si="13"/>
        <v>0.85831049209866539</v>
      </c>
      <c r="AI570" s="135">
        <f t="shared" si="14"/>
        <v>1.3871502160619416</v>
      </c>
    </row>
    <row r="571" spans="1:35" ht="12.6">
      <c r="A571" s="10" t="s">
        <v>61</v>
      </c>
      <c r="B571" s="10">
        <v>205</v>
      </c>
      <c r="C571" s="10" t="s">
        <v>1514</v>
      </c>
      <c r="D571" s="388">
        <v>45131</v>
      </c>
      <c r="E571" s="389">
        <v>45131</v>
      </c>
      <c r="F571" s="390" t="str">
        <f t="shared" si="10"/>
        <v>Lighting</v>
      </c>
      <c r="G571" s="135">
        <v>1.51939930822498E-2</v>
      </c>
      <c r="H571" s="135">
        <v>1.22229316458579E-2</v>
      </c>
      <c r="I571" s="135">
        <v>1.06943250732968E-2</v>
      </c>
      <c r="J571" s="135">
        <v>1.24308059308939E-2</v>
      </c>
      <c r="K571" s="135">
        <v>2.1250318129478502E-2</v>
      </c>
      <c r="L571" s="135">
        <v>6.4842902599983293E-2</v>
      </c>
      <c r="M571" s="135">
        <v>0.11119326025135901</v>
      </c>
      <c r="N571" s="135">
        <v>0.11776177716990199</v>
      </c>
      <c r="O571" s="135">
        <v>5.70029562799775E-2</v>
      </c>
      <c r="P571" s="135">
        <v>3.7586508112636002E-2</v>
      </c>
      <c r="Q571" s="135">
        <v>3.2826460901145001E-2</v>
      </c>
      <c r="R571" s="135">
        <v>3.0464230842780899E-2</v>
      </c>
      <c r="S571" s="135">
        <v>2.9228998705234301E-2</v>
      </c>
      <c r="T571" s="135">
        <v>2.9240018158098201E-2</v>
      </c>
      <c r="U571" s="135">
        <v>2.8194066011519199E-2</v>
      </c>
      <c r="V571" s="135">
        <v>3.03199568323166E-2</v>
      </c>
      <c r="W571" s="135">
        <v>4.6572586641689999E-2</v>
      </c>
      <c r="X571" s="135">
        <v>0.11758444378832</v>
      </c>
      <c r="Y571" s="135">
        <v>0.145489325666049</v>
      </c>
      <c r="Z571" s="135">
        <v>0.126999884027793</v>
      </c>
      <c r="AA571" s="135">
        <v>0.109002859212428</v>
      </c>
      <c r="AB571" s="135">
        <v>9.3078985941609502E-2</v>
      </c>
      <c r="AC571" s="135">
        <v>5.9929500625319002E-2</v>
      </c>
      <c r="AD571" s="135">
        <v>2.9256156954005599E-2</v>
      </c>
      <c r="AF571" s="243">
        <f t="shared" si="11"/>
        <v>0.22684631809278422</v>
      </c>
      <c r="AG571" s="275">
        <f t="shared" si="12"/>
        <v>0.50056982064130195</v>
      </c>
      <c r="AH571" s="391">
        <f t="shared" si="13"/>
        <v>0.86779743194264081</v>
      </c>
      <c r="AI571" s="135">
        <f t="shared" si="14"/>
        <v>1.3683672525839428</v>
      </c>
    </row>
    <row r="572" spans="1:35" ht="12.6">
      <c r="A572" s="10" t="s">
        <v>61</v>
      </c>
      <c r="B572" s="10">
        <v>206</v>
      </c>
      <c r="C572" s="10" t="s">
        <v>1514</v>
      </c>
      <c r="D572" s="388">
        <v>45132</v>
      </c>
      <c r="E572" s="389">
        <v>45132</v>
      </c>
      <c r="F572" s="390" t="str">
        <f t="shared" si="10"/>
        <v>Lighting</v>
      </c>
      <c r="G572" s="135">
        <v>1.51939930822498E-2</v>
      </c>
      <c r="H572" s="135">
        <v>1.22229316458579E-2</v>
      </c>
      <c r="I572" s="135">
        <v>1.06943250732968E-2</v>
      </c>
      <c r="J572" s="135">
        <v>1.24308059308939E-2</v>
      </c>
      <c r="K572" s="135">
        <v>2.1250318129478502E-2</v>
      </c>
      <c r="L572" s="135">
        <v>6.4842902599983293E-2</v>
      </c>
      <c r="M572" s="135">
        <v>0.11119326025135901</v>
      </c>
      <c r="N572" s="135">
        <v>0.11776177716990199</v>
      </c>
      <c r="O572" s="135">
        <v>5.70029562799775E-2</v>
      </c>
      <c r="P572" s="135">
        <v>3.7586508112636002E-2</v>
      </c>
      <c r="Q572" s="135">
        <v>3.2826460901145001E-2</v>
      </c>
      <c r="R572" s="135">
        <v>3.0464230842780899E-2</v>
      </c>
      <c r="S572" s="135">
        <v>2.9228998705234301E-2</v>
      </c>
      <c r="T572" s="135">
        <v>2.9240018158098201E-2</v>
      </c>
      <c r="U572" s="135">
        <v>2.8194066011519199E-2</v>
      </c>
      <c r="V572" s="135">
        <v>3.03199568323166E-2</v>
      </c>
      <c r="W572" s="135">
        <v>4.6572586641689999E-2</v>
      </c>
      <c r="X572" s="135">
        <v>0.11758444378832</v>
      </c>
      <c r="Y572" s="135">
        <v>0.145489325666049</v>
      </c>
      <c r="Z572" s="135">
        <v>0.126999884027793</v>
      </c>
      <c r="AA572" s="135">
        <v>0.109002859212428</v>
      </c>
      <c r="AB572" s="135">
        <v>9.3078985941609502E-2</v>
      </c>
      <c r="AC572" s="135">
        <v>5.9929500625319002E-2</v>
      </c>
      <c r="AD572" s="135">
        <v>2.9256156954005599E-2</v>
      </c>
      <c r="AF572" s="243">
        <f t="shared" si="11"/>
        <v>0.22684631809278422</v>
      </c>
      <c r="AG572" s="275">
        <f t="shared" si="12"/>
        <v>0.50056982064130195</v>
      </c>
      <c r="AH572" s="391">
        <f t="shared" si="13"/>
        <v>0.86779743194264081</v>
      </c>
      <c r="AI572" s="135">
        <f t="shared" si="14"/>
        <v>1.3683672525839428</v>
      </c>
    </row>
    <row r="573" spans="1:35" ht="12.6">
      <c r="A573" s="10" t="s">
        <v>61</v>
      </c>
      <c r="B573" s="10">
        <v>207</v>
      </c>
      <c r="C573" s="10" t="s">
        <v>1514</v>
      </c>
      <c r="D573" s="388">
        <v>45133</v>
      </c>
      <c r="E573" s="389">
        <v>45133</v>
      </c>
      <c r="F573" s="390" t="str">
        <f t="shared" si="10"/>
        <v>Lighting</v>
      </c>
      <c r="G573" s="135">
        <v>1.51939930822498E-2</v>
      </c>
      <c r="H573" s="135">
        <v>1.22229316458579E-2</v>
      </c>
      <c r="I573" s="135">
        <v>1.06943250732968E-2</v>
      </c>
      <c r="J573" s="135">
        <v>1.24308059308939E-2</v>
      </c>
      <c r="K573" s="135">
        <v>2.1250318129478502E-2</v>
      </c>
      <c r="L573" s="135">
        <v>6.4842902599983293E-2</v>
      </c>
      <c r="M573" s="135">
        <v>0.11119326025135901</v>
      </c>
      <c r="N573" s="135">
        <v>0.11776177716990199</v>
      </c>
      <c r="O573" s="135">
        <v>5.70029562799775E-2</v>
      </c>
      <c r="P573" s="135">
        <v>3.7586508112636002E-2</v>
      </c>
      <c r="Q573" s="135">
        <v>3.2826460901145001E-2</v>
      </c>
      <c r="R573" s="135">
        <v>3.0464230842780899E-2</v>
      </c>
      <c r="S573" s="135">
        <v>2.9228998705234301E-2</v>
      </c>
      <c r="T573" s="135">
        <v>2.9240018158098201E-2</v>
      </c>
      <c r="U573" s="135">
        <v>2.8194066011519199E-2</v>
      </c>
      <c r="V573" s="135">
        <v>3.03199568323166E-2</v>
      </c>
      <c r="W573" s="135">
        <v>4.6572586641689999E-2</v>
      </c>
      <c r="X573" s="135">
        <v>0.11758444378832</v>
      </c>
      <c r="Y573" s="135">
        <v>0.145489325666049</v>
      </c>
      <c r="Z573" s="135">
        <v>0.126999884027793</v>
      </c>
      <c r="AA573" s="135">
        <v>0.109002859212428</v>
      </c>
      <c r="AB573" s="135">
        <v>9.3078985941609502E-2</v>
      </c>
      <c r="AC573" s="135">
        <v>5.9929500625319002E-2</v>
      </c>
      <c r="AD573" s="135">
        <v>2.9256156954005599E-2</v>
      </c>
      <c r="AF573" s="243">
        <f t="shared" si="11"/>
        <v>0.22684631809278422</v>
      </c>
      <c r="AG573" s="275">
        <f t="shared" si="12"/>
        <v>0.50056982064130195</v>
      </c>
      <c r="AH573" s="391">
        <f t="shared" si="13"/>
        <v>0.86779743194264081</v>
      </c>
      <c r="AI573" s="135">
        <f t="shared" si="14"/>
        <v>1.3683672525839428</v>
      </c>
    </row>
    <row r="574" spans="1:35" ht="12.6">
      <c r="A574" s="10" t="s">
        <v>61</v>
      </c>
      <c r="B574" s="10">
        <v>208</v>
      </c>
      <c r="C574" s="10" t="s">
        <v>1514</v>
      </c>
      <c r="D574" s="388">
        <v>45134</v>
      </c>
      <c r="E574" s="389">
        <v>45134</v>
      </c>
      <c r="F574" s="390" t="str">
        <f t="shared" si="10"/>
        <v>Lighting</v>
      </c>
      <c r="G574" s="135">
        <v>1.51939930822498E-2</v>
      </c>
      <c r="H574" s="135">
        <v>1.22229316458579E-2</v>
      </c>
      <c r="I574" s="135">
        <v>1.06943250732968E-2</v>
      </c>
      <c r="J574" s="135">
        <v>1.24308059308939E-2</v>
      </c>
      <c r="K574" s="135">
        <v>2.1250318129478502E-2</v>
      </c>
      <c r="L574" s="135">
        <v>6.4842902599983293E-2</v>
      </c>
      <c r="M574" s="135">
        <v>0.11119326025135901</v>
      </c>
      <c r="N574" s="135">
        <v>0.11776177716990199</v>
      </c>
      <c r="O574" s="135">
        <v>5.70029562799775E-2</v>
      </c>
      <c r="P574" s="135">
        <v>3.7586508112636002E-2</v>
      </c>
      <c r="Q574" s="135">
        <v>3.2826460901145001E-2</v>
      </c>
      <c r="R574" s="135">
        <v>3.0464230842780899E-2</v>
      </c>
      <c r="S574" s="135">
        <v>2.9228998705234301E-2</v>
      </c>
      <c r="T574" s="135">
        <v>2.9240018158098201E-2</v>
      </c>
      <c r="U574" s="135">
        <v>2.8194066011519199E-2</v>
      </c>
      <c r="V574" s="135">
        <v>3.03199568323166E-2</v>
      </c>
      <c r="W574" s="135">
        <v>4.6572586641689999E-2</v>
      </c>
      <c r="X574" s="135">
        <v>0.11758444378832</v>
      </c>
      <c r="Y574" s="135">
        <v>0.145489325666049</v>
      </c>
      <c r="Z574" s="135">
        <v>0.126999884027793</v>
      </c>
      <c r="AA574" s="135">
        <v>0.109002859212428</v>
      </c>
      <c r="AB574" s="135">
        <v>9.3078985941609502E-2</v>
      </c>
      <c r="AC574" s="135">
        <v>5.9929500625319002E-2</v>
      </c>
      <c r="AD574" s="135">
        <v>2.9256156954005599E-2</v>
      </c>
      <c r="AF574" s="243">
        <f t="shared" si="11"/>
        <v>0.22684631809278422</v>
      </c>
      <c r="AG574" s="275">
        <f t="shared" si="12"/>
        <v>0.50056982064130195</v>
      </c>
      <c r="AH574" s="391">
        <f t="shared" si="13"/>
        <v>0.86779743194264081</v>
      </c>
      <c r="AI574" s="135">
        <f t="shared" si="14"/>
        <v>1.3683672525839428</v>
      </c>
    </row>
    <row r="575" spans="1:35" ht="12.6">
      <c r="A575" s="10" t="s">
        <v>61</v>
      </c>
      <c r="B575" s="10">
        <v>209</v>
      </c>
      <c r="C575" s="10" t="s">
        <v>1514</v>
      </c>
      <c r="D575" s="388">
        <v>45135</v>
      </c>
      <c r="E575" s="389">
        <v>45135</v>
      </c>
      <c r="F575" s="390" t="str">
        <f t="shared" si="10"/>
        <v>Lighting</v>
      </c>
      <c r="G575" s="135">
        <v>1.51939930822498E-2</v>
      </c>
      <c r="H575" s="135">
        <v>1.22229316458579E-2</v>
      </c>
      <c r="I575" s="135">
        <v>1.06943250732968E-2</v>
      </c>
      <c r="J575" s="135">
        <v>1.24308059308939E-2</v>
      </c>
      <c r="K575" s="135">
        <v>2.1250318129478502E-2</v>
      </c>
      <c r="L575" s="135">
        <v>6.4842902599983293E-2</v>
      </c>
      <c r="M575" s="135">
        <v>0.11119326025135901</v>
      </c>
      <c r="N575" s="135">
        <v>0.11776177716990199</v>
      </c>
      <c r="O575" s="135">
        <v>5.70029562799775E-2</v>
      </c>
      <c r="P575" s="135">
        <v>3.7586508112636002E-2</v>
      </c>
      <c r="Q575" s="135">
        <v>3.2826460901145001E-2</v>
      </c>
      <c r="R575" s="135">
        <v>3.0464230842780899E-2</v>
      </c>
      <c r="S575" s="135">
        <v>2.9228998705234301E-2</v>
      </c>
      <c r="T575" s="135">
        <v>2.9240018158098201E-2</v>
      </c>
      <c r="U575" s="135">
        <v>2.8194066011519199E-2</v>
      </c>
      <c r="V575" s="135">
        <v>3.03199568323166E-2</v>
      </c>
      <c r="W575" s="135">
        <v>4.6572586641689999E-2</v>
      </c>
      <c r="X575" s="135">
        <v>0.11758444378832</v>
      </c>
      <c r="Y575" s="135">
        <v>0.145489325666049</v>
      </c>
      <c r="Z575" s="135">
        <v>0.126999884027793</v>
      </c>
      <c r="AA575" s="135">
        <v>0.109002859212428</v>
      </c>
      <c r="AB575" s="135">
        <v>9.3078985941609502E-2</v>
      </c>
      <c r="AC575" s="135">
        <v>5.9929500625319002E-2</v>
      </c>
      <c r="AD575" s="135">
        <v>2.9256156954005599E-2</v>
      </c>
      <c r="AF575" s="243">
        <f t="shared" si="11"/>
        <v>0.22684631809278422</v>
      </c>
      <c r="AG575" s="275">
        <f t="shared" si="12"/>
        <v>0.50056982064130195</v>
      </c>
      <c r="AH575" s="391">
        <f t="shared" si="13"/>
        <v>0.86779743194264081</v>
      </c>
      <c r="AI575" s="135">
        <f t="shared" si="14"/>
        <v>1.3683672525839428</v>
      </c>
    </row>
    <row r="576" spans="1:35" ht="12.6">
      <c r="A576" s="10" t="s">
        <v>61</v>
      </c>
      <c r="B576" s="10">
        <v>210</v>
      </c>
      <c r="C576" s="10" t="s">
        <v>1514</v>
      </c>
      <c r="D576" s="388">
        <v>45136</v>
      </c>
      <c r="E576" s="389">
        <v>45136</v>
      </c>
      <c r="F576" s="390" t="str">
        <f t="shared" si="10"/>
        <v>Lighting</v>
      </c>
      <c r="G576" s="135">
        <v>1.77568707231919E-2</v>
      </c>
      <c r="H576" s="135">
        <v>1.38586404349303E-2</v>
      </c>
      <c r="I576" s="135">
        <v>1.23875695988033E-2</v>
      </c>
      <c r="J576" s="135">
        <v>1.34094886965183E-2</v>
      </c>
      <c r="K576" s="135">
        <v>1.84399907402737E-2</v>
      </c>
      <c r="L576" s="135">
        <v>3.2534257335777597E-2</v>
      </c>
      <c r="M576" s="135">
        <v>4.0473895568907202E-2</v>
      </c>
      <c r="N576" s="135">
        <v>5.27745501817075E-2</v>
      </c>
      <c r="O576" s="135">
        <v>6.3894771099025E-2</v>
      </c>
      <c r="P576" s="135">
        <v>6.4849982436399306E-2</v>
      </c>
      <c r="Q576" s="135">
        <v>6.0253746811533899E-2</v>
      </c>
      <c r="R576" s="135">
        <v>6.1659022897766001E-2</v>
      </c>
      <c r="S576" s="135">
        <v>6.0177930783413901E-2</v>
      </c>
      <c r="T576" s="135">
        <v>5.3637810843995999E-2</v>
      </c>
      <c r="U576" s="135">
        <v>4.9042488832951099E-2</v>
      </c>
      <c r="V576" s="135">
        <v>5.0859669687459003E-2</v>
      </c>
      <c r="W576" s="135">
        <v>7.9141990679540405E-2</v>
      </c>
      <c r="X576" s="135">
        <v>0.115945087526673</v>
      </c>
      <c r="Y576" s="135">
        <v>0.13369218166070301</v>
      </c>
      <c r="Z576" s="135">
        <v>0.11753565886384899</v>
      </c>
      <c r="AA576" s="135">
        <v>0.102295577579488</v>
      </c>
      <c r="AB576" s="135">
        <v>8.5409913041520694E-2</v>
      </c>
      <c r="AC576" s="135">
        <v>5.5938593890379203E-2</v>
      </c>
      <c r="AD576" s="135">
        <v>3.1180526147134398E-2</v>
      </c>
      <c r="AF576" s="243">
        <f t="shared" si="11"/>
        <v>0.41477266053666029</v>
      </c>
      <c r="AG576" s="275">
        <f t="shared" si="12"/>
        <v>0.52883972396327616</v>
      </c>
      <c r="AH576" s="391">
        <f t="shared" si="13"/>
        <v>0.85831049209866539</v>
      </c>
      <c r="AI576" s="135">
        <f t="shared" si="14"/>
        <v>1.3871502160619416</v>
      </c>
    </row>
    <row r="577" spans="1:35" ht="12.6">
      <c r="A577" s="10" t="s">
        <v>61</v>
      </c>
      <c r="B577" s="10">
        <v>211</v>
      </c>
      <c r="C577" s="10" t="s">
        <v>1514</v>
      </c>
      <c r="D577" s="388">
        <v>45137</v>
      </c>
      <c r="E577" s="389">
        <v>45137</v>
      </c>
      <c r="F577" s="390" t="str">
        <f t="shared" si="10"/>
        <v>Lighting</v>
      </c>
      <c r="G577" s="135">
        <v>1.77568707231919E-2</v>
      </c>
      <c r="H577" s="135">
        <v>1.38586404349303E-2</v>
      </c>
      <c r="I577" s="135">
        <v>1.23875695988033E-2</v>
      </c>
      <c r="J577" s="135">
        <v>1.34094886965183E-2</v>
      </c>
      <c r="K577" s="135">
        <v>1.84399907402737E-2</v>
      </c>
      <c r="L577" s="135">
        <v>3.2534257335777597E-2</v>
      </c>
      <c r="M577" s="135">
        <v>4.0473895568907202E-2</v>
      </c>
      <c r="N577" s="135">
        <v>5.27745501817075E-2</v>
      </c>
      <c r="O577" s="135">
        <v>6.3894771099025E-2</v>
      </c>
      <c r="P577" s="135">
        <v>6.4849982436399306E-2</v>
      </c>
      <c r="Q577" s="135">
        <v>6.0253746811533899E-2</v>
      </c>
      <c r="R577" s="135">
        <v>6.1659022897766001E-2</v>
      </c>
      <c r="S577" s="135">
        <v>6.0177930783413901E-2</v>
      </c>
      <c r="T577" s="135">
        <v>5.3637810843995999E-2</v>
      </c>
      <c r="U577" s="135">
        <v>4.9042488832951099E-2</v>
      </c>
      <c r="V577" s="135">
        <v>5.0859669687459003E-2</v>
      </c>
      <c r="W577" s="135">
        <v>7.9141990679540405E-2</v>
      </c>
      <c r="X577" s="135">
        <v>0.115945087526673</v>
      </c>
      <c r="Y577" s="135">
        <v>0.13369218166070301</v>
      </c>
      <c r="Z577" s="135">
        <v>0.11753565886384899</v>
      </c>
      <c r="AA577" s="135">
        <v>0.102295577579488</v>
      </c>
      <c r="AB577" s="135">
        <v>8.5409913041520694E-2</v>
      </c>
      <c r="AC577" s="135">
        <v>5.5938593890379203E-2</v>
      </c>
      <c r="AD577" s="135">
        <v>3.1180526147134398E-2</v>
      </c>
      <c r="AF577" s="243">
        <f t="shared" si="11"/>
        <v>0.41477266053666029</v>
      </c>
      <c r="AG577" s="275">
        <f t="shared" si="12"/>
        <v>0.52883972396327616</v>
      </c>
      <c r="AH577" s="391">
        <f t="shared" si="13"/>
        <v>0.85831049209866539</v>
      </c>
      <c r="AI577" s="135">
        <f t="shared" si="14"/>
        <v>1.3871502160619416</v>
      </c>
    </row>
    <row r="578" spans="1:35" ht="12.6">
      <c r="A578" s="10" t="s">
        <v>61</v>
      </c>
      <c r="B578" s="10">
        <v>212</v>
      </c>
      <c r="C578" s="10" t="s">
        <v>1514</v>
      </c>
      <c r="D578" s="388">
        <v>45138</v>
      </c>
      <c r="E578" s="389">
        <v>45138</v>
      </c>
      <c r="F578" s="390" t="str">
        <f t="shared" si="10"/>
        <v>Lighting</v>
      </c>
      <c r="G578" s="135">
        <v>1.51939930822498E-2</v>
      </c>
      <c r="H578" s="135">
        <v>1.22229316458579E-2</v>
      </c>
      <c r="I578" s="135">
        <v>1.06943250732968E-2</v>
      </c>
      <c r="J578" s="135">
        <v>1.24308059308939E-2</v>
      </c>
      <c r="K578" s="135">
        <v>2.1250318129478502E-2</v>
      </c>
      <c r="L578" s="135">
        <v>6.4842902599983293E-2</v>
      </c>
      <c r="M578" s="135">
        <v>0.11119326025135901</v>
      </c>
      <c r="N578" s="135">
        <v>0.11776177716990199</v>
      </c>
      <c r="O578" s="135">
        <v>5.70029562799775E-2</v>
      </c>
      <c r="P578" s="135">
        <v>3.7586508112636002E-2</v>
      </c>
      <c r="Q578" s="135">
        <v>3.2826460901145001E-2</v>
      </c>
      <c r="R578" s="135">
        <v>3.0464230842780899E-2</v>
      </c>
      <c r="S578" s="135">
        <v>2.9228998705234301E-2</v>
      </c>
      <c r="T578" s="135">
        <v>2.9240018158098201E-2</v>
      </c>
      <c r="U578" s="135">
        <v>2.8194066011519199E-2</v>
      </c>
      <c r="V578" s="135">
        <v>3.03199568323166E-2</v>
      </c>
      <c r="W578" s="135">
        <v>4.6572586641689999E-2</v>
      </c>
      <c r="X578" s="135">
        <v>0.11758444378832</v>
      </c>
      <c r="Y578" s="135">
        <v>0.145489325666049</v>
      </c>
      <c r="Z578" s="135">
        <v>0.126999884027793</v>
      </c>
      <c r="AA578" s="135">
        <v>0.109002859212428</v>
      </c>
      <c r="AB578" s="135">
        <v>9.3078985941609502E-2</v>
      </c>
      <c r="AC578" s="135">
        <v>5.9929500625319002E-2</v>
      </c>
      <c r="AD578" s="135">
        <v>2.9256156954005599E-2</v>
      </c>
      <c r="AF578" s="243">
        <f t="shared" si="11"/>
        <v>0.22684631809278422</v>
      </c>
      <c r="AG578" s="275">
        <f t="shared" si="12"/>
        <v>0.50056982064130195</v>
      </c>
      <c r="AH578" s="391">
        <f t="shared" si="13"/>
        <v>0.86779743194264081</v>
      </c>
      <c r="AI578" s="135">
        <f t="shared" si="14"/>
        <v>1.3683672525839428</v>
      </c>
    </row>
    <row r="579" spans="1:35" ht="12.6">
      <c r="A579" s="10" t="s">
        <v>61</v>
      </c>
      <c r="B579" s="10">
        <v>213</v>
      </c>
      <c r="C579" s="10" t="s">
        <v>1514</v>
      </c>
      <c r="D579" s="388">
        <v>45139</v>
      </c>
      <c r="E579" s="389">
        <v>45139</v>
      </c>
      <c r="F579" s="390" t="str">
        <f t="shared" si="10"/>
        <v>Lighting</v>
      </c>
      <c r="G579" s="135">
        <v>1.51939930822498E-2</v>
      </c>
      <c r="H579" s="135">
        <v>1.22229316458579E-2</v>
      </c>
      <c r="I579" s="135">
        <v>1.06943250732968E-2</v>
      </c>
      <c r="J579" s="135">
        <v>1.24308059308939E-2</v>
      </c>
      <c r="K579" s="135">
        <v>2.1250318129478502E-2</v>
      </c>
      <c r="L579" s="135">
        <v>6.4842902599983293E-2</v>
      </c>
      <c r="M579" s="135">
        <v>0.11119326025135901</v>
      </c>
      <c r="N579" s="135">
        <v>0.11776177716990199</v>
      </c>
      <c r="O579" s="135">
        <v>5.70029562799775E-2</v>
      </c>
      <c r="P579" s="135">
        <v>3.7586508112636002E-2</v>
      </c>
      <c r="Q579" s="135">
        <v>3.2826460901145001E-2</v>
      </c>
      <c r="R579" s="135">
        <v>3.0464230842780899E-2</v>
      </c>
      <c r="S579" s="135">
        <v>2.9228998705234301E-2</v>
      </c>
      <c r="T579" s="135">
        <v>2.9240018158098201E-2</v>
      </c>
      <c r="U579" s="135">
        <v>2.8194066011519199E-2</v>
      </c>
      <c r="V579" s="135">
        <v>3.03199568323166E-2</v>
      </c>
      <c r="W579" s="135">
        <v>4.6572586641689999E-2</v>
      </c>
      <c r="X579" s="135">
        <v>0.11758444378832</v>
      </c>
      <c r="Y579" s="135">
        <v>0.145489325666049</v>
      </c>
      <c r="Z579" s="135">
        <v>0.126999884027793</v>
      </c>
      <c r="AA579" s="135">
        <v>0.109002859212428</v>
      </c>
      <c r="AB579" s="135">
        <v>9.3078985941609502E-2</v>
      </c>
      <c r="AC579" s="135">
        <v>5.9929500625319002E-2</v>
      </c>
      <c r="AD579" s="135">
        <v>2.9256156954005599E-2</v>
      </c>
      <c r="AF579" s="243">
        <f t="shared" si="11"/>
        <v>0.22684631809278422</v>
      </c>
      <c r="AG579" s="275">
        <f t="shared" si="12"/>
        <v>0.50056982064130195</v>
      </c>
      <c r="AH579" s="391">
        <f t="shared" si="13"/>
        <v>0.86779743194264081</v>
      </c>
      <c r="AI579" s="135">
        <f t="shared" si="14"/>
        <v>1.3683672525839428</v>
      </c>
    </row>
    <row r="580" spans="1:35" ht="12.6">
      <c r="A580" s="10" t="s">
        <v>61</v>
      </c>
      <c r="B580" s="10">
        <v>214</v>
      </c>
      <c r="C580" s="10" t="s">
        <v>1514</v>
      </c>
      <c r="D580" s="388">
        <v>45140</v>
      </c>
      <c r="E580" s="389">
        <v>45140</v>
      </c>
      <c r="F580" s="390" t="str">
        <f t="shared" si="10"/>
        <v>Lighting</v>
      </c>
      <c r="G580" s="135">
        <v>1.51939930822498E-2</v>
      </c>
      <c r="H580" s="135">
        <v>1.22229316458579E-2</v>
      </c>
      <c r="I580" s="135">
        <v>1.06943250732968E-2</v>
      </c>
      <c r="J580" s="135">
        <v>1.24308059308939E-2</v>
      </c>
      <c r="K580" s="135">
        <v>2.1250318129478502E-2</v>
      </c>
      <c r="L580" s="135">
        <v>6.4842902599983293E-2</v>
      </c>
      <c r="M580" s="135">
        <v>0.11119326025135901</v>
      </c>
      <c r="N580" s="135">
        <v>0.11776177716990199</v>
      </c>
      <c r="O580" s="135">
        <v>5.70029562799775E-2</v>
      </c>
      <c r="P580" s="135">
        <v>3.7586508112636002E-2</v>
      </c>
      <c r="Q580" s="135">
        <v>3.2826460901145001E-2</v>
      </c>
      <c r="R580" s="135">
        <v>3.0464230842780899E-2</v>
      </c>
      <c r="S580" s="135">
        <v>2.9228998705234301E-2</v>
      </c>
      <c r="T580" s="135">
        <v>2.9240018158098201E-2</v>
      </c>
      <c r="U580" s="135">
        <v>2.8194066011519199E-2</v>
      </c>
      <c r="V580" s="135">
        <v>3.03199568323166E-2</v>
      </c>
      <c r="W580" s="135">
        <v>4.6572586641689999E-2</v>
      </c>
      <c r="X580" s="135">
        <v>0.11758444378832</v>
      </c>
      <c r="Y580" s="135">
        <v>0.145489325666049</v>
      </c>
      <c r="Z580" s="135">
        <v>0.126999884027793</v>
      </c>
      <c r="AA580" s="135">
        <v>0.109002859212428</v>
      </c>
      <c r="AB580" s="135">
        <v>9.3078985941609502E-2</v>
      </c>
      <c r="AC580" s="135">
        <v>5.9929500625319002E-2</v>
      </c>
      <c r="AD580" s="135">
        <v>2.9256156954005599E-2</v>
      </c>
      <c r="AF580" s="243">
        <f t="shared" si="11"/>
        <v>0.22684631809278422</v>
      </c>
      <c r="AG580" s="275">
        <f t="shared" si="12"/>
        <v>0.50056982064130195</v>
      </c>
      <c r="AH580" s="391">
        <f t="shared" si="13"/>
        <v>0.86779743194264081</v>
      </c>
      <c r="AI580" s="135">
        <f t="shared" si="14"/>
        <v>1.3683672525839428</v>
      </c>
    </row>
    <row r="581" spans="1:35" ht="12.6">
      <c r="A581" s="10" t="s">
        <v>61</v>
      </c>
      <c r="B581" s="10">
        <v>215</v>
      </c>
      <c r="C581" s="10" t="s">
        <v>1514</v>
      </c>
      <c r="D581" s="388">
        <v>45141</v>
      </c>
      <c r="E581" s="389">
        <v>45141</v>
      </c>
      <c r="F581" s="390" t="str">
        <f t="shared" si="10"/>
        <v>Lighting</v>
      </c>
      <c r="G581" s="135">
        <v>1.51939930822498E-2</v>
      </c>
      <c r="H581" s="135">
        <v>1.22229316458579E-2</v>
      </c>
      <c r="I581" s="135">
        <v>1.06943250732968E-2</v>
      </c>
      <c r="J581" s="135">
        <v>1.24308059308939E-2</v>
      </c>
      <c r="K581" s="135">
        <v>2.1250318129478502E-2</v>
      </c>
      <c r="L581" s="135">
        <v>6.4842902599983293E-2</v>
      </c>
      <c r="M581" s="135">
        <v>0.11119326025135901</v>
      </c>
      <c r="N581" s="135">
        <v>0.11776177716990199</v>
      </c>
      <c r="O581" s="135">
        <v>5.70029562799775E-2</v>
      </c>
      <c r="P581" s="135">
        <v>3.7586508112636002E-2</v>
      </c>
      <c r="Q581" s="135">
        <v>3.2826460901145001E-2</v>
      </c>
      <c r="R581" s="135">
        <v>3.0464230842780899E-2</v>
      </c>
      <c r="S581" s="135">
        <v>2.9228998705234301E-2</v>
      </c>
      <c r="T581" s="135">
        <v>2.9240018158098201E-2</v>
      </c>
      <c r="U581" s="135">
        <v>2.8194066011519199E-2</v>
      </c>
      <c r="V581" s="135">
        <v>3.03199568323166E-2</v>
      </c>
      <c r="W581" s="135">
        <v>4.6572586641689999E-2</v>
      </c>
      <c r="X581" s="135">
        <v>0.11758444378832</v>
      </c>
      <c r="Y581" s="135">
        <v>0.145489325666049</v>
      </c>
      <c r="Z581" s="135">
        <v>0.126999884027793</v>
      </c>
      <c r="AA581" s="135">
        <v>0.109002859212428</v>
      </c>
      <c r="AB581" s="135">
        <v>9.3078985941609502E-2</v>
      </c>
      <c r="AC581" s="135">
        <v>5.9929500625319002E-2</v>
      </c>
      <c r="AD581" s="135">
        <v>2.9256156954005599E-2</v>
      </c>
      <c r="AF581" s="243">
        <f t="shared" si="11"/>
        <v>0.22684631809278422</v>
      </c>
      <c r="AG581" s="275">
        <f t="shared" si="12"/>
        <v>0.50056982064130195</v>
      </c>
      <c r="AH581" s="391">
        <f t="shared" si="13"/>
        <v>0.86779743194264081</v>
      </c>
      <c r="AI581" s="135">
        <f t="shared" si="14"/>
        <v>1.3683672525839428</v>
      </c>
    </row>
    <row r="582" spans="1:35" ht="12.6">
      <c r="A582" s="10" t="s">
        <v>61</v>
      </c>
      <c r="B582" s="10">
        <v>216</v>
      </c>
      <c r="C582" s="10" t="s">
        <v>1514</v>
      </c>
      <c r="D582" s="388">
        <v>45142</v>
      </c>
      <c r="E582" s="389">
        <v>45142</v>
      </c>
      <c r="F582" s="390" t="str">
        <f t="shared" si="10"/>
        <v>Lighting</v>
      </c>
      <c r="G582" s="135">
        <v>1.51939930822498E-2</v>
      </c>
      <c r="H582" s="135">
        <v>1.22229316458579E-2</v>
      </c>
      <c r="I582" s="135">
        <v>1.06943250732968E-2</v>
      </c>
      <c r="J582" s="135">
        <v>1.24308059308939E-2</v>
      </c>
      <c r="K582" s="135">
        <v>2.1250318129478502E-2</v>
      </c>
      <c r="L582" s="135">
        <v>6.4842902599983293E-2</v>
      </c>
      <c r="M582" s="135">
        <v>0.11119326025135901</v>
      </c>
      <c r="N582" s="135">
        <v>0.11776177716990199</v>
      </c>
      <c r="O582" s="135">
        <v>5.70029562799775E-2</v>
      </c>
      <c r="P582" s="135">
        <v>3.7586508112636002E-2</v>
      </c>
      <c r="Q582" s="135">
        <v>3.2826460901145001E-2</v>
      </c>
      <c r="R582" s="135">
        <v>3.0464230842780899E-2</v>
      </c>
      <c r="S582" s="135">
        <v>2.9228998705234301E-2</v>
      </c>
      <c r="T582" s="135">
        <v>2.9240018158098201E-2</v>
      </c>
      <c r="U582" s="135">
        <v>2.8194066011519199E-2</v>
      </c>
      <c r="V582" s="135">
        <v>3.03199568323166E-2</v>
      </c>
      <c r="W582" s="135">
        <v>4.6572586641689999E-2</v>
      </c>
      <c r="X582" s="135">
        <v>0.11758444378832</v>
      </c>
      <c r="Y582" s="135">
        <v>0.145489325666049</v>
      </c>
      <c r="Z582" s="135">
        <v>0.126999884027793</v>
      </c>
      <c r="AA582" s="135">
        <v>0.109002859212428</v>
      </c>
      <c r="AB582" s="135">
        <v>9.3078985941609502E-2</v>
      </c>
      <c r="AC582" s="135">
        <v>5.9929500625319002E-2</v>
      </c>
      <c r="AD582" s="135">
        <v>2.9256156954005599E-2</v>
      </c>
      <c r="AF582" s="243">
        <f t="shared" si="11"/>
        <v>0.22684631809278422</v>
      </c>
      <c r="AG582" s="275">
        <f t="shared" si="12"/>
        <v>0.50056982064130195</v>
      </c>
      <c r="AH582" s="391">
        <f t="shared" si="13"/>
        <v>0.86779743194264081</v>
      </c>
      <c r="AI582" s="135">
        <f t="shared" si="14"/>
        <v>1.3683672525839428</v>
      </c>
    </row>
    <row r="583" spans="1:35" ht="12.6">
      <c r="A583" s="10" t="s">
        <v>61</v>
      </c>
      <c r="B583" s="10">
        <v>217</v>
      </c>
      <c r="C583" s="10" t="s">
        <v>1514</v>
      </c>
      <c r="D583" s="388">
        <v>45143</v>
      </c>
      <c r="E583" s="389">
        <v>45143</v>
      </c>
      <c r="F583" s="390" t="str">
        <f t="shared" si="10"/>
        <v>Lighting</v>
      </c>
      <c r="G583" s="135">
        <v>1.77568707231919E-2</v>
      </c>
      <c r="H583" s="135">
        <v>1.38586404349303E-2</v>
      </c>
      <c r="I583" s="135">
        <v>1.23875695988033E-2</v>
      </c>
      <c r="J583" s="135">
        <v>1.34094886965183E-2</v>
      </c>
      <c r="K583" s="135">
        <v>1.84399907402737E-2</v>
      </c>
      <c r="L583" s="135">
        <v>3.2534257335777597E-2</v>
      </c>
      <c r="M583" s="135">
        <v>4.0473895568907202E-2</v>
      </c>
      <c r="N583" s="135">
        <v>5.27745501817075E-2</v>
      </c>
      <c r="O583" s="135">
        <v>6.3894771099025E-2</v>
      </c>
      <c r="P583" s="135">
        <v>6.4849982436399306E-2</v>
      </c>
      <c r="Q583" s="135">
        <v>6.0253746811533899E-2</v>
      </c>
      <c r="R583" s="135">
        <v>6.1659022897766001E-2</v>
      </c>
      <c r="S583" s="135">
        <v>6.0177930783413901E-2</v>
      </c>
      <c r="T583" s="135">
        <v>5.3637810843995999E-2</v>
      </c>
      <c r="U583" s="135">
        <v>4.9042488832951099E-2</v>
      </c>
      <c r="V583" s="135">
        <v>5.0859669687459003E-2</v>
      </c>
      <c r="W583" s="135">
        <v>7.9141990679540405E-2</v>
      </c>
      <c r="X583" s="135">
        <v>0.115945087526673</v>
      </c>
      <c r="Y583" s="135">
        <v>0.13369218166070301</v>
      </c>
      <c r="Z583" s="135">
        <v>0.11753565886384899</v>
      </c>
      <c r="AA583" s="135">
        <v>0.102295577579488</v>
      </c>
      <c r="AB583" s="135">
        <v>8.5409913041520694E-2</v>
      </c>
      <c r="AC583" s="135">
        <v>5.5938593890379203E-2</v>
      </c>
      <c r="AD583" s="135">
        <v>3.1180526147134398E-2</v>
      </c>
      <c r="AF583" s="243">
        <f t="shared" si="11"/>
        <v>0.41477266053666029</v>
      </c>
      <c r="AG583" s="275">
        <f t="shared" si="12"/>
        <v>0.52883972396327616</v>
      </c>
      <c r="AH583" s="391">
        <f t="shared" si="13"/>
        <v>0.85831049209866539</v>
      </c>
      <c r="AI583" s="135">
        <f t="shared" si="14"/>
        <v>1.3871502160619416</v>
      </c>
    </row>
    <row r="584" spans="1:35" ht="12.6">
      <c r="A584" s="10" t="s">
        <v>61</v>
      </c>
      <c r="B584" s="10">
        <v>218</v>
      </c>
      <c r="C584" s="10" t="s">
        <v>1514</v>
      </c>
      <c r="D584" s="388">
        <v>45144</v>
      </c>
      <c r="E584" s="389">
        <v>45144</v>
      </c>
      <c r="F584" s="390" t="str">
        <f t="shared" si="10"/>
        <v>Lighting</v>
      </c>
      <c r="G584" s="135">
        <v>1.77568707231919E-2</v>
      </c>
      <c r="H584" s="135">
        <v>1.38586404349303E-2</v>
      </c>
      <c r="I584" s="135">
        <v>1.23875695988033E-2</v>
      </c>
      <c r="J584" s="135">
        <v>1.34094886965183E-2</v>
      </c>
      <c r="K584" s="135">
        <v>1.84399907402737E-2</v>
      </c>
      <c r="L584" s="135">
        <v>3.2534257335777597E-2</v>
      </c>
      <c r="M584" s="135">
        <v>4.0473895568907202E-2</v>
      </c>
      <c r="N584" s="135">
        <v>5.27745501817075E-2</v>
      </c>
      <c r="O584" s="135">
        <v>6.3894771099025E-2</v>
      </c>
      <c r="P584" s="135">
        <v>6.4849982436399306E-2</v>
      </c>
      <c r="Q584" s="135">
        <v>6.0253746811533899E-2</v>
      </c>
      <c r="R584" s="135">
        <v>6.1659022897766001E-2</v>
      </c>
      <c r="S584" s="135">
        <v>6.0177930783413901E-2</v>
      </c>
      <c r="T584" s="135">
        <v>5.3637810843995999E-2</v>
      </c>
      <c r="U584" s="135">
        <v>4.9042488832951099E-2</v>
      </c>
      <c r="V584" s="135">
        <v>5.0859669687459003E-2</v>
      </c>
      <c r="W584" s="135">
        <v>7.9141990679540405E-2</v>
      </c>
      <c r="X584" s="135">
        <v>0.115945087526673</v>
      </c>
      <c r="Y584" s="135">
        <v>0.13369218166070301</v>
      </c>
      <c r="Z584" s="135">
        <v>0.11753565886384899</v>
      </c>
      <c r="AA584" s="135">
        <v>0.102295577579488</v>
      </c>
      <c r="AB584" s="135">
        <v>8.5409913041520694E-2</v>
      </c>
      <c r="AC584" s="135">
        <v>5.5938593890379203E-2</v>
      </c>
      <c r="AD584" s="135">
        <v>3.1180526147134398E-2</v>
      </c>
      <c r="AF584" s="243">
        <f t="shared" si="11"/>
        <v>0.41477266053666029</v>
      </c>
      <c r="AG584" s="275">
        <f t="shared" si="12"/>
        <v>0.52883972396327616</v>
      </c>
      <c r="AH584" s="391">
        <f t="shared" si="13"/>
        <v>0.85831049209866539</v>
      </c>
      <c r="AI584" s="135">
        <f t="shared" si="14"/>
        <v>1.3871502160619416</v>
      </c>
    </row>
    <row r="585" spans="1:35" ht="12.6">
      <c r="A585" s="10" t="s">
        <v>61</v>
      </c>
      <c r="B585" s="10">
        <v>219</v>
      </c>
      <c r="C585" s="10" t="s">
        <v>1514</v>
      </c>
      <c r="D585" s="388">
        <v>45145</v>
      </c>
      <c r="E585" s="389">
        <v>45145</v>
      </c>
      <c r="F585" s="390" t="str">
        <f t="shared" si="10"/>
        <v>Lighting</v>
      </c>
      <c r="G585" s="135">
        <v>1.51939930822498E-2</v>
      </c>
      <c r="H585" s="135">
        <v>1.22229316458579E-2</v>
      </c>
      <c r="I585" s="135">
        <v>1.06943250732968E-2</v>
      </c>
      <c r="J585" s="135">
        <v>1.24308059308939E-2</v>
      </c>
      <c r="K585" s="135">
        <v>2.1250318129478502E-2</v>
      </c>
      <c r="L585" s="135">
        <v>6.4842902599983293E-2</v>
      </c>
      <c r="M585" s="135">
        <v>0.11119326025135901</v>
      </c>
      <c r="N585" s="135">
        <v>0.11776177716990199</v>
      </c>
      <c r="O585" s="135">
        <v>5.70029562799775E-2</v>
      </c>
      <c r="P585" s="135">
        <v>3.7586508112636002E-2</v>
      </c>
      <c r="Q585" s="135">
        <v>3.2826460901145001E-2</v>
      </c>
      <c r="R585" s="135">
        <v>3.0464230842780899E-2</v>
      </c>
      <c r="S585" s="135">
        <v>2.9228998705234301E-2</v>
      </c>
      <c r="T585" s="135">
        <v>2.9240018158098201E-2</v>
      </c>
      <c r="U585" s="135">
        <v>2.8194066011519199E-2</v>
      </c>
      <c r="V585" s="135">
        <v>3.03199568323166E-2</v>
      </c>
      <c r="W585" s="135">
        <v>4.6572586641689999E-2</v>
      </c>
      <c r="X585" s="135">
        <v>0.11758444378832</v>
      </c>
      <c r="Y585" s="135">
        <v>0.145489325666049</v>
      </c>
      <c r="Z585" s="135">
        <v>0.126999884027793</v>
      </c>
      <c r="AA585" s="135">
        <v>0.109002859212428</v>
      </c>
      <c r="AB585" s="135">
        <v>9.3078985941609502E-2</v>
      </c>
      <c r="AC585" s="135">
        <v>5.9929500625319002E-2</v>
      </c>
      <c r="AD585" s="135">
        <v>2.9256156954005599E-2</v>
      </c>
      <c r="AF585" s="243">
        <f t="shared" si="11"/>
        <v>0.22684631809278422</v>
      </c>
      <c r="AG585" s="275">
        <f t="shared" si="12"/>
        <v>0.50056982064130195</v>
      </c>
      <c r="AH585" s="391">
        <f t="shared" si="13"/>
        <v>0.86779743194264081</v>
      </c>
      <c r="AI585" s="135">
        <f t="shared" si="14"/>
        <v>1.3683672525839428</v>
      </c>
    </row>
    <row r="586" spans="1:35" ht="12.6">
      <c r="A586" s="10" t="s">
        <v>61</v>
      </c>
      <c r="B586" s="10">
        <v>220</v>
      </c>
      <c r="C586" s="10" t="s">
        <v>1514</v>
      </c>
      <c r="D586" s="388">
        <v>45146</v>
      </c>
      <c r="E586" s="389">
        <v>45146</v>
      </c>
      <c r="F586" s="390" t="str">
        <f t="shared" si="10"/>
        <v>Lighting</v>
      </c>
      <c r="G586" s="135">
        <v>1.51939930822498E-2</v>
      </c>
      <c r="H586" s="135">
        <v>1.22229316458579E-2</v>
      </c>
      <c r="I586" s="135">
        <v>1.06943250732968E-2</v>
      </c>
      <c r="J586" s="135">
        <v>1.24308059308939E-2</v>
      </c>
      <c r="K586" s="135">
        <v>2.1250318129478502E-2</v>
      </c>
      <c r="L586" s="135">
        <v>6.4842902599983293E-2</v>
      </c>
      <c r="M586" s="135">
        <v>0.11119326025135901</v>
      </c>
      <c r="N586" s="135">
        <v>0.11776177716990199</v>
      </c>
      <c r="O586" s="135">
        <v>5.70029562799775E-2</v>
      </c>
      <c r="P586" s="135">
        <v>3.7586508112636002E-2</v>
      </c>
      <c r="Q586" s="135">
        <v>3.2826460901145001E-2</v>
      </c>
      <c r="R586" s="135">
        <v>3.0464230842780899E-2</v>
      </c>
      <c r="S586" s="135">
        <v>2.9228998705234301E-2</v>
      </c>
      <c r="T586" s="135">
        <v>2.9240018158098201E-2</v>
      </c>
      <c r="U586" s="135">
        <v>2.8194066011519199E-2</v>
      </c>
      <c r="V586" s="135">
        <v>3.03199568323166E-2</v>
      </c>
      <c r="W586" s="135">
        <v>4.6572586641689999E-2</v>
      </c>
      <c r="X586" s="135">
        <v>0.11758444378832</v>
      </c>
      <c r="Y586" s="135">
        <v>0.145489325666049</v>
      </c>
      <c r="Z586" s="135">
        <v>0.126999884027793</v>
      </c>
      <c r="AA586" s="135">
        <v>0.109002859212428</v>
      </c>
      <c r="AB586" s="135">
        <v>9.3078985941609502E-2</v>
      </c>
      <c r="AC586" s="135">
        <v>5.9929500625319002E-2</v>
      </c>
      <c r="AD586" s="135">
        <v>2.9256156954005599E-2</v>
      </c>
      <c r="AF586" s="243">
        <f t="shared" si="11"/>
        <v>0.22684631809278422</v>
      </c>
      <c r="AG586" s="275">
        <f t="shared" si="12"/>
        <v>0.50056982064130195</v>
      </c>
      <c r="AH586" s="391">
        <f t="shared" si="13"/>
        <v>0.86779743194264081</v>
      </c>
      <c r="AI586" s="135">
        <f t="shared" si="14"/>
        <v>1.3683672525839428</v>
      </c>
    </row>
    <row r="587" spans="1:35" ht="12.6">
      <c r="A587" s="10" t="s">
        <v>61</v>
      </c>
      <c r="B587" s="10">
        <v>221</v>
      </c>
      <c r="C587" s="10" t="s">
        <v>1514</v>
      </c>
      <c r="D587" s="388">
        <v>45147</v>
      </c>
      <c r="E587" s="389">
        <v>45147</v>
      </c>
      <c r="F587" s="390" t="str">
        <f t="shared" si="10"/>
        <v>Lighting</v>
      </c>
      <c r="G587" s="135">
        <v>1.51939930822498E-2</v>
      </c>
      <c r="H587" s="135">
        <v>1.22229316458579E-2</v>
      </c>
      <c r="I587" s="135">
        <v>1.06943250732968E-2</v>
      </c>
      <c r="J587" s="135">
        <v>1.24308059308939E-2</v>
      </c>
      <c r="K587" s="135">
        <v>2.1250318129478502E-2</v>
      </c>
      <c r="L587" s="135">
        <v>6.4842902599983293E-2</v>
      </c>
      <c r="M587" s="135">
        <v>0.11119326025135901</v>
      </c>
      <c r="N587" s="135">
        <v>0.11776177716990199</v>
      </c>
      <c r="O587" s="135">
        <v>5.70029562799775E-2</v>
      </c>
      <c r="P587" s="135">
        <v>3.7586508112636002E-2</v>
      </c>
      <c r="Q587" s="135">
        <v>3.2826460901145001E-2</v>
      </c>
      <c r="R587" s="135">
        <v>3.0464230842780899E-2</v>
      </c>
      <c r="S587" s="135">
        <v>2.9228998705234301E-2</v>
      </c>
      <c r="T587" s="135">
        <v>2.9240018158098201E-2</v>
      </c>
      <c r="U587" s="135">
        <v>2.8194066011519199E-2</v>
      </c>
      <c r="V587" s="135">
        <v>3.03199568323166E-2</v>
      </c>
      <c r="W587" s="135">
        <v>4.6572586641689999E-2</v>
      </c>
      <c r="X587" s="135">
        <v>0.11758444378832</v>
      </c>
      <c r="Y587" s="135">
        <v>0.145489325666049</v>
      </c>
      <c r="Z587" s="135">
        <v>0.126999884027793</v>
      </c>
      <c r="AA587" s="135">
        <v>0.109002859212428</v>
      </c>
      <c r="AB587" s="135">
        <v>9.3078985941609502E-2</v>
      </c>
      <c r="AC587" s="135">
        <v>5.9929500625319002E-2</v>
      </c>
      <c r="AD587" s="135">
        <v>2.9256156954005599E-2</v>
      </c>
      <c r="AF587" s="243">
        <f t="shared" si="11"/>
        <v>0.22684631809278422</v>
      </c>
      <c r="AG587" s="275">
        <f t="shared" si="12"/>
        <v>0.50056982064130195</v>
      </c>
      <c r="AH587" s="391">
        <f t="shared" si="13"/>
        <v>0.86779743194264081</v>
      </c>
      <c r="AI587" s="135">
        <f t="shared" si="14"/>
        <v>1.3683672525839428</v>
      </c>
    </row>
    <row r="588" spans="1:35" ht="12.6">
      <c r="A588" s="10" t="s">
        <v>61</v>
      </c>
      <c r="B588" s="10">
        <v>222</v>
      </c>
      <c r="C588" s="10" t="s">
        <v>1514</v>
      </c>
      <c r="D588" s="388">
        <v>45148</v>
      </c>
      <c r="E588" s="389">
        <v>45148</v>
      </c>
      <c r="F588" s="390" t="str">
        <f t="shared" si="10"/>
        <v>Lighting</v>
      </c>
      <c r="G588" s="135">
        <v>1.51939930822498E-2</v>
      </c>
      <c r="H588" s="135">
        <v>1.22229316458579E-2</v>
      </c>
      <c r="I588" s="135">
        <v>1.06943250732968E-2</v>
      </c>
      <c r="J588" s="135">
        <v>1.24308059308939E-2</v>
      </c>
      <c r="K588" s="135">
        <v>2.1250318129478502E-2</v>
      </c>
      <c r="L588" s="135">
        <v>6.4842902599983293E-2</v>
      </c>
      <c r="M588" s="135">
        <v>0.11119326025135901</v>
      </c>
      <c r="N588" s="135">
        <v>0.11776177716990199</v>
      </c>
      <c r="O588" s="135">
        <v>5.70029562799775E-2</v>
      </c>
      <c r="P588" s="135">
        <v>3.7586508112636002E-2</v>
      </c>
      <c r="Q588" s="135">
        <v>3.2826460901145001E-2</v>
      </c>
      <c r="R588" s="135">
        <v>3.0464230842780899E-2</v>
      </c>
      <c r="S588" s="135">
        <v>2.9228998705234301E-2</v>
      </c>
      <c r="T588" s="135">
        <v>2.9240018158098201E-2</v>
      </c>
      <c r="U588" s="135">
        <v>2.8194066011519199E-2</v>
      </c>
      <c r="V588" s="135">
        <v>3.03199568323166E-2</v>
      </c>
      <c r="W588" s="135">
        <v>4.6572586641689999E-2</v>
      </c>
      <c r="X588" s="135">
        <v>0.11758444378832</v>
      </c>
      <c r="Y588" s="135">
        <v>0.145489325666049</v>
      </c>
      <c r="Z588" s="135">
        <v>0.126999884027793</v>
      </c>
      <c r="AA588" s="135">
        <v>0.109002859212428</v>
      </c>
      <c r="AB588" s="135">
        <v>9.3078985941609502E-2</v>
      </c>
      <c r="AC588" s="135">
        <v>5.9929500625319002E-2</v>
      </c>
      <c r="AD588" s="135">
        <v>2.9256156954005599E-2</v>
      </c>
      <c r="AF588" s="243">
        <f t="shared" si="11"/>
        <v>0.22684631809278422</v>
      </c>
      <c r="AG588" s="275">
        <f t="shared" si="12"/>
        <v>0.50056982064130195</v>
      </c>
      <c r="AH588" s="391">
        <f t="shared" si="13"/>
        <v>0.86779743194264081</v>
      </c>
      <c r="AI588" s="135">
        <f t="shared" si="14"/>
        <v>1.3683672525839428</v>
      </c>
    </row>
    <row r="589" spans="1:35" ht="12.6">
      <c r="A589" s="10" t="s">
        <v>61</v>
      </c>
      <c r="B589" s="10">
        <v>223</v>
      </c>
      <c r="C589" s="10" t="s">
        <v>1514</v>
      </c>
      <c r="D589" s="388">
        <v>45149</v>
      </c>
      <c r="E589" s="389">
        <v>45149</v>
      </c>
      <c r="F589" s="390" t="str">
        <f t="shared" si="10"/>
        <v>Lighting</v>
      </c>
      <c r="G589" s="135">
        <v>1.51939930822498E-2</v>
      </c>
      <c r="H589" s="135">
        <v>1.22229316458579E-2</v>
      </c>
      <c r="I589" s="135">
        <v>1.06943250732968E-2</v>
      </c>
      <c r="J589" s="135">
        <v>1.24308059308939E-2</v>
      </c>
      <c r="K589" s="135">
        <v>2.1250318129478502E-2</v>
      </c>
      <c r="L589" s="135">
        <v>6.4842902599983293E-2</v>
      </c>
      <c r="M589" s="135">
        <v>0.11119326025135901</v>
      </c>
      <c r="N589" s="135">
        <v>0.11776177716990199</v>
      </c>
      <c r="O589" s="135">
        <v>5.70029562799775E-2</v>
      </c>
      <c r="P589" s="135">
        <v>3.7586508112636002E-2</v>
      </c>
      <c r="Q589" s="135">
        <v>3.2826460901145001E-2</v>
      </c>
      <c r="R589" s="135">
        <v>3.0464230842780899E-2</v>
      </c>
      <c r="S589" s="135">
        <v>2.9228998705234301E-2</v>
      </c>
      <c r="T589" s="135">
        <v>2.9240018158098201E-2</v>
      </c>
      <c r="U589" s="135">
        <v>2.8194066011519199E-2</v>
      </c>
      <c r="V589" s="135">
        <v>3.03199568323166E-2</v>
      </c>
      <c r="W589" s="135">
        <v>4.6572586641689999E-2</v>
      </c>
      <c r="X589" s="135">
        <v>0.11758444378832</v>
      </c>
      <c r="Y589" s="135">
        <v>0.145489325666049</v>
      </c>
      <c r="Z589" s="135">
        <v>0.126999884027793</v>
      </c>
      <c r="AA589" s="135">
        <v>0.109002859212428</v>
      </c>
      <c r="AB589" s="135">
        <v>9.3078985941609502E-2</v>
      </c>
      <c r="AC589" s="135">
        <v>5.9929500625319002E-2</v>
      </c>
      <c r="AD589" s="135">
        <v>2.9256156954005599E-2</v>
      </c>
      <c r="AF589" s="243">
        <f t="shared" si="11"/>
        <v>0.22684631809278422</v>
      </c>
      <c r="AG589" s="275">
        <f t="shared" si="12"/>
        <v>0.50056982064130195</v>
      </c>
      <c r="AH589" s="391">
        <f t="shared" si="13"/>
        <v>0.86779743194264081</v>
      </c>
      <c r="AI589" s="135">
        <f t="shared" si="14"/>
        <v>1.3683672525839428</v>
      </c>
    </row>
    <row r="590" spans="1:35" ht="12.6">
      <c r="A590" s="10" t="s">
        <v>61</v>
      </c>
      <c r="B590" s="10">
        <v>224</v>
      </c>
      <c r="C590" s="10" t="s">
        <v>1514</v>
      </c>
      <c r="D590" s="388">
        <v>45150</v>
      </c>
      <c r="E590" s="389">
        <v>45150</v>
      </c>
      <c r="F590" s="390" t="str">
        <f t="shared" si="10"/>
        <v>Lighting</v>
      </c>
      <c r="G590" s="135">
        <v>1.77568707231919E-2</v>
      </c>
      <c r="H590" s="135">
        <v>1.38586404349303E-2</v>
      </c>
      <c r="I590" s="135">
        <v>1.23875695988033E-2</v>
      </c>
      <c r="J590" s="135">
        <v>1.34094886965183E-2</v>
      </c>
      <c r="K590" s="135">
        <v>1.84399907402737E-2</v>
      </c>
      <c r="L590" s="135">
        <v>3.2534257335777597E-2</v>
      </c>
      <c r="M590" s="135">
        <v>4.0473895568907202E-2</v>
      </c>
      <c r="N590" s="135">
        <v>5.27745501817075E-2</v>
      </c>
      <c r="O590" s="135">
        <v>6.3894771099025E-2</v>
      </c>
      <c r="P590" s="135">
        <v>6.4849982436399306E-2</v>
      </c>
      <c r="Q590" s="135">
        <v>6.0253746811533899E-2</v>
      </c>
      <c r="R590" s="135">
        <v>6.1659022897766001E-2</v>
      </c>
      <c r="S590" s="135">
        <v>6.0177930783413901E-2</v>
      </c>
      <c r="T590" s="135">
        <v>5.3637810843995999E-2</v>
      </c>
      <c r="U590" s="135">
        <v>4.9042488832951099E-2</v>
      </c>
      <c r="V590" s="135">
        <v>5.0859669687459003E-2</v>
      </c>
      <c r="W590" s="135">
        <v>7.9141990679540405E-2</v>
      </c>
      <c r="X590" s="135">
        <v>0.115945087526673</v>
      </c>
      <c r="Y590" s="135">
        <v>0.13369218166070301</v>
      </c>
      <c r="Z590" s="135">
        <v>0.11753565886384899</v>
      </c>
      <c r="AA590" s="135">
        <v>0.102295577579488</v>
      </c>
      <c r="AB590" s="135">
        <v>8.5409913041520694E-2</v>
      </c>
      <c r="AC590" s="135">
        <v>5.5938593890379203E-2</v>
      </c>
      <c r="AD590" s="135">
        <v>3.1180526147134398E-2</v>
      </c>
      <c r="AF590" s="243">
        <f t="shared" si="11"/>
        <v>0.41477266053666029</v>
      </c>
      <c r="AG590" s="275">
        <f t="shared" si="12"/>
        <v>0.52883972396327616</v>
      </c>
      <c r="AH590" s="391">
        <f t="shared" si="13"/>
        <v>0.85831049209866539</v>
      </c>
      <c r="AI590" s="135">
        <f t="shared" si="14"/>
        <v>1.3871502160619416</v>
      </c>
    </row>
    <row r="591" spans="1:35" ht="12.6">
      <c r="A591" s="10" t="s">
        <v>61</v>
      </c>
      <c r="B591" s="10">
        <v>225</v>
      </c>
      <c r="C591" s="10" t="s">
        <v>1514</v>
      </c>
      <c r="D591" s="388">
        <v>45151</v>
      </c>
      <c r="E591" s="389">
        <v>45151</v>
      </c>
      <c r="F591" s="390" t="str">
        <f t="shared" si="10"/>
        <v>Lighting</v>
      </c>
      <c r="G591" s="135">
        <v>1.77568707231919E-2</v>
      </c>
      <c r="H591" s="135">
        <v>1.38586404349303E-2</v>
      </c>
      <c r="I591" s="135">
        <v>1.23875695988033E-2</v>
      </c>
      <c r="J591" s="135">
        <v>1.34094886965183E-2</v>
      </c>
      <c r="K591" s="135">
        <v>1.84399907402737E-2</v>
      </c>
      <c r="L591" s="135">
        <v>3.2534257335777597E-2</v>
      </c>
      <c r="M591" s="135">
        <v>4.0473895568907202E-2</v>
      </c>
      <c r="N591" s="135">
        <v>5.27745501817075E-2</v>
      </c>
      <c r="O591" s="135">
        <v>6.3894771099025E-2</v>
      </c>
      <c r="P591" s="135">
        <v>6.4849982436399306E-2</v>
      </c>
      <c r="Q591" s="135">
        <v>6.0253746811533899E-2</v>
      </c>
      <c r="R591" s="135">
        <v>6.1659022897766001E-2</v>
      </c>
      <c r="S591" s="135">
        <v>6.0177930783413901E-2</v>
      </c>
      <c r="T591" s="135">
        <v>5.3637810843995999E-2</v>
      </c>
      <c r="U591" s="135">
        <v>4.9042488832951099E-2</v>
      </c>
      <c r="V591" s="135">
        <v>5.0859669687459003E-2</v>
      </c>
      <c r="W591" s="135">
        <v>7.9141990679540405E-2</v>
      </c>
      <c r="X591" s="135">
        <v>0.115945087526673</v>
      </c>
      <c r="Y591" s="135">
        <v>0.13369218166070301</v>
      </c>
      <c r="Z591" s="135">
        <v>0.11753565886384899</v>
      </c>
      <c r="AA591" s="135">
        <v>0.102295577579488</v>
      </c>
      <c r="AB591" s="135">
        <v>8.5409913041520694E-2</v>
      </c>
      <c r="AC591" s="135">
        <v>5.5938593890379203E-2</v>
      </c>
      <c r="AD591" s="135">
        <v>3.1180526147134398E-2</v>
      </c>
      <c r="AF591" s="243">
        <f t="shared" si="11"/>
        <v>0.41477266053666029</v>
      </c>
      <c r="AG591" s="275">
        <f t="shared" si="12"/>
        <v>0.52883972396327616</v>
      </c>
      <c r="AH591" s="391">
        <f t="shared" si="13"/>
        <v>0.85831049209866539</v>
      </c>
      <c r="AI591" s="135">
        <f t="shared" si="14"/>
        <v>1.3871502160619416</v>
      </c>
    </row>
    <row r="592" spans="1:35" ht="12.6">
      <c r="A592" s="10" t="s">
        <v>61</v>
      </c>
      <c r="B592" s="10">
        <v>226</v>
      </c>
      <c r="C592" s="10" t="s">
        <v>1514</v>
      </c>
      <c r="D592" s="388">
        <v>45152</v>
      </c>
      <c r="E592" s="389">
        <v>45152</v>
      </c>
      <c r="F592" s="390" t="str">
        <f t="shared" si="10"/>
        <v>Lighting</v>
      </c>
      <c r="G592" s="135">
        <v>1.51939930822498E-2</v>
      </c>
      <c r="H592" s="135">
        <v>1.22229316458579E-2</v>
      </c>
      <c r="I592" s="135">
        <v>1.06943250732968E-2</v>
      </c>
      <c r="J592" s="135">
        <v>1.24308059308939E-2</v>
      </c>
      <c r="K592" s="135">
        <v>2.1250318129478502E-2</v>
      </c>
      <c r="L592" s="135">
        <v>6.4842902599983293E-2</v>
      </c>
      <c r="M592" s="135">
        <v>0.11119326025135901</v>
      </c>
      <c r="N592" s="135">
        <v>0.11776177716990199</v>
      </c>
      <c r="O592" s="135">
        <v>5.70029562799775E-2</v>
      </c>
      <c r="P592" s="135">
        <v>3.7586508112636002E-2</v>
      </c>
      <c r="Q592" s="135">
        <v>3.2826460901145001E-2</v>
      </c>
      <c r="R592" s="135">
        <v>3.0464230842780899E-2</v>
      </c>
      <c r="S592" s="135">
        <v>2.9228998705234301E-2</v>
      </c>
      <c r="T592" s="135">
        <v>2.9240018158098201E-2</v>
      </c>
      <c r="U592" s="135">
        <v>2.8194066011519199E-2</v>
      </c>
      <c r="V592" s="135">
        <v>3.03199568323166E-2</v>
      </c>
      <c r="W592" s="135">
        <v>4.6572586641689999E-2</v>
      </c>
      <c r="X592" s="135">
        <v>0.11758444378832</v>
      </c>
      <c r="Y592" s="135">
        <v>0.145489325666049</v>
      </c>
      <c r="Z592" s="135">
        <v>0.126999884027793</v>
      </c>
      <c r="AA592" s="135">
        <v>0.109002859212428</v>
      </c>
      <c r="AB592" s="135">
        <v>9.3078985941609502E-2</v>
      </c>
      <c r="AC592" s="135">
        <v>5.9929500625319002E-2</v>
      </c>
      <c r="AD592" s="135">
        <v>2.9256156954005599E-2</v>
      </c>
      <c r="AF592" s="243">
        <f t="shared" si="11"/>
        <v>0.22684631809278422</v>
      </c>
      <c r="AG592" s="275">
        <f t="shared" si="12"/>
        <v>0.50056982064130195</v>
      </c>
      <c r="AH592" s="391">
        <f t="shared" si="13"/>
        <v>0.86779743194264081</v>
      </c>
      <c r="AI592" s="135">
        <f t="shared" si="14"/>
        <v>1.3683672525839428</v>
      </c>
    </row>
    <row r="593" spans="1:35" ht="12.6">
      <c r="A593" s="10" t="s">
        <v>61</v>
      </c>
      <c r="B593" s="10">
        <v>227</v>
      </c>
      <c r="C593" s="10" t="s">
        <v>1514</v>
      </c>
      <c r="D593" s="388">
        <v>45153</v>
      </c>
      <c r="E593" s="389">
        <v>45153</v>
      </c>
      <c r="F593" s="390" t="str">
        <f t="shared" si="10"/>
        <v>Lighting</v>
      </c>
      <c r="G593" s="135">
        <v>1.51939930822498E-2</v>
      </c>
      <c r="H593" s="135">
        <v>1.22229316458579E-2</v>
      </c>
      <c r="I593" s="135">
        <v>1.06943250732968E-2</v>
      </c>
      <c r="J593" s="135">
        <v>1.24308059308939E-2</v>
      </c>
      <c r="K593" s="135">
        <v>2.1250318129478502E-2</v>
      </c>
      <c r="L593" s="135">
        <v>6.4842902599983293E-2</v>
      </c>
      <c r="M593" s="135">
        <v>0.11119326025135901</v>
      </c>
      <c r="N593" s="135">
        <v>0.11776177716990199</v>
      </c>
      <c r="O593" s="135">
        <v>5.70029562799775E-2</v>
      </c>
      <c r="P593" s="135">
        <v>3.7586508112636002E-2</v>
      </c>
      <c r="Q593" s="135">
        <v>3.2826460901145001E-2</v>
      </c>
      <c r="R593" s="135">
        <v>3.0464230842780899E-2</v>
      </c>
      <c r="S593" s="135">
        <v>2.9228998705234301E-2</v>
      </c>
      <c r="T593" s="135">
        <v>2.9240018158098201E-2</v>
      </c>
      <c r="U593" s="135">
        <v>2.8194066011519199E-2</v>
      </c>
      <c r="V593" s="135">
        <v>3.03199568323166E-2</v>
      </c>
      <c r="W593" s="135">
        <v>4.6572586641689999E-2</v>
      </c>
      <c r="X593" s="135">
        <v>0.11758444378832</v>
      </c>
      <c r="Y593" s="135">
        <v>0.145489325666049</v>
      </c>
      <c r="Z593" s="135">
        <v>0.126999884027793</v>
      </c>
      <c r="AA593" s="135">
        <v>0.109002859212428</v>
      </c>
      <c r="AB593" s="135">
        <v>9.3078985941609502E-2</v>
      </c>
      <c r="AC593" s="135">
        <v>5.9929500625319002E-2</v>
      </c>
      <c r="AD593" s="135">
        <v>2.9256156954005599E-2</v>
      </c>
      <c r="AF593" s="243">
        <f t="shared" si="11"/>
        <v>0.22684631809278422</v>
      </c>
      <c r="AG593" s="275">
        <f t="shared" si="12"/>
        <v>0.50056982064130195</v>
      </c>
      <c r="AH593" s="391">
        <f t="shared" si="13"/>
        <v>0.86779743194264081</v>
      </c>
      <c r="AI593" s="135">
        <f t="shared" si="14"/>
        <v>1.3683672525839428</v>
      </c>
    </row>
    <row r="594" spans="1:35" ht="12.6">
      <c r="A594" s="10" t="s">
        <v>61</v>
      </c>
      <c r="B594" s="10">
        <v>228</v>
      </c>
      <c r="C594" s="10" t="s">
        <v>1514</v>
      </c>
      <c r="D594" s="388">
        <v>45154</v>
      </c>
      <c r="E594" s="389">
        <v>45154</v>
      </c>
      <c r="F594" s="390" t="str">
        <f t="shared" si="10"/>
        <v>Lighting</v>
      </c>
      <c r="G594" s="135">
        <v>1.51939930822498E-2</v>
      </c>
      <c r="H594" s="135">
        <v>1.22229316458579E-2</v>
      </c>
      <c r="I594" s="135">
        <v>1.06943250732968E-2</v>
      </c>
      <c r="J594" s="135">
        <v>1.24308059308939E-2</v>
      </c>
      <c r="K594" s="135">
        <v>2.1250318129478502E-2</v>
      </c>
      <c r="L594" s="135">
        <v>6.4842902599983293E-2</v>
      </c>
      <c r="M594" s="135">
        <v>0.11119326025135901</v>
      </c>
      <c r="N594" s="135">
        <v>0.11776177716990199</v>
      </c>
      <c r="O594" s="135">
        <v>5.70029562799775E-2</v>
      </c>
      <c r="P594" s="135">
        <v>3.7586508112636002E-2</v>
      </c>
      <c r="Q594" s="135">
        <v>3.2826460901145001E-2</v>
      </c>
      <c r="R594" s="135">
        <v>3.0464230842780899E-2</v>
      </c>
      <c r="S594" s="135">
        <v>2.9228998705234301E-2</v>
      </c>
      <c r="T594" s="135">
        <v>2.9240018158098201E-2</v>
      </c>
      <c r="U594" s="135">
        <v>2.8194066011519199E-2</v>
      </c>
      <c r="V594" s="135">
        <v>3.03199568323166E-2</v>
      </c>
      <c r="W594" s="135">
        <v>4.6572586641689999E-2</v>
      </c>
      <c r="X594" s="135">
        <v>0.11758444378832</v>
      </c>
      <c r="Y594" s="135">
        <v>0.145489325666049</v>
      </c>
      <c r="Z594" s="135">
        <v>0.126999884027793</v>
      </c>
      <c r="AA594" s="135">
        <v>0.109002859212428</v>
      </c>
      <c r="AB594" s="135">
        <v>9.3078985941609502E-2</v>
      </c>
      <c r="AC594" s="135">
        <v>5.9929500625319002E-2</v>
      </c>
      <c r="AD594" s="135">
        <v>2.9256156954005599E-2</v>
      </c>
      <c r="AF594" s="243">
        <f t="shared" si="11"/>
        <v>0.22684631809278422</v>
      </c>
      <c r="AG594" s="275">
        <f t="shared" si="12"/>
        <v>0.50056982064130195</v>
      </c>
      <c r="AH594" s="391">
        <f t="shared" si="13"/>
        <v>0.86779743194264081</v>
      </c>
      <c r="AI594" s="135">
        <f t="shared" si="14"/>
        <v>1.3683672525839428</v>
      </c>
    </row>
    <row r="595" spans="1:35" ht="12.6">
      <c r="A595" s="10" t="s">
        <v>61</v>
      </c>
      <c r="B595" s="10">
        <v>229</v>
      </c>
      <c r="C595" s="10" t="s">
        <v>1514</v>
      </c>
      <c r="D595" s="388">
        <v>45155</v>
      </c>
      <c r="E595" s="389">
        <v>45155</v>
      </c>
      <c r="F595" s="390" t="str">
        <f t="shared" si="10"/>
        <v>Lighting</v>
      </c>
      <c r="G595" s="135">
        <v>1.51939930822498E-2</v>
      </c>
      <c r="H595" s="135">
        <v>1.22229316458579E-2</v>
      </c>
      <c r="I595" s="135">
        <v>1.06943250732968E-2</v>
      </c>
      <c r="J595" s="135">
        <v>1.24308059308939E-2</v>
      </c>
      <c r="K595" s="135">
        <v>2.1250318129478502E-2</v>
      </c>
      <c r="L595" s="135">
        <v>6.4842902599983293E-2</v>
      </c>
      <c r="M595" s="135">
        <v>0.11119326025135901</v>
      </c>
      <c r="N595" s="135">
        <v>0.11776177716990199</v>
      </c>
      <c r="O595" s="135">
        <v>5.70029562799775E-2</v>
      </c>
      <c r="P595" s="135">
        <v>3.7586508112636002E-2</v>
      </c>
      <c r="Q595" s="135">
        <v>3.2826460901145001E-2</v>
      </c>
      <c r="R595" s="135">
        <v>3.0464230842780899E-2</v>
      </c>
      <c r="S595" s="135">
        <v>2.9228998705234301E-2</v>
      </c>
      <c r="T595" s="135">
        <v>2.9240018158098201E-2</v>
      </c>
      <c r="U595" s="135">
        <v>2.8194066011519199E-2</v>
      </c>
      <c r="V595" s="135">
        <v>3.03199568323166E-2</v>
      </c>
      <c r="W595" s="135">
        <v>4.6572586641689999E-2</v>
      </c>
      <c r="X595" s="135">
        <v>0.11758444378832</v>
      </c>
      <c r="Y595" s="135">
        <v>0.145489325666049</v>
      </c>
      <c r="Z595" s="135">
        <v>0.126999884027793</v>
      </c>
      <c r="AA595" s="135">
        <v>0.109002859212428</v>
      </c>
      <c r="AB595" s="135">
        <v>9.3078985941609502E-2</v>
      </c>
      <c r="AC595" s="135">
        <v>5.9929500625319002E-2</v>
      </c>
      <c r="AD595" s="135">
        <v>2.9256156954005599E-2</v>
      </c>
      <c r="AF595" s="243">
        <f t="shared" si="11"/>
        <v>0.22684631809278422</v>
      </c>
      <c r="AG595" s="275">
        <f t="shared" si="12"/>
        <v>0.50056982064130195</v>
      </c>
      <c r="AH595" s="391">
        <f t="shared" si="13"/>
        <v>0.86779743194264081</v>
      </c>
      <c r="AI595" s="135">
        <f t="shared" si="14"/>
        <v>1.3683672525839428</v>
      </c>
    </row>
    <row r="596" spans="1:35" ht="12.6">
      <c r="A596" s="10" t="s">
        <v>61</v>
      </c>
      <c r="B596" s="10">
        <v>230</v>
      </c>
      <c r="C596" s="10" t="s">
        <v>1514</v>
      </c>
      <c r="D596" s="388">
        <v>45156</v>
      </c>
      <c r="E596" s="389">
        <v>45156</v>
      </c>
      <c r="F596" s="390" t="str">
        <f t="shared" si="10"/>
        <v>Lighting</v>
      </c>
      <c r="G596" s="135">
        <v>1.51939930822498E-2</v>
      </c>
      <c r="H596" s="135">
        <v>1.22229316458579E-2</v>
      </c>
      <c r="I596" s="135">
        <v>1.06943250732968E-2</v>
      </c>
      <c r="J596" s="135">
        <v>1.24308059308939E-2</v>
      </c>
      <c r="K596" s="135">
        <v>2.1250318129478502E-2</v>
      </c>
      <c r="L596" s="135">
        <v>6.4842902599983293E-2</v>
      </c>
      <c r="M596" s="135">
        <v>0.11119326025135901</v>
      </c>
      <c r="N596" s="135">
        <v>0.11776177716990199</v>
      </c>
      <c r="O596" s="135">
        <v>5.70029562799775E-2</v>
      </c>
      <c r="P596" s="135">
        <v>3.7586508112636002E-2</v>
      </c>
      <c r="Q596" s="135">
        <v>3.2826460901145001E-2</v>
      </c>
      <c r="R596" s="135">
        <v>3.0464230842780899E-2</v>
      </c>
      <c r="S596" s="135">
        <v>2.9228998705234301E-2</v>
      </c>
      <c r="T596" s="135">
        <v>2.9240018158098201E-2</v>
      </c>
      <c r="U596" s="135">
        <v>2.8194066011519199E-2</v>
      </c>
      <c r="V596" s="135">
        <v>3.03199568323166E-2</v>
      </c>
      <c r="W596" s="135">
        <v>4.6572586641689999E-2</v>
      </c>
      <c r="X596" s="135">
        <v>0.11758444378832</v>
      </c>
      <c r="Y596" s="135">
        <v>0.145489325666049</v>
      </c>
      <c r="Z596" s="135">
        <v>0.126999884027793</v>
      </c>
      <c r="AA596" s="135">
        <v>0.109002859212428</v>
      </c>
      <c r="AB596" s="135">
        <v>9.3078985941609502E-2</v>
      </c>
      <c r="AC596" s="135">
        <v>5.9929500625319002E-2</v>
      </c>
      <c r="AD596" s="135">
        <v>2.9256156954005599E-2</v>
      </c>
      <c r="AF596" s="243">
        <f t="shared" si="11"/>
        <v>0.22684631809278422</v>
      </c>
      <c r="AG596" s="275">
        <f t="shared" si="12"/>
        <v>0.50056982064130195</v>
      </c>
      <c r="AH596" s="391">
        <f t="shared" si="13"/>
        <v>0.86779743194264081</v>
      </c>
      <c r="AI596" s="135">
        <f t="shared" si="14"/>
        <v>1.3683672525839428</v>
      </c>
    </row>
    <row r="597" spans="1:35" ht="12.6">
      <c r="A597" s="10" t="s">
        <v>61</v>
      </c>
      <c r="B597" s="10">
        <v>231</v>
      </c>
      <c r="C597" s="10" t="s">
        <v>1514</v>
      </c>
      <c r="D597" s="388">
        <v>45157</v>
      </c>
      <c r="E597" s="389">
        <v>45157</v>
      </c>
      <c r="F597" s="390" t="str">
        <f t="shared" si="10"/>
        <v>Lighting</v>
      </c>
      <c r="G597" s="135">
        <v>1.77568707231919E-2</v>
      </c>
      <c r="H597" s="135">
        <v>1.38586404349303E-2</v>
      </c>
      <c r="I597" s="135">
        <v>1.23875695988033E-2</v>
      </c>
      <c r="J597" s="135">
        <v>1.34094886965183E-2</v>
      </c>
      <c r="K597" s="135">
        <v>1.84399907402737E-2</v>
      </c>
      <c r="L597" s="135">
        <v>3.2534257335777597E-2</v>
      </c>
      <c r="M597" s="135">
        <v>4.0473895568907202E-2</v>
      </c>
      <c r="N597" s="135">
        <v>5.27745501817075E-2</v>
      </c>
      <c r="O597" s="135">
        <v>6.3894771099025E-2</v>
      </c>
      <c r="P597" s="135">
        <v>6.4849982436399306E-2</v>
      </c>
      <c r="Q597" s="135">
        <v>6.0253746811533899E-2</v>
      </c>
      <c r="R597" s="135">
        <v>6.1659022897766001E-2</v>
      </c>
      <c r="S597" s="135">
        <v>6.0177930783413901E-2</v>
      </c>
      <c r="T597" s="135">
        <v>5.3637810843995999E-2</v>
      </c>
      <c r="U597" s="135">
        <v>4.9042488832951099E-2</v>
      </c>
      <c r="V597" s="135">
        <v>5.0859669687459003E-2</v>
      </c>
      <c r="W597" s="135">
        <v>7.9141990679540405E-2</v>
      </c>
      <c r="X597" s="135">
        <v>0.115945087526673</v>
      </c>
      <c r="Y597" s="135">
        <v>0.13369218166070301</v>
      </c>
      <c r="Z597" s="135">
        <v>0.11753565886384899</v>
      </c>
      <c r="AA597" s="135">
        <v>0.102295577579488</v>
      </c>
      <c r="AB597" s="135">
        <v>8.5409913041520694E-2</v>
      </c>
      <c r="AC597" s="135">
        <v>5.5938593890379203E-2</v>
      </c>
      <c r="AD597" s="135">
        <v>3.1180526147134398E-2</v>
      </c>
      <c r="AF597" s="243">
        <f t="shared" si="11"/>
        <v>0.41477266053666029</v>
      </c>
      <c r="AG597" s="275">
        <f t="shared" si="12"/>
        <v>0.52883972396327616</v>
      </c>
      <c r="AH597" s="391">
        <f t="shared" si="13"/>
        <v>0.85831049209866539</v>
      </c>
      <c r="AI597" s="135">
        <f t="shared" si="14"/>
        <v>1.3871502160619416</v>
      </c>
    </row>
    <row r="598" spans="1:35" ht="12.6">
      <c r="A598" s="10" t="s">
        <v>61</v>
      </c>
      <c r="B598" s="10">
        <v>232</v>
      </c>
      <c r="C598" s="10" t="s">
        <v>1514</v>
      </c>
      <c r="D598" s="388">
        <v>45158</v>
      </c>
      <c r="E598" s="389">
        <v>45158</v>
      </c>
      <c r="F598" s="390" t="str">
        <f t="shared" si="10"/>
        <v>Lighting</v>
      </c>
      <c r="G598" s="135">
        <v>1.77568707231919E-2</v>
      </c>
      <c r="H598" s="135">
        <v>1.38586404349303E-2</v>
      </c>
      <c r="I598" s="135">
        <v>1.23875695988033E-2</v>
      </c>
      <c r="J598" s="135">
        <v>1.34094886965183E-2</v>
      </c>
      <c r="K598" s="135">
        <v>1.84399907402737E-2</v>
      </c>
      <c r="L598" s="135">
        <v>3.2534257335777597E-2</v>
      </c>
      <c r="M598" s="135">
        <v>4.0473895568907202E-2</v>
      </c>
      <c r="N598" s="135">
        <v>5.27745501817075E-2</v>
      </c>
      <c r="O598" s="135">
        <v>6.3894771099025E-2</v>
      </c>
      <c r="P598" s="135">
        <v>6.4849982436399306E-2</v>
      </c>
      <c r="Q598" s="135">
        <v>6.0253746811533899E-2</v>
      </c>
      <c r="R598" s="135">
        <v>6.1659022897766001E-2</v>
      </c>
      <c r="S598" s="135">
        <v>6.0177930783413901E-2</v>
      </c>
      <c r="T598" s="135">
        <v>5.3637810843995999E-2</v>
      </c>
      <c r="U598" s="135">
        <v>4.9042488832951099E-2</v>
      </c>
      <c r="V598" s="135">
        <v>5.0859669687459003E-2</v>
      </c>
      <c r="W598" s="135">
        <v>7.9141990679540405E-2</v>
      </c>
      <c r="X598" s="135">
        <v>0.115945087526673</v>
      </c>
      <c r="Y598" s="135">
        <v>0.13369218166070301</v>
      </c>
      <c r="Z598" s="135">
        <v>0.11753565886384899</v>
      </c>
      <c r="AA598" s="135">
        <v>0.102295577579488</v>
      </c>
      <c r="AB598" s="135">
        <v>8.5409913041520694E-2</v>
      </c>
      <c r="AC598" s="135">
        <v>5.5938593890379203E-2</v>
      </c>
      <c r="AD598" s="135">
        <v>3.1180526147134398E-2</v>
      </c>
      <c r="AF598" s="243">
        <f t="shared" si="11"/>
        <v>0.41477266053666029</v>
      </c>
      <c r="AG598" s="275">
        <f t="shared" si="12"/>
        <v>0.52883972396327616</v>
      </c>
      <c r="AH598" s="391">
        <f t="shared" si="13"/>
        <v>0.85831049209866539</v>
      </c>
      <c r="AI598" s="135">
        <f t="shared" si="14"/>
        <v>1.3871502160619416</v>
      </c>
    </row>
    <row r="599" spans="1:35" ht="12.6">
      <c r="A599" s="10" t="s">
        <v>61</v>
      </c>
      <c r="B599" s="10">
        <v>233</v>
      </c>
      <c r="C599" s="10" t="s">
        <v>1514</v>
      </c>
      <c r="D599" s="388">
        <v>45159</v>
      </c>
      <c r="E599" s="389">
        <v>45159</v>
      </c>
      <c r="F599" s="390" t="str">
        <f t="shared" si="10"/>
        <v>Lighting</v>
      </c>
      <c r="G599" s="135">
        <v>1.51939930822498E-2</v>
      </c>
      <c r="H599" s="135">
        <v>1.22229316458579E-2</v>
      </c>
      <c r="I599" s="135">
        <v>1.06943250732968E-2</v>
      </c>
      <c r="J599" s="135">
        <v>1.24308059308939E-2</v>
      </c>
      <c r="K599" s="135">
        <v>2.1250318129478502E-2</v>
      </c>
      <c r="L599" s="135">
        <v>6.4842902599983293E-2</v>
      </c>
      <c r="M599" s="135">
        <v>0.11119326025135901</v>
      </c>
      <c r="N599" s="135">
        <v>0.11776177716990199</v>
      </c>
      <c r="O599" s="135">
        <v>5.70029562799775E-2</v>
      </c>
      <c r="P599" s="135">
        <v>3.7586508112636002E-2</v>
      </c>
      <c r="Q599" s="135">
        <v>3.2826460901145001E-2</v>
      </c>
      <c r="R599" s="135">
        <v>3.0464230842780899E-2</v>
      </c>
      <c r="S599" s="135">
        <v>2.9228998705234301E-2</v>
      </c>
      <c r="T599" s="135">
        <v>2.9240018158098201E-2</v>
      </c>
      <c r="U599" s="135">
        <v>2.8194066011519199E-2</v>
      </c>
      <c r="V599" s="135">
        <v>3.03199568323166E-2</v>
      </c>
      <c r="W599" s="135">
        <v>4.6572586641689999E-2</v>
      </c>
      <c r="X599" s="135">
        <v>0.11758444378832</v>
      </c>
      <c r="Y599" s="135">
        <v>0.145489325666049</v>
      </c>
      <c r="Z599" s="135">
        <v>0.126999884027793</v>
      </c>
      <c r="AA599" s="135">
        <v>0.109002859212428</v>
      </c>
      <c r="AB599" s="135">
        <v>9.3078985941609502E-2</v>
      </c>
      <c r="AC599" s="135">
        <v>5.9929500625319002E-2</v>
      </c>
      <c r="AD599" s="135">
        <v>2.9256156954005599E-2</v>
      </c>
      <c r="AF599" s="243">
        <f t="shared" si="11"/>
        <v>0.22684631809278422</v>
      </c>
      <c r="AG599" s="275">
        <f t="shared" si="12"/>
        <v>0.50056982064130195</v>
      </c>
      <c r="AH599" s="391">
        <f t="shared" si="13"/>
        <v>0.86779743194264081</v>
      </c>
      <c r="AI599" s="135">
        <f t="shared" si="14"/>
        <v>1.3683672525839428</v>
      </c>
    </row>
    <row r="600" spans="1:35" ht="12.6">
      <c r="A600" s="10" t="s">
        <v>61</v>
      </c>
      <c r="B600" s="10">
        <v>234</v>
      </c>
      <c r="C600" s="10" t="s">
        <v>1514</v>
      </c>
      <c r="D600" s="388">
        <v>45160</v>
      </c>
      <c r="E600" s="389">
        <v>45160</v>
      </c>
      <c r="F600" s="390" t="str">
        <f t="shared" si="10"/>
        <v>Lighting</v>
      </c>
      <c r="G600" s="135">
        <v>1.51939930822498E-2</v>
      </c>
      <c r="H600" s="135">
        <v>1.22229316458579E-2</v>
      </c>
      <c r="I600" s="135">
        <v>1.06943250732968E-2</v>
      </c>
      <c r="J600" s="135">
        <v>1.24308059308939E-2</v>
      </c>
      <c r="K600" s="135">
        <v>2.1250318129478502E-2</v>
      </c>
      <c r="L600" s="135">
        <v>6.4842902599983293E-2</v>
      </c>
      <c r="M600" s="135">
        <v>0.11119326025135901</v>
      </c>
      <c r="N600" s="135">
        <v>0.11776177716990199</v>
      </c>
      <c r="O600" s="135">
        <v>5.70029562799775E-2</v>
      </c>
      <c r="P600" s="135">
        <v>3.7586508112636002E-2</v>
      </c>
      <c r="Q600" s="135">
        <v>3.2826460901145001E-2</v>
      </c>
      <c r="R600" s="135">
        <v>3.0464230842780899E-2</v>
      </c>
      <c r="S600" s="135">
        <v>2.9228998705234301E-2</v>
      </c>
      <c r="T600" s="135">
        <v>2.9240018158098201E-2</v>
      </c>
      <c r="U600" s="135">
        <v>2.8194066011519199E-2</v>
      </c>
      <c r="V600" s="135">
        <v>3.03199568323166E-2</v>
      </c>
      <c r="W600" s="135">
        <v>4.6572586641689999E-2</v>
      </c>
      <c r="X600" s="135">
        <v>0.11758444378832</v>
      </c>
      <c r="Y600" s="135">
        <v>0.145489325666049</v>
      </c>
      <c r="Z600" s="135">
        <v>0.126999884027793</v>
      </c>
      <c r="AA600" s="135">
        <v>0.109002859212428</v>
      </c>
      <c r="AB600" s="135">
        <v>9.3078985941609502E-2</v>
      </c>
      <c r="AC600" s="135">
        <v>5.9929500625319002E-2</v>
      </c>
      <c r="AD600" s="135">
        <v>2.9256156954005599E-2</v>
      </c>
      <c r="AF600" s="243">
        <f t="shared" si="11"/>
        <v>0.22684631809278422</v>
      </c>
      <c r="AG600" s="275">
        <f t="shared" si="12"/>
        <v>0.50056982064130195</v>
      </c>
      <c r="AH600" s="391">
        <f t="shared" si="13"/>
        <v>0.86779743194264081</v>
      </c>
      <c r="AI600" s="135">
        <f t="shared" si="14"/>
        <v>1.3683672525839428</v>
      </c>
    </row>
    <row r="601" spans="1:35" ht="12.6">
      <c r="A601" s="10" t="s">
        <v>61</v>
      </c>
      <c r="B601" s="10">
        <v>235</v>
      </c>
      <c r="C601" s="10" t="s">
        <v>1514</v>
      </c>
      <c r="D601" s="388">
        <v>45161</v>
      </c>
      <c r="E601" s="389">
        <v>45161</v>
      </c>
      <c r="F601" s="390" t="str">
        <f t="shared" si="10"/>
        <v>Lighting</v>
      </c>
      <c r="G601" s="135">
        <v>1.51939930822498E-2</v>
      </c>
      <c r="H601" s="135">
        <v>1.22229316458579E-2</v>
      </c>
      <c r="I601" s="135">
        <v>1.06943250732968E-2</v>
      </c>
      <c r="J601" s="135">
        <v>1.24308059308939E-2</v>
      </c>
      <c r="K601" s="135">
        <v>2.1250318129478502E-2</v>
      </c>
      <c r="L601" s="135">
        <v>6.4842902599983293E-2</v>
      </c>
      <c r="M601" s="135">
        <v>0.11119326025135901</v>
      </c>
      <c r="N601" s="135">
        <v>0.11776177716990199</v>
      </c>
      <c r="O601" s="135">
        <v>5.70029562799775E-2</v>
      </c>
      <c r="P601" s="135">
        <v>3.7586508112636002E-2</v>
      </c>
      <c r="Q601" s="135">
        <v>3.2826460901145001E-2</v>
      </c>
      <c r="R601" s="135">
        <v>3.0464230842780899E-2</v>
      </c>
      <c r="S601" s="135">
        <v>2.9228998705234301E-2</v>
      </c>
      <c r="T601" s="135">
        <v>2.9240018158098201E-2</v>
      </c>
      <c r="U601" s="135">
        <v>2.8194066011519199E-2</v>
      </c>
      <c r="V601" s="135">
        <v>3.03199568323166E-2</v>
      </c>
      <c r="W601" s="135">
        <v>4.6572586641689999E-2</v>
      </c>
      <c r="X601" s="135">
        <v>0.11758444378832</v>
      </c>
      <c r="Y601" s="135">
        <v>0.145489325666049</v>
      </c>
      <c r="Z601" s="135">
        <v>0.126999884027793</v>
      </c>
      <c r="AA601" s="135">
        <v>0.109002859212428</v>
      </c>
      <c r="AB601" s="135">
        <v>9.3078985941609502E-2</v>
      </c>
      <c r="AC601" s="135">
        <v>5.9929500625319002E-2</v>
      </c>
      <c r="AD601" s="135">
        <v>2.9256156954005599E-2</v>
      </c>
      <c r="AF601" s="243">
        <f t="shared" si="11"/>
        <v>0.22684631809278422</v>
      </c>
      <c r="AG601" s="275">
        <f t="shared" si="12"/>
        <v>0.50056982064130195</v>
      </c>
      <c r="AH601" s="391">
        <f t="shared" si="13"/>
        <v>0.86779743194264081</v>
      </c>
      <c r="AI601" s="135">
        <f t="shared" si="14"/>
        <v>1.3683672525839428</v>
      </c>
    </row>
    <row r="602" spans="1:35" ht="12.6">
      <c r="A602" s="10" t="s">
        <v>61</v>
      </c>
      <c r="B602" s="10">
        <v>236</v>
      </c>
      <c r="C602" s="10" t="s">
        <v>1514</v>
      </c>
      <c r="D602" s="388">
        <v>45162</v>
      </c>
      <c r="E602" s="389">
        <v>45162</v>
      </c>
      <c r="F602" s="390" t="str">
        <f t="shared" si="10"/>
        <v>Lighting</v>
      </c>
      <c r="G602" s="135">
        <v>1.51939930822498E-2</v>
      </c>
      <c r="H602" s="135">
        <v>1.22229316458579E-2</v>
      </c>
      <c r="I602" s="135">
        <v>1.06943250732968E-2</v>
      </c>
      <c r="J602" s="135">
        <v>1.24308059308939E-2</v>
      </c>
      <c r="K602" s="135">
        <v>2.1250318129478502E-2</v>
      </c>
      <c r="L602" s="135">
        <v>6.4842902599983293E-2</v>
      </c>
      <c r="M602" s="135">
        <v>0.11119326025135901</v>
      </c>
      <c r="N602" s="135">
        <v>0.11776177716990199</v>
      </c>
      <c r="O602" s="135">
        <v>5.70029562799775E-2</v>
      </c>
      <c r="P602" s="135">
        <v>3.7586508112636002E-2</v>
      </c>
      <c r="Q602" s="135">
        <v>3.2826460901145001E-2</v>
      </c>
      <c r="R602" s="135">
        <v>3.0464230842780899E-2</v>
      </c>
      <c r="S602" s="135">
        <v>2.9228998705234301E-2</v>
      </c>
      <c r="T602" s="135">
        <v>2.9240018158098201E-2</v>
      </c>
      <c r="U602" s="135">
        <v>2.8194066011519199E-2</v>
      </c>
      <c r="V602" s="135">
        <v>3.03199568323166E-2</v>
      </c>
      <c r="W602" s="135">
        <v>4.6572586641689999E-2</v>
      </c>
      <c r="X602" s="135">
        <v>0.11758444378832</v>
      </c>
      <c r="Y602" s="135">
        <v>0.145489325666049</v>
      </c>
      <c r="Z602" s="135">
        <v>0.126999884027793</v>
      </c>
      <c r="AA602" s="135">
        <v>0.109002859212428</v>
      </c>
      <c r="AB602" s="135">
        <v>9.3078985941609502E-2</v>
      </c>
      <c r="AC602" s="135">
        <v>5.9929500625319002E-2</v>
      </c>
      <c r="AD602" s="135">
        <v>2.9256156954005599E-2</v>
      </c>
      <c r="AF602" s="243">
        <f t="shared" si="11"/>
        <v>0.22684631809278422</v>
      </c>
      <c r="AG602" s="275">
        <f t="shared" si="12"/>
        <v>0.50056982064130195</v>
      </c>
      <c r="AH602" s="391">
        <f t="shared" si="13"/>
        <v>0.86779743194264081</v>
      </c>
      <c r="AI602" s="135">
        <f t="shared" si="14"/>
        <v>1.3683672525839428</v>
      </c>
    </row>
    <row r="603" spans="1:35" ht="12.6">
      <c r="A603" s="10" t="s">
        <v>61</v>
      </c>
      <c r="B603" s="10">
        <v>237</v>
      </c>
      <c r="C603" s="10" t="s">
        <v>1514</v>
      </c>
      <c r="D603" s="388">
        <v>45163</v>
      </c>
      <c r="E603" s="389">
        <v>45163</v>
      </c>
      <c r="F603" s="390" t="str">
        <f t="shared" si="10"/>
        <v>Lighting</v>
      </c>
      <c r="G603" s="135">
        <v>1.51939930822498E-2</v>
      </c>
      <c r="H603" s="135">
        <v>1.22229316458579E-2</v>
      </c>
      <c r="I603" s="135">
        <v>1.06943250732968E-2</v>
      </c>
      <c r="J603" s="135">
        <v>1.24308059308939E-2</v>
      </c>
      <c r="K603" s="135">
        <v>2.1250318129478502E-2</v>
      </c>
      <c r="L603" s="135">
        <v>6.4842902599983293E-2</v>
      </c>
      <c r="M603" s="135">
        <v>0.11119326025135901</v>
      </c>
      <c r="N603" s="135">
        <v>0.11776177716990199</v>
      </c>
      <c r="O603" s="135">
        <v>5.70029562799775E-2</v>
      </c>
      <c r="P603" s="135">
        <v>3.7586508112636002E-2</v>
      </c>
      <c r="Q603" s="135">
        <v>3.2826460901145001E-2</v>
      </c>
      <c r="R603" s="135">
        <v>3.0464230842780899E-2</v>
      </c>
      <c r="S603" s="135">
        <v>2.9228998705234301E-2</v>
      </c>
      <c r="T603" s="135">
        <v>2.9240018158098201E-2</v>
      </c>
      <c r="U603" s="135">
        <v>2.8194066011519199E-2</v>
      </c>
      <c r="V603" s="135">
        <v>3.03199568323166E-2</v>
      </c>
      <c r="W603" s="135">
        <v>4.6572586641689999E-2</v>
      </c>
      <c r="X603" s="135">
        <v>0.11758444378832</v>
      </c>
      <c r="Y603" s="135">
        <v>0.145489325666049</v>
      </c>
      <c r="Z603" s="135">
        <v>0.126999884027793</v>
      </c>
      <c r="AA603" s="135">
        <v>0.109002859212428</v>
      </c>
      <c r="AB603" s="135">
        <v>9.3078985941609502E-2</v>
      </c>
      <c r="AC603" s="135">
        <v>5.9929500625319002E-2</v>
      </c>
      <c r="AD603" s="135">
        <v>2.9256156954005599E-2</v>
      </c>
      <c r="AF603" s="243">
        <f t="shared" si="11"/>
        <v>0.22684631809278422</v>
      </c>
      <c r="AG603" s="275">
        <f t="shared" si="12"/>
        <v>0.50056982064130195</v>
      </c>
      <c r="AH603" s="391">
        <f t="shared" si="13"/>
        <v>0.86779743194264081</v>
      </c>
      <c r="AI603" s="135">
        <f t="shared" si="14"/>
        <v>1.3683672525839428</v>
      </c>
    </row>
    <row r="604" spans="1:35" ht="12.6">
      <c r="A604" s="10" t="s">
        <v>61</v>
      </c>
      <c r="B604" s="10">
        <v>238</v>
      </c>
      <c r="C604" s="10" t="s">
        <v>1514</v>
      </c>
      <c r="D604" s="388">
        <v>45164</v>
      </c>
      <c r="E604" s="389">
        <v>45164</v>
      </c>
      <c r="F604" s="390" t="str">
        <f t="shared" si="10"/>
        <v>Lighting</v>
      </c>
      <c r="G604" s="135">
        <v>1.77568707231919E-2</v>
      </c>
      <c r="H604" s="135">
        <v>1.38586404349303E-2</v>
      </c>
      <c r="I604" s="135">
        <v>1.23875695988033E-2</v>
      </c>
      <c r="J604" s="135">
        <v>1.34094886965183E-2</v>
      </c>
      <c r="K604" s="135">
        <v>1.84399907402737E-2</v>
      </c>
      <c r="L604" s="135">
        <v>3.2534257335777597E-2</v>
      </c>
      <c r="M604" s="135">
        <v>4.0473895568907202E-2</v>
      </c>
      <c r="N604" s="135">
        <v>5.27745501817075E-2</v>
      </c>
      <c r="O604" s="135">
        <v>6.3894771099025E-2</v>
      </c>
      <c r="P604" s="135">
        <v>6.4849982436399306E-2</v>
      </c>
      <c r="Q604" s="135">
        <v>6.0253746811533899E-2</v>
      </c>
      <c r="R604" s="135">
        <v>6.1659022897766001E-2</v>
      </c>
      <c r="S604" s="135">
        <v>6.0177930783413901E-2</v>
      </c>
      <c r="T604" s="135">
        <v>5.3637810843995999E-2</v>
      </c>
      <c r="U604" s="135">
        <v>4.9042488832951099E-2</v>
      </c>
      <c r="V604" s="135">
        <v>5.0859669687459003E-2</v>
      </c>
      <c r="W604" s="135">
        <v>7.9141990679540405E-2</v>
      </c>
      <c r="X604" s="135">
        <v>0.115945087526673</v>
      </c>
      <c r="Y604" s="135">
        <v>0.13369218166070301</v>
      </c>
      <c r="Z604" s="135">
        <v>0.11753565886384899</v>
      </c>
      <c r="AA604" s="135">
        <v>0.102295577579488</v>
      </c>
      <c r="AB604" s="135">
        <v>8.5409913041520694E-2</v>
      </c>
      <c r="AC604" s="135">
        <v>5.5938593890379203E-2</v>
      </c>
      <c r="AD604" s="135">
        <v>3.1180526147134398E-2</v>
      </c>
      <c r="AF604" s="243">
        <f t="shared" si="11"/>
        <v>0.41477266053666029</v>
      </c>
      <c r="AG604" s="275">
        <f t="shared" si="12"/>
        <v>0.52883972396327616</v>
      </c>
      <c r="AH604" s="391">
        <f t="shared" si="13"/>
        <v>0.85831049209866539</v>
      </c>
      <c r="AI604" s="135">
        <f t="shared" si="14"/>
        <v>1.3871502160619416</v>
      </c>
    </row>
    <row r="605" spans="1:35" ht="12.6">
      <c r="A605" s="10" t="s">
        <v>61</v>
      </c>
      <c r="B605" s="10">
        <v>239</v>
      </c>
      <c r="C605" s="10" t="s">
        <v>1514</v>
      </c>
      <c r="D605" s="388">
        <v>45165</v>
      </c>
      <c r="E605" s="389">
        <v>45165</v>
      </c>
      <c r="F605" s="390" t="str">
        <f t="shared" si="10"/>
        <v>Lighting</v>
      </c>
      <c r="G605" s="135">
        <v>1.77568707231919E-2</v>
      </c>
      <c r="H605" s="135">
        <v>1.38586404349303E-2</v>
      </c>
      <c r="I605" s="135">
        <v>1.23875695988033E-2</v>
      </c>
      <c r="J605" s="135">
        <v>1.34094886965183E-2</v>
      </c>
      <c r="K605" s="135">
        <v>1.84399907402737E-2</v>
      </c>
      <c r="L605" s="135">
        <v>3.2534257335777597E-2</v>
      </c>
      <c r="M605" s="135">
        <v>4.0473895568907202E-2</v>
      </c>
      <c r="N605" s="135">
        <v>5.27745501817075E-2</v>
      </c>
      <c r="O605" s="135">
        <v>6.3894771099025E-2</v>
      </c>
      <c r="P605" s="135">
        <v>6.4849982436399306E-2</v>
      </c>
      <c r="Q605" s="135">
        <v>6.0253746811533899E-2</v>
      </c>
      <c r="R605" s="135">
        <v>6.1659022897766001E-2</v>
      </c>
      <c r="S605" s="135">
        <v>6.0177930783413901E-2</v>
      </c>
      <c r="T605" s="135">
        <v>5.3637810843995999E-2</v>
      </c>
      <c r="U605" s="135">
        <v>4.9042488832951099E-2</v>
      </c>
      <c r="V605" s="135">
        <v>5.0859669687459003E-2</v>
      </c>
      <c r="W605" s="135">
        <v>7.9141990679540405E-2</v>
      </c>
      <c r="X605" s="135">
        <v>0.115945087526673</v>
      </c>
      <c r="Y605" s="135">
        <v>0.13369218166070301</v>
      </c>
      <c r="Z605" s="135">
        <v>0.11753565886384899</v>
      </c>
      <c r="AA605" s="135">
        <v>0.102295577579488</v>
      </c>
      <c r="AB605" s="135">
        <v>8.5409913041520694E-2</v>
      </c>
      <c r="AC605" s="135">
        <v>5.5938593890379203E-2</v>
      </c>
      <c r="AD605" s="135">
        <v>3.1180526147134398E-2</v>
      </c>
      <c r="AF605" s="243">
        <f t="shared" si="11"/>
        <v>0.41477266053666029</v>
      </c>
      <c r="AG605" s="275">
        <f t="shared" si="12"/>
        <v>0.52883972396327616</v>
      </c>
      <c r="AH605" s="391">
        <f t="shared" si="13"/>
        <v>0.85831049209866539</v>
      </c>
      <c r="AI605" s="135">
        <f t="shared" si="14"/>
        <v>1.3871502160619416</v>
      </c>
    </row>
    <row r="606" spans="1:35" ht="12.6">
      <c r="A606" s="10" t="s">
        <v>61</v>
      </c>
      <c r="B606" s="10">
        <v>240</v>
      </c>
      <c r="C606" s="10" t="s">
        <v>1514</v>
      </c>
      <c r="D606" s="388">
        <v>45166</v>
      </c>
      <c r="E606" s="389">
        <v>45166</v>
      </c>
      <c r="F606" s="390" t="str">
        <f t="shared" si="10"/>
        <v>Lighting</v>
      </c>
      <c r="G606" s="135">
        <v>1.51939930822498E-2</v>
      </c>
      <c r="H606" s="135">
        <v>1.22229316458579E-2</v>
      </c>
      <c r="I606" s="135">
        <v>1.06943250732968E-2</v>
      </c>
      <c r="J606" s="135">
        <v>1.24308059308939E-2</v>
      </c>
      <c r="K606" s="135">
        <v>2.1250318129478502E-2</v>
      </c>
      <c r="L606" s="135">
        <v>6.4842902599983293E-2</v>
      </c>
      <c r="M606" s="135">
        <v>0.11119326025135901</v>
      </c>
      <c r="N606" s="135">
        <v>0.11776177716990199</v>
      </c>
      <c r="O606" s="135">
        <v>5.70029562799775E-2</v>
      </c>
      <c r="P606" s="135">
        <v>3.7586508112636002E-2</v>
      </c>
      <c r="Q606" s="135">
        <v>3.2826460901145001E-2</v>
      </c>
      <c r="R606" s="135">
        <v>3.0464230842780899E-2</v>
      </c>
      <c r="S606" s="135">
        <v>2.9228998705234301E-2</v>
      </c>
      <c r="T606" s="135">
        <v>2.9240018158098201E-2</v>
      </c>
      <c r="U606" s="135">
        <v>2.8194066011519199E-2</v>
      </c>
      <c r="V606" s="135">
        <v>3.03199568323166E-2</v>
      </c>
      <c r="W606" s="135">
        <v>4.6572586641689999E-2</v>
      </c>
      <c r="X606" s="135">
        <v>0.11758444378832</v>
      </c>
      <c r="Y606" s="135">
        <v>0.145489325666049</v>
      </c>
      <c r="Z606" s="135">
        <v>0.126999884027793</v>
      </c>
      <c r="AA606" s="135">
        <v>0.109002859212428</v>
      </c>
      <c r="AB606" s="135">
        <v>9.3078985941609502E-2</v>
      </c>
      <c r="AC606" s="135">
        <v>5.9929500625319002E-2</v>
      </c>
      <c r="AD606" s="135">
        <v>2.9256156954005599E-2</v>
      </c>
      <c r="AF606" s="243">
        <f t="shared" si="11"/>
        <v>0.22684631809278422</v>
      </c>
      <c r="AG606" s="275">
        <f t="shared" si="12"/>
        <v>0.50056982064130195</v>
      </c>
      <c r="AH606" s="391">
        <f t="shared" si="13"/>
        <v>0.86779743194264081</v>
      </c>
      <c r="AI606" s="135">
        <f t="shared" si="14"/>
        <v>1.3683672525839428</v>
      </c>
    </row>
    <row r="607" spans="1:35" ht="12.6">
      <c r="A607" s="10" t="s">
        <v>61</v>
      </c>
      <c r="B607" s="10">
        <v>241</v>
      </c>
      <c r="C607" s="10" t="s">
        <v>1514</v>
      </c>
      <c r="D607" s="388">
        <v>45167</v>
      </c>
      <c r="E607" s="389">
        <v>45167</v>
      </c>
      <c r="F607" s="390" t="str">
        <f t="shared" si="10"/>
        <v>Lighting</v>
      </c>
      <c r="G607" s="135">
        <v>1.51939930822498E-2</v>
      </c>
      <c r="H607" s="135">
        <v>1.22229316458579E-2</v>
      </c>
      <c r="I607" s="135">
        <v>1.06943250732968E-2</v>
      </c>
      <c r="J607" s="135">
        <v>1.24308059308939E-2</v>
      </c>
      <c r="K607" s="135">
        <v>2.1250318129478502E-2</v>
      </c>
      <c r="L607" s="135">
        <v>6.4842902599983293E-2</v>
      </c>
      <c r="M607" s="135">
        <v>0.11119326025135901</v>
      </c>
      <c r="N607" s="135">
        <v>0.11776177716990199</v>
      </c>
      <c r="O607" s="135">
        <v>5.70029562799775E-2</v>
      </c>
      <c r="P607" s="135">
        <v>3.7586508112636002E-2</v>
      </c>
      <c r="Q607" s="135">
        <v>3.2826460901145001E-2</v>
      </c>
      <c r="R607" s="135">
        <v>3.0464230842780899E-2</v>
      </c>
      <c r="S607" s="135">
        <v>2.9228998705234301E-2</v>
      </c>
      <c r="T607" s="135">
        <v>2.9240018158098201E-2</v>
      </c>
      <c r="U607" s="135">
        <v>2.8194066011519199E-2</v>
      </c>
      <c r="V607" s="135">
        <v>3.03199568323166E-2</v>
      </c>
      <c r="W607" s="135">
        <v>4.6572586641689999E-2</v>
      </c>
      <c r="X607" s="135">
        <v>0.11758444378832</v>
      </c>
      <c r="Y607" s="135">
        <v>0.145489325666049</v>
      </c>
      <c r="Z607" s="135">
        <v>0.126999884027793</v>
      </c>
      <c r="AA607" s="135">
        <v>0.109002859212428</v>
      </c>
      <c r="AB607" s="135">
        <v>9.3078985941609502E-2</v>
      </c>
      <c r="AC607" s="135">
        <v>5.9929500625319002E-2</v>
      </c>
      <c r="AD607" s="135">
        <v>2.9256156954005599E-2</v>
      </c>
      <c r="AF607" s="243">
        <f t="shared" si="11"/>
        <v>0.22684631809278422</v>
      </c>
      <c r="AG607" s="275">
        <f t="shared" si="12"/>
        <v>0.50056982064130195</v>
      </c>
      <c r="AH607" s="391">
        <f t="shared" si="13"/>
        <v>0.86779743194264081</v>
      </c>
      <c r="AI607" s="135">
        <f t="shared" si="14"/>
        <v>1.3683672525839428</v>
      </c>
    </row>
    <row r="608" spans="1:35" ht="12.6">
      <c r="A608" s="10" t="s">
        <v>61</v>
      </c>
      <c r="B608" s="10">
        <v>242</v>
      </c>
      <c r="C608" s="10" t="s">
        <v>1514</v>
      </c>
      <c r="D608" s="388">
        <v>45168</v>
      </c>
      <c r="E608" s="389">
        <v>45168</v>
      </c>
      <c r="F608" s="390" t="str">
        <f t="shared" si="10"/>
        <v>Lighting</v>
      </c>
      <c r="G608" s="135">
        <v>1.51939930822498E-2</v>
      </c>
      <c r="H608" s="135">
        <v>1.22229316458579E-2</v>
      </c>
      <c r="I608" s="135">
        <v>1.06943250732968E-2</v>
      </c>
      <c r="J608" s="135">
        <v>1.24308059308939E-2</v>
      </c>
      <c r="K608" s="135">
        <v>2.1250318129478502E-2</v>
      </c>
      <c r="L608" s="135">
        <v>6.4842902599983293E-2</v>
      </c>
      <c r="M608" s="135">
        <v>0.11119326025135901</v>
      </c>
      <c r="N608" s="135">
        <v>0.11776177716990199</v>
      </c>
      <c r="O608" s="135">
        <v>5.70029562799775E-2</v>
      </c>
      <c r="P608" s="135">
        <v>3.7586508112636002E-2</v>
      </c>
      <c r="Q608" s="135">
        <v>3.2826460901145001E-2</v>
      </c>
      <c r="R608" s="135">
        <v>3.0464230842780899E-2</v>
      </c>
      <c r="S608" s="135">
        <v>2.9228998705234301E-2</v>
      </c>
      <c r="T608" s="135">
        <v>2.9240018158098201E-2</v>
      </c>
      <c r="U608" s="135">
        <v>2.8194066011519199E-2</v>
      </c>
      <c r="V608" s="135">
        <v>3.03199568323166E-2</v>
      </c>
      <c r="W608" s="135">
        <v>4.6572586641689999E-2</v>
      </c>
      <c r="X608" s="135">
        <v>0.11758444378832</v>
      </c>
      <c r="Y608" s="135">
        <v>0.145489325666049</v>
      </c>
      <c r="Z608" s="135">
        <v>0.126999884027793</v>
      </c>
      <c r="AA608" s="135">
        <v>0.109002859212428</v>
      </c>
      <c r="AB608" s="135">
        <v>9.3078985941609502E-2</v>
      </c>
      <c r="AC608" s="135">
        <v>5.9929500625319002E-2</v>
      </c>
      <c r="AD608" s="135">
        <v>2.9256156954005599E-2</v>
      </c>
      <c r="AF608" s="243">
        <f t="shared" si="11"/>
        <v>0.22684631809278422</v>
      </c>
      <c r="AG608" s="275">
        <f t="shared" si="12"/>
        <v>0.50056982064130195</v>
      </c>
      <c r="AH608" s="391">
        <f t="shared" si="13"/>
        <v>0.86779743194264081</v>
      </c>
      <c r="AI608" s="135">
        <f t="shared" si="14"/>
        <v>1.3683672525839428</v>
      </c>
    </row>
    <row r="609" spans="1:35" ht="12.6">
      <c r="A609" s="10" t="s">
        <v>61</v>
      </c>
      <c r="B609" s="10">
        <v>243</v>
      </c>
      <c r="C609" s="10" t="s">
        <v>1514</v>
      </c>
      <c r="D609" s="388">
        <v>45169</v>
      </c>
      <c r="E609" s="389">
        <v>45169</v>
      </c>
      <c r="F609" s="390" t="str">
        <f t="shared" si="10"/>
        <v>Lighting</v>
      </c>
      <c r="G609" s="135">
        <v>1.51939930822498E-2</v>
      </c>
      <c r="H609" s="135">
        <v>1.22229316458579E-2</v>
      </c>
      <c r="I609" s="135">
        <v>1.06943250732968E-2</v>
      </c>
      <c r="J609" s="135">
        <v>1.24308059308939E-2</v>
      </c>
      <c r="K609" s="135">
        <v>2.1250318129478502E-2</v>
      </c>
      <c r="L609" s="135">
        <v>6.4842902599983293E-2</v>
      </c>
      <c r="M609" s="135">
        <v>0.11119326025135901</v>
      </c>
      <c r="N609" s="135">
        <v>0.11776177716990199</v>
      </c>
      <c r="O609" s="135">
        <v>5.70029562799775E-2</v>
      </c>
      <c r="P609" s="135">
        <v>3.7586508112636002E-2</v>
      </c>
      <c r="Q609" s="135">
        <v>3.2826460901145001E-2</v>
      </c>
      <c r="R609" s="135">
        <v>3.0464230842780899E-2</v>
      </c>
      <c r="S609" s="135">
        <v>2.9228998705234301E-2</v>
      </c>
      <c r="T609" s="135">
        <v>2.9240018158098201E-2</v>
      </c>
      <c r="U609" s="135">
        <v>2.8194066011519199E-2</v>
      </c>
      <c r="V609" s="135">
        <v>3.03199568323166E-2</v>
      </c>
      <c r="W609" s="135">
        <v>4.6572586641689999E-2</v>
      </c>
      <c r="X609" s="135">
        <v>0.11758444378832</v>
      </c>
      <c r="Y609" s="135">
        <v>0.145489325666049</v>
      </c>
      <c r="Z609" s="135">
        <v>0.126999884027793</v>
      </c>
      <c r="AA609" s="135">
        <v>0.109002859212428</v>
      </c>
      <c r="AB609" s="135">
        <v>9.3078985941609502E-2</v>
      </c>
      <c r="AC609" s="135">
        <v>5.9929500625319002E-2</v>
      </c>
      <c r="AD609" s="135">
        <v>2.9256156954005599E-2</v>
      </c>
      <c r="AF609" s="243">
        <f t="shared" si="11"/>
        <v>0.22684631809278422</v>
      </c>
      <c r="AG609" s="275">
        <f t="shared" si="12"/>
        <v>0.50056982064130195</v>
      </c>
      <c r="AH609" s="391">
        <f t="shared" si="13"/>
        <v>0.86779743194264081</v>
      </c>
      <c r="AI609" s="135">
        <f t="shared" si="14"/>
        <v>1.3683672525839428</v>
      </c>
    </row>
    <row r="610" spans="1:35" ht="12.6">
      <c r="A610" s="10" t="s">
        <v>61</v>
      </c>
      <c r="B610" s="10">
        <v>244</v>
      </c>
      <c r="C610" s="10" t="s">
        <v>1515</v>
      </c>
      <c r="D610" s="388">
        <v>45170</v>
      </c>
      <c r="E610" s="389">
        <v>45170</v>
      </c>
      <c r="F610" s="390" t="str">
        <f t="shared" si="10"/>
        <v>Lighting</v>
      </c>
      <c r="G610" s="135">
        <v>1.08640999630958E-2</v>
      </c>
      <c r="H610" s="135">
        <v>9.0764186586465897E-3</v>
      </c>
      <c r="I610" s="135">
        <v>9.3560883873425905E-3</v>
      </c>
      <c r="J610" s="135">
        <v>1.27530145505096E-2</v>
      </c>
      <c r="K610" s="135">
        <v>3.6914401553295E-2</v>
      </c>
      <c r="L610" s="135">
        <v>8.6146383840891794E-2</v>
      </c>
      <c r="M610" s="135">
        <v>8.5778723525706702E-2</v>
      </c>
      <c r="N610" s="135">
        <v>5.6714272660420402E-2</v>
      </c>
      <c r="O610" s="135">
        <v>3.4263135706434397E-2</v>
      </c>
      <c r="P610" s="135">
        <v>2.5716496770323199E-2</v>
      </c>
      <c r="Q610" s="135">
        <v>2.6987381932399499E-2</v>
      </c>
      <c r="R610" s="135">
        <v>2.5871676507430701E-2</v>
      </c>
      <c r="S610" s="135">
        <v>2.5860206126079199E-2</v>
      </c>
      <c r="T610" s="135">
        <v>2.3983911486287899E-2</v>
      </c>
      <c r="U610" s="135">
        <v>2.45985745977415E-2</v>
      </c>
      <c r="V610" s="135">
        <v>2.9189334768982299E-2</v>
      </c>
      <c r="W610" s="135">
        <v>4.2356225841232303E-2</v>
      </c>
      <c r="X610" s="135">
        <v>6.4124437087391295E-2</v>
      </c>
      <c r="Y610" s="135">
        <v>8.9534915468690607E-2</v>
      </c>
      <c r="Z610" s="135">
        <v>9.7739032989919303E-2</v>
      </c>
      <c r="AA610" s="135">
        <v>8.7593665379767996E-2</v>
      </c>
      <c r="AB610" s="135">
        <v>6.3550754957384201E-2</v>
      </c>
      <c r="AC610" s="135">
        <v>3.1335961827832E-2</v>
      </c>
      <c r="AD610" s="135">
        <v>1.5875620156787101E-2</v>
      </c>
      <c r="AF610" s="243">
        <f t="shared" si="11"/>
        <v>0.1988473112601534</v>
      </c>
      <c r="AG610" s="275">
        <f t="shared" si="12"/>
        <v>0.44408896528443043</v>
      </c>
      <c r="AH610" s="391">
        <f t="shared" si="13"/>
        <v>0.57209576946016161</v>
      </c>
      <c r="AI610" s="135">
        <f t="shared" si="14"/>
        <v>1.016184734744592</v>
      </c>
    </row>
    <row r="611" spans="1:35" ht="12.6">
      <c r="A611" s="10" t="s">
        <v>61</v>
      </c>
      <c r="B611" s="10">
        <v>245</v>
      </c>
      <c r="C611" s="10" t="s">
        <v>1515</v>
      </c>
      <c r="D611" s="388">
        <v>45171</v>
      </c>
      <c r="E611" s="389">
        <v>45171</v>
      </c>
      <c r="F611" s="390" t="str">
        <f t="shared" si="10"/>
        <v>Lighting</v>
      </c>
      <c r="G611" s="135">
        <v>1.22771344760954E-2</v>
      </c>
      <c r="H611" s="135">
        <v>1.0347496637198699E-2</v>
      </c>
      <c r="I611" s="135">
        <v>1.0977292752670301E-2</v>
      </c>
      <c r="J611" s="135">
        <v>1.38352377350307E-2</v>
      </c>
      <c r="K611" s="135">
        <v>1.51269995680334E-2</v>
      </c>
      <c r="L611" s="135">
        <v>2.20433109107658E-2</v>
      </c>
      <c r="M611" s="135">
        <v>3.4433947193689703E-2</v>
      </c>
      <c r="N611" s="135">
        <v>4.3901360406232298E-2</v>
      </c>
      <c r="O611" s="135">
        <v>4.6768036240801697E-2</v>
      </c>
      <c r="P611" s="135">
        <v>5.3374555001188602E-2</v>
      </c>
      <c r="Q611" s="135">
        <v>5.39404503573696E-2</v>
      </c>
      <c r="R611" s="135">
        <v>5.1948408808882698E-2</v>
      </c>
      <c r="S611" s="135">
        <v>5.2356564432465801E-2</v>
      </c>
      <c r="T611" s="135">
        <v>4.39183954108254E-2</v>
      </c>
      <c r="U611" s="135">
        <v>4.5194275825325897E-2</v>
      </c>
      <c r="V611" s="135">
        <v>4.6630687670045599E-2</v>
      </c>
      <c r="W611" s="135">
        <v>5.3086012687770003E-2</v>
      </c>
      <c r="X611" s="135">
        <v>5.5796713466939998E-2</v>
      </c>
      <c r="Y611" s="135">
        <v>7.9060326774259601E-2</v>
      </c>
      <c r="Z611" s="135">
        <v>8.5175161193433893E-2</v>
      </c>
      <c r="AA611" s="135">
        <v>7.8849044740654295E-2</v>
      </c>
      <c r="AB611" s="135">
        <v>6.2199839614069503E-2</v>
      </c>
      <c r="AC611" s="135">
        <v>3.33752727272053E-2</v>
      </c>
      <c r="AD611" s="135">
        <v>1.7039686273112899E-2</v>
      </c>
      <c r="AF611" s="243">
        <f t="shared" si="11"/>
        <v>0.34707479519268503</v>
      </c>
      <c r="AG611" s="275">
        <f t="shared" si="12"/>
        <v>0.4106423143002349</v>
      </c>
      <c r="AH611" s="391">
        <f t="shared" si="13"/>
        <v>0.6110138966038321</v>
      </c>
      <c r="AI611" s="135">
        <f t="shared" si="14"/>
        <v>1.021656210904067</v>
      </c>
    </row>
    <row r="612" spans="1:35" ht="12.6">
      <c r="A612" s="10" t="s">
        <v>61</v>
      </c>
      <c r="B612" s="10">
        <v>246</v>
      </c>
      <c r="C612" s="10" t="s">
        <v>1515</v>
      </c>
      <c r="D612" s="388">
        <v>45172</v>
      </c>
      <c r="E612" s="389">
        <v>45172</v>
      </c>
      <c r="F612" s="390" t="str">
        <f t="shared" si="10"/>
        <v>Lighting</v>
      </c>
      <c r="G612" s="135">
        <v>1.22771344760954E-2</v>
      </c>
      <c r="H612" s="135">
        <v>1.0347496637198699E-2</v>
      </c>
      <c r="I612" s="135">
        <v>1.0977292752670301E-2</v>
      </c>
      <c r="J612" s="135">
        <v>1.38352377350307E-2</v>
      </c>
      <c r="K612" s="135">
        <v>1.51269995680334E-2</v>
      </c>
      <c r="L612" s="135">
        <v>2.20433109107658E-2</v>
      </c>
      <c r="M612" s="135">
        <v>3.4433947193689703E-2</v>
      </c>
      <c r="N612" s="135">
        <v>4.3901360406232298E-2</v>
      </c>
      <c r="O612" s="135">
        <v>4.6768036240801697E-2</v>
      </c>
      <c r="P612" s="135">
        <v>5.3374555001188602E-2</v>
      </c>
      <c r="Q612" s="135">
        <v>5.39404503573696E-2</v>
      </c>
      <c r="R612" s="135">
        <v>5.1948408808882698E-2</v>
      </c>
      <c r="S612" s="135">
        <v>5.2356564432465801E-2</v>
      </c>
      <c r="T612" s="135">
        <v>4.39183954108254E-2</v>
      </c>
      <c r="U612" s="135">
        <v>4.5194275825325897E-2</v>
      </c>
      <c r="V612" s="135">
        <v>4.6630687670045599E-2</v>
      </c>
      <c r="W612" s="135">
        <v>5.3086012687770003E-2</v>
      </c>
      <c r="X612" s="135">
        <v>5.5796713466939998E-2</v>
      </c>
      <c r="Y612" s="135">
        <v>7.9060326774259601E-2</v>
      </c>
      <c r="Z612" s="135">
        <v>8.5175161193433893E-2</v>
      </c>
      <c r="AA612" s="135">
        <v>7.8849044740654295E-2</v>
      </c>
      <c r="AB612" s="135">
        <v>6.2199839614069503E-2</v>
      </c>
      <c r="AC612" s="135">
        <v>3.33752727272053E-2</v>
      </c>
      <c r="AD612" s="135">
        <v>1.7039686273112899E-2</v>
      </c>
      <c r="AF612" s="243">
        <f t="shared" si="11"/>
        <v>0.34707479519268503</v>
      </c>
      <c r="AG612" s="275">
        <f t="shared" si="12"/>
        <v>0.4106423143002349</v>
      </c>
      <c r="AH612" s="391">
        <f t="shared" si="13"/>
        <v>0.6110138966038321</v>
      </c>
      <c r="AI612" s="135">
        <f t="shared" si="14"/>
        <v>1.021656210904067</v>
      </c>
    </row>
    <row r="613" spans="1:35" ht="12.6">
      <c r="A613" s="10" t="s">
        <v>61</v>
      </c>
      <c r="B613" s="10">
        <v>247</v>
      </c>
      <c r="C613" s="10" t="s">
        <v>1515</v>
      </c>
      <c r="D613" s="388">
        <v>45173</v>
      </c>
      <c r="E613" s="389">
        <v>45173</v>
      </c>
      <c r="F613" s="390" t="str">
        <f t="shared" si="10"/>
        <v>Lighting</v>
      </c>
      <c r="G613" s="135">
        <v>1.08640999630958E-2</v>
      </c>
      <c r="H613" s="135">
        <v>9.0764186586465897E-3</v>
      </c>
      <c r="I613" s="135">
        <v>9.3560883873425905E-3</v>
      </c>
      <c r="J613" s="135">
        <v>1.27530145505096E-2</v>
      </c>
      <c r="K613" s="135">
        <v>3.6914401553295E-2</v>
      </c>
      <c r="L613" s="135">
        <v>8.6146383840891794E-2</v>
      </c>
      <c r="M613" s="135">
        <v>8.5778723525706702E-2</v>
      </c>
      <c r="N613" s="135">
        <v>5.6714272660420402E-2</v>
      </c>
      <c r="O613" s="135">
        <v>3.4263135706434397E-2</v>
      </c>
      <c r="P613" s="135">
        <v>2.5716496770323199E-2</v>
      </c>
      <c r="Q613" s="135">
        <v>2.6987381932399499E-2</v>
      </c>
      <c r="R613" s="135">
        <v>2.5871676507430701E-2</v>
      </c>
      <c r="S613" s="135">
        <v>2.5860206126079199E-2</v>
      </c>
      <c r="T613" s="135">
        <v>2.3983911486287899E-2</v>
      </c>
      <c r="U613" s="135">
        <v>2.45985745977415E-2</v>
      </c>
      <c r="V613" s="135">
        <v>2.9189334768982299E-2</v>
      </c>
      <c r="W613" s="135">
        <v>4.2356225841232303E-2</v>
      </c>
      <c r="X613" s="135">
        <v>6.4124437087391295E-2</v>
      </c>
      <c r="Y613" s="135">
        <v>8.9534915468690607E-2</v>
      </c>
      <c r="Z613" s="135">
        <v>9.7739032989919303E-2</v>
      </c>
      <c r="AA613" s="135">
        <v>8.7593665379767996E-2</v>
      </c>
      <c r="AB613" s="135">
        <v>6.3550754957384201E-2</v>
      </c>
      <c r="AC613" s="135">
        <v>3.1335961827832E-2</v>
      </c>
      <c r="AD613" s="135">
        <v>1.5875620156787101E-2</v>
      </c>
      <c r="AF613" s="243">
        <f t="shared" si="11"/>
        <v>0.1988473112601534</v>
      </c>
      <c r="AG613" s="275">
        <f t="shared" si="12"/>
        <v>0.44408896528443043</v>
      </c>
      <c r="AH613" s="391">
        <f t="shared" si="13"/>
        <v>0.57209576946016161</v>
      </c>
      <c r="AI613" s="135">
        <f t="shared" si="14"/>
        <v>1.016184734744592</v>
      </c>
    </row>
    <row r="614" spans="1:35" ht="12.6">
      <c r="A614" s="10" t="s">
        <v>61</v>
      </c>
      <c r="B614" s="10">
        <v>248</v>
      </c>
      <c r="C614" s="10" t="s">
        <v>1515</v>
      </c>
      <c r="D614" s="388">
        <v>45174</v>
      </c>
      <c r="E614" s="389">
        <v>45174</v>
      </c>
      <c r="F614" s="390" t="str">
        <f t="shared" si="10"/>
        <v>Lighting</v>
      </c>
      <c r="G614" s="135">
        <v>1.08640999630958E-2</v>
      </c>
      <c r="H614" s="135">
        <v>9.0764186586465897E-3</v>
      </c>
      <c r="I614" s="135">
        <v>9.3560883873425905E-3</v>
      </c>
      <c r="J614" s="135">
        <v>1.27530145505096E-2</v>
      </c>
      <c r="K614" s="135">
        <v>3.6914401553295E-2</v>
      </c>
      <c r="L614" s="135">
        <v>8.6146383840891794E-2</v>
      </c>
      <c r="M614" s="135">
        <v>8.5778723525706702E-2</v>
      </c>
      <c r="N614" s="135">
        <v>5.6714272660420402E-2</v>
      </c>
      <c r="O614" s="135">
        <v>3.4263135706434397E-2</v>
      </c>
      <c r="P614" s="135">
        <v>2.5716496770323199E-2</v>
      </c>
      <c r="Q614" s="135">
        <v>2.6987381932399499E-2</v>
      </c>
      <c r="R614" s="135">
        <v>2.5871676507430701E-2</v>
      </c>
      <c r="S614" s="135">
        <v>2.5860206126079199E-2</v>
      </c>
      <c r="T614" s="135">
        <v>2.3983911486287899E-2</v>
      </c>
      <c r="U614" s="135">
        <v>2.45985745977415E-2</v>
      </c>
      <c r="V614" s="135">
        <v>2.9189334768982299E-2</v>
      </c>
      <c r="W614" s="135">
        <v>4.2356225841232303E-2</v>
      </c>
      <c r="X614" s="135">
        <v>6.4124437087391295E-2</v>
      </c>
      <c r="Y614" s="135">
        <v>8.9534915468690607E-2</v>
      </c>
      <c r="Z614" s="135">
        <v>9.7739032989919303E-2</v>
      </c>
      <c r="AA614" s="135">
        <v>8.7593665379767996E-2</v>
      </c>
      <c r="AB614" s="135">
        <v>6.3550754957384201E-2</v>
      </c>
      <c r="AC614" s="135">
        <v>3.1335961827832E-2</v>
      </c>
      <c r="AD614" s="135">
        <v>1.5875620156787101E-2</v>
      </c>
      <c r="AF614" s="243">
        <f t="shared" si="11"/>
        <v>0.1988473112601534</v>
      </c>
      <c r="AG614" s="275">
        <f t="shared" si="12"/>
        <v>0.44408896528443043</v>
      </c>
      <c r="AH614" s="391">
        <f t="shared" si="13"/>
        <v>0.57209576946016161</v>
      </c>
      <c r="AI614" s="135">
        <f t="shared" si="14"/>
        <v>1.016184734744592</v>
      </c>
    </row>
    <row r="615" spans="1:35" ht="12.6">
      <c r="A615" s="10" t="s">
        <v>61</v>
      </c>
      <c r="B615" s="10">
        <v>249</v>
      </c>
      <c r="C615" s="10" t="s">
        <v>1515</v>
      </c>
      <c r="D615" s="388">
        <v>45175</v>
      </c>
      <c r="E615" s="389">
        <v>45175</v>
      </c>
      <c r="F615" s="390" t="str">
        <f t="shared" si="10"/>
        <v>Lighting</v>
      </c>
      <c r="G615" s="135">
        <v>1.08640999630958E-2</v>
      </c>
      <c r="H615" s="135">
        <v>9.0764186586465897E-3</v>
      </c>
      <c r="I615" s="135">
        <v>9.3560883873425905E-3</v>
      </c>
      <c r="J615" s="135">
        <v>1.27530145505096E-2</v>
      </c>
      <c r="K615" s="135">
        <v>3.6914401553295E-2</v>
      </c>
      <c r="L615" s="135">
        <v>8.6146383840891794E-2</v>
      </c>
      <c r="M615" s="135">
        <v>8.5778723525706702E-2</v>
      </c>
      <c r="N615" s="135">
        <v>5.6714272660420402E-2</v>
      </c>
      <c r="O615" s="135">
        <v>3.4263135706434397E-2</v>
      </c>
      <c r="P615" s="135">
        <v>2.5716496770323199E-2</v>
      </c>
      <c r="Q615" s="135">
        <v>2.6987381932399499E-2</v>
      </c>
      <c r="R615" s="135">
        <v>2.5871676507430701E-2</v>
      </c>
      <c r="S615" s="135">
        <v>2.5860206126079199E-2</v>
      </c>
      <c r="T615" s="135">
        <v>2.3983911486287899E-2</v>
      </c>
      <c r="U615" s="135">
        <v>2.45985745977415E-2</v>
      </c>
      <c r="V615" s="135">
        <v>2.9189334768982299E-2</v>
      </c>
      <c r="W615" s="135">
        <v>4.2356225841232303E-2</v>
      </c>
      <c r="X615" s="135">
        <v>6.4124437087391295E-2</v>
      </c>
      <c r="Y615" s="135">
        <v>8.9534915468690607E-2</v>
      </c>
      <c r="Z615" s="135">
        <v>9.7739032989919303E-2</v>
      </c>
      <c r="AA615" s="135">
        <v>8.7593665379767996E-2</v>
      </c>
      <c r="AB615" s="135">
        <v>6.3550754957384201E-2</v>
      </c>
      <c r="AC615" s="135">
        <v>3.1335961827832E-2</v>
      </c>
      <c r="AD615" s="135">
        <v>1.5875620156787101E-2</v>
      </c>
      <c r="AF615" s="243">
        <f t="shared" si="11"/>
        <v>0.1988473112601534</v>
      </c>
      <c r="AG615" s="275">
        <f t="shared" si="12"/>
        <v>0.44408896528443043</v>
      </c>
      <c r="AH615" s="391">
        <f t="shared" si="13"/>
        <v>0.57209576946016161</v>
      </c>
      <c r="AI615" s="135">
        <f t="shared" si="14"/>
        <v>1.016184734744592</v>
      </c>
    </row>
    <row r="616" spans="1:35" ht="12.6">
      <c r="A616" s="10" t="s">
        <v>61</v>
      </c>
      <c r="B616" s="10">
        <v>250</v>
      </c>
      <c r="C616" s="10" t="s">
        <v>1515</v>
      </c>
      <c r="D616" s="388">
        <v>45176</v>
      </c>
      <c r="E616" s="389">
        <v>45176</v>
      </c>
      <c r="F616" s="390" t="str">
        <f t="shared" si="10"/>
        <v>Lighting</v>
      </c>
      <c r="G616" s="135">
        <v>1.08640999630958E-2</v>
      </c>
      <c r="H616" s="135">
        <v>9.0764186586465897E-3</v>
      </c>
      <c r="I616" s="135">
        <v>9.3560883873425905E-3</v>
      </c>
      <c r="J616" s="135">
        <v>1.27530145505096E-2</v>
      </c>
      <c r="K616" s="135">
        <v>3.6914401553295E-2</v>
      </c>
      <c r="L616" s="135">
        <v>8.6146383840891794E-2</v>
      </c>
      <c r="M616" s="135">
        <v>8.5778723525706702E-2</v>
      </c>
      <c r="N616" s="135">
        <v>5.6714272660420402E-2</v>
      </c>
      <c r="O616" s="135">
        <v>3.4263135706434397E-2</v>
      </c>
      <c r="P616" s="135">
        <v>2.5716496770323199E-2</v>
      </c>
      <c r="Q616" s="135">
        <v>2.6987381932399499E-2</v>
      </c>
      <c r="R616" s="135">
        <v>2.5871676507430701E-2</v>
      </c>
      <c r="S616" s="135">
        <v>2.5860206126079199E-2</v>
      </c>
      <c r="T616" s="135">
        <v>2.3983911486287899E-2</v>
      </c>
      <c r="U616" s="135">
        <v>2.45985745977415E-2</v>
      </c>
      <c r="V616" s="135">
        <v>2.9189334768982299E-2</v>
      </c>
      <c r="W616" s="135">
        <v>4.2356225841232303E-2</v>
      </c>
      <c r="X616" s="135">
        <v>6.4124437087391295E-2</v>
      </c>
      <c r="Y616" s="135">
        <v>8.9534915468690607E-2</v>
      </c>
      <c r="Z616" s="135">
        <v>9.7739032989919303E-2</v>
      </c>
      <c r="AA616" s="135">
        <v>8.7593665379767996E-2</v>
      </c>
      <c r="AB616" s="135">
        <v>6.3550754957384201E-2</v>
      </c>
      <c r="AC616" s="135">
        <v>3.1335961827832E-2</v>
      </c>
      <c r="AD616" s="135">
        <v>1.5875620156787101E-2</v>
      </c>
      <c r="AF616" s="243">
        <f t="shared" si="11"/>
        <v>0.1988473112601534</v>
      </c>
      <c r="AG616" s="275">
        <f t="shared" si="12"/>
        <v>0.44408896528443043</v>
      </c>
      <c r="AH616" s="391">
        <f t="shared" si="13"/>
        <v>0.57209576946016161</v>
      </c>
      <c r="AI616" s="135">
        <f t="shared" si="14"/>
        <v>1.016184734744592</v>
      </c>
    </row>
    <row r="617" spans="1:35" ht="12.6">
      <c r="A617" s="10" t="s">
        <v>61</v>
      </c>
      <c r="B617" s="10">
        <v>251</v>
      </c>
      <c r="C617" s="10" t="s">
        <v>1515</v>
      </c>
      <c r="D617" s="388">
        <v>45177</v>
      </c>
      <c r="E617" s="389">
        <v>45177</v>
      </c>
      <c r="F617" s="390" t="str">
        <f t="shared" si="10"/>
        <v>Lighting</v>
      </c>
      <c r="G617" s="135">
        <v>1.08640999630958E-2</v>
      </c>
      <c r="H617" s="135">
        <v>9.0764186586465897E-3</v>
      </c>
      <c r="I617" s="135">
        <v>9.3560883873425905E-3</v>
      </c>
      <c r="J617" s="135">
        <v>1.27530145505096E-2</v>
      </c>
      <c r="K617" s="135">
        <v>3.6914401553295E-2</v>
      </c>
      <c r="L617" s="135">
        <v>8.6146383840891794E-2</v>
      </c>
      <c r="M617" s="135">
        <v>8.5778723525706702E-2</v>
      </c>
      <c r="N617" s="135">
        <v>5.6714272660420402E-2</v>
      </c>
      <c r="O617" s="135">
        <v>3.4263135706434397E-2</v>
      </c>
      <c r="P617" s="135">
        <v>2.5716496770323199E-2</v>
      </c>
      <c r="Q617" s="135">
        <v>2.6987381932399499E-2</v>
      </c>
      <c r="R617" s="135">
        <v>2.5871676507430701E-2</v>
      </c>
      <c r="S617" s="135">
        <v>2.5860206126079199E-2</v>
      </c>
      <c r="T617" s="135">
        <v>2.3983911486287899E-2</v>
      </c>
      <c r="U617" s="135">
        <v>2.45985745977415E-2</v>
      </c>
      <c r="V617" s="135">
        <v>2.9189334768982299E-2</v>
      </c>
      <c r="W617" s="135">
        <v>4.2356225841232303E-2</v>
      </c>
      <c r="X617" s="135">
        <v>6.4124437087391295E-2</v>
      </c>
      <c r="Y617" s="135">
        <v>8.9534915468690607E-2</v>
      </c>
      <c r="Z617" s="135">
        <v>9.7739032989919303E-2</v>
      </c>
      <c r="AA617" s="135">
        <v>8.7593665379767996E-2</v>
      </c>
      <c r="AB617" s="135">
        <v>6.3550754957384201E-2</v>
      </c>
      <c r="AC617" s="135">
        <v>3.1335961827832E-2</v>
      </c>
      <c r="AD617" s="135">
        <v>1.5875620156787101E-2</v>
      </c>
      <c r="AF617" s="243">
        <f t="shared" si="11"/>
        <v>0.1988473112601534</v>
      </c>
      <c r="AG617" s="275">
        <f t="shared" si="12"/>
        <v>0.44408896528443043</v>
      </c>
      <c r="AH617" s="391">
        <f t="shared" si="13"/>
        <v>0.57209576946016161</v>
      </c>
      <c r="AI617" s="135">
        <f t="shared" si="14"/>
        <v>1.016184734744592</v>
      </c>
    </row>
    <row r="618" spans="1:35" ht="12.6">
      <c r="A618" s="10" t="s">
        <v>61</v>
      </c>
      <c r="B618" s="10">
        <v>252</v>
      </c>
      <c r="C618" s="10" t="s">
        <v>1515</v>
      </c>
      <c r="D618" s="388">
        <v>45178</v>
      </c>
      <c r="E618" s="389">
        <v>45178</v>
      </c>
      <c r="F618" s="390" t="str">
        <f t="shared" si="10"/>
        <v>Lighting</v>
      </c>
      <c r="G618" s="135">
        <v>1.22771344760954E-2</v>
      </c>
      <c r="H618" s="135">
        <v>1.0347496637198699E-2</v>
      </c>
      <c r="I618" s="135">
        <v>1.0977292752670301E-2</v>
      </c>
      <c r="J618" s="135">
        <v>1.38352377350307E-2</v>
      </c>
      <c r="K618" s="135">
        <v>1.51269995680334E-2</v>
      </c>
      <c r="L618" s="135">
        <v>2.20433109107658E-2</v>
      </c>
      <c r="M618" s="135">
        <v>3.4433947193689703E-2</v>
      </c>
      <c r="N618" s="135">
        <v>4.3901360406232298E-2</v>
      </c>
      <c r="O618" s="135">
        <v>4.6768036240801697E-2</v>
      </c>
      <c r="P618" s="135">
        <v>5.3374555001188602E-2</v>
      </c>
      <c r="Q618" s="135">
        <v>5.39404503573696E-2</v>
      </c>
      <c r="R618" s="135">
        <v>5.1948408808882698E-2</v>
      </c>
      <c r="S618" s="135">
        <v>5.2356564432465801E-2</v>
      </c>
      <c r="T618" s="135">
        <v>4.39183954108254E-2</v>
      </c>
      <c r="U618" s="135">
        <v>4.5194275825325897E-2</v>
      </c>
      <c r="V618" s="135">
        <v>4.6630687670045599E-2</v>
      </c>
      <c r="W618" s="135">
        <v>5.3086012687770003E-2</v>
      </c>
      <c r="X618" s="135">
        <v>5.5796713466939998E-2</v>
      </c>
      <c r="Y618" s="135">
        <v>7.9060326774259601E-2</v>
      </c>
      <c r="Z618" s="135">
        <v>8.5175161193433893E-2</v>
      </c>
      <c r="AA618" s="135">
        <v>7.8849044740654295E-2</v>
      </c>
      <c r="AB618" s="135">
        <v>6.2199839614069503E-2</v>
      </c>
      <c r="AC618" s="135">
        <v>3.33752727272053E-2</v>
      </c>
      <c r="AD618" s="135">
        <v>1.7039686273112899E-2</v>
      </c>
      <c r="AF618" s="243">
        <f t="shared" si="11"/>
        <v>0.34707479519268503</v>
      </c>
      <c r="AG618" s="275">
        <f t="shared" si="12"/>
        <v>0.4106423143002349</v>
      </c>
      <c r="AH618" s="391">
        <f t="shared" si="13"/>
        <v>0.6110138966038321</v>
      </c>
      <c r="AI618" s="135">
        <f t="shared" si="14"/>
        <v>1.021656210904067</v>
      </c>
    </row>
    <row r="619" spans="1:35" ht="12.6">
      <c r="A619" s="10" t="s">
        <v>61</v>
      </c>
      <c r="B619" s="10">
        <v>253</v>
      </c>
      <c r="C619" s="10" t="s">
        <v>1515</v>
      </c>
      <c r="D619" s="388">
        <v>45179</v>
      </c>
      <c r="E619" s="389">
        <v>45179</v>
      </c>
      <c r="F619" s="390" t="str">
        <f t="shared" si="10"/>
        <v>Lighting</v>
      </c>
      <c r="G619" s="135">
        <v>1.22771344760954E-2</v>
      </c>
      <c r="H619" s="135">
        <v>1.0347496637198699E-2</v>
      </c>
      <c r="I619" s="135">
        <v>1.0977292752670301E-2</v>
      </c>
      <c r="J619" s="135">
        <v>1.38352377350307E-2</v>
      </c>
      <c r="K619" s="135">
        <v>1.51269995680334E-2</v>
      </c>
      <c r="L619" s="135">
        <v>2.20433109107658E-2</v>
      </c>
      <c r="M619" s="135">
        <v>3.4433947193689703E-2</v>
      </c>
      <c r="N619" s="135">
        <v>4.3901360406232298E-2</v>
      </c>
      <c r="O619" s="135">
        <v>4.6768036240801697E-2</v>
      </c>
      <c r="P619" s="135">
        <v>5.3374555001188602E-2</v>
      </c>
      <c r="Q619" s="135">
        <v>5.39404503573696E-2</v>
      </c>
      <c r="R619" s="135">
        <v>5.1948408808882698E-2</v>
      </c>
      <c r="S619" s="135">
        <v>5.2356564432465801E-2</v>
      </c>
      <c r="T619" s="135">
        <v>4.39183954108254E-2</v>
      </c>
      <c r="U619" s="135">
        <v>4.5194275825325897E-2</v>
      </c>
      <c r="V619" s="135">
        <v>4.6630687670045599E-2</v>
      </c>
      <c r="W619" s="135">
        <v>5.3086012687770003E-2</v>
      </c>
      <c r="X619" s="135">
        <v>5.5796713466939998E-2</v>
      </c>
      <c r="Y619" s="135">
        <v>7.9060326774259601E-2</v>
      </c>
      <c r="Z619" s="135">
        <v>8.5175161193433893E-2</v>
      </c>
      <c r="AA619" s="135">
        <v>7.8849044740654295E-2</v>
      </c>
      <c r="AB619" s="135">
        <v>6.2199839614069503E-2</v>
      </c>
      <c r="AC619" s="135">
        <v>3.33752727272053E-2</v>
      </c>
      <c r="AD619" s="135">
        <v>1.7039686273112899E-2</v>
      </c>
      <c r="AF619" s="243">
        <f t="shared" si="11"/>
        <v>0.34707479519268503</v>
      </c>
      <c r="AG619" s="275">
        <f t="shared" si="12"/>
        <v>0.4106423143002349</v>
      </c>
      <c r="AH619" s="391">
        <f t="shared" si="13"/>
        <v>0.6110138966038321</v>
      </c>
      <c r="AI619" s="135">
        <f t="shared" si="14"/>
        <v>1.021656210904067</v>
      </c>
    </row>
    <row r="620" spans="1:35" ht="12.6">
      <c r="A620" s="10" t="s">
        <v>61</v>
      </c>
      <c r="B620" s="10">
        <v>254</v>
      </c>
      <c r="C620" s="10" t="s">
        <v>1515</v>
      </c>
      <c r="D620" s="388">
        <v>45180</v>
      </c>
      <c r="E620" s="389">
        <v>45180</v>
      </c>
      <c r="F620" s="390" t="str">
        <f t="shared" si="10"/>
        <v>Lighting</v>
      </c>
      <c r="G620" s="135">
        <v>1.08640999630958E-2</v>
      </c>
      <c r="H620" s="135">
        <v>9.0764186586465897E-3</v>
      </c>
      <c r="I620" s="135">
        <v>9.3560883873425905E-3</v>
      </c>
      <c r="J620" s="135">
        <v>1.27530145505096E-2</v>
      </c>
      <c r="K620" s="135">
        <v>3.6914401553295E-2</v>
      </c>
      <c r="L620" s="135">
        <v>8.6146383840891794E-2</v>
      </c>
      <c r="M620" s="135">
        <v>8.5778723525706702E-2</v>
      </c>
      <c r="N620" s="135">
        <v>5.6714272660420402E-2</v>
      </c>
      <c r="O620" s="135">
        <v>3.4263135706434397E-2</v>
      </c>
      <c r="P620" s="135">
        <v>2.5716496770323199E-2</v>
      </c>
      <c r="Q620" s="135">
        <v>2.6987381932399499E-2</v>
      </c>
      <c r="R620" s="135">
        <v>2.5871676507430701E-2</v>
      </c>
      <c r="S620" s="135">
        <v>2.5860206126079199E-2</v>
      </c>
      <c r="T620" s="135">
        <v>2.3983911486287899E-2</v>
      </c>
      <c r="U620" s="135">
        <v>2.45985745977415E-2</v>
      </c>
      <c r="V620" s="135">
        <v>2.9189334768982299E-2</v>
      </c>
      <c r="W620" s="135">
        <v>4.2356225841232303E-2</v>
      </c>
      <c r="X620" s="135">
        <v>6.4124437087391295E-2</v>
      </c>
      <c r="Y620" s="135">
        <v>8.9534915468690607E-2</v>
      </c>
      <c r="Z620" s="135">
        <v>9.7739032989919303E-2</v>
      </c>
      <c r="AA620" s="135">
        <v>8.7593665379767996E-2</v>
      </c>
      <c r="AB620" s="135">
        <v>6.3550754957384201E-2</v>
      </c>
      <c r="AC620" s="135">
        <v>3.1335961827832E-2</v>
      </c>
      <c r="AD620" s="135">
        <v>1.5875620156787101E-2</v>
      </c>
      <c r="AF620" s="243">
        <f t="shared" si="11"/>
        <v>0.1988473112601534</v>
      </c>
      <c r="AG620" s="275">
        <f t="shared" si="12"/>
        <v>0.44408896528443043</v>
      </c>
      <c r="AH620" s="391">
        <f t="shared" si="13"/>
        <v>0.57209576946016161</v>
      </c>
      <c r="AI620" s="135">
        <f t="shared" si="14"/>
        <v>1.016184734744592</v>
      </c>
    </row>
    <row r="621" spans="1:35" ht="12.6">
      <c r="A621" s="10" t="s">
        <v>61</v>
      </c>
      <c r="B621" s="10">
        <v>255</v>
      </c>
      <c r="C621" s="10" t="s">
        <v>1515</v>
      </c>
      <c r="D621" s="388">
        <v>45181</v>
      </c>
      <c r="E621" s="389">
        <v>45181</v>
      </c>
      <c r="F621" s="390" t="str">
        <f t="shared" si="10"/>
        <v>Lighting</v>
      </c>
      <c r="G621" s="135">
        <v>1.08640999630958E-2</v>
      </c>
      <c r="H621" s="135">
        <v>9.0764186586465897E-3</v>
      </c>
      <c r="I621" s="135">
        <v>9.3560883873425905E-3</v>
      </c>
      <c r="J621" s="135">
        <v>1.27530145505096E-2</v>
      </c>
      <c r="K621" s="135">
        <v>3.6914401553295E-2</v>
      </c>
      <c r="L621" s="135">
        <v>8.6146383840891794E-2</v>
      </c>
      <c r="M621" s="135">
        <v>8.5778723525706702E-2</v>
      </c>
      <c r="N621" s="135">
        <v>5.6714272660420402E-2</v>
      </c>
      <c r="O621" s="135">
        <v>3.4263135706434397E-2</v>
      </c>
      <c r="P621" s="135">
        <v>2.5716496770323199E-2</v>
      </c>
      <c r="Q621" s="135">
        <v>2.6987381932399499E-2</v>
      </c>
      <c r="R621" s="135">
        <v>2.5871676507430701E-2</v>
      </c>
      <c r="S621" s="135">
        <v>2.5860206126079199E-2</v>
      </c>
      <c r="T621" s="135">
        <v>2.3983911486287899E-2</v>
      </c>
      <c r="U621" s="135">
        <v>2.45985745977415E-2</v>
      </c>
      <c r="V621" s="135">
        <v>2.9189334768982299E-2</v>
      </c>
      <c r="W621" s="135">
        <v>4.2356225841232303E-2</v>
      </c>
      <c r="X621" s="135">
        <v>6.4124437087391295E-2</v>
      </c>
      <c r="Y621" s="135">
        <v>8.9534915468690607E-2</v>
      </c>
      <c r="Z621" s="135">
        <v>9.7739032989919303E-2</v>
      </c>
      <c r="AA621" s="135">
        <v>8.7593665379767996E-2</v>
      </c>
      <c r="AB621" s="135">
        <v>6.3550754957384201E-2</v>
      </c>
      <c r="AC621" s="135">
        <v>3.1335961827832E-2</v>
      </c>
      <c r="AD621" s="135">
        <v>1.5875620156787101E-2</v>
      </c>
      <c r="AF621" s="243">
        <f t="shared" si="11"/>
        <v>0.1988473112601534</v>
      </c>
      <c r="AG621" s="275">
        <f t="shared" si="12"/>
        <v>0.44408896528443043</v>
      </c>
      <c r="AH621" s="391">
        <f t="shared" si="13"/>
        <v>0.57209576946016161</v>
      </c>
      <c r="AI621" s="135">
        <f t="shared" si="14"/>
        <v>1.016184734744592</v>
      </c>
    </row>
    <row r="622" spans="1:35" ht="12.6">
      <c r="A622" s="10" t="s">
        <v>61</v>
      </c>
      <c r="B622" s="10">
        <v>256</v>
      </c>
      <c r="C622" s="10" t="s">
        <v>1515</v>
      </c>
      <c r="D622" s="388">
        <v>45182</v>
      </c>
      <c r="E622" s="389">
        <v>45182</v>
      </c>
      <c r="F622" s="390" t="str">
        <f t="shared" si="10"/>
        <v>Lighting</v>
      </c>
      <c r="G622" s="135">
        <v>1.08640999630958E-2</v>
      </c>
      <c r="H622" s="135">
        <v>9.0764186586465897E-3</v>
      </c>
      <c r="I622" s="135">
        <v>9.3560883873425905E-3</v>
      </c>
      <c r="J622" s="135">
        <v>1.27530145505096E-2</v>
      </c>
      <c r="K622" s="135">
        <v>3.6914401553295E-2</v>
      </c>
      <c r="L622" s="135">
        <v>8.6146383840891794E-2</v>
      </c>
      <c r="M622" s="135">
        <v>8.5778723525706702E-2</v>
      </c>
      <c r="N622" s="135">
        <v>5.6714272660420402E-2</v>
      </c>
      <c r="O622" s="135">
        <v>3.4263135706434397E-2</v>
      </c>
      <c r="P622" s="135">
        <v>2.5716496770323199E-2</v>
      </c>
      <c r="Q622" s="135">
        <v>2.6987381932399499E-2</v>
      </c>
      <c r="R622" s="135">
        <v>2.5871676507430701E-2</v>
      </c>
      <c r="S622" s="135">
        <v>2.5860206126079199E-2</v>
      </c>
      <c r="T622" s="135">
        <v>2.3983911486287899E-2</v>
      </c>
      <c r="U622" s="135">
        <v>2.45985745977415E-2</v>
      </c>
      <c r="V622" s="135">
        <v>2.9189334768982299E-2</v>
      </c>
      <c r="W622" s="135">
        <v>4.2356225841232303E-2</v>
      </c>
      <c r="X622" s="135">
        <v>6.4124437087391295E-2</v>
      </c>
      <c r="Y622" s="135">
        <v>8.9534915468690607E-2</v>
      </c>
      <c r="Z622" s="135">
        <v>9.7739032989919303E-2</v>
      </c>
      <c r="AA622" s="135">
        <v>8.7593665379767996E-2</v>
      </c>
      <c r="AB622" s="135">
        <v>6.3550754957384201E-2</v>
      </c>
      <c r="AC622" s="135">
        <v>3.1335961827832E-2</v>
      </c>
      <c r="AD622" s="135">
        <v>1.5875620156787101E-2</v>
      </c>
      <c r="AF622" s="243">
        <f t="shared" si="11"/>
        <v>0.1988473112601534</v>
      </c>
      <c r="AG622" s="275">
        <f t="shared" si="12"/>
        <v>0.44408896528443043</v>
      </c>
      <c r="AH622" s="391">
        <f t="shared" si="13"/>
        <v>0.57209576946016161</v>
      </c>
      <c r="AI622" s="135">
        <f t="shared" si="14"/>
        <v>1.016184734744592</v>
      </c>
    </row>
    <row r="623" spans="1:35" ht="12.6">
      <c r="A623" s="10" t="s">
        <v>61</v>
      </c>
      <c r="B623" s="10">
        <v>257</v>
      </c>
      <c r="C623" s="10" t="s">
        <v>1515</v>
      </c>
      <c r="D623" s="388">
        <v>45183</v>
      </c>
      <c r="E623" s="389">
        <v>45183</v>
      </c>
      <c r="F623" s="390" t="str">
        <f t="shared" si="10"/>
        <v>Lighting</v>
      </c>
      <c r="G623" s="135">
        <v>1.08640999630958E-2</v>
      </c>
      <c r="H623" s="135">
        <v>9.0764186586465897E-3</v>
      </c>
      <c r="I623" s="135">
        <v>9.3560883873425905E-3</v>
      </c>
      <c r="J623" s="135">
        <v>1.27530145505096E-2</v>
      </c>
      <c r="K623" s="135">
        <v>3.6914401553295E-2</v>
      </c>
      <c r="L623" s="135">
        <v>8.6146383840891794E-2</v>
      </c>
      <c r="M623" s="135">
        <v>8.5778723525706702E-2</v>
      </c>
      <c r="N623" s="135">
        <v>5.6714272660420402E-2</v>
      </c>
      <c r="O623" s="135">
        <v>3.4263135706434397E-2</v>
      </c>
      <c r="P623" s="135">
        <v>2.5716496770323199E-2</v>
      </c>
      <c r="Q623" s="135">
        <v>2.6987381932399499E-2</v>
      </c>
      <c r="R623" s="135">
        <v>2.5871676507430701E-2</v>
      </c>
      <c r="S623" s="135">
        <v>2.5860206126079199E-2</v>
      </c>
      <c r="T623" s="135">
        <v>2.3983911486287899E-2</v>
      </c>
      <c r="U623" s="135">
        <v>2.45985745977415E-2</v>
      </c>
      <c r="V623" s="135">
        <v>2.9189334768982299E-2</v>
      </c>
      <c r="W623" s="135">
        <v>4.2356225841232303E-2</v>
      </c>
      <c r="X623" s="135">
        <v>6.4124437087391295E-2</v>
      </c>
      <c r="Y623" s="135">
        <v>8.9534915468690607E-2</v>
      </c>
      <c r="Z623" s="135">
        <v>9.7739032989919303E-2</v>
      </c>
      <c r="AA623" s="135">
        <v>8.7593665379767996E-2</v>
      </c>
      <c r="AB623" s="135">
        <v>6.3550754957384201E-2</v>
      </c>
      <c r="AC623" s="135">
        <v>3.1335961827832E-2</v>
      </c>
      <c r="AD623" s="135">
        <v>1.5875620156787101E-2</v>
      </c>
      <c r="AF623" s="243">
        <f t="shared" si="11"/>
        <v>0.1988473112601534</v>
      </c>
      <c r="AG623" s="275">
        <f t="shared" si="12"/>
        <v>0.44408896528443043</v>
      </c>
      <c r="AH623" s="391">
        <f t="shared" si="13"/>
        <v>0.57209576946016161</v>
      </c>
      <c r="AI623" s="135">
        <f t="shared" si="14"/>
        <v>1.016184734744592</v>
      </c>
    </row>
    <row r="624" spans="1:35" ht="12.6">
      <c r="A624" s="10" t="s">
        <v>61</v>
      </c>
      <c r="B624" s="10">
        <v>258</v>
      </c>
      <c r="C624" s="10" t="s">
        <v>1515</v>
      </c>
      <c r="D624" s="388">
        <v>45184</v>
      </c>
      <c r="E624" s="389">
        <v>45184</v>
      </c>
      <c r="F624" s="390" t="str">
        <f t="shared" si="10"/>
        <v>Lighting</v>
      </c>
      <c r="G624" s="135">
        <v>1.08640999630958E-2</v>
      </c>
      <c r="H624" s="135">
        <v>9.0764186586465897E-3</v>
      </c>
      <c r="I624" s="135">
        <v>9.3560883873425905E-3</v>
      </c>
      <c r="J624" s="135">
        <v>1.27530145505096E-2</v>
      </c>
      <c r="K624" s="135">
        <v>3.6914401553295E-2</v>
      </c>
      <c r="L624" s="135">
        <v>8.6146383840891794E-2</v>
      </c>
      <c r="M624" s="135">
        <v>8.5778723525706702E-2</v>
      </c>
      <c r="N624" s="135">
        <v>5.6714272660420402E-2</v>
      </c>
      <c r="O624" s="135">
        <v>3.4263135706434397E-2</v>
      </c>
      <c r="P624" s="135">
        <v>2.5716496770323199E-2</v>
      </c>
      <c r="Q624" s="135">
        <v>2.6987381932399499E-2</v>
      </c>
      <c r="R624" s="135">
        <v>2.5871676507430701E-2</v>
      </c>
      <c r="S624" s="135">
        <v>2.5860206126079199E-2</v>
      </c>
      <c r="T624" s="135">
        <v>2.3983911486287899E-2</v>
      </c>
      <c r="U624" s="135">
        <v>2.45985745977415E-2</v>
      </c>
      <c r="V624" s="135">
        <v>2.9189334768982299E-2</v>
      </c>
      <c r="W624" s="135">
        <v>4.2356225841232303E-2</v>
      </c>
      <c r="X624" s="135">
        <v>6.4124437087391295E-2</v>
      </c>
      <c r="Y624" s="135">
        <v>8.9534915468690607E-2</v>
      </c>
      <c r="Z624" s="135">
        <v>9.7739032989919303E-2</v>
      </c>
      <c r="AA624" s="135">
        <v>8.7593665379767996E-2</v>
      </c>
      <c r="AB624" s="135">
        <v>6.3550754957384201E-2</v>
      </c>
      <c r="AC624" s="135">
        <v>3.1335961827832E-2</v>
      </c>
      <c r="AD624" s="135">
        <v>1.5875620156787101E-2</v>
      </c>
      <c r="AF624" s="243">
        <f t="shared" si="11"/>
        <v>0.1988473112601534</v>
      </c>
      <c r="AG624" s="275">
        <f t="shared" si="12"/>
        <v>0.44408896528443043</v>
      </c>
      <c r="AH624" s="391">
        <f t="shared" si="13"/>
        <v>0.57209576946016161</v>
      </c>
      <c r="AI624" s="135">
        <f t="shared" si="14"/>
        <v>1.016184734744592</v>
      </c>
    </row>
    <row r="625" spans="1:35" ht="12.6">
      <c r="A625" s="10" t="s">
        <v>61</v>
      </c>
      <c r="B625" s="10">
        <v>259</v>
      </c>
      <c r="C625" s="10" t="s">
        <v>1515</v>
      </c>
      <c r="D625" s="388">
        <v>45185</v>
      </c>
      <c r="E625" s="389">
        <v>45185</v>
      </c>
      <c r="F625" s="390" t="str">
        <f t="shared" si="10"/>
        <v>Lighting</v>
      </c>
      <c r="G625" s="135">
        <v>1.22771344760954E-2</v>
      </c>
      <c r="H625" s="135">
        <v>1.0347496637198699E-2</v>
      </c>
      <c r="I625" s="135">
        <v>1.0977292752670301E-2</v>
      </c>
      <c r="J625" s="135">
        <v>1.38352377350307E-2</v>
      </c>
      <c r="K625" s="135">
        <v>1.51269995680334E-2</v>
      </c>
      <c r="L625" s="135">
        <v>2.20433109107658E-2</v>
      </c>
      <c r="M625" s="135">
        <v>3.4433947193689703E-2</v>
      </c>
      <c r="N625" s="135">
        <v>4.3901360406232298E-2</v>
      </c>
      <c r="O625" s="135">
        <v>4.6768036240801697E-2</v>
      </c>
      <c r="P625" s="135">
        <v>5.3374555001188602E-2</v>
      </c>
      <c r="Q625" s="135">
        <v>5.39404503573696E-2</v>
      </c>
      <c r="R625" s="135">
        <v>5.1948408808882698E-2</v>
      </c>
      <c r="S625" s="135">
        <v>5.2356564432465801E-2</v>
      </c>
      <c r="T625" s="135">
        <v>4.39183954108254E-2</v>
      </c>
      <c r="U625" s="135">
        <v>4.5194275825325897E-2</v>
      </c>
      <c r="V625" s="135">
        <v>4.6630687670045599E-2</v>
      </c>
      <c r="W625" s="135">
        <v>5.3086012687770003E-2</v>
      </c>
      <c r="X625" s="135">
        <v>5.5796713466939998E-2</v>
      </c>
      <c r="Y625" s="135">
        <v>7.9060326774259601E-2</v>
      </c>
      <c r="Z625" s="135">
        <v>8.5175161193433893E-2</v>
      </c>
      <c r="AA625" s="135">
        <v>7.8849044740654295E-2</v>
      </c>
      <c r="AB625" s="135">
        <v>6.2199839614069503E-2</v>
      </c>
      <c r="AC625" s="135">
        <v>3.33752727272053E-2</v>
      </c>
      <c r="AD625" s="135">
        <v>1.7039686273112899E-2</v>
      </c>
      <c r="AF625" s="243">
        <f t="shared" si="11"/>
        <v>0.34707479519268503</v>
      </c>
      <c r="AG625" s="275">
        <f t="shared" si="12"/>
        <v>0.4106423143002349</v>
      </c>
      <c r="AH625" s="391">
        <f t="shared" si="13"/>
        <v>0.6110138966038321</v>
      </c>
      <c r="AI625" s="135">
        <f t="shared" si="14"/>
        <v>1.021656210904067</v>
      </c>
    </row>
    <row r="626" spans="1:35" ht="12.6">
      <c r="A626" s="10" t="s">
        <v>61</v>
      </c>
      <c r="B626" s="10">
        <v>260</v>
      </c>
      <c r="C626" s="10" t="s">
        <v>1515</v>
      </c>
      <c r="D626" s="388">
        <v>45186</v>
      </c>
      <c r="E626" s="389">
        <v>45186</v>
      </c>
      <c r="F626" s="390" t="str">
        <f t="shared" si="10"/>
        <v>Lighting</v>
      </c>
      <c r="G626" s="135">
        <v>1.22771344760954E-2</v>
      </c>
      <c r="H626" s="135">
        <v>1.0347496637198699E-2</v>
      </c>
      <c r="I626" s="135">
        <v>1.0977292752670301E-2</v>
      </c>
      <c r="J626" s="135">
        <v>1.38352377350307E-2</v>
      </c>
      <c r="K626" s="135">
        <v>1.51269995680334E-2</v>
      </c>
      <c r="L626" s="135">
        <v>2.20433109107658E-2</v>
      </c>
      <c r="M626" s="135">
        <v>3.4433947193689703E-2</v>
      </c>
      <c r="N626" s="135">
        <v>4.3901360406232298E-2</v>
      </c>
      <c r="O626" s="135">
        <v>4.6768036240801697E-2</v>
      </c>
      <c r="P626" s="135">
        <v>5.3374555001188602E-2</v>
      </c>
      <c r="Q626" s="135">
        <v>5.39404503573696E-2</v>
      </c>
      <c r="R626" s="135">
        <v>5.1948408808882698E-2</v>
      </c>
      <c r="S626" s="135">
        <v>5.2356564432465801E-2</v>
      </c>
      <c r="T626" s="135">
        <v>4.39183954108254E-2</v>
      </c>
      <c r="U626" s="135">
        <v>4.5194275825325897E-2</v>
      </c>
      <c r="V626" s="135">
        <v>4.6630687670045599E-2</v>
      </c>
      <c r="W626" s="135">
        <v>5.3086012687770003E-2</v>
      </c>
      <c r="X626" s="135">
        <v>5.5796713466939998E-2</v>
      </c>
      <c r="Y626" s="135">
        <v>7.9060326774259601E-2</v>
      </c>
      <c r="Z626" s="135">
        <v>8.5175161193433893E-2</v>
      </c>
      <c r="AA626" s="135">
        <v>7.8849044740654295E-2</v>
      </c>
      <c r="AB626" s="135">
        <v>6.2199839614069503E-2</v>
      </c>
      <c r="AC626" s="135">
        <v>3.33752727272053E-2</v>
      </c>
      <c r="AD626" s="135">
        <v>1.7039686273112899E-2</v>
      </c>
      <c r="AF626" s="243">
        <f t="shared" si="11"/>
        <v>0.34707479519268503</v>
      </c>
      <c r="AG626" s="275">
        <f t="shared" si="12"/>
        <v>0.4106423143002349</v>
      </c>
      <c r="AH626" s="391">
        <f t="shared" si="13"/>
        <v>0.6110138966038321</v>
      </c>
      <c r="AI626" s="135">
        <f t="shared" si="14"/>
        <v>1.021656210904067</v>
      </c>
    </row>
    <row r="627" spans="1:35" ht="12.6">
      <c r="A627" s="10" t="s">
        <v>61</v>
      </c>
      <c r="B627" s="10">
        <v>261</v>
      </c>
      <c r="C627" s="10" t="s">
        <v>1515</v>
      </c>
      <c r="D627" s="388">
        <v>45187</v>
      </c>
      <c r="E627" s="389">
        <v>45187</v>
      </c>
      <c r="F627" s="390" t="str">
        <f t="shared" si="10"/>
        <v>Lighting</v>
      </c>
      <c r="G627" s="135">
        <v>1.08640999630958E-2</v>
      </c>
      <c r="H627" s="135">
        <v>9.0764186586465897E-3</v>
      </c>
      <c r="I627" s="135">
        <v>9.3560883873425905E-3</v>
      </c>
      <c r="J627" s="135">
        <v>1.27530145505096E-2</v>
      </c>
      <c r="K627" s="135">
        <v>3.6914401553295E-2</v>
      </c>
      <c r="L627" s="135">
        <v>8.6146383840891794E-2</v>
      </c>
      <c r="M627" s="135">
        <v>8.5778723525706702E-2</v>
      </c>
      <c r="N627" s="135">
        <v>5.6714272660420402E-2</v>
      </c>
      <c r="O627" s="135">
        <v>3.4263135706434397E-2</v>
      </c>
      <c r="P627" s="135">
        <v>2.5716496770323199E-2</v>
      </c>
      <c r="Q627" s="135">
        <v>2.6987381932399499E-2</v>
      </c>
      <c r="R627" s="135">
        <v>2.5871676507430701E-2</v>
      </c>
      <c r="S627" s="135">
        <v>2.5860206126079199E-2</v>
      </c>
      <c r="T627" s="135">
        <v>2.3983911486287899E-2</v>
      </c>
      <c r="U627" s="135">
        <v>2.45985745977415E-2</v>
      </c>
      <c r="V627" s="135">
        <v>2.9189334768982299E-2</v>
      </c>
      <c r="W627" s="135">
        <v>4.2356225841232303E-2</v>
      </c>
      <c r="X627" s="135">
        <v>6.4124437087391295E-2</v>
      </c>
      <c r="Y627" s="135">
        <v>8.9534915468690607E-2</v>
      </c>
      <c r="Z627" s="135">
        <v>9.7739032989919303E-2</v>
      </c>
      <c r="AA627" s="135">
        <v>8.7593665379767996E-2</v>
      </c>
      <c r="AB627" s="135">
        <v>6.3550754957384201E-2</v>
      </c>
      <c r="AC627" s="135">
        <v>3.1335961827832E-2</v>
      </c>
      <c r="AD627" s="135">
        <v>1.5875620156787101E-2</v>
      </c>
      <c r="AF627" s="243">
        <f t="shared" si="11"/>
        <v>0.1988473112601534</v>
      </c>
      <c r="AG627" s="275">
        <f t="shared" si="12"/>
        <v>0.44408896528443043</v>
      </c>
      <c r="AH627" s="391">
        <f t="shared" si="13"/>
        <v>0.57209576946016161</v>
      </c>
      <c r="AI627" s="135">
        <f t="shared" si="14"/>
        <v>1.016184734744592</v>
      </c>
    </row>
    <row r="628" spans="1:35" ht="12.6">
      <c r="A628" s="10" t="s">
        <v>61</v>
      </c>
      <c r="B628" s="10">
        <v>262</v>
      </c>
      <c r="C628" s="10" t="s">
        <v>1515</v>
      </c>
      <c r="D628" s="388">
        <v>45188</v>
      </c>
      <c r="E628" s="389">
        <v>45188</v>
      </c>
      <c r="F628" s="390" t="str">
        <f t="shared" si="10"/>
        <v>Lighting</v>
      </c>
      <c r="G628" s="135">
        <v>1.08640999630958E-2</v>
      </c>
      <c r="H628" s="135">
        <v>9.0764186586465897E-3</v>
      </c>
      <c r="I628" s="135">
        <v>9.3560883873425905E-3</v>
      </c>
      <c r="J628" s="135">
        <v>1.27530145505096E-2</v>
      </c>
      <c r="K628" s="135">
        <v>3.6914401553295E-2</v>
      </c>
      <c r="L628" s="135">
        <v>8.6146383840891794E-2</v>
      </c>
      <c r="M628" s="135">
        <v>8.5778723525706702E-2</v>
      </c>
      <c r="N628" s="135">
        <v>5.6714272660420402E-2</v>
      </c>
      <c r="O628" s="135">
        <v>3.4263135706434397E-2</v>
      </c>
      <c r="P628" s="135">
        <v>2.5716496770323199E-2</v>
      </c>
      <c r="Q628" s="135">
        <v>2.6987381932399499E-2</v>
      </c>
      <c r="R628" s="135">
        <v>2.5871676507430701E-2</v>
      </c>
      <c r="S628" s="135">
        <v>2.5860206126079199E-2</v>
      </c>
      <c r="T628" s="135">
        <v>2.3983911486287899E-2</v>
      </c>
      <c r="U628" s="135">
        <v>2.45985745977415E-2</v>
      </c>
      <c r="V628" s="135">
        <v>2.9189334768982299E-2</v>
      </c>
      <c r="W628" s="135">
        <v>4.2356225841232303E-2</v>
      </c>
      <c r="X628" s="135">
        <v>6.4124437087391295E-2</v>
      </c>
      <c r="Y628" s="135">
        <v>8.9534915468690607E-2</v>
      </c>
      <c r="Z628" s="135">
        <v>9.7739032989919303E-2</v>
      </c>
      <c r="AA628" s="135">
        <v>8.7593665379767996E-2</v>
      </c>
      <c r="AB628" s="135">
        <v>6.3550754957384201E-2</v>
      </c>
      <c r="AC628" s="135">
        <v>3.1335961827832E-2</v>
      </c>
      <c r="AD628" s="135">
        <v>1.5875620156787101E-2</v>
      </c>
      <c r="AF628" s="243">
        <f t="shared" si="11"/>
        <v>0.1988473112601534</v>
      </c>
      <c r="AG628" s="275">
        <f t="shared" si="12"/>
        <v>0.44408896528443043</v>
      </c>
      <c r="AH628" s="391">
        <f t="shared" si="13"/>
        <v>0.57209576946016161</v>
      </c>
      <c r="AI628" s="135">
        <f t="shared" si="14"/>
        <v>1.016184734744592</v>
      </c>
    </row>
    <row r="629" spans="1:35" ht="12.6">
      <c r="A629" s="10" t="s">
        <v>61</v>
      </c>
      <c r="B629" s="10">
        <v>263</v>
      </c>
      <c r="C629" s="10" t="s">
        <v>1515</v>
      </c>
      <c r="D629" s="388">
        <v>45189</v>
      </c>
      <c r="E629" s="389">
        <v>45189</v>
      </c>
      <c r="F629" s="390" t="str">
        <f t="shared" si="10"/>
        <v>Lighting</v>
      </c>
      <c r="G629" s="135">
        <v>1.08640999630958E-2</v>
      </c>
      <c r="H629" s="135">
        <v>9.0764186586465897E-3</v>
      </c>
      <c r="I629" s="135">
        <v>9.3560883873425905E-3</v>
      </c>
      <c r="J629" s="135">
        <v>1.27530145505096E-2</v>
      </c>
      <c r="K629" s="135">
        <v>3.6914401553295E-2</v>
      </c>
      <c r="L629" s="135">
        <v>8.6146383840891794E-2</v>
      </c>
      <c r="M629" s="135">
        <v>8.5778723525706702E-2</v>
      </c>
      <c r="N629" s="135">
        <v>5.6714272660420402E-2</v>
      </c>
      <c r="O629" s="135">
        <v>3.4263135706434397E-2</v>
      </c>
      <c r="P629" s="135">
        <v>2.5716496770323199E-2</v>
      </c>
      <c r="Q629" s="135">
        <v>2.6987381932399499E-2</v>
      </c>
      <c r="R629" s="135">
        <v>2.5871676507430701E-2</v>
      </c>
      <c r="S629" s="135">
        <v>2.5860206126079199E-2</v>
      </c>
      <c r="T629" s="135">
        <v>2.3983911486287899E-2</v>
      </c>
      <c r="U629" s="135">
        <v>2.45985745977415E-2</v>
      </c>
      <c r="V629" s="135">
        <v>2.9189334768982299E-2</v>
      </c>
      <c r="W629" s="135">
        <v>4.2356225841232303E-2</v>
      </c>
      <c r="X629" s="135">
        <v>6.4124437087391295E-2</v>
      </c>
      <c r="Y629" s="135">
        <v>8.9534915468690607E-2</v>
      </c>
      <c r="Z629" s="135">
        <v>9.7739032989919303E-2</v>
      </c>
      <c r="AA629" s="135">
        <v>8.7593665379767996E-2</v>
      </c>
      <c r="AB629" s="135">
        <v>6.3550754957384201E-2</v>
      </c>
      <c r="AC629" s="135">
        <v>3.1335961827832E-2</v>
      </c>
      <c r="AD629" s="135">
        <v>1.5875620156787101E-2</v>
      </c>
      <c r="AF629" s="243">
        <f t="shared" si="11"/>
        <v>0.1988473112601534</v>
      </c>
      <c r="AG629" s="275">
        <f t="shared" si="12"/>
        <v>0.44408896528443043</v>
      </c>
      <c r="AH629" s="391">
        <f t="shared" si="13"/>
        <v>0.57209576946016161</v>
      </c>
      <c r="AI629" s="135">
        <f t="shared" si="14"/>
        <v>1.016184734744592</v>
      </c>
    </row>
    <row r="630" spans="1:35" ht="12.6">
      <c r="A630" s="10" t="s">
        <v>61</v>
      </c>
      <c r="B630" s="10">
        <v>264</v>
      </c>
      <c r="C630" s="10" t="s">
        <v>1515</v>
      </c>
      <c r="D630" s="388">
        <v>45190</v>
      </c>
      <c r="E630" s="389">
        <v>45190</v>
      </c>
      <c r="F630" s="390" t="str">
        <f t="shared" si="10"/>
        <v>Lighting</v>
      </c>
      <c r="G630" s="135">
        <v>1.08640999630958E-2</v>
      </c>
      <c r="H630" s="135">
        <v>9.0764186586465897E-3</v>
      </c>
      <c r="I630" s="135">
        <v>9.3560883873425905E-3</v>
      </c>
      <c r="J630" s="135">
        <v>1.27530145505096E-2</v>
      </c>
      <c r="K630" s="135">
        <v>3.6914401553295E-2</v>
      </c>
      <c r="L630" s="135">
        <v>8.6146383840891794E-2</v>
      </c>
      <c r="M630" s="135">
        <v>8.5778723525706702E-2</v>
      </c>
      <c r="N630" s="135">
        <v>5.6714272660420402E-2</v>
      </c>
      <c r="O630" s="135">
        <v>3.4263135706434397E-2</v>
      </c>
      <c r="P630" s="135">
        <v>2.5716496770323199E-2</v>
      </c>
      <c r="Q630" s="135">
        <v>2.6987381932399499E-2</v>
      </c>
      <c r="R630" s="135">
        <v>2.5871676507430701E-2</v>
      </c>
      <c r="S630" s="135">
        <v>2.5860206126079199E-2</v>
      </c>
      <c r="T630" s="135">
        <v>2.3983911486287899E-2</v>
      </c>
      <c r="U630" s="135">
        <v>2.45985745977415E-2</v>
      </c>
      <c r="V630" s="135">
        <v>2.9189334768982299E-2</v>
      </c>
      <c r="W630" s="135">
        <v>4.2356225841232303E-2</v>
      </c>
      <c r="X630" s="135">
        <v>6.4124437087391295E-2</v>
      </c>
      <c r="Y630" s="135">
        <v>8.9534915468690607E-2</v>
      </c>
      <c r="Z630" s="135">
        <v>9.7739032989919303E-2</v>
      </c>
      <c r="AA630" s="135">
        <v>8.7593665379767996E-2</v>
      </c>
      <c r="AB630" s="135">
        <v>6.3550754957384201E-2</v>
      </c>
      <c r="AC630" s="135">
        <v>3.1335961827832E-2</v>
      </c>
      <c r="AD630" s="135">
        <v>1.5875620156787101E-2</v>
      </c>
      <c r="AF630" s="243">
        <f t="shared" si="11"/>
        <v>0.1988473112601534</v>
      </c>
      <c r="AG630" s="275">
        <f t="shared" si="12"/>
        <v>0.44408896528443043</v>
      </c>
      <c r="AH630" s="391">
        <f t="shared" si="13"/>
        <v>0.57209576946016161</v>
      </c>
      <c r="AI630" s="135">
        <f t="shared" si="14"/>
        <v>1.016184734744592</v>
      </c>
    </row>
    <row r="631" spans="1:35" ht="12.6">
      <c r="A631" s="10" t="s">
        <v>61</v>
      </c>
      <c r="B631" s="10">
        <v>265</v>
      </c>
      <c r="C631" s="10" t="s">
        <v>1515</v>
      </c>
      <c r="D631" s="388">
        <v>45191</v>
      </c>
      <c r="E631" s="389">
        <v>45191</v>
      </c>
      <c r="F631" s="390" t="str">
        <f t="shared" si="10"/>
        <v>Lighting</v>
      </c>
      <c r="G631" s="135">
        <v>1.08640999630958E-2</v>
      </c>
      <c r="H631" s="135">
        <v>9.0764186586465897E-3</v>
      </c>
      <c r="I631" s="135">
        <v>9.3560883873425905E-3</v>
      </c>
      <c r="J631" s="135">
        <v>1.27530145505096E-2</v>
      </c>
      <c r="K631" s="135">
        <v>3.6914401553295E-2</v>
      </c>
      <c r="L631" s="135">
        <v>8.6146383840891794E-2</v>
      </c>
      <c r="M631" s="135">
        <v>8.5778723525706702E-2</v>
      </c>
      <c r="N631" s="135">
        <v>5.6714272660420402E-2</v>
      </c>
      <c r="O631" s="135">
        <v>3.4263135706434397E-2</v>
      </c>
      <c r="P631" s="135">
        <v>2.5716496770323199E-2</v>
      </c>
      <c r="Q631" s="135">
        <v>2.6987381932399499E-2</v>
      </c>
      <c r="R631" s="135">
        <v>2.5871676507430701E-2</v>
      </c>
      <c r="S631" s="135">
        <v>2.5860206126079199E-2</v>
      </c>
      <c r="T631" s="135">
        <v>2.3983911486287899E-2</v>
      </c>
      <c r="U631" s="135">
        <v>2.45985745977415E-2</v>
      </c>
      <c r="V631" s="135">
        <v>2.9189334768982299E-2</v>
      </c>
      <c r="W631" s="135">
        <v>4.2356225841232303E-2</v>
      </c>
      <c r="X631" s="135">
        <v>6.4124437087391295E-2</v>
      </c>
      <c r="Y631" s="135">
        <v>8.9534915468690607E-2</v>
      </c>
      <c r="Z631" s="135">
        <v>9.7739032989919303E-2</v>
      </c>
      <c r="AA631" s="135">
        <v>8.7593665379767996E-2</v>
      </c>
      <c r="AB631" s="135">
        <v>6.3550754957384201E-2</v>
      </c>
      <c r="AC631" s="135">
        <v>3.1335961827832E-2</v>
      </c>
      <c r="AD631" s="135">
        <v>1.5875620156787101E-2</v>
      </c>
      <c r="AF631" s="243">
        <f t="shared" si="11"/>
        <v>0.1988473112601534</v>
      </c>
      <c r="AG631" s="275">
        <f t="shared" si="12"/>
        <v>0.44408896528443043</v>
      </c>
      <c r="AH631" s="391">
        <f t="shared" si="13"/>
        <v>0.57209576946016161</v>
      </c>
      <c r="AI631" s="135">
        <f t="shared" si="14"/>
        <v>1.016184734744592</v>
      </c>
    </row>
    <row r="632" spans="1:35" ht="12.6">
      <c r="A632" s="10" t="s">
        <v>61</v>
      </c>
      <c r="B632" s="10">
        <v>266</v>
      </c>
      <c r="C632" s="10" t="s">
        <v>1515</v>
      </c>
      <c r="D632" s="388">
        <v>45192</v>
      </c>
      <c r="E632" s="389">
        <v>45192</v>
      </c>
      <c r="F632" s="390" t="str">
        <f t="shared" si="10"/>
        <v>Lighting</v>
      </c>
      <c r="G632" s="135">
        <v>1.22771344760954E-2</v>
      </c>
      <c r="H632" s="135">
        <v>1.0347496637198699E-2</v>
      </c>
      <c r="I632" s="135">
        <v>1.0977292752670301E-2</v>
      </c>
      <c r="J632" s="135">
        <v>1.38352377350307E-2</v>
      </c>
      <c r="K632" s="135">
        <v>1.51269995680334E-2</v>
      </c>
      <c r="L632" s="135">
        <v>2.20433109107658E-2</v>
      </c>
      <c r="M632" s="135">
        <v>3.4433947193689703E-2</v>
      </c>
      <c r="N632" s="135">
        <v>4.3901360406232298E-2</v>
      </c>
      <c r="O632" s="135">
        <v>4.6768036240801697E-2</v>
      </c>
      <c r="P632" s="135">
        <v>5.3374555001188602E-2</v>
      </c>
      <c r="Q632" s="135">
        <v>5.39404503573696E-2</v>
      </c>
      <c r="R632" s="135">
        <v>5.1948408808882698E-2</v>
      </c>
      <c r="S632" s="135">
        <v>5.2356564432465801E-2</v>
      </c>
      <c r="T632" s="135">
        <v>4.39183954108254E-2</v>
      </c>
      <c r="U632" s="135">
        <v>4.5194275825325897E-2</v>
      </c>
      <c r="V632" s="135">
        <v>4.6630687670045599E-2</v>
      </c>
      <c r="W632" s="135">
        <v>5.3086012687770003E-2</v>
      </c>
      <c r="X632" s="135">
        <v>5.5796713466939998E-2</v>
      </c>
      <c r="Y632" s="135">
        <v>7.9060326774259601E-2</v>
      </c>
      <c r="Z632" s="135">
        <v>8.5175161193433893E-2</v>
      </c>
      <c r="AA632" s="135">
        <v>7.8849044740654295E-2</v>
      </c>
      <c r="AB632" s="135">
        <v>6.2199839614069503E-2</v>
      </c>
      <c r="AC632" s="135">
        <v>3.33752727272053E-2</v>
      </c>
      <c r="AD632" s="135">
        <v>1.7039686273112899E-2</v>
      </c>
      <c r="AF632" s="243">
        <f t="shared" si="11"/>
        <v>0.34707479519268503</v>
      </c>
      <c r="AG632" s="275">
        <f t="shared" si="12"/>
        <v>0.4106423143002349</v>
      </c>
      <c r="AH632" s="391">
        <f t="shared" si="13"/>
        <v>0.6110138966038321</v>
      </c>
      <c r="AI632" s="135">
        <f t="shared" si="14"/>
        <v>1.021656210904067</v>
      </c>
    </row>
    <row r="633" spans="1:35" ht="12.6">
      <c r="A633" s="10" t="s">
        <v>61</v>
      </c>
      <c r="B633" s="10">
        <v>267</v>
      </c>
      <c r="C633" s="10" t="s">
        <v>1515</v>
      </c>
      <c r="D633" s="388">
        <v>45193</v>
      </c>
      <c r="E633" s="389">
        <v>45193</v>
      </c>
      <c r="F633" s="390" t="str">
        <f t="shared" si="10"/>
        <v>Lighting</v>
      </c>
      <c r="G633" s="135">
        <v>1.22771344760954E-2</v>
      </c>
      <c r="H633" s="135">
        <v>1.0347496637198699E-2</v>
      </c>
      <c r="I633" s="135">
        <v>1.0977292752670301E-2</v>
      </c>
      <c r="J633" s="135">
        <v>1.38352377350307E-2</v>
      </c>
      <c r="K633" s="135">
        <v>1.51269995680334E-2</v>
      </c>
      <c r="L633" s="135">
        <v>2.20433109107658E-2</v>
      </c>
      <c r="M633" s="135">
        <v>3.4433947193689703E-2</v>
      </c>
      <c r="N633" s="135">
        <v>4.3901360406232298E-2</v>
      </c>
      <c r="O633" s="135">
        <v>4.6768036240801697E-2</v>
      </c>
      <c r="P633" s="135">
        <v>5.3374555001188602E-2</v>
      </c>
      <c r="Q633" s="135">
        <v>5.39404503573696E-2</v>
      </c>
      <c r="R633" s="135">
        <v>5.1948408808882698E-2</v>
      </c>
      <c r="S633" s="135">
        <v>5.2356564432465801E-2</v>
      </c>
      <c r="T633" s="135">
        <v>4.39183954108254E-2</v>
      </c>
      <c r="U633" s="135">
        <v>4.5194275825325897E-2</v>
      </c>
      <c r="V633" s="135">
        <v>4.6630687670045599E-2</v>
      </c>
      <c r="W633" s="135">
        <v>5.3086012687770003E-2</v>
      </c>
      <c r="X633" s="135">
        <v>5.5796713466939998E-2</v>
      </c>
      <c r="Y633" s="135">
        <v>7.9060326774259601E-2</v>
      </c>
      <c r="Z633" s="135">
        <v>8.5175161193433893E-2</v>
      </c>
      <c r="AA633" s="135">
        <v>7.8849044740654295E-2</v>
      </c>
      <c r="AB633" s="135">
        <v>6.2199839614069503E-2</v>
      </c>
      <c r="AC633" s="135">
        <v>3.33752727272053E-2</v>
      </c>
      <c r="AD633" s="135">
        <v>1.7039686273112899E-2</v>
      </c>
      <c r="AF633" s="243">
        <f t="shared" si="11"/>
        <v>0.34707479519268503</v>
      </c>
      <c r="AG633" s="275">
        <f t="shared" si="12"/>
        <v>0.4106423143002349</v>
      </c>
      <c r="AH633" s="391">
        <f t="shared" si="13"/>
        <v>0.6110138966038321</v>
      </c>
      <c r="AI633" s="135">
        <f t="shared" si="14"/>
        <v>1.021656210904067</v>
      </c>
    </row>
    <row r="634" spans="1:35" ht="12.6">
      <c r="A634" s="10" t="s">
        <v>61</v>
      </c>
      <c r="B634" s="10">
        <v>268</v>
      </c>
      <c r="C634" s="10" t="s">
        <v>1515</v>
      </c>
      <c r="D634" s="388">
        <v>45194</v>
      </c>
      <c r="E634" s="389">
        <v>45194</v>
      </c>
      <c r="F634" s="390" t="str">
        <f t="shared" si="10"/>
        <v>Lighting</v>
      </c>
      <c r="G634" s="135">
        <v>1.08640999630958E-2</v>
      </c>
      <c r="H634" s="135">
        <v>9.0764186586465897E-3</v>
      </c>
      <c r="I634" s="135">
        <v>9.3560883873425905E-3</v>
      </c>
      <c r="J634" s="135">
        <v>1.27530145505096E-2</v>
      </c>
      <c r="K634" s="135">
        <v>3.6914401553295E-2</v>
      </c>
      <c r="L634" s="135">
        <v>8.6146383840891794E-2</v>
      </c>
      <c r="M634" s="135">
        <v>8.5778723525706702E-2</v>
      </c>
      <c r="N634" s="135">
        <v>5.6714272660420402E-2</v>
      </c>
      <c r="O634" s="135">
        <v>3.4263135706434397E-2</v>
      </c>
      <c r="P634" s="135">
        <v>2.5716496770323199E-2</v>
      </c>
      <c r="Q634" s="135">
        <v>2.6987381932399499E-2</v>
      </c>
      <c r="R634" s="135">
        <v>2.5871676507430701E-2</v>
      </c>
      <c r="S634" s="135">
        <v>2.5860206126079199E-2</v>
      </c>
      <c r="T634" s="135">
        <v>2.3983911486287899E-2</v>
      </c>
      <c r="U634" s="135">
        <v>2.45985745977415E-2</v>
      </c>
      <c r="V634" s="135">
        <v>2.9189334768982299E-2</v>
      </c>
      <c r="W634" s="135">
        <v>4.2356225841232303E-2</v>
      </c>
      <c r="X634" s="135">
        <v>6.4124437087391295E-2</v>
      </c>
      <c r="Y634" s="135">
        <v>8.9534915468690607E-2</v>
      </c>
      <c r="Z634" s="135">
        <v>9.7739032989919303E-2</v>
      </c>
      <c r="AA634" s="135">
        <v>8.7593665379767996E-2</v>
      </c>
      <c r="AB634" s="135">
        <v>6.3550754957384201E-2</v>
      </c>
      <c r="AC634" s="135">
        <v>3.1335961827832E-2</v>
      </c>
      <c r="AD634" s="135">
        <v>1.5875620156787101E-2</v>
      </c>
      <c r="AF634" s="243">
        <f t="shared" si="11"/>
        <v>0.1988473112601534</v>
      </c>
      <c r="AG634" s="275">
        <f t="shared" si="12"/>
        <v>0.44408896528443043</v>
      </c>
      <c r="AH634" s="391">
        <f t="shared" si="13"/>
        <v>0.57209576946016161</v>
      </c>
      <c r="AI634" s="135">
        <f t="shared" si="14"/>
        <v>1.016184734744592</v>
      </c>
    </row>
    <row r="635" spans="1:35" ht="12.6">
      <c r="A635" s="10" t="s">
        <v>61</v>
      </c>
      <c r="B635" s="10">
        <v>269</v>
      </c>
      <c r="C635" s="10" t="s">
        <v>1515</v>
      </c>
      <c r="D635" s="388">
        <v>45195</v>
      </c>
      <c r="E635" s="389">
        <v>45195</v>
      </c>
      <c r="F635" s="390" t="str">
        <f t="shared" si="10"/>
        <v>Lighting</v>
      </c>
      <c r="G635" s="135">
        <v>1.08640999630958E-2</v>
      </c>
      <c r="H635" s="135">
        <v>9.0764186586465897E-3</v>
      </c>
      <c r="I635" s="135">
        <v>9.3560883873425905E-3</v>
      </c>
      <c r="J635" s="135">
        <v>1.27530145505096E-2</v>
      </c>
      <c r="K635" s="135">
        <v>3.6914401553295E-2</v>
      </c>
      <c r="L635" s="135">
        <v>8.6146383840891794E-2</v>
      </c>
      <c r="M635" s="135">
        <v>8.5778723525706702E-2</v>
      </c>
      <c r="N635" s="135">
        <v>5.6714272660420402E-2</v>
      </c>
      <c r="O635" s="135">
        <v>3.4263135706434397E-2</v>
      </c>
      <c r="P635" s="135">
        <v>2.5716496770323199E-2</v>
      </c>
      <c r="Q635" s="135">
        <v>2.6987381932399499E-2</v>
      </c>
      <c r="R635" s="135">
        <v>2.5871676507430701E-2</v>
      </c>
      <c r="S635" s="135">
        <v>2.5860206126079199E-2</v>
      </c>
      <c r="T635" s="135">
        <v>2.3983911486287899E-2</v>
      </c>
      <c r="U635" s="135">
        <v>2.45985745977415E-2</v>
      </c>
      <c r="V635" s="135">
        <v>2.9189334768982299E-2</v>
      </c>
      <c r="W635" s="135">
        <v>4.2356225841232303E-2</v>
      </c>
      <c r="X635" s="135">
        <v>6.4124437087391295E-2</v>
      </c>
      <c r="Y635" s="135">
        <v>8.9534915468690607E-2</v>
      </c>
      <c r="Z635" s="135">
        <v>9.7739032989919303E-2</v>
      </c>
      <c r="AA635" s="135">
        <v>8.7593665379767996E-2</v>
      </c>
      <c r="AB635" s="135">
        <v>6.3550754957384201E-2</v>
      </c>
      <c r="AC635" s="135">
        <v>3.1335961827832E-2</v>
      </c>
      <c r="AD635" s="135">
        <v>1.5875620156787101E-2</v>
      </c>
      <c r="AF635" s="243">
        <f t="shared" si="11"/>
        <v>0.1988473112601534</v>
      </c>
      <c r="AG635" s="275">
        <f t="shared" si="12"/>
        <v>0.44408896528443043</v>
      </c>
      <c r="AH635" s="391">
        <f t="shared" si="13"/>
        <v>0.57209576946016161</v>
      </c>
      <c r="AI635" s="135">
        <f t="shared" si="14"/>
        <v>1.016184734744592</v>
      </c>
    </row>
    <row r="636" spans="1:35" ht="12.6">
      <c r="A636" s="10" t="s">
        <v>61</v>
      </c>
      <c r="B636" s="10">
        <v>270</v>
      </c>
      <c r="C636" s="10" t="s">
        <v>1515</v>
      </c>
      <c r="D636" s="388">
        <v>45196</v>
      </c>
      <c r="E636" s="389">
        <v>45196</v>
      </c>
      <c r="F636" s="390" t="str">
        <f t="shared" si="10"/>
        <v>Lighting</v>
      </c>
      <c r="G636" s="135">
        <v>1.08640999630958E-2</v>
      </c>
      <c r="H636" s="135">
        <v>9.0764186586465897E-3</v>
      </c>
      <c r="I636" s="135">
        <v>9.3560883873425905E-3</v>
      </c>
      <c r="J636" s="135">
        <v>1.27530145505096E-2</v>
      </c>
      <c r="K636" s="135">
        <v>3.6914401553295E-2</v>
      </c>
      <c r="L636" s="135">
        <v>8.6146383840891794E-2</v>
      </c>
      <c r="M636" s="135">
        <v>8.5778723525706702E-2</v>
      </c>
      <c r="N636" s="135">
        <v>5.6714272660420402E-2</v>
      </c>
      <c r="O636" s="135">
        <v>3.4263135706434397E-2</v>
      </c>
      <c r="P636" s="135">
        <v>2.5716496770323199E-2</v>
      </c>
      <c r="Q636" s="135">
        <v>2.6987381932399499E-2</v>
      </c>
      <c r="R636" s="135">
        <v>2.5871676507430701E-2</v>
      </c>
      <c r="S636" s="135">
        <v>2.5860206126079199E-2</v>
      </c>
      <c r="T636" s="135">
        <v>2.3983911486287899E-2</v>
      </c>
      <c r="U636" s="135">
        <v>2.45985745977415E-2</v>
      </c>
      <c r="V636" s="135">
        <v>2.9189334768982299E-2</v>
      </c>
      <c r="W636" s="135">
        <v>4.2356225841232303E-2</v>
      </c>
      <c r="X636" s="135">
        <v>6.4124437087391295E-2</v>
      </c>
      <c r="Y636" s="135">
        <v>8.9534915468690607E-2</v>
      </c>
      <c r="Z636" s="135">
        <v>9.7739032989919303E-2</v>
      </c>
      <c r="AA636" s="135">
        <v>8.7593665379767996E-2</v>
      </c>
      <c r="AB636" s="135">
        <v>6.3550754957384201E-2</v>
      </c>
      <c r="AC636" s="135">
        <v>3.1335961827832E-2</v>
      </c>
      <c r="AD636" s="135">
        <v>1.5875620156787101E-2</v>
      </c>
      <c r="AF636" s="243">
        <f t="shared" si="11"/>
        <v>0.1988473112601534</v>
      </c>
      <c r="AG636" s="275">
        <f t="shared" si="12"/>
        <v>0.44408896528443043</v>
      </c>
      <c r="AH636" s="391">
        <f t="shared" si="13"/>
        <v>0.57209576946016161</v>
      </c>
      <c r="AI636" s="135">
        <f t="shared" si="14"/>
        <v>1.016184734744592</v>
      </c>
    </row>
    <row r="637" spans="1:35" ht="12.6">
      <c r="A637" s="10" t="s">
        <v>61</v>
      </c>
      <c r="B637" s="10">
        <v>271</v>
      </c>
      <c r="C637" s="10" t="s">
        <v>1515</v>
      </c>
      <c r="D637" s="388">
        <v>45197</v>
      </c>
      <c r="E637" s="389">
        <v>45197</v>
      </c>
      <c r="F637" s="390" t="str">
        <f t="shared" si="10"/>
        <v>Lighting</v>
      </c>
      <c r="G637" s="135">
        <v>1.08640999630958E-2</v>
      </c>
      <c r="H637" s="135">
        <v>9.0764186586465897E-3</v>
      </c>
      <c r="I637" s="135">
        <v>9.3560883873425905E-3</v>
      </c>
      <c r="J637" s="135">
        <v>1.27530145505096E-2</v>
      </c>
      <c r="K637" s="135">
        <v>3.6914401553295E-2</v>
      </c>
      <c r="L637" s="135">
        <v>8.6146383840891794E-2</v>
      </c>
      <c r="M637" s="135">
        <v>8.5778723525706702E-2</v>
      </c>
      <c r="N637" s="135">
        <v>5.6714272660420402E-2</v>
      </c>
      <c r="O637" s="135">
        <v>3.4263135706434397E-2</v>
      </c>
      <c r="P637" s="135">
        <v>2.5716496770323199E-2</v>
      </c>
      <c r="Q637" s="135">
        <v>2.6987381932399499E-2</v>
      </c>
      <c r="R637" s="135">
        <v>2.5871676507430701E-2</v>
      </c>
      <c r="S637" s="135">
        <v>2.5860206126079199E-2</v>
      </c>
      <c r="T637" s="135">
        <v>2.3983911486287899E-2</v>
      </c>
      <c r="U637" s="135">
        <v>2.45985745977415E-2</v>
      </c>
      <c r="V637" s="135">
        <v>2.9189334768982299E-2</v>
      </c>
      <c r="W637" s="135">
        <v>4.2356225841232303E-2</v>
      </c>
      <c r="X637" s="135">
        <v>6.4124437087391295E-2</v>
      </c>
      <c r="Y637" s="135">
        <v>8.9534915468690607E-2</v>
      </c>
      <c r="Z637" s="135">
        <v>9.7739032989919303E-2</v>
      </c>
      <c r="AA637" s="135">
        <v>8.7593665379767996E-2</v>
      </c>
      <c r="AB637" s="135">
        <v>6.3550754957384201E-2</v>
      </c>
      <c r="AC637" s="135">
        <v>3.1335961827832E-2</v>
      </c>
      <c r="AD637" s="135">
        <v>1.5875620156787101E-2</v>
      </c>
      <c r="AF637" s="243">
        <f t="shared" si="11"/>
        <v>0.1988473112601534</v>
      </c>
      <c r="AG637" s="275">
        <f t="shared" si="12"/>
        <v>0.44408896528443043</v>
      </c>
      <c r="AH637" s="391">
        <f t="shared" si="13"/>
        <v>0.57209576946016161</v>
      </c>
      <c r="AI637" s="135">
        <f t="shared" si="14"/>
        <v>1.016184734744592</v>
      </c>
    </row>
    <row r="638" spans="1:35" ht="12.6">
      <c r="A638" s="10" t="s">
        <v>61</v>
      </c>
      <c r="B638" s="10">
        <v>272</v>
      </c>
      <c r="C638" s="10" t="s">
        <v>1515</v>
      </c>
      <c r="D638" s="388">
        <v>45198</v>
      </c>
      <c r="E638" s="389">
        <v>45198</v>
      </c>
      <c r="F638" s="390" t="str">
        <f t="shared" si="10"/>
        <v>Lighting</v>
      </c>
      <c r="G638" s="135">
        <v>1.08640999630958E-2</v>
      </c>
      <c r="H638" s="135">
        <v>9.0764186586465897E-3</v>
      </c>
      <c r="I638" s="135">
        <v>9.3560883873425905E-3</v>
      </c>
      <c r="J638" s="135">
        <v>1.27530145505096E-2</v>
      </c>
      <c r="K638" s="135">
        <v>3.6914401553295E-2</v>
      </c>
      <c r="L638" s="135">
        <v>8.6146383840891794E-2</v>
      </c>
      <c r="M638" s="135">
        <v>8.5778723525706702E-2</v>
      </c>
      <c r="N638" s="135">
        <v>5.6714272660420402E-2</v>
      </c>
      <c r="O638" s="135">
        <v>3.4263135706434397E-2</v>
      </c>
      <c r="P638" s="135">
        <v>2.5716496770323199E-2</v>
      </c>
      <c r="Q638" s="135">
        <v>2.6987381932399499E-2</v>
      </c>
      <c r="R638" s="135">
        <v>2.5871676507430701E-2</v>
      </c>
      <c r="S638" s="135">
        <v>2.5860206126079199E-2</v>
      </c>
      <c r="T638" s="135">
        <v>2.3983911486287899E-2</v>
      </c>
      <c r="U638" s="135">
        <v>2.45985745977415E-2</v>
      </c>
      <c r="V638" s="135">
        <v>2.9189334768982299E-2</v>
      </c>
      <c r="W638" s="135">
        <v>4.2356225841232303E-2</v>
      </c>
      <c r="X638" s="135">
        <v>6.4124437087391295E-2</v>
      </c>
      <c r="Y638" s="135">
        <v>8.9534915468690607E-2</v>
      </c>
      <c r="Z638" s="135">
        <v>9.7739032989919303E-2</v>
      </c>
      <c r="AA638" s="135">
        <v>8.7593665379767996E-2</v>
      </c>
      <c r="AB638" s="135">
        <v>6.3550754957384201E-2</v>
      </c>
      <c r="AC638" s="135">
        <v>3.1335961827832E-2</v>
      </c>
      <c r="AD638" s="135">
        <v>1.5875620156787101E-2</v>
      </c>
      <c r="AF638" s="243">
        <f t="shared" si="11"/>
        <v>0.1988473112601534</v>
      </c>
      <c r="AG638" s="275">
        <f t="shared" si="12"/>
        <v>0.44408896528443043</v>
      </c>
      <c r="AH638" s="391">
        <f t="shared" si="13"/>
        <v>0.57209576946016161</v>
      </c>
      <c r="AI638" s="135">
        <f t="shared" si="14"/>
        <v>1.016184734744592</v>
      </c>
    </row>
    <row r="639" spans="1:35" ht="12.6">
      <c r="A639" s="10" t="s">
        <v>61</v>
      </c>
      <c r="B639" s="10">
        <v>273</v>
      </c>
      <c r="C639" s="10" t="s">
        <v>1515</v>
      </c>
      <c r="D639" s="388">
        <v>45199</v>
      </c>
      <c r="E639" s="389">
        <v>45199</v>
      </c>
      <c r="F639" s="390" t="str">
        <f t="shared" si="10"/>
        <v>Lighting</v>
      </c>
      <c r="G639" s="135">
        <v>1.22771344760954E-2</v>
      </c>
      <c r="H639" s="135">
        <v>1.0347496637198699E-2</v>
      </c>
      <c r="I639" s="135">
        <v>1.0977292752670301E-2</v>
      </c>
      <c r="J639" s="135">
        <v>1.38352377350307E-2</v>
      </c>
      <c r="K639" s="135">
        <v>1.51269995680334E-2</v>
      </c>
      <c r="L639" s="135">
        <v>2.20433109107658E-2</v>
      </c>
      <c r="M639" s="135">
        <v>3.4433947193689703E-2</v>
      </c>
      <c r="N639" s="135">
        <v>4.3901360406232298E-2</v>
      </c>
      <c r="O639" s="135">
        <v>4.6768036240801697E-2</v>
      </c>
      <c r="P639" s="135">
        <v>5.3374555001188602E-2</v>
      </c>
      <c r="Q639" s="135">
        <v>5.39404503573696E-2</v>
      </c>
      <c r="R639" s="135">
        <v>5.1948408808882698E-2</v>
      </c>
      <c r="S639" s="135">
        <v>5.2356564432465801E-2</v>
      </c>
      <c r="T639" s="135">
        <v>4.39183954108254E-2</v>
      </c>
      <c r="U639" s="135">
        <v>4.5194275825325897E-2</v>
      </c>
      <c r="V639" s="135">
        <v>4.6630687670045599E-2</v>
      </c>
      <c r="W639" s="135">
        <v>5.3086012687770003E-2</v>
      </c>
      <c r="X639" s="135">
        <v>5.5796713466939998E-2</v>
      </c>
      <c r="Y639" s="135">
        <v>7.9060326774259601E-2</v>
      </c>
      <c r="Z639" s="135">
        <v>8.5175161193433893E-2</v>
      </c>
      <c r="AA639" s="135">
        <v>7.8849044740654295E-2</v>
      </c>
      <c r="AB639" s="135">
        <v>6.2199839614069503E-2</v>
      </c>
      <c r="AC639" s="135">
        <v>3.33752727272053E-2</v>
      </c>
      <c r="AD639" s="135">
        <v>1.7039686273112899E-2</v>
      </c>
      <c r="AF639" s="243">
        <f t="shared" si="11"/>
        <v>0.34707479519268503</v>
      </c>
      <c r="AG639" s="275">
        <f t="shared" si="12"/>
        <v>0.4106423143002349</v>
      </c>
      <c r="AH639" s="391">
        <f t="shared" si="13"/>
        <v>0.6110138966038321</v>
      </c>
      <c r="AI639" s="135">
        <f t="shared" si="14"/>
        <v>1.021656210904067</v>
      </c>
    </row>
    <row r="640" spans="1:35" ht="12.6">
      <c r="A640" s="10" t="s">
        <v>61</v>
      </c>
      <c r="B640" s="10">
        <v>274</v>
      </c>
      <c r="C640" s="10" t="s">
        <v>1515</v>
      </c>
      <c r="D640" s="388">
        <v>45200</v>
      </c>
      <c r="E640" s="389">
        <v>45200</v>
      </c>
      <c r="F640" s="390" t="str">
        <f t="shared" si="10"/>
        <v>Lighting</v>
      </c>
      <c r="G640" s="135">
        <v>1.22771344760954E-2</v>
      </c>
      <c r="H640" s="135">
        <v>1.0347496637198699E-2</v>
      </c>
      <c r="I640" s="135">
        <v>1.0977292752670301E-2</v>
      </c>
      <c r="J640" s="135">
        <v>1.38352377350307E-2</v>
      </c>
      <c r="K640" s="135">
        <v>1.51269995680334E-2</v>
      </c>
      <c r="L640" s="135">
        <v>2.20433109107658E-2</v>
      </c>
      <c r="M640" s="135">
        <v>3.4433947193689703E-2</v>
      </c>
      <c r="N640" s="135">
        <v>4.3901360406232298E-2</v>
      </c>
      <c r="O640" s="135">
        <v>4.6768036240801697E-2</v>
      </c>
      <c r="P640" s="135">
        <v>5.3374555001188602E-2</v>
      </c>
      <c r="Q640" s="135">
        <v>5.39404503573696E-2</v>
      </c>
      <c r="R640" s="135">
        <v>5.1948408808882698E-2</v>
      </c>
      <c r="S640" s="135">
        <v>5.2356564432465801E-2</v>
      </c>
      <c r="T640" s="135">
        <v>4.39183954108254E-2</v>
      </c>
      <c r="U640" s="135">
        <v>4.5194275825325897E-2</v>
      </c>
      <c r="V640" s="135">
        <v>4.6630687670045599E-2</v>
      </c>
      <c r="W640" s="135">
        <v>5.3086012687770003E-2</v>
      </c>
      <c r="X640" s="135">
        <v>5.5796713466939998E-2</v>
      </c>
      <c r="Y640" s="135">
        <v>7.9060326774259601E-2</v>
      </c>
      <c r="Z640" s="135">
        <v>8.5175161193433893E-2</v>
      </c>
      <c r="AA640" s="135">
        <v>7.8849044740654295E-2</v>
      </c>
      <c r="AB640" s="135">
        <v>6.2199839614069503E-2</v>
      </c>
      <c r="AC640" s="135">
        <v>3.33752727272053E-2</v>
      </c>
      <c r="AD640" s="135">
        <v>1.7039686273112899E-2</v>
      </c>
      <c r="AF640" s="243">
        <f t="shared" si="11"/>
        <v>0.34707479519268503</v>
      </c>
      <c r="AG640" s="275">
        <f t="shared" si="12"/>
        <v>0.4106423143002349</v>
      </c>
      <c r="AH640" s="391">
        <f t="shared" si="13"/>
        <v>0.6110138966038321</v>
      </c>
      <c r="AI640" s="135">
        <f t="shared" si="14"/>
        <v>1.021656210904067</v>
      </c>
    </row>
    <row r="641" spans="1:35" ht="12.6">
      <c r="A641" s="10" t="s">
        <v>61</v>
      </c>
      <c r="B641" s="10">
        <v>275</v>
      </c>
      <c r="C641" s="10" t="s">
        <v>1515</v>
      </c>
      <c r="D641" s="388">
        <v>45201</v>
      </c>
      <c r="E641" s="389">
        <v>45201</v>
      </c>
      <c r="F641" s="390" t="str">
        <f t="shared" si="10"/>
        <v>Lighting</v>
      </c>
      <c r="G641" s="135">
        <v>1.08640999630958E-2</v>
      </c>
      <c r="H641" s="135">
        <v>9.0764186586465897E-3</v>
      </c>
      <c r="I641" s="135">
        <v>9.3560883873425905E-3</v>
      </c>
      <c r="J641" s="135">
        <v>1.27530145505096E-2</v>
      </c>
      <c r="K641" s="135">
        <v>3.6914401553295E-2</v>
      </c>
      <c r="L641" s="135">
        <v>8.6146383840891794E-2</v>
      </c>
      <c r="M641" s="135">
        <v>8.5778723525706702E-2</v>
      </c>
      <c r="N641" s="135">
        <v>5.6714272660420402E-2</v>
      </c>
      <c r="O641" s="135">
        <v>3.4263135706434397E-2</v>
      </c>
      <c r="P641" s="135">
        <v>2.5716496770323199E-2</v>
      </c>
      <c r="Q641" s="135">
        <v>2.6987381932399499E-2</v>
      </c>
      <c r="R641" s="135">
        <v>2.5871676507430701E-2</v>
      </c>
      <c r="S641" s="135">
        <v>2.5860206126079199E-2</v>
      </c>
      <c r="T641" s="135">
        <v>2.3983911486287899E-2</v>
      </c>
      <c r="U641" s="135">
        <v>2.45985745977415E-2</v>
      </c>
      <c r="V641" s="135">
        <v>2.9189334768982299E-2</v>
      </c>
      <c r="W641" s="135">
        <v>4.2356225841232303E-2</v>
      </c>
      <c r="X641" s="135">
        <v>6.4124437087391295E-2</v>
      </c>
      <c r="Y641" s="135">
        <v>8.9534915468690607E-2</v>
      </c>
      <c r="Z641" s="135">
        <v>9.7739032989919303E-2</v>
      </c>
      <c r="AA641" s="135">
        <v>8.7593665379767996E-2</v>
      </c>
      <c r="AB641" s="135">
        <v>6.3550754957384201E-2</v>
      </c>
      <c r="AC641" s="135">
        <v>3.1335961827832E-2</v>
      </c>
      <c r="AD641" s="135">
        <v>1.5875620156787101E-2</v>
      </c>
      <c r="AF641" s="243">
        <f t="shared" si="11"/>
        <v>0.1988473112601534</v>
      </c>
      <c r="AG641" s="275">
        <f t="shared" si="12"/>
        <v>0.44408896528443043</v>
      </c>
      <c r="AH641" s="391">
        <f t="shared" si="13"/>
        <v>0.57209576946016161</v>
      </c>
      <c r="AI641" s="135">
        <f t="shared" si="14"/>
        <v>1.016184734744592</v>
      </c>
    </row>
    <row r="642" spans="1:35" ht="12.6">
      <c r="A642" s="10" t="s">
        <v>61</v>
      </c>
      <c r="B642" s="10">
        <v>276</v>
      </c>
      <c r="C642" s="10" t="s">
        <v>1515</v>
      </c>
      <c r="D642" s="388">
        <v>45202</v>
      </c>
      <c r="E642" s="389">
        <v>45202</v>
      </c>
      <c r="F642" s="390" t="str">
        <f t="shared" si="10"/>
        <v>Lighting</v>
      </c>
      <c r="G642" s="135">
        <v>1.08640999630958E-2</v>
      </c>
      <c r="H642" s="135">
        <v>9.0764186586465897E-3</v>
      </c>
      <c r="I642" s="135">
        <v>9.3560883873425905E-3</v>
      </c>
      <c r="J642" s="135">
        <v>1.27530145505096E-2</v>
      </c>
      <c r="K642" s="135">
        <v>3.6914401553295E-2</v>
      </c>
      <c r="L642" s="135">
        <v>8.6146383840891794E-2</v>
      </c>
      <c r="M642" s="135">
        <v>8.5778723525706702E-2</v>
      </c>
      <c r="N642" s="135">
        <v>5.6714272660420402E-2</v>
      </c>
      <c r="O642" s="135">
        <v>3.4263135706434397E-2</v>
      </c>
      <c r="P642" s="135">
        <v>2.5716496770323199E-2</v>
      </c>
      <c r="Q642" s="135">
        <v>2.6987381932399499E-2</v>
      </c>
      <c r="R642" s="135">
        <v>2.5871676507430701E-2</v>
      </c>
      <c r="S642" s="135">
        <v>2.5860206126079199E-2</v>
      </c>
      <c r="T642" s="135">
        <v>2.3983911486287899E-2</v>
      </c>
      <c r="U642" s="135">
        <v>2.45985745977415E-2</v>
      </c>
      <c r="V642" s="135">
        <v>2.9189334768982299E-2</v>
      </c>
      <c r="W642" s="135">
        <v>4.2356225841232303E-2</v>
      </c>
      <c r="X642" s="135">
        <v>6.4124437087391295E-2</v>
      </c>
      <c r="Y642" s="135">
        <v>8.9534915468690607E-2</v>
      </c>
      <c r="Z642" s="135">
        <v>9.7739032989919303E-2</v>
      </c>
      <c r="AA642" s="135">
        <v>8.7593665379767996E-2</v>
      </c>
      <c r="AB642" s="135">
        <v>6.3550754957384201E-2</v>
      </c>
      <c r="AC642" s="135">
        <v>3.1335961827832E-2</v>
      </c>
      <c r="AD642" s="135">
        <v>1.5875620156787101E-2</v>
      </c>
      <c r="AF642" s="243">
        <f t="shared" si="11"/>
        <v>0.1988473112601534</v>
      </c>
      <c r="AG642" s="275">
        <f t="shared" si="12"/>
        <v>0.44408896528443043</v>
      </c>
      <c r="AH642" s="391">
        <f t="shared" si="13"/>
        <v>0.57209576946016161</v>
      </c>
      <c r="AI642" s="135">
        <f t="shared" si="14"/>
        <v>1.016184734744592</v>
      </c>
    </row>
    <row r="643" spans="1:35" ht="12.6">
      <c r="A643" s="10" t="s">
        <v>61</v>
      </c>
      <c r="B643" s="10">
        <v>277</v>
      </c>
      <c r="C643" s="10" t="s">
        <v>1515</v>
      </c>
      <c r="D643" s="388">
        <v>45203</v>
      </c>
      <c r="E643" s="389">
        <v>45203</v>
      </c>
      <c r="F643" s="390" t="str">
        <f t="shared" si="10"/>
        <v>Lighting</v>
      </c>
      <c r="G643" s="135">
        <v>1.08640999630958E-2</v>
      </c>
      <c r="H643" s="135">
        <v>9.0764186586465897E-3</v>
      </c>
      <c r="I643" s="135">
        <v>9.3560883873425905E-3</v>
      </c>
      <c r="J643" s="135">
        <v>1.27530145505096E-2</v>
      </c>
      <c r="K643" s="135">
        <v>3.6914401553295E-2</v>
      </c>
      <c r="L643" s="135">
        <v>8.6146383840891794E-2</v>
      </c>
      <c r="M643" s="135">
        <v>8.5778723525706702E-2</v>
      </c>
      <c r="N643" s="135">
        <v>5.6714272660420402E-2</v>
      </c>
      <c r="O643" s="135">
        <v>3.4263135706434397E-2</v>
      </c>
      <c r="P643" s="135">
        <v>2.5716496770323199E-2</v>
      </c>
      <c r="Q643" s="135">
        <v>2.6987381932399499E-2</v>
      </c>
      <c r="R643" s="135">
        <v>2.5871676507430701E-2</v>
      </c>
      <c r="S643" s="135">
        <v>2.5860206126079199E-2</v>
      </c>
      <c r="T643" s="135">
        <v>2.3983911486287899E-2</v>
      </c>
      <c r="U643" s="135">
        <v>2.45985745977415E-2</v>
      </c>
      <c r="V643" s="135">
        <v>2.9189334768982299E-2</v>
      </c>
      <c r="W643" s="135">
        <v>4.2356225841232303E-2</v>
      </c>
      <c r="X643" s="135">
        <v>6.4124437087391295E-2</v>
      </c>
      <c r="Y643" s="135">
        <v>8.9534915468690607E-2</v>
      </c>
      <c r="Z643" s="135">
        <v>9.7739032989919303E-2</v>
      </c>
      <c r="AA643" s="135">
        <v>8.7593665379767996E-2</v>
      </c>
      <c r="AB643" s="135">
        <v>6.3550754957384201E-2</v>
      </c>
      <c r="AC643" s="135">
        <v>3.1335961827832E-2</v>
      </c>
      <c r="AD643" s="135">
        <v>1.5875620156787101E-2</v>
      </c>
      <c r="AF643" s="243">
        <f t="shared" si="11"/>
        <v>0.1988473112601534</v>
      </c>
      <c r="AG643" s="275">
        <f t="shared" si="12"/>
        <v>0.44408896528443043</v>
      </c>
      <c r="AH643" s="391">
        <f t="shared" si="13"/>
        <v>0.57209576946016161</v>
      </c>
      <c r="AI643" s="135">
        <f t="shared" si="14"/>
        <v>1.016184734744592</v>
      </c>
    </row>
    <row r="644" spans="1:35" ht="12.6">
      <c r="A644" s="10" t="s">
        <v>61</v>
      </c>
      <c r="B644" s="10">
        <v>278</v>
      </c>
      <c r="C644" s="10" t="s">
        <v>1515</v>
      </c>
      <c r="D644" s="388">
        <v>45204</v>
      </c>
      <c r="E644" s="389">
        <v>45204</v>
      </c>
      <c r="F644" s="390" t="str">
        <f t="shared" si="10"/>
        <v>Lighting</v>
      </c>
      <c r="G644" s="135">
        <v>1.08640999630958E-2</v>
      </c>
      <c r="H644" s="135">
        <v>9.0764186586465897E-3</v>
      </c>
      <c r="I644" s="135">
        <v>9.3560883873425905E-3</v>
      </c>
      <c r="J644" s="135">
        <v>1.27530145505096E-2</v>
      </c>
      <c r="K644" s="135">
        <v>3.6914401553295E-2</v>
      </c>
      <c r="L644" s="135">
        <v>8.6146383840891794E-2</v>
      </c>
      <c r="M644" s="135">
        <v>8.5778723525706702E-2</v>
      </c>
      <c r="N644" s="135">
        <v>5.6714272660420402E-2</v>
      </c>
      <c r="O644" s="135">
        <v>3.4263135706434397E-2</v>
      </c>
      <c r="P644" s="135">
        <v>2.5716496770323199E-2</v>
      </c>
      <c r="Q644" s="135">
        <v>2.6987381932399499E-2</v>
      </c>
      <c r="R644" s="135">
        <v>2.5871676507430701E-2</v>
      </c>
      <c r="S644" s="135">
        <v>2.5860206126079199E-2</v>
      </c>
      <c r="T644" s="135">
        <v>2.3983911486287899E-2</v>
      </c>
      <c r="U644" s="135">
        <v>2.45985745977415E-2</v>
      </c>
      <c r="V644" s="135">
        <v>2.9189334768982299E-2</v>
      </c>
      <c r="W644" s="135">
        <v>4.2356225841232303E-2</v>
      </c>
      <c r="X644" s="135">
        <v>6.4124437087391295E-2</v>
      </c>
      <c r="Y644" s="135">
        <v>8.9534915468690607E-2</v>
      </c>
      <c r="Z644" s="135">
        <v>9.7739032989919303E-2</v>
      </c>
      <c r="AA644" s="135">
        <v>8.7593665379767996E-2</v>
      </c>
      <c r="AB644" s="135">
        <v>6.3550754957384201E-2</v>
      </c>
      <c r="AC644" s="135">
        <v>3.1335961827832E-2</v>
      </c>
      <c r="AD644" s="135">
        <v>1.5875620156787101E-2</v>
      </c>
      <c r="AF644" s="243">
        <f t="shared" si="11"/>
        <v>0.1988473112601534</v>
      </c>
      <c r="AG644" s="275">
        <f t="shared" si="12"/>
        <v>0.44408896528443043</v>
      </c>
      <c r="AH644" s="391">
        <f t="shared" si="13"/>
        <v>0.57209576946016161</v>
      </c>
      <c r="AI644" s="135">
        <f t="shared" si="14"/>
        <v>1.016184734744592</v>
      </c>
    </row>
    <row r="645" spans="1:35" ht="12.6">
      <c r="A645" s="10" t="s">
        <v>61</v>
      </c>
      <c r="B645" s="10">
        <v>279</v>
      </c>
      <c r="C645" s="10" t="s">
        <v>1515</v>
      </c>
      <c r="D645" s="388">
        <v>45205</v>
      </c>
      <c r="E645" s="389">
        <v>45205</v>
      </c>
      <c r="F645" s="390" t="str">
        <f t="shared" si="10"/>
        <v>Lighting</v>
      </c>
      <c r="G645" s="135">
        <v>1.08640999630958E-2</v>
      </c>
      <c r="H645" s="135">
        <v>9.0764186586465897E-3</v>
      </c>
      <c r="I645" s="135">
        <v>9.3560883873425905E-3</v>
      </c>
      <c r="J645" s="135">
        <v>1.27530145505096E-2</v>
      </c>
      <c r="K645" s="135">
        <v>3.6914401553295E-2</v>
      </c>
      <c r="L645" s="135">
        <v>8.6146383840891794E-2</v>
      </c>
      <c r="M645" s="135">
        <v>8.5778723525706702E-2</v>
      </c>
      <c r="N645" s="135">
        <v>5.6714272660420402E-2</v>
      </c>
      <c r="O645" s="135">
        <v>3.4263135706434397E-2</v>
      </c>
      <c r="P645" s="135">
        <v>2.5716496770323199E-2</v>
      </c>
      <c r="Q645" s="135">
        <v>2.6987381932399499E-2</v>
      </c>
      <c r="R645" s="135">
        <v>2.5871676507430701E-2</v>
      </c>
      <c r="S645" s="135">
        <v>2.5860206126079199E-2</v>
      </c>
      <c r="T645" s="135">
        <v>2.3983911486287899E-2</v>
      </c>
      <c r="U645" s="135">
        <v>2.45985745977415E-2</v>
      </c>
      <c r="V645" s="135">
        <v>2.9189334768982299E-2</v>
      </c>
      <c r="W645" s="135">
        <v>4.2356225841232303E-2</v>
      </c>
      <c r="X645" s="135">
        <v>6.4124437087391295E-2</v>
      </c>
      <c r="Y645" s="135">
        <v>8.9534915468690607E-2</v>
      </c>
      <c r="Z645" s="135">
        <v>9.7739032989919303E-2</v>
      </c>
      <c r="AA645" s="135">
        <v>8.7593665379767996E-2</v>
      </c>
      <c r="AB645" s="135">
        <v>6.3550754957384201E-2</v>
      </c>
      <c r="AC645" s="135">
        <v>3.1335961827832E-2</v>
      </c>
      <c r="AD645" s="135">
        <v>1.5875620156787101E-2</v>
      </c>
      <c r="AF645" s="243">
        <f t="shared" si="11"/>
        <v>0.1988473112601534</v>
      </c>
      <c r="AG645" s="275">
        <f t="shared" si="12"/>
        <v>0.44408896528443043</v>
      </c>
      <c r="AH645" s="391">
        <f t="shared" si="13"/>
        <v>0.57209576946016161</v>
      </c>
      <c r="AI645" s="135">
        <f t="shared" si="14"/>
        <v>1.016184734744592</v>
      </c>
    </row>
    <row r="646" spans="1:35" ht="12.6">
      <c r="A646" s="10" t="s">
        <v>61</v>
      </c>
      <c r="B646" s="10">
        <v>280</v>
      </c>
      <c r="C646" s="10" t="s">
        <v>1515</v>
      </c>
      <c r="D646" s="388">
        <v>45206</v>
      </c>
      <c r="E646" s="389">
        <v>45206</v>
      </c>
      <c r="F646" s="390" t="str">
        <f t="shared" si="10"/>
        <v>Lighting</v>
      </c>
      <c r="G646" s="135">
        <v>1.22771344760954E-2</v>
      </c>
      <c r="H646" s="135">
        <v>1.0347496637198699E-2</v>
      </c>
      <c r="I646" s="135">
        <v>1.0977292752670301E-2</v>
      </c>
      <c r="J646" s="135">
        <v>1.38352377350307E-2</v>
      </c>
      <c r="K646" s="135">
        <v>1.51269995680334E-2</v>
      </c>
      <c r="L646" s="135">
        <v>2.20433109107658E-2</v>
      </c>
      <c r="M646" s="135">
        <v>3.4433947193689703E-2</v>
      </c>
      <c r="N646" s="135">
        <v>4.3901360406232298E-2</v>
      </c>
      <c r="O646" s="135">
        <v>4.6768036240801697E-2</v>
      </c>
      <c r="P646" s="135">
        <v>5.3374555001188602E-2</v>
      </c>
      <c r="Q646" s="135">
        <v>5.39404503573696E-2</v>
      </c>
      <c r="R646" s="135">
        <v>5.1948408808882698E-2</v>
      </c>
      <c r="S646" s="135">
        <v>5.2356564432465801E-2</v>
      </c>
      <c r="T646" s="135">
        <v>4.39183954108254E-2</v>
      </c>
      <c r="U646" s="135">
        <v>4.5194275825325897E-2</v>
      </c>
      <c r="V646" s="135">
        <v>4.6630687670045599E-2</v>
      </c>
      <c r="W646" s="135">
        <v>5.3086012687770003E-2</v>
      </c>
      <c r="X646" s="135">
        <v>5.5796713466939998E-2</v>
      </c>
      <c r="Y646" s="135">
        <v>7.9060326774259601E-2</v>
      </c>
      <c r="Z646" s="135">
        <v>8.5175161193433893E-2</v>
      </c>
      <c r="AA646" s="135">
        <v>7.8849044740654295E-2</v>
      </c>
      <c r="AB646" s="135">
        <v>6.2199839614069503E-2</v>
      </c>
      <c r="AC646" s="135">
        <v>3.33752727272053E-2</v>
      </c>
      <c r="AD646" s="135">
        <v>1.7039686273112899E-2</v>
      </c>
      <c r="AF646" s="243">
        <f t="shared" si="11"/>
        <v>0.34707479519268503</v>
      </c>
      <c r="AG646" s="275">
        <f t="shared" si="12"/>
        <v>0.4106423143002349</v>
      </c>
      <c r="AH646" s="391">
        <f t="shared" si="13"/>
        <v>0.6110138966038321</v>
      </c>
      <c r="AI646" s="135">
        <f t="shared" si="14"/>
        <v>1.021656210904067</v>
      </c>
    </row>
    <row r="647" spans="1:35" ht="12.6">
      <c r="A647" s="10" t="s">
        <v>61</v>
      </c>
      <c r="B647" s="10">
        <v>281</v>
      </c>
      <c r="C647" s="10" t="s">
        <v>1515</v>
      </c>
      <c r="D647" s="388">
        <v>45207</v>
      </c>
      <c r="E647" s="389">
        <v>45207</v>
      </c>
      <c r="F647" s="390" t="str">
        <f t="shared" si="10"/>
        <v>Lighting</v>
      </c>
      <c r="G647" s="135">
        <v>1.22771344760954E-2</v>
      </c>
      <c r="H647" s="135">
        <v>1.0347496637198699E-2</v>
      </c>
      <c r="I647" s="135">
        <v>1.0977292752670301E-2</v>
      </c>
      <c r="J647" s="135">
        <v>1.38352377350307E-2</v>
      </c>
      <c r="K647" s="135">
        <v>1.51269995680334E-2</v>
      </c>
      <c r="L647" s="135">
        <v>2.20433109107658E-2</v>
      </c>
      <c r="M647" s="135">
        <v>3.4433947193689703E-2</v>
      </c>
      <c r="N647" s="135">
        <v>4.3901360406232298E-2</v>
      </c>
      <c r="O647" s="135">
        <v>4.6768036240801697E-2</v>
      </c>
      <c r="P647" s="135">
        <v>5.3374555001188602E-2</v>
      </c>
      <c r="Q647" s="135">
        <v>5.39404503573696E-2</v>
      </c>
      <c r="R647" s="135">
        <v>5.1948408808882698E-2</v>
      </c>
      <c r="S647" s="135">
        <v>5.2356564432465801E-2</v>
      </c>
      <c r="T647" s="135">
        <v>4.39183954108254E-2</v>
      </c>
      <c r="U647" s="135">
        <v>4.5194275825325897E-2</v>
      </c>
      <c r="V647" s="135">
        <v>4.6630687670045599E-2</v>
      </c>
      <c r="W647" s="135">
        <v>5.3086012687770003E-2</v>
      </c>
      <c r="X647" s="135">
        <v>5.5796713466939998E-2</v>
      </c>
      <c r="Y647" s="135">
        <v>7.9060326774259601E-2</v>
      </c>
      <c r="Z647" s="135">
        <v>8.5175161193433893E-2</v>
      </c>
      <c r="AA647" s="135">
        <v>7.8849044740654295E-2</v>
      </c>
      <c r="AB647" s="135">
        <v>6.2199839614069503E-2</v>
      </c>
      <c r="AC647" s="135">
        <v>3.33752727272053E-2</v>
      </c>
      <c r="AD647" s="135">
        <v>1.7039686273112899E-2</v>
      </c>
      <c r="AF647" s="243">
        <f t="shared" si="11"/>
        <v>0.34707479519268503</v>
      </c>
      <c r="AG647" s="275">
        <f t="shared" si="12"/>
        <v>0.4106423143002349</v>
      </c>
      <c r="AH647" s="391">
        <f t="shared" si="13"/>
        <v>0.6110138966038321</v>
      </c>
      <c r="AI647" s="135">
        <f t="shared" si="14"/>
        <v>1.021656210904067</v>
      </c>
    </row>
    <row r="648" spans="1:35" ht="12.6">
      <c r="A648" s="10" t="s">
        <v>61</v>
      </c>
      <c r="B648" s="10">
        <v>282</v>
      </c>
      <c r="C648" s="10" t="s">
        <v>1515</v>
      </c>
      <c r="D648" s="388">
        <v>45208</v>
      </c>
      <c r="E648" s="389">
        <v>45208</v>
      </c>
      <c r="F648" s="390" t="str">
        <f t="shared" si="10"/>
        <v>Lighting</v>
      </c>
      <c r="G648" s="135">
        <v>1.08640999630958E-2</v>
      </c>
      <c r="H648" s="135">
        <v>9.0764186586465897E-3</v>
      </c>
      <c r="I648" s="135">
        <v>9.3560883873425905E-3</v>
      </c>
      <c r="J648" s="135">
        <v>1.27530145505096E-2</v>
      </c>
      <c r="K648" s="135">
        <v>3.6914401553295E-2</v>
      </c>
      <c r="L648" s="135">
        <v>8.6146383840891794E-2</v>
      </c>
      <c r="M648" s="135">
        <v>8.5778723525706702E-2</v>
      </c>
      <c r="N648" s="135">
        <v>5.6714272660420402E-2</v>
      </c>
      <c r="O648" s="135">
        <v>3.4263135706434397E-2</v>
      </c>
      <c r="P648" s="135">
        <v>2.5716496770323199E-2</v>
      </c>
      <c r="Q648" s="135">
        <v>2.6987381932399499E-2</v>
      </c>
      <c r="R648" s="135">
        <v>2.5871676507430701E-2</v>
      </c>
      <c r="S648" s="135">
        <v>2.5860206126079199E-2</v>
      </c>
      <c r="T648" s="135">
        <v>2.3983911486287899E-2</v>
      </c>
      <c r="U648" s="135">
        <v>2.45985745977415E-2</v>
      </c>
      <c r="V648" s="135">
        <v>2.9189334768982299E-2</v>
      </c>
      <c r="W648" s="135">
        <v>4.2356225841232303E-2</v>
      </c>
      <c r="X648" s="135">
        <v>6.4124437087391295E-2</v>
      </c>
      <c r="Y648" s="135">
        <v>8.9534915468690607E-2</v>
      </c>
      <c r="Z648" s="135">
        <v>9.7739032989919303E-2</v>
      </c>
      <c r="AA648" s="135">
        <v>8.7593665379767996E-2</v>
      </c>
      <c r="AB648" s="135">
        <v>6.3550754957384201E-2</v>
      </c>
      <c r="AC648" s="135">
        <v>3.1335961827832E-2</v>
      </c>
      <c r="AD648" s="135">
        <v>1.5875620156787101E-2</v>
      </c>
      <c r="AF648" s="243">
        <f t="shared" si="11"/>
        <v>0.1988473112601534</v>
      </c>
      <c r="AG648" s="275">
        <f t="shared" si="12"/>
        <v>0.44408896528443043</v>
      </c>
      <c r="AH648" s="391">
        <f t="shared" si="13"/>
        <v>0.57209576946016161</v>
      </c>
      <c r="AI648" s="135">
        <f t="shared" si="14"/>
        <v>1.016184734744592</v>
      </c>
    </row>
    <row r="649" spans="1:35" ht="12.6">
      <c r="A649" s="10" t="s">
        <v>61</v>
      </c>
      <c r="B649" s="10">
        <v>283</v>
      </c>
      <c r="C649" s="10" t="s">
        <v>1515</v>
      </c>
      <c r="D649" s="388">
        <v>45209</v>
      </c>
      <c r="E649" s="389">
        <v>45209</v>
      </c>
      <c r="F649" s="390" t="str">
        <f t="shared" si="10"/>
        <v>Lighting</v>
      </c>
      <c r="G649" s="135">
        <v>1.08640999630958E-2</v>
      </c>
      <c r="H649" s="135">
        <v>9.0764186586465897E-3</v>
      </c>
      <c r="I649" s="135">
        <v>9.3560883873425905E-3</v>
      </c>
      <c r="J649" s="135">
        <v>1.27530145505096E-2</v>
      </c>
      <c r="K649" s="135">
        <v>3.6914401553295E-2</v>
      </c>
      <c r="L649" s="135">
        <v>8.6146383840891794E-2</v>
      </c>
      <c r="M649" s="135">
        <v>8.5778723525706702E-2</v>
      </c>
      <c r="N649" s="135">
        <v>5.6714272660420402E-2</v>
      </c>
      <c r="O649" s="135">
        <v>3.4263135706434397E-2</v>
      </c>
      <c r="P649" s="135">
        <v>2.5716496770323199E-2</v>
      </c>
      <c r="Q649" s="135">
        <v>2.6987381932399499E-2</v>
      </c>
      <c r="R649" s="135">
        <v>2.5871676507430701E-2</v>
      </c>
      <c r="S649" s="135">
        <v>2.5860206126079199E-2</v>
      </c>
      <c r="T649" s="135">
        <v>2.3983911486287899E-2</v>
      </c>
      <c r="U649" s="135">
        <v>2.45985745977415E-2</v>
      </c>
      <c r="V649" s="135">
        <v>2.9189334768982299E-2</v>
      </c>
      <c r="W649" s="135">
        <v>4.2356225841232303E-2</v>
      </c>
      <c r="X649" s="135">
        <v>6.4124437087391295E-2</v>
      </c>
      <c r="Y649" s="135">
        <v>8.9534915468690607E-2</v>
      </c>
      <c r="Z649" s="135">
        <v>9.7739032989919303E-2</v>
      </c>
      <c r="AA649" s="135">
        <v>8.7593665379767996E-2</v>
      </c>
      <c r="AB649" s="135">
        <v>6.3550754957384201E-2</v>
      </c>
      <c r="AC649" s="135">
        <v>3.1335961827832E-2</v>
      </c>
      <c r="AD649" s="135">
        <v>1.5875620156787101E-2</v>
      </c>
      <c r="AF649" s="243">
        <f t="shared" si="11"/>
        <v>0.1988473112601534</v>
      </c>
      <c r="AG649" s="275">
        <f t="shared" si="12"/>
        <v>0.44408896528443043</v>
      </c>
      <c r="AH649" s="391">
        <f t="shared" si="13"/>
        <v>0.57209576946016161</v>
      </c>
      <c r="AI649" s="135">
        <f t="shared" si="14"/>
        <v>1.016184734744592</v>
      </c>
    </row>
    <row r="650" spans="1:35" ht="12.6">
      <c r="A650" s="10" t="s">
        <v>61</v>
      </c>
      <c r="B650" s="10">
        <v>284</v>
      </c>
      <c r="C650" s="10" t="s">
        <v>1515</v>
      </c>
      <c r="D650" s="388">
        <v>45210</v>
      </c>
      <c r="E650" s="389">
        <v>45210</v>
      </c>
      <c r="F650" s="390" t="str">
        <f t="shared" si="10"/>
        <v>Lighting</v>
      </c>
      <c r="G650" s="135">
        <v>1.08640999630958E-2</v>
      </c>
      <c r="H650" s="135">
        <v>9.0764186586465897E-3</v>
      </c>
      <c r="I650" s="135">
        <v>9.3560883873425905E-3</v>
      </c>
      <c r="J650" s="135">
        <v>1.27530145505096E-2</v>
      </c>
      <c r="K650" s="135">
        <v>3.6914401553295E-2</v>
      </c>
      <c r="L650" s="135">
        <v>8.6146383840891794E-2</v>
      </c>
      <c r="M650" s="135">
        <v>8.5778723525706702E-2</v>
      </c>
      <c r="N650" s="135">
        <v>5.6714272660420402E-2</v>
      </c>
      <c r="O650" s="135">
        <v>3.4263135706434397E-2</v>
      </c>
      <c r="P650" s="135">
        <v>2.5716496770323199E-2</v>
      </c>
      <c r="Q650" s="135">
        <v>2.6987381932399499E-2</v>
      </c>
      <c r="R650" s="135">
        <v>2.5871676507430701E-2</v>
      </c>
      <c r="S650" s="135">
        <v>2.5860206126079199E-2</v>
      </c>
      <c r="T650" s="135">
        <v>2.3983911486287899E-2</v>
      </c>
      <c r="U650" s="135">
        <v>2.45985745977415E-2</v>
      </c>
      <c r="V650" s="135">
        <v>2.9189334768982299E-2</v>
      </c>
      <c r="W650" s="135">
        <v>4.2356225841232303E-2</v>
      </c>
      <c r="X650" s="135">
        <v>6.4124437087391295E-2</v>
      </c>
      <c r="Y650" s="135">
        <v>8.9534915468690607E-2</v>
      </c>
      <c r="Z650" s="135">
        <v>9.7739032989919303E-2</v>
      </c>
      <c r="AA650" s="135">
        <v>8.7593665379767996E-2</v>
      </c>
      <c r="AB650" s="135">
        <v>6.3550754957384201E-2</v>
      </c>
      <c r="AC650" s="135">
        <v>3.1335961827832E-2</v>
      </c>
      <c r="AD650" s="135">
        <v>1.5875620156787101E-2</v>
      </c>
      <c r="AF650" s="243">
        <f t="shared" si="11"/>
        <v>0.1988473112601534</v>
      </c>
      <c r="AG650" s="275">
        <f t="shared" si="12"/>
        <v>0.44408896528443043</v>
      </c>
      <c r="AH650" s="391">
        <f t="shared" si="13"/>
        <v>0.57209576946016161</v>
      </c>
      <c r="AI650" s="135">
        <f t="shared" si="14"/>
        <v>1.016184734744592</v>
      </c>
    </row>
    <row r="651" spans="1:35" ht="12.6">
      <c r="A651" s="10" t="s">
        <v>61</v>
      </c>
      <c r="B651" s="10">
        <v>285</v>
      </c>
      <c r="C651" s="10" t="s">
        <v>1515</v>
      </c>
      <c r="D651" s="388">
        <v>45211</v>
      </c>
      <c r="E651" s="389">
        <v>45211</v>
      </c>
      <c r="F651" s="390" t="str">
        <f t="shared" si="10"/>
        <v>Lighting</v>
      </c>
      <c r="G651" s="135">
        <v>1.08640999630958E-2</v>
      </c>
      <c r="H651" s="135">
        <v>9.0764186586465897E-3</v>
      </c>
      <c r="I651" s="135">
        <v>9.3560883873425905E-3</v>
      </c>
      <c r="J651" s="135">
        <v>1.27530145505096E-2</v>
      </c>
      <c r="K651" s="135">
        <v>3.6914401553295E-2</v>
      </c>
      <c r="L651" s="135">
        <v>8.6146383840891794E-2</v>
      </c>
      <c r="M651" s="135">
        <v>8.5778723525706702E-2</v>
      </c>
      <c r="N651" s="135">
        <v>5.6714272660420402E-2</v>
      </c>
      <c r="O651" s="135">
        <v>3.4263135706434397E-2</v>
      </c>
      <c r="P651" s="135">
        <v>2.5716496770323199E-2</v>
      </c>
      <c r="Q651" s="135">
        <v>2.6987381932399499E-2</v>
      </c>
      <c r="R651" s="135">
        <v>2.5871676507430701E-2</v>
      </c>
      <c r="S651" s="135">
        <v>2.5860206126079199E-2</v>
      </c>
      <c r="T651" s="135">
        <v>2.3983911486287899E-2</v>
      </c>
      <c r="U651" s="135">
        <v>2.45985745977415E-2</v>
      </c>
      <c r="V651" s="135">
        <v>2.9189334768982299E-2</v>
      </c>
      <c r="W651" s="135">
        <v>4.2356225841232303E-2</v>
      </c>
      <c r="X651" s="135">
        <v>6.4124437087391295E-2</v>
      </c>
      <c r="Y651" s="135">
        <v>8.9534915468690607E-2</v>
      </c>
      <c r="Z651" s="135">
        <v>9.7739032989919303E-2</v>
      </c>
      <c r="AA651" s="135">
        <v>8.7593665379767996E-2</v>
      </c>
      <c r="AB651" s="135">
        <v>6.3550754957384201E-2</v>
      </c>
      <c r="AC651" s="135">
        <v>3.1335961827832E-2</v>
      </c>
      <c r="AD651" s="135">
        <v>1.5875620156787101E-2</v>
      </c>
      <c r="AF651" s="243">
        <f t="shared" si="11"/>
        <v>0.1988473112601534</v>
      </c>
      <c r="AG651" s="275">
        <f t="shared" si="12"/>
        <v>0.44408896528443043</v>
      </c>
      <c r="AH651" s="391">
        <f t="shared" si="13"/>
        <v>0.57209576946016161</v>
      </c>
      <c r="AI651" s="135">
        <f t="shared" si="14"/>
        <v>1.016184734744592</v>
      </c>
    </row>
    <row r="652" spans="1:35" ht="12.6">
      <c r="A652" s="10" t="s">
        <v>61</v>
      </c>
      <c r="B652" s="10">
        <v>286</v>
      </c>
      <c r="C652" s="10" t="s">
        <v>1515</v>
      </c>
      <c r="D652" s="388">
        <v>45212</v>
      </c>
      <c r="E652" s="389">
        <v>45212</v>
      </c>
      <c r="F652" s="390" t="str">
        <f t="shared" si="10"/>
        <v>Lighting</v>
      </c>
      <c r="G652" s="135">
        <v>1.08640999630958E-2</v>
      </c>
      <c r="H652" s="135">
        <v>9.0764186586465897E-3</v>
      </c>
      <c r="I652" s="135">
        <v>9.3560883873425905E-3</v>
      </c>
      <c r="J652" s="135">
        <v>1.27530145505096E-2</v>
      </c>
      <c r="K652" s="135">
        <v>3.6914401553295E-2</v>
      </c>
      <c r="L652" s="135">
        <v>8.6146383840891794E-2</v>
      </c>
      <c r="M652" s="135">
        <v>8.5778723525706702E-2</v>
      </c>
      <c r="N652" s="135">
        <v>5.6714272660420402E-2</v>
      </c>
      <c r="O652" s="135">
        <v>3.4263135706434397E-2</v>
      </c>
      <c r="P652" s="135">
        <v>2.5716496770323199E-2</v>
      </c>
      <c r="Q652" s="135">
        <v>2.6987381932399499E-2</v>
      </c>
      <c r="R652" s="135">
        <v>2.5871676507430701E-2</v>
      </c>
      <c r="S652" s="135">
        <v>2.5860206126079199E-2</v>
      </c>
      <c r="T652" s="135">
        <v>2.3983911486287899E-2</v>
      </c>
      <c r="U652" s="135">
        <v>2.45985745977415E-2</v>
      </c>
      <c r="V652" s="135">
        <v>2.9189334768982299E-2</v>
      </c>
      <c r="W652" s="135">
        <v>4.2356225841232303E-2</v>
      </c>
      <c r="X652" s="135">
        <v>6.4124437087391295E-2</v>
      </c>
      <c r="Y652" s="135">
        <v>8.9534915468690607E-2</v>
      </c>
      <c r="Z652" s="135">
        <v>9.7739032989919303E-2</v>
      </c>
      <c r="AA652" s="135">
        <v>8.7593665379767996E-2</v>
      </c>
      <c r="AB652" s="135">
        <v>6.3550754957384201E-2</v>
      </c>
      <c r="AC652" s="135">
        <v>3.1335961827832E-2</v>
      </c>
      <c r="AD652" s="135">
        <v>1.5875620156787101E-2</v>
      </c>
      <c r="AF652" s="243">
        <f t="shared" si="11"/>
        <v>0.1988473112601534</v>
      </c>
      <c r="AG652" s="275">
        <f t="shared" si="12"/>
        <v>0.44408896528443043</v>
      </c>
      <c r="AH652" s="391">
        <f t="shared" si="13"/>
        <v>0.57209576946016161</v>
      </c>
      <c r="AI652" s="135">
        <f t="shared" si="14"/>
        <v>1.016184734744592</v>
      </c>
    </row>
    <row r="653" spans="1:35" ht="12.6">
      <c r="A653" s="10" t="s">
        <v>61</v>
      </c>
      <c r="B653" s="10">
        <v>287</v>
      </c>
      <c r="C653" s="10" t="s">
        <v>1515</v>
      </c>
      <c r="D653" s="388">
        <v>45213</v>
      </c>
      <c r="E653" s="389">
        <v>45213</v>
      </c>
      <c r="F653" s="390" t="str">
        <f t="shared" si="10"/>
        <v>Lighting</v>
      </c>
      <c r="G653" s="135">
        <v>1.22771344760954E-2</v>
      </c>
      <c r="H653" s="135">
        <v>1.0347496637198699E-2</v>
      </c>
      <c r="I653" s="135">
        <v>1.0977292752670301E-2</v>
      </c>
      <c r="J653" s="135">
        <v>1.38352377350307E-2</v>
      </c>
      <c r="K653" s="135">
        <v>1.51269995680334E-2</v>
      </c>
      <c r="L653" s="135">
        <v>2.20433109107658E-2</v>
      </c>
      <c r="M653" s="135">
        <v>3.4433947193689703E-2</v>
      </c>
      <c r="N653" s="135">
        <v>4.3901360406232298E-2</v>
      </c>
      <c r="O653" s="135">
        <v>4.6768036240801697E-2</v>
      </c>
      <c r="P653" s="135">
        <v>5.3374555001188602E-2</v>
      </c>
      <c r="Q653" s="135">
        <v>5.39404503573696E-2</v>
      </c>
      <c r="R653" s="135">
        <v>5.1948408808882698E-2</v>
      </c>
      <c r="S653" s="135">
        <v>5.2356564432465801E-2</v>
      </c>
      <c r="T653" s="135">
        <v>4.39183954108254E-2</v>
      </c>
      <c r="U653" s="135">
        <v>4.5194275825325897E-2</v>
      </c>
      <c r="V653" s="135">
        <v>4.6630687670045599E-2</v>
      </c>
      <c r="W653" s="135">
        <v>5.3086012687770003E-2</v>
      </c>
      <c r="X653" s="135">
        <v>5.5796713466939998E-2</v>
      </c>
      <c r="Y653" s="135">
        <v>7.9060326774259601E-2</v>
      </c>
      <c r="Z653" s="135">
        <v>8.5175161193433893E-2</v>
      </c>
      <c r="AA653" s="135">
        <v>7.8849044740654295E-2</v>
      </c>
      <c r="AB653" s="135">
        <v>6.2199839614069503E-2</v>
      </c>
      <c r="AC653" s="135">
        <v>3.33752727272053E-2</v>
      </c>
      <c r="AD653" s="135">
        <v>1.7039686273112899E-2</v>
      </c>
      <c r="AF653" s="243">
        <f t="shared" si="11"/>
        <v>0.34707479519268503</v>
      </c>
      <c r="AG653" s="275">
        <f t="shared" si="12"/>
        <v>0.4106423143002349</v>
      </c>
      <c r="AH653" s="391">
        <f t="shared" si="13"/>
        <v>0.6110138966038321</v>
      </c>
      <c r="AI653" s="135">
        <f t="shared" si="14"/>
        <v>1.021656210904067</v>
      </c>
    </row>
    <row r="654" spans="1:35" ht="12.6">
      <c r="A654" s="10" t="s">
        <v>61</v>
      </c>
      <c r="B654" s="10">
        <v>288</v>
      </c>
      <c r="C654" s="10" t="s">
        <v>1515</v>
      </c>
      <c r="D654" s="388">
        <v>45214</v>
      </c>
      <c r="E654" s="389">
        <v>45214</v>
      </c>
      <c r="F654" s="390" t="str">
        <f t="shared" si="10"/>
        <v>Lighting</v>
      </c>
      <c r="G654" s="135">
        <v>1.22771344760954E-2</v>
      </c>
      <c r="H654" s="135">
        <v>1.0347496637198699E-2</v>
      </c>
      <c r="I654" s="135">
        <v>1.0977292752670301E-2</v>
      </c>
      <c r="J654" s="135">
        <v>1.38352377350307E-2</v>
      </c>
      <c r="K654" s="135">
        <v>1.51269995680334E-2</v>
      </c>
      <c r="L654" s="135">
        <v>2.20433109107658E-2</v>
      </c>
      <c r="M654" s="135">
        <v>3.4433947193689703E-2</v>
      </c>
      <c r="N654" s="135">
        <v>4.3901360406232298E-2</v>
      </c>
      <c r="O654" s="135">
        <v>4.6768036240801697E-2</v>
      </c>
      <c r="P654" s="135">
        <v>5.3374555001188602E-2</v>
      </c>
      <c r="Q654" s="135">
        <v>5.39404503573696E-2</v>
      </c>
      <c r="R654" s="135">
        <v>5.1948408808882698E-2</v>
      </c>
      <c r="S654" s="135">
        <v>5.2356564432465801E-2</v>
      </c>
      <c r="T654" s="135">
        <v>4.39183954108254E-2</v>
      </c>
      <c r="U654" s="135">
        <v>4.5194275825325897E-2</v>
      </c>
      <c r="V654" s="135">
        <v>4.6630687670045599E-2</v>
      </c>
      <c r="W654" s="135">
        <v>5.3086012687770003E-2</v>
      </c>
      <c r="X654" s="135">
        <v>5.5796713466939998E-2</v>
      </c>
      <c r="Y654" s="135">
        <v>7.9060326774259601E-2</v>
      </c>
      <c r="Z654" s="135">
        <v>8.5175161193433893E-2</v>
      </c>
      <c r="AA654" s="135">
        <v>7.8849044740654295E-2</v>
      </c>
      <c r="AB654" s="135">
        <v>6.2199839614069503E-2</v>
      </c>
      <c r="AC654" s="135">
        <v>3.33752727272053E-2</v>
      </c>
      <c r="AD654" s="135">
        <v>1.7039686273112899E-2</v>
      </c>
      <c r="AF654" s="243">
        <f t="shared" si="11"/>
        <v>0.34707479519268503</v>
      </c>
      <c r="AG654" s="275">
        <f t="shared" si="12"/>
        <v>0.4106423143002349</v>
      </c>
      <c r="AH654" s="391">
        <f t="shared" si="13"/>
        <v>0.6110138966038321</v>
      </c>
      <c r="AI654" s="135">
        <f t="shared" si="14"/>
        <v>1.021656210904067</v>
      </c>
    </row>
    <row r="655" spans="1:35" ht="12.6">
      <c r="A655" s="10" t="s">
        <v>61</v>
      </c>
      <c r="B655" s="10">
        <v>289</v>
      </c>
      <c r="C655" s="10" t="s">
        <v>1515</v>
      </c>
      <c r="D655" s="388">
        <v>45215</v>
      </c>
      <c r="E655" s="389">
        <v>45215</v>
      </c>
      <c r="F655" s="390" t="str">
        <f t="shared" si="10"/>
        <v>Lighting</v>
      </c>
      <c r="G655" s="135">
        <v>1.08640999630958E-2</v>
      </c>
      <c r="H655" s="135">
        <v>9.0764186586465897E-3</v>
      </c>
      <c r="I655" s="135">
        <v>9.3560883873425905E-3</v>
      </c>
      <c r="J655" s="135">
        <v>1.27530145505096E-2</v>
      </c>
      <c r="K655" s="135">
        <v>3.6914401553295E-2</v>
      </c>
      <c r="L655" s="135">
        <v>8.6146383840891794E-2</v>
      </c>
      <c r="M655" s="135">
        <v>8.5778723525706702E-2</v>
      </c>
      <c r="N655" s="135">
        <v>5.6714272660420402E-2</v>
      </c>
      <c r="O655" s="135">
        <v>3.4263135706434397E-2</v>
      </c>
      <c r="P655" s="135">
        <v>2.5716496770323199E-2</v>
      </c>
      <c r="Q655" s="135">
        <v>2.6987381932399499E-2</v>
      </c>
      <c r="R655" s="135">
        <v>2.5871676507430701E-2</v>
      </c>
      <c r="S655" s="135">
        <v>2.5860206126079199E-2</v>
      </c>
      <c r="T655" s="135">
        <v>2.3983911486287899E-2</v>
      </c>
      <c r="U655" s="135">
        <v>2.45985745977415E-2</v>
      </c>
      <c r="V655" s="135">
        <v>2.9189334768982299E-2</v>
      </c>
      <c r="W655" s="135">
        <v>4.2356225841232303E-2</v>
      </c>
      <c r="X655" s="135">
        <v>6.4124437087391295E-2</v>
      </c>
      <c r="Y655" s="135">
        <v>8.9534915468690607E-2</v>
      </c>
      <c r="Z655" s="135">
        <v>9.7739032989919303E-2</v>
      </c>
      <c r="AA655" s="135">
        <v>8.7593665379767996E-2</v>
      </c>
      <c r="AB655" s="135">
        <v>6.3550754957384201E-2</v>
      </c>
      <c r="AC655" s="135">
        <v>3.1335961827832E-2</v>
      </c>
      <c r="AD655" s="135">
        <v>1.5875620156787101E-2</v>
      </c>
      <c r="AF655" s="243">
        <f t="shared" si="11"/>
        <v>0.1988473112601534</v>
      </c>
      <c r="AG655" s="275">
        <f t="shared" si="12"/>
        <v>0.44408896528443043</v>
      </c>
      <c r="AH655" s="391">
        <f t="shared" si="13"/>
        <v>0.57209576946016161</v>
      </c>
      <c r="AI655" s="135">
        <f t="shared" si="14"/>
        <v>1.016184734744592</v>
      </c>
    </row>
    <row r="656" spans="1:35" ht="12.6">
      <c r="A656" s="10" t="s">
        <v>61</v>
      </c>
      <c r="B656" s="10">
        <v>290</v>
      </c>
      <c r="C656" s="10" t="s">
        <v>1515</v>
      </c>
      <c r="D656" s="388">
        <v>45216</v>
      </c>
      <c r="E656" s="389">
        <v>45216</v>
      </c>
      <c r="F656" s="390" t="str">
        <f t="shared" si="10"/>
        <v>Lighting</v>
      </c>
      <c r="G656" s="135">
        <v>1.08640999630958E-2</v>
      </c>
      <c r="H656" s="135">
        <v>9.0764186586465897E-3</v>
      </c>
      <c r="I656" s="135">
        <v>9.3560883873425905E-3</v>
      </c>
      <c r="J656" s="135">
        <v>1.27530145505096E-2</v>
      </c>
      <c r="K656" s="135">
        <v>3.6914401553295E-2</v>
      </c>
      <c r="L656" s="135">
        <v>8.6146383840891794E-2</v>
      </c>
      <c r="M656" s="135">
        <v>8.5778723525706702E-2</v>
      </c>
      <c r="N656" s="135">
        <v>5.6714272660420402E-2</v>
      </c>
      <c r="O656" s="135">
        <v>3.4263135706434397E-2</v>
      </c>
      <c r="P656" s="135">
        <v>2.5716496770323199E-2</v>
      </c>
      <c r="Q656" s="135">
        <v>2.6987381932399499E-2</v>
      </c>
      <c r="R656" s="135">
        <v>2.5871676507430701E-2</v>
      </c>
      <c r="S656" s="135">
        <v>2.5860206126079199E-2</v>
      </c>
      <c r="T656" s="135">
        <v>2.3983911486287899E-2</v>
      </c>
      <c r="U656" s="135">
        <v>2.45985745977415E-2</v>
      </c>
      <c r="V656" s="135">
        <v>2.9189334768982299E-2</v>
      </c>
      <c r="W656" s="135">
        <v>4.2356225841232303E-2</v>
      </c>
      <c r="X656" s="135">
        <v>6.4124437087391295E-2</v>
      </c>
      <c r="Y656" s="135">
        <v>8.9534915468690607E-2</v>
      </c>
      <c r="Z656" s="135">
        <v>9.7739032989919303E-2</v>
      </c>
      <c r="AA656" s="135">
        <v>8.7593665379767996E-2</v>
      </c>
      <c r="AB656" s="135">
        <v>6.3550754957384201E-2</v>
      </c>
      <c r="AC656" s="135">
        <v>3.1335961827832E-2</v>
      </c>
      <c r="AD656" s="135">
        <v>1.5875620156787101E-2</v>
      </c>
      <c r="AF656" s="243">
        <f t="shared" si="11"/>
        <v>0.1988473112601534</v>
      </c>
      <c r="AG656" s="275">
        <f t="shared" si="12"/>
        <v>0.44408896528443043</v>
      </c>
      <c r="AH656" s="391">
        <f t="shared" si="13"/>
        <v>0.57209576946016161</v>
      </c>
      <c r="AI656" s="135">
        <f t="shared" si="14"/>
        <v>1.016184734744592</v>
      </c>
    </row>
    <row r="657" spans="1:35" ht="12.6">
      <c r="A657" s="10" t="s">
        <v>61</v>
      </c>
      <c r="B657" s="10">
        <v>291</v>
      </c>
      <c r="C657" s="10" t="s">
        <v>1515</v>
      </c>
      <c r="D657" s="388">
        <v>45217</v>
      </c>
      <c r="E657" s="389">
        <v>45217</v>
      </c>
      <c r="F657" s="390" t="str">
        <f t="shared" si="10"/>
        <v>Lighting</v>
      </c>
      <c r="G657" s="135">
        <v>1.08640999630958E-2</v>
      </c>
      <c r="H657" s="135">
        <v>9.0764186586465897E-3</v>
      </c>
      <c r="I657" s="135">
        <v>9.3560883873425905E-3</v>
      </c>
      <c r="J657" s="135">
        <v>1.27530145505096E-2</v>
      </c>
      <c r="K657" s="135">
        <v>3.6914401553295E-2</v>
      </c>
      <c r="L657" s="135">
        <v>8.6146383840891794E-2</v>
      </c>
      <c r="M657" s="135">
        <v>8.5778723525706702E-2</v>
      </c>
      <c r="N657" s="135">
        <v>5.6714272660420402E-2</v>
      </c>
      <c r="O657" s="135">
        <v>3.4263135706434397E-2</v>
      </c>
      <c r="P657" s="135">
        <v>2.5716496770323199E-2</v>
      </c>
      <c r="Q657" s="135">
        <v>2.6987381932399499E-2</v>
      </c>
      <c r="R657" s="135">
        <v>2.5871676507430701E-2</v>
      </c>
      <c r="S657" s="135">
        <v>2.5860206126079199E-2</v>
      </c>
      <c r="T657" s="135">
        <v>2.3983911486287899E-2</v>
      </c>
      <c r="U657" s="135">
        <v>2.45985745977415E-2</v>
      </c>
      <c r="V657" s="135">
        <v>2.9189334768982299E-2</v>
      </c>
      <c r="W657" s="135">
        <v>4.2356225841232303E-2</v>
      </c>
      <c r="X657" s="135">
        <v>6.4124437087391295E-2</v>
      </c>
      <c r="Y657" s="135">
        <v>8.9534915468690607E-2</v>
      </c>
      <c r="Z657" s="135">
        <v>9.7739032989919303E-2</v>
      </c>
      <c r="AA657" s="135">
        <v>8.7593665379767996E-2</v>
      </c>
      <c r="AB657" s="135">
        <v>6.3550754957384201E-2</v>
      </c>
      <c r="AC657" s="135">
        <v>3.1335961827832E-2</v>
      </c>
      <c r="AD657" s="135">
        <v>1.5875620156787101E-2</v>
      </c>
      <c r="AF657" s="243">
        <f t="shared" si="11"/>
        <v>0.1988473112601534</v>
      </c>
      <c r="AG657" s="275">
        <f t="shared" si="12"/>
        <v>0.44408896528443043</v>
      </c>
      <c r="AH657" s="391">
        <f t="shared" si="13"/>
        <v>0.57209576946016161</v>
      </c>
      <c r="AI657" s="135">
        <f t="shared" si="14"/>
        <v>1.016184734744592</v>
      </c>
    </row>
    <row r="658" spans="1:35" ht="12.6">
      <c r="A658" s="10" t="s">
        <v>61</v>
      </c>
      <c r="B658" s="10">
        <v>292</v>
      </c>
      <c r="C658" s="10" t="s">
        <v>1515</v>
      </c>
      <c r="D658" s="388">
        <v>45218</v>
      </c>
      <c r="E658" s="389">
        <v>45218</v>
      </c>
      <c r="F658" s="390" t="str">
        <f t="shared" si="10"/>
        <v>Lighting</v>
      </c>
      <c r="G658" s="135">
        <v>1.08640999630958E-2</v>
      </c>
      <c r="H658" s="135">
        <v>9.0764186586465897E-3</v>
      </c>
      <c r="I658" s="135">
        <v>9.3560883873425905E-3</v>
      </c>
      <c r="J658" s="135">
        <v>1.27530145505096E-2</v>
      </c>
      <c r="K658" s="135">
        <v>3.6914401553295E-2</v>
      </c>
      <c r="L658" s="135">
        <v>8.6146383840891794E-2</v>
      </c>
      <c r="M658" s="135">
        <v>8.5778723525706702E-2</v>
      </c>
      <c r="N658" s="135">
        <v>5.6714272660420402E-2</v>
      </c>
      <c r="O658" s="135">
        <v>3.4263135706434397E-2</v>
      </c>
      <c r="P658" s="135">
        <v>2.5716496770323199E-2</v>
      </c>
      <c r="Q658" s="135">
        <v>2.6987381932399499E-2</v>
      </c>
      <c r="R658" s="135">
        <v>2.5871676507430701E-2</v>
      </c>
      <c r="S658" s="135">
        <v>2.5860206126079199E-2</v>
      </c>
      <c r="T658" s="135">
        <v>2.3983911486287899E-2</v>
      </c>
      <c r="U658" s="135">
        <v>2.45985745977415E-2</v>
      </c>
      <c r="V658" s="135">
        <v>2.9189334768982299E-2</v>
      </c>
      <c r="W658" s="135">
        <v>4.2356225841232303E-2</v>
      </c>
      <c r="X658" s="135">
        <v>6.4124437087391295E-2</v>
      </c>
      <c r="Y658" s="135">
        <v>8.9534915468690607E-2</v>
      </c>
      <c r="Z658" s="135">
        <v>9.7739032989919303E-2</v>
      </c>
      <c r="AA658" s="135">
        <v>8.7593665379767996E-2</v>
      </c>
      <c r="AB658" s="135">
        <v>6.3550754957384201E-2</v>
      </c>
      <c r="AC658" s="135">
        <v>3.1335961827832E-2</v>
      </c>
      <c r="AD658" s="135">
        <v>1.5875620156787101E-2</v>
      </c>
      <c r="AF658" s="243">
        <f t="shared" si="11"/>
        <v>0.1988473112601534</v>
      </c>
      <c r="AG658" s="275">
        <f t="shared" si="12"/>
        <v>0.44408896528443043</v>
      </c>
      <c r="AH658" s="391">
        <f t="shared" si="13"/>
        <v>0.57209576946016161</v>
      </c>
      <c r="AI658" s="135">
        <f t="shared" si="14"/>
        <v>1.016184734744592</v>
      </c>
    </row>
    <row r="659" spans="1:35" ht="12.6">
      <c r="A659" s="10" t="s">
        <v>61</v>
      </c>
      <c r="B659" s="10">
        <v>293</v>
      </c>
      <c r="C659" s="10" t="s">
        <v>1515</v>
      </c>
      <c r="D659" s="388">
        <v>45219</v>
      </c>
      <c r="E659" s="389">
        <v>45219</v>
      </c>
      <c r="F659" s="390" t="str">
        <f t="shared" si="10"/>
        <v>Lighting</v>
      </c>
      <c r="G659" s="135">
        <v>1.08640999630958E-2</v>
      </c>
      <c r="H659" s="135">
        <v>9.0764186586465897E-3</v>
      </c>
      <c r="I659" s="135">
        <v>9.3560883873425905E-3</v>
      </c>
      <c r="J659" s="135">
        <v>1.27530145505096E-2</v>
      </c>
      <c r="K659" s="135">
        <v>3.6914401553295E-2</v>
      </c>
      <c r="L659" s="135">
        <v>8.6146383840891794E-2</v>
      </c>
      <c r="M659" s="135">
        <v>8.5778723525706702E-2</v>
      </c>
      <c r="N659" s="135">
        <v>5.6714272660420402E-2</v>
      </c>
      <c r="O659" s="135">
        <v>3.4263135706434397E-2</v>
      </c>
      <c r="P659" s="135">
        <v>2.5716496770323199E-2</v>
      </c>
      <c r="Q659" s="135">
        <v>2.6987381932399499E-2</v>
      </c>
      <c r="R659" s="135">
        <v>2.5871676507430701E-2</v>
      </c>
      <c r="S659" s="135">
        <v>2.5860206126079199E-2</v>
      </c>
      <c r="T659" s="135">
        <v>2.3983911486287899E-2</v>
      </c>
      <c r="U659" s="135">
        <v>2.45985745977415E-2</v>
      </c>
      <c r="V659" s="135">
        <v>2.9189334768982299E-2</v>
      </c>
      <c r="W659" s="135">
        <v>4.2356225841232303E-2</v>
      </c>
      <c r="X659" s="135">
        <v>6.4124437087391295E-2</v>
      </c>
      <c r="Y659" s="135">
        <v>8.9534915468690607E-2</v>
      </c>
      <c r="Z659" s="135">
        <v>9.7739032989919303E-2</v>
      </c>
      <c r="AA659" s="135">
        <v>8.7593665379767996E-2</v>
      </c>
      <c r="AB659" s="135">
        <v>6.3550754957384201E-2</v>
      </c>
      <c r="AC659" s="135">
        <v>3.1335961827832E-2</v>
      </c>
      <c r="AD659" s="135">
        <v>1.5875620156787101E-2</v>
      </c>
      <c r="AF659" s="243">
        <f t="shared" si="11"/>
        <v>0.1988473112601534</v>
      </c>
      <c r="AG659" s="275">
        <f t="shared" si="12"/>
        <v>0.44408896528443043</v>
      </c>
      <c r="AH659" s="391">
        <f t="shared" si="13"/>
        <v>0.57209576946016161</v>
      </c>
      <c r="AI659" s="135">
        <f t="shared" si="14"/>
        <v>1.016184734744592</v>
      </c>
    </row>
    <row r="660" spans="1:35" ht="12.6">
      <c r="A660" s="10" t="s">
        <v>61</v>
      </c>
      <c r="B660" s="10">
        <v>294</v>
      </c>
      <c r="C660" s="10" t="s">
        <v>1515</v>
      </c>
      <c r="D660" s="388">
        <v>45220</v>
      </c>
      <c r="E660" s="389">
        <v>45220</v>
      </c>
      <c r="F660" s="390" t="str">
        <f t="shared" si="10"/>
        <v>Lighting</v>
      </c>
      <c r="G660" s="135">
        <v>1.22771344760954E-2</v>
      </c>
      <c r="H660" s="135">
        <v>1.0347496637198699E-2</v>
      </c>
      <c r="I660" s="135">
        <v>1.0977292752670301E-2</v>
      </c>
      <c r="J660" s="135">
        <v>1.38352377350307E-2</v>
      </c>
      <c r="K660" s="135">
        <v>1.51269995680334E-2</v>
      </c>
      <c r="L660" s="135">
        <v>2.20433109107658E-2</v>
      </c>
      <c r="M660" s="135">
        <v>3.4433947193689703E-2</v>
      </c>
      <c r="N660" s="135">
        <v>4.3901360406232298E-2</v>
      </c>
      <c r="O660" s="135">
        <v>4.6768036240801697E-2</v>
      </c>
      <c r="P660" s="135">
        <v>5.3374555001188602E-2</v>
      </c>
      <c r="Q660" s="135">
        <v>5.39404503573696E-2</v>
      </c>
      <c r="R660" s="135">
        <v>5.1948408808882698E-2</v>
      </c>
      <c r="S660" s="135">
        <v>5.2356564432465801E-2</v>
      </c>
      <c r="T660" s="135">
        <v>4.39183954108254E-2</v>
      </c>
      <c r="U660" s="135">
        <v>4.5194275825325897E-2</v>
      </c>
      <c r="V660" s="135">
        <v>4.6630687670045599E-2</v>
      </c>
      <c r="W660" s="135">
        <v>5.3086012687770003E-2</v>
      </c>
      <c r="X660" s="135">
        <v>5.5796713466939998E-2</v>
      </c>
      <c r="Y660" s="135">
        <v>7.9060326774259601E-2</v>
      </c>
      <c r="Z660" s="135">
        <v>8.5175161193433893E-2</v>
      </c>
      <c r="AA660" s="135">
        <v>7.8849044740654295E-2</v>
      </c>
      <c r="AB660" s="135">
        <v>6.2199839614069503E-2</v>
      </c>
      <c r="AC660" s="135">
        <v>3.33752727272053E-2</v>
      </c>
      <c r="AD660" s="135">
        <v>1.7039686273112899E-2</v>
      </c>
      <c r="AF660" s="243">
        <f t="shared" si="11"/>
        <v>0.34707479519268503</v>
      </c>
      <c r="AG660" s="275">
        <f t="shared" si="12"/>
        <v>0.4106423143002349</v>
      </c>
      <c r="AH660" s="391">
        <f t="shared" si="13"/>
        <v>0.6110138966038321</v>
      </c>
      <c r="AI660" s="135">
        <f t="shared" si="14"/>
        <v>1.021656210904067</v>
      </c>
    </row>
    <row r="661" spans="1:35" ht="12.6">
      <c r="A661" s="10" t="s">
        <v>61</v>
      </c>
      <c r="B661" s="10">
        <v>295</v>
      </c>
      <c r="C661" s="10" t="s">
        <v>1515</v>
      </c>
      <c r="D661" s="388">
        <v>45221</v>
      </c>
      <c r="E661" s="389">
        <v>45221</v>
      </c>
      <c r="F661" s="390" t="str">
        <f t="shared" si="10"/>
        <v>Lighting</v>
      </c>
      <c r="G661" s="135">
        <v>1.22771344760954E-2</v>
      </c>
      <c r="H661" s="135">
        <v>1.0347496637198699E-2</v>
      </c>
      <c r="I661" s="135">
        <v>1.0977292752670301E-2</v>
      </c>
      <c r="J661" s="135">
        <v>1.38352377350307E-2</v>
      </c>
      <c r="K661" s="135">
        <v>1.51269995680334E-2</v>
      </c>
      <c r="L661" s="135">
        <v>2.20433109107658E-2</v>
      </c>
      <c r="M661" s="135">
        <v>3.4433947193689703E-2</v>
      </c>
      <c r="N661" s="135">
        <v>4.3901360406232298E-2</v>
      </c>
      <c r="O661" s="135">
        <v>4.6768036240801697E-2</v>
      </c>
      <c r="P661" s="135">
        <v>5.3374555001188602E-2</v>
      </c>
      <c r="Q661" s="135">
        <v>5.39404503573696E-2</v>
      </c>
      <c r="R661" s="135">
        <v>5.1948408808882698E-2</v>
      </c>
      <c r="S661" s="135">
        <v>5.2356564432465801E-2</v>
      </c>
      <c r="T661" s="135">
        <v>4.39183954108254E-2</v>
      </c>
      <c r="U661" s="135">
        <v>4.5194275825325897E-2</v>
      </c>
      <c r="V661" s="135">
        <v>4.6630687670045599E-2</v>
      </c>
      <c r="W661" s="135">
        <v>5.3086012687770003E-2</v>
      </c>
      <c r="X661" s="135">
        <v>5.5796713466939998E-2</v>
      </c>
      <c r="Y661" s="135">
        <v>7.9060326774259601E-2</v>
      </c>
      <c r="Z661" s="135">
        <v>8.5175161193433893E-2</v>
      </c>
      <c r="AA661" s="135">
        <v>7.8849044740654295E-2</v>
      </c>
      <c r="AB661" s="135">
        <v>6.2199839614069503E-2</v>
      </c>
      <c r="AC661" s="135">
        <v>3.33752727272053E-2</v>
      </c>
      <c r="AD661" s="135">
        <v>1.7039686273112899E-2</v>
      </c>
      <c r="AF661" s="243">
        <f t="shared" si="11"/>
        <v>0.34707479519268503</v>
      </c>
      <c r="AG661" s="275">
        <f t="shared" si="12"/>
        <v>0.4106423143002349</v>
      </c>
      <c r="AH661" s="391">
        <f t="shared" si="13"/>
        <v>0.6110138966038321</v>
      </c>
      <c r="AI661" s="135">
        <f t="shared" si="14"/>
        <v>1.021656210904067</v>
      </c>
    </row>
    <row r="662" spans="1:35" ht="12.6">
      <c r="A662" s="10" t="s">
        <v>61</v>
      </c>
      <c r="B662" s="10">
        <v>296</v>
      </c>
      <c r="C662" s="10" t="s">
        <v>1515</v>
      </c>
      <c r="D662" s="388">
        <v>45222</v>
      </c>
      <c r="E662" s="389">
        <v>45222</v>
      </c>
      <c r="F662" s="390" t="str">
        <f t="shared" si="10"/>
        <v>Lighting</v>
      </c>
      <c r="G662" s="135">
        <v>1.08640999630958E-2</v>
      </c>
      <c r="H662" s="135">
        <v>9.0764186586465897E-3</v>
      </c>
      <c r="I662" s="135">
        <v>9.3560883873425905E-3</v>
      </c>
      <c r="J662" s="135">
        <v>1.27530145505096E-2</v>
      </c>
      <c r="K662" s="135">
        <v>3.6914401553295E-2</v>
      </c>
      <c r="L662" s="135">
        <v>8.6146383840891794E-2</v>
      </c>
      <c r="M662" s="135">
        <v>8.5778723525706702E-2</v>
      </c>
      <c r="N662" s="135">
        <v>5.6714272660420402E-2</v>
      </c>
      <c r="O662" s="135">
        <v>3.4263135706434397E-2</v>
      </c>
      <c r="P662" s="135">
        <v>2.5716496770323199E-2</v>
      </c>
      <c r="Q662" s="135">
        <v>2.6987381932399499E-2</v>
      </c>
      <c r="R662" s="135">
        <v>2.5871676507430701E-2</v>
      </c>
      <c r="S662" s="135">
        <v>2.5860206126079199E-2</v>
      </c>
      <c r="T662" s="135">
        <v>2.3983911486287899E-2</v>
      </c>
      <c r="U662" s="135">
        <v>2.45985745977415E-2</v>
      </c>
      <c r="V662" s="135">
        <v>2.9189334768982299E-2</v>
      </c>
      <c r="W662" s="135">
        <v>4.2356225841232303E-2</v>
      </c>
      <c r="X662" s="135">
        <v>6.4124437087391295E-2</v>
      </c>
      <c r="Y662" s="135">
        <v>8.9534915468690607E-2</v>
      </c>
      <c r="Z662" s="135">
        <v>9.7739032989919303E-2</v>
      </c>
      <c r="AA662" s="135">
        <v>8.7593665379767996E-2</v>
      </c>
      <c r="AB662" s="135">
        <v>6.3550754957384201E-2</v>
      </c>
      <c r="AC662" s="135">
        <v>3.1335961827832E-2</v>
      </c>
      <c r="AD662" s="135">
        <v>1.5875620156787101E-2</v>
      </c>
      <c r="AF662" s="243">
        <f t="shared" si="11"/>
        <v>0.1988473112601534</v>
      </c>
      <c r="AG662" s="275">
        <f t="shared" si="12"/>
        <v>0.44408896528443043</v>
      </c>
      <c r="AH662" s="391">
        <f t="shared" si="13"/>
        <v>0.57209576946016161</v>
      </c>
      <c r="AI662" s="135">
        <f t="shared" si="14"/>
        <v>1.016184734744592</v>
      </c>
    </row>
    <row r="663" spans="1:35" ht="12.6">
      <c r="A663" s="10" t="s">
        <v>61</v>
      </c>
      <c r="B663" s="10">
        <v>297</v>
      </c>
      <c r="C663" s="10" t="s">
        <v>1515</v>
      </c>
      <c r="D663" s="388">
        <v>45223</v>
      </c>
      <c r="E663" s="389">
        <v>45223</v>
      </c>
      <c r="F663" s="390" t="str">
        <f t="shared" si="10"/>
        <v>Lighting</v>
      </c>
      <c r="G663" s="135">
        <v>1.08640999630958E-2</v>
      </c>
      <c r="H663" s="135">
        <v>9.0764186586465897E-3</v>
      </c>
      <c r="I663" s="135">
        <v>9.3560883873425905E-3</v>
      </c>
      <c r="J663" s="135">
        <v>1.27530145505096E-2</v>
      </c>
      <c r="K663" s="135">
        <v>3.6914401553295E-2</v>
      </c>
      <c r="L663" s="135">
        <v>8.6146383840891794E-2</v>
      </c>
      <c r="M663" s="135">
        <v>8.5778723525706702E-2</v>
      </c>
      <c r="N663" s="135">
        <v>5.6714272660420402E-2</v>
      </c>
      <c r="O663" s="135">
        <v>3.4263135706434397E-2</v>
      </c>
      <c r="P663" s="135">
        <v>2.5716496770323199E-2</v>
      </c>
      <c r="Q663" s="135">
        <v>2.6987381932399499E-2</v>
      </c>
      <c r="R663" s="135">
        <v>2.5871676507430701E-2</v>
      </c>
      <c r="S663" s="135">
        <v>2.5860206126079199E-2</v>
      </c>
      <c r="T663" s="135">
        <v>2.3983911486287899E-2</v>
      </c>
      <c r="U663" s="135">
        <v>2.45985745977415E-2</v>
      </c>
      <c r="V663" s="135">
        <v>2.9189334768982299E-2</v>
      </c>
      <c r="W663" s="135">
        <v>4.2356225841232303E-2</v>
      </c>
      <c r="X663" s="135">
        <v>6.4124437087391295E-2</v>
      </c>
      <c r="Y663" s="135">
        <v>8.9534915468690607E-2</v>
      </c>
      <c r="Z663" s="135">
        <v>9.7739032989919303E-2</v>
      </c>
      <c r="AA663" s="135">
        <v>8.7593665379767996E-2</v>
      </c>
      <c r="AB663" s="135">
        <v>6.3550754957384201E-2</v>
      </c>
      <c r="AC663" s="135">
        <v>3.1335961827832E-2</v>
      </c>
      <c r="AD663" s="135">
        <v>1.5875620156787101E-2</v>
      </c>
      <c r="AF663" s="243">
        <f t="shared" si="11"/>
        <v>0.1988473112601534</v>
      </c>
      <c r="AG663" s="275">
        <f t="shared" si="12"/>
        <v>0.44408896528443043</v>
      </c>
      <c r="AH663" s="391">
        <f t="shared" si="13"/>
        <v>0.57209576946016161</v>
      </c>
      <c r="AI663" s="135">
        <f t="shared" si="14"/>
        <v>1.016184734744592</v>
      </c>
    </row>
    <row r="664" spans="1:35" ht="12.6">
      <c r="A664" s="10" t="s">
        <v>61</v>
      </c>
      <c r="B664" s="10">
        <v>298</v>
      </c>
      <c r="C664" s="10" t="s">
        <v>1515</v>
      </c>
      <c r="D664" s="388">
        <v>45224</v>
      </c>
      <c r="E664" s="389">
        <v>45224</v>
      </c>
      <c r="F664" s="390" t="str">
        <f t="shared" si="10"/>
        <v>Lighting</v>
      </c>
      <c r="G664" s="135">
        <v>1.08640999630958E-2</v>
      </c>
      <c r="H664" s="135">
        <v>9.0764186586465897E-3</v>
      </c>
      <c r="I664" s="135">
        <v>9.3560883873425905E-3</v>
      </c>
      <c r="J664" s="135">
        <v>1.27530145505096E-2</v>
      </c>
      <c r="K664" s="135">
        <v>3.6914401553295E-2</v>
      </c>
      <c r="L664" s="135">
        <v>8.6146383840891794E-2</v>
      </c>
      <c r="M664" s="135">
        <v>8.5778723525706702E-2</v>
      </c>
      <c r="N664" s="135">
        <v>5.6714272660420402E-2</v>
      </c>
      <c r="O664" s="135">
        <v>3.4263135706434397E-2</v>
      </c>
      <c r="P664" s="135">
        <v>2.5716496770323199E-2</v>
      </c>
      <c r="Q664" s="135">
        <v>2.6987381932399499E-2</v>
      </c>
      <c r="R664" s="135">
        <v>2.5871676507430701E-2</v>
      </c>
      <c r="S664" s="135">
        <v>2.5860206126079199E-2</v>
      </c>
      <c r="T664" s="135">
        <v>2.3983911486287899E-2</v>
      </c>
      <c r="U664" s="135">
        <v>2.45985745977415E-2</v>
      </c>
      <c r="V664" s="135">
        <v>2.9189334768982299E-2</v>
      </c>
      <c r="W664" s="135">
        <v>4.2356225841232303E-2</v>
      </c>
      <c r="X664" s="135">
        <v>6.4124437087391295E-2</v>
      </c>
      <c r="Y664" s="135">
        <v>8.9534915468690607E-2</v>
      </c>
      <c r="Z664" s="135">
        <v>9.7739032989919303E-2</v>
      </c>
      <c r="AA664" s="135">
        <v>8.7593665379767996E-2</v>
      </c>
      <c r="AB664" s="135">
        <v>6.3550754957384201E-2</v>
      </c>
      <c r="AC664" s="135">
        <v>3.1335961827832E-2</v>
      </c>
      <c r="AD664" s="135">
        <v>1.5875620156787101E-2</v>
      </c>
      <c r="AF664" s="243">
        <f t="shared" si="11"/>
        <v>0.1988473112601534</v>
      </c>
      <c r="AG664" s="275">
        <f t="shared" si="12"/>
        <v>0.44408896528443043</v>
      </c>
      <c r="AH664" s="391">
        <f t="shared" si="13"/>
        <v>0.57209576946016161</v>
      </c>
      <c r="AI664" s="135">
        <f t="shared" si="14"/>
        <v>1.016184734744592</v>
      </c>
    </row>
    <row r="665" spans="1:35" ht="12.6">
      <c r="A665" s="10" t="s">
        <v>61</v>
      </c>
      <c r="B665" s="10">
        <v>299</v>
      </c>
      <c r="C665" s="10" t="s">
        <v>1515</v>
      </c>
      <c r="D665" s="388">
        <v>45225</v>
      </c>
      <c r="E665" s="389">
        <v>45225</v>
      </c>
      <c r="F665" s="390" t="str">
        <f t="shared" si="10"/>
        <v>Lighting</v>
      </c>
      <c r="G665" s="135">
        <v>1.08640999630958E-2</v>
      </c>
      <c r="H665" s="135">
        <v>9.0764186586465897E-3</v>
      </c>
      <c r="I665" s="135">
        <v>9.3560883873425905E-3</v>
      </c>
      <c r="J665" s="135">
        <v>1.27530145505096E-2</v>
      </c>
      <c r="K665" s="135">
        <v>3.6914401553295E-2</v>
      </c>
      <c r="L665" s="135">
        <v>8.6146383840891794E-2</v>
      </c>
      <c r="M665" s="135">
        <v>8.5778723525706702E-2</v>
      </c>
      <c r="N665" s="135">
        <v>5.6714272660420402E-2</v>
      </c>
      <c r="O665" s="135">
        <v>3.4263135706434397E-2</v>
      </c>
      <c r="P665" s="135">
        <v>2.5716496770323199E-2</v>
      </c>
      <c r="Q665" s="135">
        <v>2.6987381932399499E-2</v>
      </c>
      <c r="R665" s="135">
        <v>2.5871676507430701E-2</v>
      </c>
      <c r="S665" s="135">
        <v>2.5860206126079199E-2</v>
      </c>
      <c r="T665" s="135">
        <v>2.3983911486287899E-2</v>
      </c>
      <c r="U665" s="135">
        <v>2.45985745977415E-2</v>
      </c>
      <c r="V665" s="135">
        <v>2.9189334768982299E-2</v>
      </c>
      <c r="W665" s="135">
        <v>4.2356225841232303E-2</v>
      </c>
      <c r="X665" s="135">
        <v>6.4124437087391295E-2</v>
      </c>
      <c r="Y665" s="135">
        <v>8.9534915468690607E-2</v>
      </c>
      <c r="Z665" s="135">
        <v>9.7739032989919303E-2</v>
      </c>
      <c r="AA665" s="135">
        <v>8.7593665379767996E-2</v>
      </c>
      <c r="AB665" s="135">
        <v>6.3550754957384201E-2</v>
      </c>
      <c r="AC665" s="135">
        <v>3.1335961827832E-2</v>
      </c>
      <c r="AD665" s="135">
        <v>1.5875620156787101E-2</v>
      </c>
      <c r="AF665" s="243">
        <f t="shared" si="11"/>
        <v>0.1988473112601534</v>
      </c>
      <c r="AG665" s="275">
        <f t="shared" si="12"/>
        <v>0.44408896528443043</v>
      </c>
      <c r="AH665" s="391">
        <f t="shared" si="13"/>
        <v>0.57209576946016161</v>
      </c>
      <c r="AI665" s="135">
        <f t="shared" si="14"/>
        <v>1.016184734744592</v>
      </c>
    </row>
    <row r="666" spans="1:35" ht="12.6">
      <c r="A666" s="10" t="s">
        <v>61</v>
      </c>
      <c r="B666" s="10">
        <v>300</v>
      </c>
      <c r="C666" s="10" t="s">
        <v>1515</v>
      </c>
      <c r="D666" s="388">
        <v>45226</v>
      </c>
      <c r="E666" s="389">
        <v>45226</v>
      </c>
      <c r="F666" s="390" t="str">
        <f t="shared" si="10"/>
        <v>Lighting</v>
      </c>
      <c r="G666" s="135">
        <v>1.08640999630958E-2</v>
      </c>
      <c r="H666" s="135">
        <v>9.0764186586465897E-3</v>
      </c>
      <c r="I666" s="135">
        <v>9.3560883873425905E-3</v>
      </c>
      <c r="J666" s="135">
        <v>1.27530145505096E-2</v>
      </c>
      <c r="K666" s="135">
        <v>3.6914401553295E-2</v>
      </c>
      <c r="L666" s="135">
        <v>8.6146383840891794E-2</v>
      </c>
      <c r="M666" s="135">
        <v>8.5778723525706702E-2</v>
      </c>
      <c r="N666" s="135">
        <v>5.6714272660420402E-2</v>
      </c>
      <c r="O666" s="135">
        <v>3.4263135706434397E-2</v>
      </c>
      <c r="P666" s="135">
        <v>2.5716496770323199E-2</v>
      </c>
      <c r="Q666" s="135">
        <v>2.6987381932399499E-2</v>
      </c>
      <c r="R666" s="135">
        <v>2.5871676507430701E-2</v>
      </c>
      <c r="S666" s="135">
        <v>2.5860206126079199E-2</v>
      </c>
      <c r="T666" s="135">
        <v>2.3983911486287899E-2</v>
      </c>
      <c r="U666" s="135">
        <v>2.45985745977415E-2</v>
      </c>
      <c r="V666" s="135">
        <v>2.9189334768982299E-2</v>
      </c>
      <c r="W666" s="135">
        <v>4.2356225841232303E-2</v>
      </c>
      <c r="X666" s="135">
        <v>6.4124437087391295E-2</v>
      </c>
      <c r="Y666" s="135">
        <v>8.9534915468690607E-2</v>
      </c>
      <c r="Z666" s="135">
        <v>9.7739032989919303E-2</v>
      </c>
      <c r="AA666" s="135">
        <v>8.7593665379767996E-2</v>
      </c>
      <c r="AB666" s="135">
        <v>6.3550754957384201E-2</v>
      </c>
      <c r="AC666" s="135">
        <v>3.1335961827832E-2</v>
      </c>
      <c r="AD666" s="135">
        <v>1.5875620156787101E-2</v>
      </c>
      <c r="AF666" s="243">
        <f t="shared" si="11"/>
        <v>0.1988473112601534</v>
      </c>
      <c r="AG666" s="275">
        <f t="shared" si="12"/>
        <v>0.44408896528443043</v>
      </c>
      <c r="AH666" s="391">
        <f t="shared" si="13"/>
        <v>0.57209576946016161</v>
      </c>
      <c r="AI666" s="135">
        <f t="shared" si="14"/>
        <v>1.016184734744592</v>
      </c>
    </row>
    <row r="667" spans="1:35" ht="12.6">
      <c r="A667" s="10" t="s">
        <v>61</v>
      </c>
      <c r="B667" s="10">
        <v>301</v>
      </c>
      <c r="C667" s="10" t="s">
        <v>1515</v>
      </c>
      <c r="D667" s="388">
        <v>45227</v>
      </c>
      <c r="E667" s="389">
        <v>45227</v>
      </c>
      <c r="F667" s="390" t="str">
        <f t="shared" si="10"/>
        <v>Lighting</v>
      </c>
      <c r="G667" s="135">
        <v>1.22771344760954E-2</v>
      </c>
      <c r="H667" s="135">
        <v>1.0347496637198699E-2</v>
      </c>
      <c r="I667" s="135">
        <v>1.0977292752670301E-2</v>
      </c>
      <c r="J667" s="135">
        <v>1.38352377350307E-2</v>
      </c>
      <c r="K667" s="135">
        <v>1.51269995680334E-2</v>
      </c>
      <c r="L667" s="135">
        <v>2.20433109107658E-2</v>
      </c>
      <c r="M667" s="135">
        <v>3.4433947193689703E-2</v>
      </c>
      <c r="N667" s="135">
        <v>4.3901360406232298E-2</v>
      </c>
      <c r="O667" s="135">
        <v>4.6768036240801697E-2</v>
      </c>
      <c r="P667" s="135">
        <v>5.3374555001188602E-2</v>
      </c>
      <c r="Q667" s="135">
        <v>5.39404503573696E-2</v>
      </c>
      <c r="R667" s="135">
        <v>5.1948408808882698E-2</v>
      </c>
      <c r="S667" s="135">
        <v>5.2356564432465801E-2</v>
      </c>
      <c r="T667" s="135">
        <v>4.39183954108254E-2</v>
      </c>
      <c r="U667" s="135">
        <v>4.5194275825325897E-2</v>
      </c>
      <c r="V667" s="135">
        <v>4.6630687670045599E-2</v>
      </c>
      <c r="W667" s="135">
        <v>5.3086012687770003E-2</v>
      </c>
      <c r="X667" s="135">
        <v>5.5796713466939998E-2</v>
      </c>
      <c r="Y667" s="135">
        <v>7.9060326774259601E-2</v>
      </c>
      <c r="Z667" s="135">
        <v>8.5175161193433893E-2</v>
      </c>
      <c r="AA667" s="135">
        <v>7.8849044740654295E-2</v>
      </c>
      <c r="AB667" s="135">
        <v>6.2199839614069503E-2</v>
      </c>
      <c r="AC667" s="135">
        <v>3.33752727272053E-2</v>
      </c>
      <c r="AD667" s="135">
        <v>1.7039686273112899E-2</v>
      </c>
      <c r="AF667" s="243">
        <f t="shared" si="11"/>
        <v>0.34707479519268503</v>
      </c>
      <c r="AG667" s="275">
        <f t="shared" si="12"/>
        <v>0.4106423143002349</v>
      </c>
      <c r="AH667" s="391">
        <f t="shared" si="13"/>
        <v>0.6110138966038321</v>
      </c>
      <c r="AI667" s="135">
        <f t="shared" si="14"/>
        <v>1.021656210904067</v>
      </c>
    </row>
    <row r="668" spans="1:35" ht="12.6">
      <c r="A668" s="10" t="s">
        <v>61</v>
      </c>
      <c r="B668" s="10">
        <v>302</v>
      </c>
      <c r="C668" s="10" t="s">
        <v>1515</v>
      </c>
      <c r="D668" s="388">
        <v>45228</v>
      </c>
      <c r="E668" s="389">
        <v>45228</v>
      </c>
      <c r="F668" s="390" t="str">
        <f t="shared" si="10"/>
        <v>Lighting</v>
      </c>
      <c r="G668" s="135">
        <v>1.22771344760954E-2</v>
      </c>
      <c r="H668" s="135">
        <v>1.0347496637198699E-2</v>
      </c>
      <c r="I668" s="135">
        <v>1.0977292752670301E-2</v>
      </c>
      <c r="J668" s="135">
        <v>1.38352377350307E-2</v>
      </c>
      <c r="K668" s="135">
        <v>1.51269995680334E-2</v>
      </c>
      <c r="L668" s="135">
        <v>2.20433109107658E-2</v>
      </c>
      <c r="M668" s="135">
        <v>3.4433947193689703E-2</v>
      </c>
      <c r="N668" s="135">
        <v>4.3901360406232298E-2</v>
      </c>
      <c r="O668" s="135">
        <v>4.6768036240801697E-2</v>
      </c>
      <c r="P668" s="135">
        <v>5.3374555001188602E-2</v>
      </c>
      <c r="Q668" s="135">
        <v>5.39404503573696E-2</v>
      </c>
      <c r="R668" s="135">
        <v>5.1948408808882698E-2</v>
      </c>
      <c r="S668" s="135">
        <v>5.2356564432465801E-2</v>
      </c>
      <c r="T668" s="135">
        <v>4.39183954108254E-2</v>
      </c>
      <c r="U668" s="135">
        <v>4.5194275825325897E-2</v>
      </c>
      <c r="V668" s="135">
        <v>4.6630687670045599E-2</v>
      </c>
      <c r="W668" s="135">
        <v>5.3086012687770003E-2</v>
      </c>
      <c r="X668" s="135">
        <v>5.5796713466939998E-2</v>
      </c>
      <c r="Y668" s="135">
        <v>7.9060326774259601E-2</v>
      </c>
      <c r="Z668" s="135">
        <v>8.5175161193433893E-2</v>
      </c>
      <c r="AA668" s="135">
        <v>7.8849044740654295E-2</v>
      </c>
      <c r="AB668" s="135">
        <v>6.2199839614069503E-2</v>
      </c>
      <c r="AC668" s="135">
        <v>3.33752727272053E-2</v>
      </c>
      <c r="AD668" s="135">
        <v>1.7039686273112899E-2</v>
      </c>
      <c r="AF668" s="243">
        <f t="shared" si="11"/>
        <v>0.34707479519268503</v>
      </c>
      <c r="AG668" s="275">
        <f t="shared" si="12"/>
        <v>0.4106423143002349</v>
      </c>
      <c r="AH668" s="391">
        <f t="shared" si="13"/>
        <v>0.6110138966038321</v>
      </c>
      <c r="AI668" s="135">
        <f t="shared" si="14"/>
        <v>1.021656210904067</v>
      </c>
    </row>
    <row r="669" spans="1:35" ht="12.6">
      <c r="A669" s="10" t="s">
        <v>61</v>
      </c>
      <c r="B669" s="10">
        <v>303</v>
      </c>
      <c r="C669" s="10" t="s">
        <v>1515</v>
      </c>
      <c r="D669" s="388">
        <v>45229</v>
      </c>
      <c r="E669" s="389">
        <v>45229</v>
      </c>
      <c r="F669" s="390" t="str">
        <f t="shared" si="10"/>
        <v>Lighting</v>
      </c>
      <c r="G669" s="135">
        <v>1.08640999630958E-2</v>
      </c>
      <c r="H669" s="135">
        <v>9.0764186586465897E-3</v>
      </c>
      <c r="I669" s="135">
        <v>9.3560883873425905E-3</v>
      </c>
      <c r="J669" s="135">
        <v>1.27530145505096E-2</v>
      </c>
      <c r="K669" s="135">
        <v>3.6914401553295E-2</v>
      </c>
      <c r="L669" s="135">
        <v>8.6146383840891794E-2</v>
      </c>
      <c r="M669" s="135">
        <v>8.5778723525706702E-2</v>
      </c>
      <c r="N669" s="135">
        <v>5.6714272660420402E-2</v>
      </c>
      <c r="O669" s="135">
        <v>3.4263135706434397E-2</v>
      </c>
      <c r="P669" s="135">
        <v>2.5716496770323199E-2</v>
      </c>
      <c r="Q669" s="135">
        <v>2.6987381932399499E-2</v>
      </c>
      <c r="R669" s="135">
        <v>2.5871676507430701E-2</v>
      </c>
      <c r="S669" s="135">
        <v>2.5860206126079199E-2</v>
      </c>
      <c r="T669" s="135">
        <v>2.3983911486287899E-2</v>
      </c>
      <c r="U669" s="135">
        <v>2.45985745977415E-2</v>
      </c>
      <c r="V669" s="135">
        <v>2.9189334768982299E-2</v>
      </c>
      <c r="W669" s="135">
        <v>4.2356225841232303E-2</v>
      </c>
      <c r="X669" s="135">
        <v>6.4124437087391295E-2</v>
      </c>
      <c r="Y669" s="135">
        <v>8.9534915468690607E-2</v>
      </c>
      <c r="Z669" s="135">
        <v>9.7739032989919303E-2</v>
      </c>
      <c r="AA669" s="135">
        <v>8.7593665379767996E-2</v>
      </c>
      <c r="AB669" s="135">
        <v>6.3550754957384201E-2</v>
      </c>
      <c r="AC669" s="135">
        <v>3.1335961827832E-2</v>
      </c>
      <c r="AD669" s="135">
        <v>1.5875620156787101E-2</v>
      </c>
      <c r="AF669" s="243">
        <f t="shared" si="11"/>
        <v>0.1988473112601534</v>
      </c>
      <c r="AG669" s="275">
        <f t="shared" si="12"/>
        <v>0.44408896528443043</v>
      </c>
      <c r="AH669" s="391">
        <f t="shared" si="13"/>
        <v>0.57209576946016161</v>
      </c>
      <c r="AI669" s="135">
        <f t="shared" si="14"/>
        <v>1.016184734744592</v>
      </c>
    </row>
    <row r="670" spans="1:35" ht="12.6">
      <c r="A670" s="10" t="s">
        <v>61</v>
      </c>
      <c r="B670" s="10">
        <v>304</v>
      </c>
      <c r="C670" s="10" t="s">
        <v>1515</v>
      </c>
      <c r="D670" s="388">
        <v>45230</v>
      </c>
      <c r="E670" s="389">
        <v>45230</v>
      </c>
      <c r="F670" s="390" t="str">
        <f t="shared" si="10"/>
        <v>Lighting</v>
      </c>
      <c r="G670" s="135">
        <v>1.08640999630958E-2</v>
      </c>
      <c r="H670" s="135">
        <v>9.0764186586465897E-3</v>
      </c>
      <c r="I670" s="135">
        <v>9.3560883873425905E-3</v>
      </c>
      <c r="J670" s="135">
        <v>1.27530145505096E-2</v>
      </c>
      <c r="K670" s="135">
        <v>3.6914401553295E-2</v>
      </c>
      <c r="L670" s="135">
        <v>8.6146383840891794E-2</v>
      </c>
      <c r="M670" s="135">
        <v>8.5778723525706702E-2</v>
      </c>
      <c r="N670" s="135">
        <v>5.6714272660420402E-2</v>
      </c>
      <c r="O670" s="135">
        <v>3.4263135706434397E-2</v>
      </c>
      <c r="P670" s="135">
        <v>2.5716496770323199E-2</v>
      </c>
      <c r="Q670" s="135">
        <v>2.6987381932399499E-2</v>
      </c>
      <c r="R670" s="135">
        <v>2.5871676507430701E-2</v>
      </c>
      <c r="S670" s="135">
        <v>2.5860206126079199E-2</v>
      </c>
      <c r="T670" s="135">
        <v>2.3983911486287899E-2</v>
      </c>
      <c r="U670" s="135">
        <v>2.45985745977415E-2</v>
      </c>
      <c r="V670" s="135">
        <v>2.9189334768982299E-2</v>
      </c>
      <c r="W670" s="135">
        <v>4.2356225841232303E-2</v>
      </c>
      <c r="X670" s="135">
        <v>6.4124437087391295E-2</v>
      </c>
      <c r="Y670" s="135">
        <v>8.9534915468690607E-2</v>
      </c>
      <c r="Z670" s="135">
        <v>9.7739032989919303E-2</v>
      </c>
      <c r="AA670" s="135">
        <v>8.7593665379767996E-2</v>
      </c>
      <c r="AB670" s="135">
        <v>6.3550754957384201E-2</v>
      </c>
      <c r="AC670" s="135">
        <v>3.1335961827832E-2</v>
      </c>
      <c r="AD670" s="135">
        <v>1.5875620156787101E-2</v>
      </c>
      <c r="AF670" s="243">
        <f t="shared" si="11"/>
        <v>0.1988473112601534</v>
      </c>
      <c r="AG670" s="275">
        <f t="shared" si="12"/>
        <v>0.44408896528443043</v>
      </c>
      <c r="AH670" s="391">
        <f t="shared" si="13"/>
        <v>0.57209576946016161</v>
      </c>
      <c r="AI670" s="135">
        <f t="shared" si="14"/>
        <v>1.016184734744592</v>
      </c>
    </row>
    <row r="671" spans="1:35" ht="12.6">
      <c r="A671" s="10" t="s">
        <v>61</v>
      </c>
      <c r="B671" s="10">
        <v>305</v>
      </c>
      <c r="C671" s="10" t="s">
        <v>1515</v>
      </c>
      <c r="D671" s="388">
        <v>45231</v>
      </c>
      <c r="E671" s="389">
        <v>45231</v>
      </c>
      <c r="F671" s="390" t="str">
        <f t="shared" si="10"/>
        <v>Lighting</v>
      </c>
      <c r="G671" s="135">
        <v>1.08640999630958E-2</v>
      </c>
      <c r="H671" s="135">
        <v>9.0764186586465897E-3</v>
      </c>
      <c r="I671" s="135">
        <v>9.3560883873425905E-3</v>
      </c>
      <c r="J671" s="135">
        <v>1.27530145505096E-2</v>
      </c>
      <c r="K671" s="135">
        <v>3.6914401553295E-2</v>
      </c>
      <c r="L671" s="135">
        <v>8.6146383840891794E-2</v>
      </c>
      <c r="M671" s="135">
        <v>8.5778723525706702E-2</v>
      </c>
      <c r="N671" s="135">
        <v>5.6714272660420402E-2</v>
      </c>
      <c r="O671" s="135">
        <v>3.4263135706434397E-2</v>
      </c>
      <c r="P671" s="135">
        <v>2.5716496770323199E-2</v>
      </c>
      <c r="Q671" s="135">
        <v>2.6987381932399499E-2</v>
      </c>
      <c r="R671" s="135">
        <v>2.5871676507430701E-2</v>
      </c>
      <c r="S671" s="135">
        <v>2.5860206126079199E-2</v>
      </c>
      <c r="T671" s="135">
        <v>2.3983911486287899E-2</v>
      </c>
      <c r="U671" s="135">
        <v>2.45985745977415E-2</v>
      </c>
      <c r="V671" s="135">
        <v>2.9189334768982299E-2</v>
      </c>
      <c r="W671" s="135">
        <v>4.2356225841232303E-2</v>
      </c>
      <c r="X671" s="135">
        <v>6.4124437087391295E-2</v>
      </c>
      <c r="Y671" s="135">
        <v>8.9534915468690607E-2</v>
      </c>
      <c r="Z671" s="135">
        <v>9.7739032989919303E-2</v>
      </c>
      <c r="AA671" s="135">
        <v>8.7593665379767996E-2</v>
      </c>
      <c r="AB671" s="135">
        <v>6.3550754957384201E-2</v>
      </c>
      <c r="AC671" s="135">
        <v>3.1335961827832E-2</v>
      </c>
      <c r="AD671" s="135">
        <v>1.5875620156787101E-2</v>
      </c>
      <c r="AF671" s="243">
        <f t="shared" si="11"/>
        <v>0.1988473112601534</v>
      </c>
      <c r="AG671" s="275">
        <f t="shared" si="12"/>
        <v>0.44408896528443043</v>
      </c>
      <c r="AH671" s="391">
        <f t="shared" si="13"/>
        <v>0.57209576946016161</v>
      </c>
      <c r="AI671" s="135">
        <f t="shared" si="14"/>
        <v>1.016184734744592</v>
      </c>
    </row>
    <row r="672" spans="1:35" ht="12.6">
      <c r="A672" s="10" t="s">
        <v>61</v>
      </c>
      <c r="B672" s="10">
        <v>306</v>
      </c>
      <c r="C672" s="10" t="s">
        <v>1515</v>
      </c>
      <c r="D672" s="388">
        <v>45232</v>
      </c>
      <c r="E672" s="389">
        <v>45232</v>
      </c>
      <c r="F672" s="390" t="str">
        <f t="shared" si="10"/>
        <v>Lighting</v>
      </c>
      <c r="G672" s="135">
        <v>1.08640999630958E-2</v>
      </c>
      <c r="H672" s="135">
        <v>9.0764186586465897E-3</v>
      </c>
      <c r="I672" s="135">
        <v>9.3560883873425905E-3</v>
      </c>
      <c r="J672" s="135">
        <v>1.27530145505096E-2</v>
      </c>
      <c r="K672" s="135">
        <v>3.6914401553295E-2</v>
      </c>
      <c r="L672" s="135">
        <v>8.6146383840891794E-2</v>
      </c>
      <c r="M672" s="135">
        <v>8.5778723525706702E-2</v>
      </c>
      <c r="N672" s="135">
        <v>5.6714272660420402E-2</v>
      </c>
      <c r="O672" s="135">
        <v>3.4263135706434397E-2</v>
      </c>
      <c r="P672" s="135">
        <v>2.5716496770323199E-2</v>
      </c>
      <c r="Q672" s="135">
        <v>2.6987381932399499E-2</v>
      </c>
      <c r="R672" s="135">
        <v>2.5871676507430701E-2</v>
      </c>
      <c r="S672" s="135">
        <v>2.5860206126079199E-2</v>
      </c>
      <c r="T672" s="135">
        <v>2.3983911486287899E-2</v>
      </c>
      <c r="U672" s="135">
        <v>2.45985745977415E-2</v>
      </c>
      <c r="V672" s="135">
        <v>2.9189334768982299E-2</v>
      </c>
      <c r="W672" s="135">
        <v>4.2356225841232303E-2</v>
      </c>
      <c r="X672" s="135">
        <v>6.4124437087391295E-2</v>
      </c>
      <c r="Y672" s="135">
        <v>8.9534915468690607E-2</v>
      </c>
      <c r="Z672" s="135">
        <v>9.7739032989919303E-2</v>
      </c>
      <c r="AA672" s="135">
        <v>8.7593665379767996E-2</v>
      </c>
      <c r="AB672" s="135">
        <v>6.3550754957384201E-2</v>
      </c>
      <c r="AC672" s="135">
        <v>3.1335961827832E-2</v>
      </c>
      <c r="AD672" s="135">
        <v>1.5875620156787101E-2</v>
      </c>
      <c r="AF672" s="243">
        <f t="shared" si="11"/>
        <v>0.1988473112601534</v>
      </c>
      <c r="AG672" s="275">
        <f t="shared" si="12"/>
        <v>0.44408896528443043</v>
      </c>
      <c r="AH672" s="391">
        <f t="shared" si="13"/>
        <v>0.57209576946016161</v>
      </c>
      <c r="AI672" s="135">
        <f t="shared" si="14"/>
        <v>1.016184734744592</v>
      </c>
    </row>
    <row r="673" spans="1:35" ht="12.6">
      <c r="A673" s="10" t="s">
        <v>61</v>
      </c>
      <c r="B673" s="10">
        <v>307</v>
      </c>
      <c r="C673" s="10" t="s">
        <v>1515</v>
      </c>
      <c r="D673" s="388">
        <v>45233</v>
      </c>
      <c r="E673" s="389">
        <v>45233</v>
      </c>
      <c r="F673" s="390" t="str">
        <f t="shared" si="10"/>
        <v>Lighting</v>
      </c>
      <c r="G673" s="135">
        <v>1.08640999630958E-2</v>
      </c>
      <c r="H673" s="135">
        <v>9.0764186586465897E-3</v>
      </c>
      <c r="I673" s="135">
        <v>9.3560883873425905E-3</v>
      </c>
      <c r="J673" s="135">
        <v>1.27530145505096E-2</v>
      </c>
      <c r="K673" s="135">
        <v>3.6914401553295E-2</v>
      </c>
      <c r="L673" s="135">
        <v>8.6146383840891794E-2</v>
      </c>
      <c r="M673" s="135">
        <v>8.5778723525706702E-2</v>
      </c>
      <c r="N673" s="135">
        <v>5.6714272660420402E-2</v>
      </c>
      <c r="O673" s="135">
        <v>3.4263135706434397E-2</v>
      </c>
      <c r="P673" s="135">
        <v>2.5716496770323199E-2</v>
      </c>
      <c r="Q673" s="135">
        <v>2.6987381932399499E-2</v>
      </c>
      <c r="R673" s="135">
        <v>2.5871676507430701E-2</v>
      </c>
      <c r="S673" s="135">
        <v>2.5860206126079199E-2</v>
      </c>
      <c r="T673" s="135">
        <v>2.3983911486287899E-2</v>
      </c>
      <c r="U673" s="135">
        <v>2.45985745977415E-2</v>
      </c>
      <c r="V673" s="135">
        <v>2.9189334768982299E-2</v>
      </c>
      <c r="W673" s="135">
        <v>4.2356225841232303E-2</v>
      </c>
      <c r="X673" s="135">
        <v>6.4124437087391295E-2</v>
      </c>
      <c r="Y673" s="135">
        <v>8.9534915468690607E-2</v>
      </c>
      <c r="Z673" s="135">
        <v>9.7739032989919303E-2</v>
      </c>
      <c r="AA673" s="135">
        <v>8.7593665379767996E-2</v>
      </c>
      <c r="AB673" s="135">
        <v>6.3550754957384201E-2</v>
      </c>
      <c r="AC673" s="135">
        <v>3.1335961827832E-2</v>
      </c>
      <c r="AD673" s="135">
        <v>1.5875620156787101E-2</v>
      </c>
      <c r="AF673" s="243">
        <f t="shared" si="11"/>
        <v>0.1988473112601534</v>
      </c>
      <c r="AG673" s="275">
        <f t="shared" si="12"/>
        <v>0.44408896528443043</v>
      </c>
      <c r="AH673" s="391">
        <f t="shared" si="13"/>
        <v>0.57209576946016161</v>
      </c>
      <c r="AI673" s="135">
        <f t="shared" si="14"/>
        <v>1.016184734744592</v>
      </c>
    </row>
    <row r="674" spans="1:35" ht="12.6">
      <c r="A674" s="10" t="s">
        <v>61</v>
      </c>
      <c r="B674" s="10">
        <v>308</v>
      </c>
      <c r="C674" s="10" t="s">
        <v>1515</v>
      </c>
      <c r="D674" s="388">
        <v>45234</v>
      </c>
      <c r="E674" s="389">
        <v>45234</v>
      </c>
      <c r="F674" s="390" t="str">
        <f t="shared" si="10"/>
        <v>Lighting</v>
      </c>
      <c r="G674" s="135">
        <v>1.22771344760954E-2</v>
      </c>
      <c r="H674" s="135">
        <v>1.0347496637198699E-2</v>
      </c>
      <c r="I674" s="135">
        <v>1.0977292752670301E-2</v>
      </c>
      <c r="J674" s="135">
        <v>1.38352377350307E-2</v>
      </c>
      <c r="K674" s="135">
        <v>1.51269995680334E-2</v>
      </c>
      <c r="L674" s="135">
        <v>2.20433109107658E-2</v>
      </c>
      <c r="M674" s="135">
        <v>3.4433947193689703E-2</v>
      </c>
      <c r="N674" s="135">
        <v>4.3901360406232298E-2</v>
      </c>
      <c r="O674" s="135">
        <v>4.6768036240801697E-2</v>
      </c>
      <c r="P674" s="135">
        <v>5.3374555001188602E-2</v>
      </c>
      <c r="Q674" s="135">
        <v>5.39404503573696E-2</v>
      </c>
      <c r="R674" s="135">
        <v>5.1948408808882698E-2</v>
      </c>
      <c r="S674" s="135">
        <v>5.2356564432465801E-2</v>
      </c>
      <c r="T674" s="135">
        <v>4.39183954108254E-2</v>
      </c>
      <c r="U674" s="135">
        <v>4.5194275825325897E-2</v>
      </c>
      <c r="V674" s="135">
        <v>4.6630687670045599E-2</v>
      </c>
      <c r="W674" s="135">
        <v>5.3086012687770003E-2</v>
      </c>
      <c r="X674" s="135">
        <v>5.5796713466939998E-2</v>
      </c>
      <c r="Y674" s="135">
        <v>7.9060326774259601E-2</v>
      </c>
      <c r="Z674" s="135">
        <v>8.5175161193433893E-2</v>
      </c>
      <c r="AA674" s="135">
        <v>7.8849044740654295E-2</v>
      </c>
      <c r="AB674" s="135">
        <v>6.2199839614069503E-2</v>
      </c>
      <c r="AC674" s="135">
        <v>3.33752727272053E-2</v>
      </c>
      <c r="AD674" s="135">
        <v>1.7039686273112899E-2</v>
      </c>
      <c r="AF674" s="243">
        <f t="shared" si="11"/>
        <v>0.34707479519268503</v>
      </c>
      <c r="AG674" s="275">
        <f t="shared" si="12"/>
        <v>0.4106423143002349</v>
      </c>
      <c r="AH674" s="391">
        <f t="shared" si="13"/>
        <v>0.6110138966038321</v>
      </c>
      <c r="AI674" s="135">
        <f t="shared" si="14"/>
        <v>1.021656210904067</v>
      </c>
    </row>
    <row r="675" spans="1:35" ht="12.6">
      <c r="A675" s="10" t="s">
        <v>61</v>
      </c>
      <c r="B675" s="10">
        <v>309</v>
      </c>
      <c r="C675" s="10" t="s">
        <v>1515</v>
      </c>
      <c r="D675" s="388">
        <v>45235</v>
      </c>
      <c r="E675" s="389">
        <v>45235</v>
      </c>
      <c r="F675" s="390" t="str">
        <f t="shared" si="10"/>
        <v>Lighting</v>
      </c>
      <c r="G675" s="135">
        <v>1.22771344760954E-2</v>
      </c>
      <c r="H675" s="135">
        <v>1.0347496637198699E-2</v>
      </c>
      <c r="I675" s="135">
        <v>1.0977292752670301E-2</v>
      </c>
      <c r="J675" s="135">
        <v>1.38352377350307E-2</v>
      </c>
      <c r="K675" s="135">
        <v>1.51269995680334E-2</v>
      </c>
      <c r="L675" s="135">
        <v>2.20433109107658E-2</v>
      </c>
      <c r="M675" s="135">
        <v>3.4433947193689703E-2</v>
      </c>
      <c r="N675" s="135">
        <v>4.3901360406232298E-2</v>
      </c>
      <c r="O675" s="135">
        <v>4.6768036240801697E-2</v>
      </c>
      <c r="P675" s="135">
        <v>5.3374555001188602E-2</v>
      </c>
      <c r="Q675" s="135">
        <v>5.39404503573696E-2</v>
      </c>
      <c r="R675" s="135">
        <v>5.1948408808882698E-2</v>
      </c>
      <c r="S675" s="135">
        <v>5.2356564432465801E-2</v>
      </c>
      <c r="T675" s="135">
        <v>4.39183954108254E-2</v>
      </c>
      <c r="U675" s="135">
        <v>4.5194275825325897E-2</v>
      </c>
      <c r="V675" s="135">
        <v>4.6630687670045599E-2</v>
      </c>
      <c r="W675" s="135">
        <v>5.3086012687770003E-2</v>
      </c>
      <c r="X675" s="135">
        <v>5.5796713466939998E-2</v>
      </c>
      <c r="Y675" s="135">
        <v>7.9060326774259601E-2</v>
      </c>
      <c r="Z675" s="135">
        <v>8.5175161193433893E-2</v>
      </c>
      <c r="AA675" s="135">
        <v>7.8849044740654295E-2</v>
      </c>
      <c r="AB675" s="135">
        <v>6.2199839614069503E-2</v>
      </c>
      <c r="AC675" s="135">
        <v>3.33752727272053E-2</v>
      </c>
      <c r="AD675" s="135">
        <v>1.7039686273112899E-2</v>
      </c>
      <c r="AF675" s="243">
        <f t="shared" si="11"/>
        <v>0.34707479519268503</v>
      </c>
      <c r="AG675" s="275">
        <f t="shared" si="12"/>
        <v>0.4106423143002349</v>
      </c>
      <c r="AH675" s="391">
        <f t="shared" si="13"/>
        <v>0.6110138966038321</v>
      </c>
      <c r="AI675" s="135">
        <f t="shared" si="14"/>
        <v>1.021656210904067</v>
      </c>
    </row>
    <row r="676" spans="1:35" ht="12.6">
      <c r="A676" s="10" t="s">
        <v>61</v>
      </c>
      <c r="B676" s="10">
        <v>310</v>
      </c>
      <c r="C676" s="10" t="s">
        <v>1515</v>
      </c>
      <c r="D676" s="388">
        <v>45236</v>
      </c>
      <c r="E676" s="389">
        <v>45236</v>
      </c>
      <c r="F676" s="390" t="str">
        <f t="shared" si="10"/>
        <v>Lighting</v>
      </c>
      <c r="G676" s="135">
        <v>1.08640999630958E-2</v>
      </c>
      <c r="H676" s="135">
        <v>9.0764186586465897E-3</v>
      </c>
      <c r="I676" s="135">
        <v>9.3560883873425905E-3</v>
      </c>
      <c r="J676" s="135">
        <v>1.27530145505096E-2</v>
      </c>
      <c r="K676" s="135">
        <v>3.6914401553295E-2</v>
      </c>
      <c r="L676" s="135">
        <v>8.6146383840891794E-2</v>
      </c>
      <c r="M676" s="135">
        <v>8.5778723525706702E-2</v>
      </c>
      <c r="N676" s="135">
        <v>5.6714272660420402E-2</v>
      </c>
      <c r="O676" s="135">
        <v>3.4263135706434397E-2</v>
      </c>
      <c r="P676" s="135">
        <v>2.5716496770323199E-2</v>
      </c>
      <c r="Q676" s="135">
        <v>2.6987381932399499E-2</v>
      </c>
      <c r="R676" s="135">
        <v>2.5871676507430701E-2</v>
      </c>
      <c r="S676" s="135">
        <v>2.5860206126079199E-2</v>
      </c>
      <c r="T676" s="135">
        <v>2.3983911486287899E-2</v>
      </c>
      <c r="U676" s="135">
        <v>2.45985745977415E-2</v>
      </c>
      <c r="V676" s="135">
        <v>2.9189334768982299E-2</v>
      </c>
      <c r="W676" s="135">
        <v>4.2356225841232303E-2</v>
      </c>
      <c r="X676" s="135">
        <v>6.4124437087391295E-2</v>
      </c>
      <c r="Y676" s="135">
        <v>8.9534915468690607E-2</v>
      </c>
      <c r="Z676" s="135">
        <v>9.7739032989919303E-2</v>
      </c>
      <c r="AA676" s="135">
        <v>8.7593665379767996E-2</v>
      </c>
      <c r="AB676" s="135">
        <v>6.3550754957384201E-2</v>
      </c>
      <c r="AC676" s="135">
        <v>3.1335961827832E-2</v>
      </c>
      <c r="AD676" s="135">
        <v>1.5875620156787101E-2</v>
      </c>
      <c r="AF676" s="243">
        <f t="shared" si="11"/>
        <v>0.1988473112601534</v>
      </c>
      <c r="AG676" s="275">
        <f t="shared" si="12"/>
        <v>0.44408896528443043</v>
      </c>
      <c r="AH676" s="391">
        <f t="shared" si="13"/>
        <v>0.57209576946016161</v>
      </c>
      <c r="AI676" s="135">
        <f t="shared" si="14"/>
        <v>1.016184734744592</v>
      </c>
    </row>
    <row r="677" spans="1:35" ht="12.6">
      <c r="A677" s="10" t="s">
        <v>61</v>
      </c>
      <c r="B677" s="10">
        <v>311</v>
      </c>
      <c r="C677" s="10" t="s">
        <v>1515</v>
      </c>
      <c r="D677" s="388">
        <v>45237</v>
      </c>
      <c r="E677" s="389">
        <v>45237</v>
      </c>
      <c r="F677" s="390" t="str">
        <f t="shared" si="10"/>
        <v>Lighting</v>
      </c>
      <c r="G677" s="135">
        <v>1.08640999630958E-2</v>
      </c>
      <c r="H677" s="135">
        <v>9.0764186586465897E-3</v>
      </c>
      <c r="I677" s="135">
        <v>9.3560883873425905E-3</v>
      </c>
      <c r="J677" s="135">
        <v>1.27530145505096E-2</v>
      </c>
      <c r="K677" s="135">
        <v>3.6914401553295E-2</v>
      </c>
      <c r="L677" s="135">
        <v>8.6146383840891794E-2</v>
      </c>
      <c r="M677" s="135">
        <v>8.5778723525706702E-2</v>
      </c>
      <c r="N677" s="135">
        <v>5.6714272660420402E-2</v>
      </c>
      <c r="O677" s="135">
        <v>3.4263135706434397E-2</v>
      </c>
      <c r="P677" s="135">
        <v>2.5716496770323199E-2</v>
      </c>
      <c r="Q677" s="135">
        <v>2.6987381932399499E-2</v>
      </c>
      <c r="R677" s="135">
        <v>2.5871676507430701E-2</v>
      </c>
      <c r="S677" s="135">
        <v>2.5860206126079199E-2</v>
      </c>
      <c r="T677" s="135">
        <v>2.3983911486287899E-2</v>
      </c>
      <c r="U677" s="135">
        <v>2.45985745977415E-2</v>
      </c>
      <c r="V677" s="135">
        <v>2.9189334768982299E-2</v>
      </c>
      <c r="W677" s="135">
        <v>4.2356225841232303E-2</v>
      </c>
      <c r="X677" s="135">
        <v>6.4124437087391295E-2</v>
      </c>
      <c r="Y677" s="135">
        <v>8.9534915468690607E-2</v>
      </c>
      <c r="Z677" s="135">
        <v>9.7739032989919303E-2</v>
      </c>
      <c r="AA677" s="135">
        <v>8.7593665379767996E-2</v>
      </c>
      <c r="AB677" s="135">
        <v>6.3550754957384201E-2</v>
      </c>
      <c r="AC677" s="135">
        <v>3.1335961827832E-2</v>
      </c>
      <c r="AD677" s="135">
        <v>1.5875620156787101E-2</v>
      </c>
      <c r="AF677" s="243">
        <f t="shared" si="11"/>
        <v>0.1988473112601534</v>
      </c>
      <c r="AG677" s="275">
        <f t="shared" si="12"/>
        <v>0.44408896528443043</v>
      </c>
      <c r="AH677" s="391">
        <f t="shared" si="13"/>
        <v>0.57209576946016161</v>
      </c>
      <c r="AI677" s="135">
        <f t="shared" si="14"/>
        <v>1.016184734744592</v>
      </c>
    </row>
    <row r="678" spans="1:35" ht="12.6">
      <c r="A678" s="10" t="s">
        <v>61</v>
      </c>
      <c r="B678" s="10">
        <v>312</v>
      </c>
      <c r="C678" s="10" t="s">
        <v>1515</v>
      </c>
      <c r="D678" s="388">
        <v>45238</v>
      </c>
      <c r="E678" s="389">
        <v>45238</v>
      </c>
      <c r="F678" s="390" t="str">
        <f t="shared" si="10"/>
        <v>Lighting</v>
      </c>
      <c r="G678" s="135">
        <v>1.08640999630958E-2</v>
      </c>
      <c r="H678" s="135">
        <v>9.0764186586465897E-3</v>
      </c>
      <c r="I678" s="135">
        <v>9.3560883873425905E-3</v>
      </c>
      <c r="J678" s="135">
        <v>1.27530145505096E-2</v>
      </c>
      <c r="K678" s="135">
        <v>3.6914401553295E-2</v>
      </c>
      <c r="L678" s="135">
        <v>8.6146383840891794E-2</v>
      </c>
      <c r="M678" s="135">
        <v>8.5778723525706702E-2</v>
      </c>
      <c r="N678" s="135">
        <v>5.6714272660420402E-2</v>
      </c>
      <c r="O678" s="135">
        <v>3.4263135706434397E-2</v>
      </c>
      <c r="P678" s="135">
        <v>2.5716496770323199E-2</v>
      </c>
      <c r="Q678" s="135">
        <v>2.6987381932399499E-2</v>
      </c>
      <c r="R678" s="135">
        <v>2.5871676507430701E-2</v>
      </c>
      <c r="S678" s="135">
        <v>2.5860206126079199E-2</v>
      </c>
      <c r="T678" s="135">
        <v>2.3983911486287899E-2</v>
      </c>
      <c r="U678" s="135">
        <v>2.45985745977415E-2</v>
      </c>
      <c r="V678" s="135">
        <v>2.9189334768982299E-2</v>
      </c>
      <c r="W678" s="135">
        <v>4.2356225841232303E-2</v>
      </c>
      <c r="X678" s="135">
        <v>6.4124437087391295E-2</v>
      </c>
      <c r="Y678" s="135">
        <v>8.9534915468690607E-2</v>
      </c>
      <c r="Z678" s="135">
        <v>9.7739032989919303E-2</v>
      </c>
      <c r="AA678" s="135">
        <v>8.7593665379767996E-2</v>
      </c>
      <c r="AB678" s="135">
        <v>6.3550754957384201E-2</v>
      </c>
      <c r="AC678" s="135">
        <v>3.1335961827832E-2</v>
      </c>
      <c r="AD678" s="135">
        <v>1.5875620156787101E-2</v>
      </c>
      <c r="AF678" s="243">
        <f t="shared" si="11"/>
        <v>0.1988473112601534</v>
      </c>
      <c r="AG678" s="275">
        <f t="shared" si="12"/>
        <v>0.44408896528443043</v>
      </c>
      <c r="AH678" s="391">
        <f t="shared" si="13"/>
        <v>0.57209576946016161</v>
      </c>
      <c r="AI678" s="135">
        <f t="shared" si="14"/>
        <v>1.016184734744592</v>
      </c>
    </row>
    <row r="679" spans="1:35" ht="12.6">
      <c r="A679" s="10" t="s">
        <v>61</v>
      </c>
      <c r="B679" s="10">
        <v>313</v>
      </c>
      <c r="C679" s="10" t="s">
        <v>1515</v>
      </c>
      <c r="D679" s="388">
        <v>45239</v>
      </c>
      <c r="E679" s="389">
        <v>45239</v>
      </c>
      <c r="F679" s="390" t="str">
        <f t="shared" si="10"/>
        <v>Lighting</v>
      </c>
      <c r="G679" s="135">
        <v>1.08640999630958E-2</v>
      </c>
      <c r="H679" s="135">
        <v>9.0764186586465897E-3</v>
      </c>
      <c r="I679" s="135">
        <v>9.3560883873425905E-3</v>
      </c>
      <c r="J679" s="135">
        <v>1.27530145505096E-2</v>
      </c>
      <c r="K679" s="135">
        <v>3.6914401553295E-2</v>
      </c>
      <c r="L679" s="135">
        <v>8.6146383840891794E-2</v>
      </c>
      <c r="M679" s="135">
        <v>8.5778723525706702E-2</v>
      </c>
      <c r="N679" s="135">
        <v>5.6714272660420402E-2</v>
      </c>
      <c r="O679" s="135">
        <v>3.4263135706434397E-2</v>
      </c>
      <c r="P679" s="135">
        <v>2.5716496770323199E-2</v>
      </c>
      <c r="Q679" s="135">
        <v>2.6987381932399499E-2</v>
      </c>
      <c r="R679" s="135">
        <v>2.5871676507430701E-2</v>
      </c>
      <c r="S679" s="135">
        <v>2.5860206126079199E-2</v>
      </c>
      <c r="T679" s="135">
        <v>2.3983911486287899E-2</v>
      </c>
      <c r="U679" s="135">
        <v>2.45985745977415E-2</v>
      </c>
      <c r="V679" s="135">
        <v>2.9189334768982299E-2</v>
      </c>
      <c r="W679" s="135">
        <v>4.2356225841232303E-2</v>
      </c>
      <c r="X679" s="135">
        <v>6.4124437087391295E-2</v>
      </c>
      <c r="Y679" s="135">
        <v>8.9534915468690607E-2</v>
      </c>
      <c r="Z679" s="135">
        <v>9.7739032989919303E-2</v>
      </c>
      <c r="AA679" s="135">
        <v>8.7593665379767996E-2</v>
      </c>
      <c r="AB679" s="135">
        <v>6.3550754957384201E-2</v>
      </c>
      <c r="AC679" s="135">
        <v>3.1335961827832E-2</v>
      </c>
      <c r="AD679" s="135">
        <v>1.5875620156787101E-2</v>
      </c>
      <c r="AF679" s="243">
        <f t="shared" si="11"/>
        <v>0.1988473112601534</v>
      </c>
      <c r="AG679" s="275">
        <f t="shared" si="12"/>
        <v>0.44408896528443043</v>
      </c>
      <c r="AH679" s="391">
        <f t="shared" si="13"/>
        <v>0.57209576946016161</v>
      </c>
      <c r="AI679" s="135">
        <f t="shared" si="14"/>
        <v>1.016184734744592</v>
      </c>
    </row>
    <row r="680" spans="1:35" ht="12.6">
      <c r="A680" s="10" t="s">
        <v>61</v>
      </c>
      <c r="B680" s="10">
        <v>314</v>
      </c>
      <c r="C680" s="10" t="s">
        <v>1515</v>
      </c>
      <c r="D680" s="388">
        <v>45240</v>
      </c>
      <c r="E680" s="389">
        <v>45240</v>
      </c>
      <c r="F680" s="390" t="str">
        <f t="shared" si="10"/>
        <v>Lighting</v>
      </c>
      <c r="G680" s="135">
        <v>1.08640999630958E-2</v>
      </c>
      <c r="H680" s="135">
        <v>9.0764186586465897E-3</v>
      </c>
      <c r="I680" s="135">
        <v>9.3560883873425905E-3</v>
      </c>
      <c r="J680" s="135">
        <v>1.27530145505096E-2</v>
      </c>
      <c r="K680" s="135">
        <v>3.6914401553295E-2</v>
      </c>
      <c r="L680" s="135">
        <v>8.6146383840891794E-2</v>
      </c>
      <c r="M680" s="135">
        <v>8.5778723525706702E-2</v>
      </c>
      <c r="N680" s="135">
        <v>5.6714272660420402E-2</v>
      </c>
      <c r="O680" s="135">
        <v>3.4263135706434397E-2</v>
      </c>
      <c r="P680" s="135">
        <v>2.5716496770323199E-2</v>
      </c>
      <c r="Q680" s="135">
        <v>2.6987381932399499E-2</v>
      </c>
      <c r="R680" s="135">
        <v>2.5871676507430701E-2</v>
      </c>
      <c r="S680" s="135">
        <v>2.5860206126079199E-2</v>
      </c>
      <c r="T680" s="135">
        <v>2.3983911486287899E-2</v>
      </c>
      <c r="U680" s="135">
        <v>2.45985745977415E-2</v>
      </c>
      <c r="V680" s="135">
        <v>2.9189334768982299E-2</v>
      </c>
      <c r="W680" s="135">
        <v>4.2356225841232303E-2</v>
      </c>
      <c r="X680" s="135">
        <v>6.4124437087391295E-2</v>
      </c>
      <c r="Y680" s="135">
        <v>8.9534915468690607E-2</v>
      </c>
      <c r="Z680" s="135">
        <v>9.7739032989919303E-2</v>
      </c>
      <c r="AA680" s="135">
        <v>8.7593665379767996E-2</v>
      </c>
      <c r="AB680" s="135">
        <v>6.3550754957384201E-2</v>
      </c>
      <c r="AC680" s="135">
        <v>3.1335961827832E-2</v>
      </c>
      <c r="AD680" s="135">
        <v>1.5875620156787101E-2</v>
      </c>
      <c r="AF680" s="243">
        <f t="shared" si="11"/>
        <v>0.1988473112601534</v>
      </c>
      <c r="AG680" s="275">
        <f t="shared" si="12"/>
        <v>0.44408896528443043</v>
      </c>
      <c r="AH680" s="391">
        <f t="shared" si="13"/>
        <v>0.57209576946016161</v>
      </c>
      <c r="AI680" s="135">
        <f t="shared" si="14"/>
        <v>1.016184734744592</v>
      </c>
    </row>
    <row r="681" spans="1:35" ht="12.6">
      <c r="A681" s="10" t="s">
        <v>61</v>
      </c>
      <c r="B681" s="10">
        <v>315</v>
      </c>
      <c r="C681" s="10" t="s">
        <v>1515</v>
      </c>
      <c r="D681" s="388">
        <v>45241</v>
      </c>
      <c r="E681" s="389">
        <v>45241</v>
      </c>
      <c r="F681" s="390" t="str">
        <f t="shared" si="10"/>
        <v>Lighting</v>
      </c>
      <c r="G681" s="135">
        <v>1.22771344760954E-2</v>
      </c>
      <c r="H681" s="135">
        <v>1.0347496637198699E-2</v>
      </c>
      <c r="I681" s="135">
        <v>1.0977292752670301E-2</v>
      </c>
      <c r="J681" s="135">
        <v>1.38352377350307E-2</v>
      </c>
      <c r="K681" s="135">
        <v>1.51269995680334E-2</v>
      </c>
      <c r="L681" s="135">
        <v>2.20433109107658E-2</v>
      </c>
      <c r="M681" s="135">
        <v>3.4433947193689703E-2</v>
      </c>
      <c r="N681" s="135">
        <v>4.3901360406232298E-2</v>
      </c>
      <c r="O681" s="135">
        <v>4.6768036240801697E-2</v>
      </c>
      <c r="P681" s="135">
        <v>5.3374555001188602E-2</v>
      </c>
      <c r="Q681" s="135">
        <v>5.39404503573696E-2</v>
      </c>
      <c r="R681" s="135">
        <v>5.1948408808882698E-2</v>
      </c>
      <c r="S681" s="135">
        <v>5.2356564432465801E-2</v>
      </c>
      <c r="T681" s="135">
        <v>4.39183954108254E-2</v>
      </c>
      <c r="U681" s="135">
        <v>4.5194275825325897E-2</v>
      </c>
      <c r="V681" s="135">
        <v>4.6630687670045599E-2</v>
      </c>
      <c r="W681" s="135">
        <v>5.3086012687770003E-2</v>
      </c>
      <c r="X681" s="135">
        <v>5.5796713466939998E-2</v>
      </c>
      <c r="Y681" s="135">
        <v>7.9060326774259601E-2</v>
      </c>
      <c r="Z681" s="135">
        <v>8.5175161193433893E-2</v>
      </c>
      <c r="AA681" s="135">
        <v>7.8849044740654295E-2</v>
      </c>
      <c r="AB681" s="135">
        <v>6.2199839614069503E-2</v>
      </c>
      <c r="AC681" s="135">
        <v>3.33752727272053E-2</v>
      </c>
      <c r="AD681" s="135">
        <v>1.7039686273112899E-2</v>
      </c>
      <c r="AF681" s="243">
        <f t="shared" si="11"/>
        <v>0.34707479519268503</v>
      </c>
      <c r="AG681" s="275">
        <f t="shared" si="12"/>
        <v>0.4106423143002349</v>
      </c>
      <c r="AH681" s="391">
        <f t="shared" si="13"/>
        <v>0.6110138966038321</v>
      </c>
      <c r="AI681" s="135">
        <f t="shared" si="14"/>
        <v>1.021656210904067</v>
      </c>
    </row>
    <row r="682" spans="1:35" ht="12.6">
      <c r="A682" s="10" t="s">
        <v>61</v>
      </c>
      <c r="B682" s="10">
        <v>316</v>
      </c>
      <c r="C682" s="10" t="s">
        <v>1515</v>
      </c>
      <c r="D682" s="388">
        <v>45242</v>
      </c>
      <c r="E682" s="389">
        <v>45242</v>
      </c>
      <c r="F682" s="390" t="str">
        <f t="shared" si="10"/>
        <v>Lighting</v>
      </c>
      <c r="G682" s="135">
        <v>1.22771344760954E-2</v>
      </c>
      <c r="H682" s="135">
        <v>1.0347496637198699E-2</v>
      </c>
      <c r="I682" s="135">
        <v>1.0977292752670301E-2</v>
      </c>
      <c r="J682" s="135">
        <v>1.38352377350307E-2</v>
      </c>
      <c r="K682" s="135">
        <v>1.51269995680334E-2</v>
      </c>
      <c r="L682" s="135">
        <v>2.20433109107658E-2</v>
      </c>
      <c r="M682" s="135">
        <v>3.4433947193689703E-2</v>
      </c>
      <c r="N682" s="135">
        <v>4.3901360406232298E-2</v>
      </c>
      <c r="O682" s="135">
        <v>4.6768036240801697E-2</v>
      </c>
      <c r="P682" s="135">
        <v>5.3374555001188602E-2</v>
      </c>
      <c r="Q682" s="135">
        <v>5.39404503573696E-2</v>
      </c>
      <c r="R682" s="135">
        <v>5.1948408808882698E-2</v>
      </c>
      <c r="S682" s="135">
        <v>5.2356564432465801E-2</v>
      </c>
      <c r="T682" s="135">
        <v>4.39183954108254E-2</v>
      </c>
      <c r="U682" s="135">
        <v>4.5194275825325897E-2</v>
      </c>
      <c r="V682" s="135">
        <v>4.6630687670045599E-2</v>
      </c>
      <c r="W682" s="135">
        <v>5.3086012687770003E-2</v>
      </c>
      <c r="X682" s="135">
        <v>5.5796713466939998E-2</v>
      </c>
      <c r="Y682" s="135">
        <v>7.9060326774259601E-2</v>
      </c>
      <c r="Z682" s="135">
        <v>8.5175161193433893E-2</v>
      </c>
      <c r="AA682" s="135">
        <v>7.8849044740654295E-2</v>
      </c>
      <c r="AB682" s="135">
        <v>6.2199839614069503E-2</v>
      </c>
      <c r="AC682" s="135">
        <v>3.33752727272053E-2</v>
      </c>
      <c r="AD682" s="135">
        <v>1.7039686273112899E-2</v>
      </c>
      <c r="AF682" s="243">
        <f t="shared" si="11"/>
        <v>0.34707479519268503</v>
      </c>
      <c r="AG682" s="275">
        <f t="shared" si="12"/>
        <v>0.4106423143002349</v>
      </c>
      <c r="AH682" s="391">
        <f t="shared" si="13"/>
        <v>0.6110138966038321</v>
      </c>
      <c r="AI682" s="135">
        <f t="shared" si="14"/>
        <v>1.021656210904067</v>
      </c>
    </row>
    <row r="683" spans="1:35" ht="12.6">
      <c r="A683" s="10" t="s">
        <v>61</v>
      </c>
      <c r="B683" s="10">
        <v>317</v>
      </c>
      <c r="C683" s="10" t="s">
        <v>1515</v>
      </c>
      <c r="D683" s="388">
        <v>45243</v>
      </c>
      <c r="E683" s="389">
        <v>45243</v>
      </c>
      <c r="F683" s="390" t="str">
        <f t="shared" si="10"/>
        <v>Lighting</v>
      </c>
      <c r="G683" s="135">
        <v>1.08640999630958E-2</v>
      </c>
      <c r="H683" s="135">
        <v>9.0764186586465897E-3</v>
      </c>
      <c r="I683" s="135">
        <v>9.3560883873425905E-3</v>
      </c>
      <c r="J683" s="135">
        <v>1.27530145505096E-2</v>
      </c>
      <c r="K683" s="135">
        <v>3.6914401553295E-2</v>
      </c>
      <c r="L683" s="135">
        <v>8.6146383840891794E-2</v>
      </c>
      <c r="M683" s="135">
        <v>8.5778723525706702E-2</v>
      </c>
      <c r="N683" s="135">
        <v>5.6714272660420402E-2</v>
      </c>
      <c r="O683" s="135">
        <v>3.4263135706434397E-2</v>
      </c>
      <c r="P683" s="135">
        <v>2.5716496770323199E-2</v>
      </c>
      <c r="Q683" s="135">
        <v>2.6987381932399499E-2</v>
      </c>
      <c r="R683" s="135">
        <v>2.5871676507430701E-2</v>
      </c>
      <c r="S683" s="135">
        <v>2.5860206126079199E-2</v>
      </c>
      <c r="T683" s="135">
        <v>2.3983911486287899E-2</v>
      </c>
      <c r="U683" s="135">
        <v>2.45985745977415E-2</v>
      </c>
      <c r="V683" s="135">
        <v>2.9189334768982299E-2</v>
      </c>
      <c r="W683" s="135">
        <v>4.2356225841232303E-2</v>
      </c>
      <c r="X683" s="135">
        <v>6.4124437087391295E-2</v>
      </c>
      <c r="Y683" s="135">
        <v>8.9534915468690607E-2</v>
      </c>
      <c r="Z683" s="135">
        <v>9.7739032989919303E-2</v>
      </c>
      <c r="AA683" s="135">
        <v>8.7593665379767996E-2</v>
      </c>
      <c r="AB683" s="135">
        <v>6.3550754957384201E-2</v>
      </c>
      <c r="AC683" s="135">
        <v>3.1335961827832E-2</v>
      </c>
      <c r="AD683" s="135">
        <v>1.5875620156787101E-2</v>
      </c>
      <c r="AF683" s="243">
        <f t="shared" si="11"/>
        <v>0.1988473112601534</v>
      </c>
      <c r="AG683" s="275">
        <f t="shared" si="12"/>
        <v>0.44408896528443043</v>
      </c>
      <c r="AH683" s="391">
        <f t="shared" si="13"/>
        <v>0.57209576946016161</v>
      </c>
      <c r="AI683" s="135">
        <f t="shared" si="14"/>
        <v>1.016184734744592</v>
      </c>
    </row>
    <row r="684" spans="1:35" ht="12.6">
      <c r="A684" s="10" t="s">
        <v>61</v>
      </c>
      <c r="B684" s="10">
        <v>318</v>
      </c>
      <c r="C684" s="10" t="s">
        <v>1515</v>
      </c>
      <c r="D684" s="388">
        <v>45244</v>
      </c>
      <c r="E684" s="389">
        <v>45244</v>
      </c>
      <c r="F684" s="390" t="str">
        <f t="shared" si="10"/>
        <v>Lighting</v>
      </c>
      <c r="G684" s="135">
        <v>1.08640999630958E-2</v>
      </c>
      <c r="H684" s="135">
        <v>9.0764186586465897E-3</v>
      </c>
      <c r="I684" s="135">
        <v>9.3560883873425905E-3</v>
      </c>
      <c r="J684" s="135">
        <v>1.27530145505096E-2</v>
      </c>
      <c r="K684" s="135">
        <v>3.6914401553295E-2</v>
      </c>
      <c r="L684" s="135">
        <v>8.6146383840891794E-2</v>
      </c>
      <c r="M684" s="135">
        <v>8.5778723525706702E-2</v>
      </c>
      <c r="N684" s="135">
        <v>5.6714272660420402E-2</v>
      </c>
      <c r="O684" s="135">
        <v>3.4263135706434397E-2</v>
      </c>
      <c r="P684" s="135">
        <v>2.5716496770323199E-2</v>
      </c>
      <c r="Q684" s="135">
        <v>2.6987381932399499E-2</v>
      </c>
      <c r="R684" s="135">
        <v>2.5871676507430701E-2</v>
      </c>
      <c r="S684" s="135">
        <v>2.5860206126079199E-2</v>
      </c>
      <c r="T684" s="135">
        <v>2.3983911486287899E-2</v>
      </c>
      <c r="U684" s="135">
        <v>2.45985745977415E-2</v>
      </c>
      <c r="V684" s="135">
        <v>2.9189334768982299E-2</v>
      </c>
      <c r="W684" s="135">
        <v>4.2356225841232303E-2</v>
      </c>
      <c r="X684" s="135">
        <v>6.4124437087391295E-2</v>
      </c>
      <c r="Y684" s="135">
        <v>8.9534915468690607E-2</v>
      </c>
      <c r="Z684" s="135">
        <v>9.7739032989919303E-2</v>
      </c>
      <c r="AA684" s="135">
        <v>8.7593665379767996E-2</v>
      </c>
      <c r="AB684" s="135">
        <v>6.3550754957384201E-2</v>
      </c>
      <c r="AC684" s="135">
        <v>3.1335961827832E-2</v>
      </c>
      <c r="AD684" s="135">
        <v>1.5875620156787101E-2</v>
      </c>
      <c r="AF684" s="243">
        <f t="shared" si="11"/>
        <v>0.1988473112601534</v>
      </c>
      <c r="AG684" s="275">
        <f t="shared" si="12"/>
        <v>0.44408896528443043</v>
      </c>
      <c r="AH684" s="391">
        <f t="shared" si="13"/>
        <v>0.57209576946016161</v>
      </c>
      <c r="AI684" s="135">
        <f t="shared" si="14"/>
        <v>1.016184734744592</v>
      </c>
    </row>
    <row r="685" spans="1:35" ht="12.6">
      <c r="A685" s="10" t="s">
        <v>61</v>
      </c>
      <c r="B685" s="10">
        <v>319</v>
      </c>
      <c r="C685" s="10" t="s">
        <v>1515</v>
      </c>
      <c r="D685" s="388">
        <v>45245</v>
      </c>
      <c r="E685" s="389">
        <v>45245</v>
      </c>
      <c r="F685" s="390" t="str">
        <f t="shared" si="10"/>
        <v>Lighting</v>
      </c>
      <c r="G685" s="135">
        <v>1.08640999630958E-2</v>
      </c>
      <c r="H685" s="135">
        <v>9.0764186586465897E-3</v>
      </c>
      <c r="I685" s="135">
        <v>9.3560883873425905E-3</v>
      </c>
      <c r="J685" s="135">
        <v>1.27530145505096E-2</v>
      </c>
      <c r="K685" s="135">
        <v>3.6914401553295E-2</v>
      </c>
      <c r="L685" s="135">
        <v>8.6146383840891794E-2</v>
      </c>
      <c r="M685" s="135">
        <v>8.5778723525706702E-2</v>
      </c>
      <c r="N685" s="135">
        <v>5.6714272660420402E-2</v>
      </c>
      <c r="O685" s="135">
        <v>3.4263135706434397E-2</v>
      </c>
      <c r="P685" s="135">
        <v>2.5716496770323199E-2</v>
      </c>
      <c r="Q685" s="135">
        <v>2.6987381932399499E-2</v>
      </c>
      <c r="R685" s="135">
        <v>2.5871676507430701E-2</v>
      </c>
      <c r="S685" s="135">
        <v>2.5860206126079199E-2</v>
      </c>
      <c r="T685" s="135">
        <v>2.3983911486287899E-2</v>
      </c>
      <c r="U685" s="135">
        <v>2.45985745977415E-2</v>
      </c>
      <c r="V685" s="135">
        <v>2.9189334768982299E-2</v>
      </c>
      <c r="W685" s="135">
        <v>4.2356225841232303E-2</v>
      </c>
      <c r="X685" s="135">
        <v>6.4124437087391295E-2</v>
      </c>
      <c r="Y685" s="135">
        <v>8.9534915468690607E-2</v>
      </c>
      <c r="Z685" s="135">
        <v>9.7739032989919303E-2</v>
      </c>
      <c r="AA685" s="135">
        <v>8.7593665379767996E-2</v>
      </c>
      <c r="AB685" s="135">
        <v>6.3550754957384201E-2</v>
      </c>
      <c r="AC685" s="135">
        <v>3.1335961827832E-2</v>
      </c>
      <c r="AD685" s="135">
        <v>1.5875620156787101E-2</v>
      </c>
      <c r="AF685" s="243">
        <f t="shared" si="11"/>
        <v>0.1988473112601534</v>
      </c>
      <c r="AG685" s="275">
        <f t="shared" si="12"/>
        <v>0.44408896528443043</v>
      </c>
      <c r="AH685" s="391">
        <f t="shared" si="13"/>
        <v>0.57209576946016161</v>
      </c>
      <c r="AI685" s="135">
        <f t="shared" si="14"/>
        <v>1.016184734744592</v>
      </c>
    </row>
    <row r="686" spans="1:35" ht="12.6">
      <c r="A686" s="10" t="s">
        <v>61</v>
      </c>
      <c r="B686" s="10">
        <v>320</v>
      </c>
      <c r="C686" s="10" t="s">
        <v>1515</v>
      </c>
      <c r="D686" s="388">
        <v>45246</v>
      </c>
      <c r="E686" s="389">
        <v>45246</v>
      </c>
      <c r="F686" s="390" t="str">
        <f t="shared" si="10"/>
        <v>Lighting</v>
      </c>
      <c r="G686" s="135">
        <v>1.08640999630958E-2</v>
      </c>
      <c r="H686" s="135">
        <v>9.0764186586465897E-3</v>
      </c>
      <c r="I686" s="135">
        <v>9.3560883873425905E-3</v>
      </c>
      <c r="J686" s="135">
        <v>1.27530145505096E-2</v>
      </c>
      <c r="K686" s="135">
        <v>3.6914401553295E-2</v>
      </c>
      <c r="L686" s="135">
        <v>8.6146383840891794E-2</v>
      </c>
      <c r="M686" s="135">
        <v>8.5778723525706702E-2</v>
      </c>
      <c r="N686" s="135">
        <v>5.6714272660420402E-2</v>
      </c>
      <c r="O686" s="135">
        <v>3.4263135706434397E-2</v>
      </c>
      <c r="P686" s="135">
        <v>2.5716496770323199E-2</v>
      </c>
      <c r="Q686" s="135">
        <v>2.6987381932399499E-2</v>
      </c>
      <c r="R686" s="135">
        <v>2.5871676507430701E-2</v>
      </c>
      <c r="S686" s="135">
        <v>2.5860206126079199E-2</v>
      </c>
      <c r="T686" s="135">
        <v>2.3983911486287899E-2</v>
      </c>
      <c r="U686" s="135">
        <v>2.45985745977415E-2</v>
      </c>
      <c r="V686" s="135">
        <v>2.9189334768982299E-2</v>
      </c>
      <c r="W686" s="135">
        <v>4.2356225841232303E-2</v>
      </c>
      <c r="X686" s="135">
        <v>6.4124437087391295E-2</v>
      </c>
      <c r="Y686" s="135">
        <v>8.9534915468690607E-2</v>
      </c>
      <c r="Z686" s="135">
        <v>9.7739032989919303E-2</v>
      </c>
      <c r="AA686" s="135">
        <v>8.7593665379767996E-2</v>
      </c>
      <c r="AB686" s="135">
        <v>6.3550754957384201E-2</v>
      </c>
      <c r="AC686" s="135">
        <v>3.1335961827832E-2</v>
      </c>
      <c r="AD686" s="135">
        <v>1.5875620156787101E-2</v>
      </c>
      <c r="AF686" s="243">
        <f t="shared" si="11"/>
        <v>0.1988473112601534</v>
      </c>
      <c r="AG686" s="275">
        <f t="shared" si="12"/>
        <v>0.44408896528443043</v>
      </c>
      <c r="AH686" s="391">
        <f t="shared" si="13"/>
        <v>0.57209576946016161</v>
      </c>
      <c r="AI686" s="135">
        <f t="shared" si="14"/>
        <v>1.016184734744592</v>
      </c>
    </row>
    <row r="687" spans="1:35" ht="12.6">
      <c r="A687" s="10" t="s">
        <v>61</v>
      </c>
      <c r="B687" s="10">
        <v>321</v>
      </c>
      <c r="C687" s="10" t="s">
        <v>1515</v>
      </c>
      <c r="D687" s="388">
        <v>45247</v>
      </c>
      <c r="E687" s="389">
        <v>45247</v>
      </c>
      <c r="F687" s="390" t="str">
        <f t="shared" si="10"/>
        <v>Lighting</v>
      </c>
      <c r="G687" s="135">
        <v>1.08640999630958E-2</v>
      </c>
      <c r="H687" s="135">
        <v>9.0764186586465897E-3</v>
      </c>
      <c r="I687" s="135">
        <v>9.3560883873425905E-3</v>
      </c>
      <c r="J687" s="135">
        <v>1.27530145505096E-2</v>
      </c>
      <c r="K687" s="135">
        <v>3.6914401553295E-2</v>
      </c>
      <c r="L687" s="135">
        <v>8.6146383840891794E-2</v>
      </c>
      <c r="M687" s="135">
        <v>8.5778723525706702E-2</v>
      </c>
      <c r="N687" s="135">
        <v>5.6714272660420402E-2</v>
      </c>
      <c r="O687" s="135">
        <v>3.4263135706434397E-2</v>
      </c>
      <c r="P687" s="135">
        <v>2.5716496770323199E-2</v>
      </c>
      <c r="Q687" s="135">
        <v>2.6987381932399499E-2</v>
      </c>
      <c r="R687" s="135">
        <v>2.5871676507430701E-2</v>
      </c>
      <c r="S687" s="135">
        <v>2.5860206126079199E-2</v>
      </c>
      <c r="T687" s="135">
        <v>2.3983911486287899E-2</v>
      </c>
      <c r="U687" s="135">
        <v>2.45985745977415E-2</v>
      </c>
      <c r="V687" s="135">
        <v>2.9189334768982299E-2</v>
      </c>
      <c r="W687" s="135">
        <v>4.2356225841232303E-2</v>
      </c>
      <c r="X687" s="135">
        <v>6.4124437087391295E-2</v>
      </c>
      <c r="Y687" s="135">
        <v>8.9534915468690607E-2</v>
      </c>
      <c r="Z687" s="135">
        <v>9.7739032989919303E-2</v>
      </c>
      <c r="AA687" s="135">
        <v>8.7593665379767996E-2</v>
      </c>
      <c r="AB687" s="135">
        <v>6.3550754957384201E-2</v>
      </c>
      <c r="AC687" s="135">
        <v>3.1335961827832E-2</v>
      </c>
      <c r="AD687" s="135">
        <v>1.5875620156787101E-2</v>
      </c>
      <c r="AF687" s="243">
        <f t="shared" si="11"/>
        <v>0.1988473112601534</v>
      </c>
      <c r="AG687" s="275">
        <f t="shared" si="12"/>
        <v>0.44408896528443043</v>
      </c>
      <c r="AH687" s="391">
        <f t="shared" si="13"/>
        <v>0.57209576946016161</v>
      </c>
      <c r="AI687" s="135">
        <f t="shared" si="14"/>
        <v>1.016184734744592</v>
      </c>
    </row>
    <row r="688" spans="1:35" ht="12.6">
      <c r="A688" s="10" t="s">
        <v>61</v>
      </c>
      <c r="B688" s="10">
        <v>322</v>
      </c>
      <c r="C688" s="10" t="s">
        <v>1515</v>
      </c>
      <c r="D688" s="388">
        <v>45248</v>
      </c>
      <c r="E688" s="389">
        <v>45248</v>
      </c>
      <c r="F688" s="390" t="str">
        <f t="shared" si="10"/>
        <v>Lighting</v>
      </c>
      <c r="G688" s="135">
        <v>1.22771344760954E-2</v>
      </c>
      <c r="H688" s="135">
        <v>1.0347496637198699E-2</v>
      </c>
      <c r="I688" s="135">
        <v>1.0977292752670301E-2</v>
      </c>
      <c r="J688" s="135">
        <v>1.38352377350307E-2</v>
      </c>
      <c r="K688" s="135">
        <v>1.51269995680334E-2</v>
      </c>
      <c r="L688" s="135">
        <v>2.20433109107658E-2</v>
      </c>
      <c r="M688" s="135">
        <v>3.4433947193689703E-2</v>
      </c>
      <c r="N688" s="135">
        <v>4.3901360406232298E-2</v>
      </c>
      <c r="O688" s="135">
        <v>4.6768036240801697E-2</v>
      </c>
      <c r="P688" s="135">
        <v>5.3374555001188602E-2</v>
      </c>
      <c r="Q688" s="135">
        <v>5.39404503573696E-2</v>
      </c>
      <c r="R688" s="135">
        <v>5.1948408808882698E-2</v>
      </c>
      <c r="S688" s="135">
        <v>5.2356564432465801E-2</v>
      </c>
      <c r="T688" s="135">
        <v>4.39183954108254E-2</v>
      </c>
      <c r="U688" s="135">
        <v>4.5194275825325897E-2</v>
      </c>
      <c r="V688" s="135">
        <v>4.6630687670045599E-2</v>
      </c>
      <c r="W688" s="135">
        <v>5.3086012687770003E-2</v>
      </c>
      <c r="X688" s="135">
        <v>5.5796713466939998E-2</v>
      </c>
      <c r="Y688" s="135">
        <v>7.9060326774259601E-2</v>
      </c>
      <c r="Z688" s="135">
        <v>8.5175161193433893E-2</v>
      </c>
      <c r="AA688" s="135">
        <v>7.8849044740654295E-2</v>
      </c>
      <c r="AB688" s="135">
        <v>6.2199839614069503E-2</v>
      </c>
      <c r="AC688" s="135">
        <v>3.33752727272053E-2</v>
      </c>
      <c r="AD688" s="135">
        <v>1.7039686273112899E-2</v>
      </c>
      <c r="AF688" s="243">
        <f t="shared" si="11"/>
        <v>0.34707479519268503</v>
      </c>
      <c r="AG688" s="275">
        <f t="shared" si="12"/>
        <v>0.4106423143002349</v>
      </c>
      <c r="AH688" s="391">
        <f t="shared" si="13"/>
        <v>0.6110138966038321</v>
      </c>
      <c r="AI688" s="135">
        <f t="shared" si="14"/>
        <v>1.021656210904067</v>
      </c>
    </row>
    <row r="689" spans="1:35" ht="12.6">
      <c r="A689" s="10" t="s">
        <v>61</v>
      </c>
      <c r="B689" s="10">
        <v>323</v>
      </c>
      <c r="C689" s="10" t="s">
        <v>1515</v>
      </c>
      <c r="D689" s="388">
        <v>45249</v>
      </c>
      <c r="E689" s="389">
        <v>45249</v>
      </c>
      <c r="F689" s="390" t="str">
        <f t="shared" si="10"/>
        <v>Lighting</v>
      </c>
      <c r="G689" s="135">
        <v>1.22771344760954E-2</v>
      </c>
      <c r="H689" s="135">
        <v>1.0347496637198699E-2</v>
      </c>
      <c r="I689" s="135">
        <v>1.0977292752670301E-2</v>
      </c>
      <c r="J689" s="135">
        <v>1.38352377350307E-2</v>
      </c>
      <c r="K689" s="135">
        <v>1.51269995680334E-2</v>
      </c>
      <c r="L689" s="135">
        <v>2.20433109107658E-2</v>
      </c>
      <c r="M689" s="135">
        <v>3.4433947193689703E-2</v>
      </c>
      <c r="N689" s="135">
        <v>4.3901360406232298E-2</v>
      </c>
      <c r="O689" s="135">
        <v>4.6768036240801697E-2</v>
      </c>
      <c r="P689" s="135">
        <v>5.3374555001188602E-2</v>
      </c>
      <c r="Q689" s="135">
        <v>5.39404503573696E-2</v>
      </c>
      <c r="R689" s="135">
        <v>5.1948408808882698E-2</v>
      </c>
      <c r="S689" s="135">
        <v>5.2356564432465801E-2</v>
      </c>
      <c r="T689" s="135">
        <v>4.39183954108254E-2</v>
      </c>
      <c r="U689" s="135">
        <v>4.5194275825325897E-2</v>
      </c>
      <c r="V689" s="135">
        <v>4.6630687670045599E-2</v>
      </c>
      <c r="W689" s="135">
        <v>5.3086012687770003E-2</v>
      </c>
      <c r="X689" s="135">
        <v>5.5796713466939998E-2</v>
      </c>
      <c r="Y689" s="135">
        <v>7.9060326774259601E-2</v>
      </c>
      <c r="Z689" s="135">
        <v>8.5175161193433893E-2</v>
      </c>
      <c r="AA689" s="135">
        <v>7.8849044740654295E-2</v>
      </c>
      <c r="AB689" s="135">
        <v>6.2199839614069503E-2</v>
      </c>
      <c r="AC689" s="135">
        <v>3.33752727272053E-2</v>
      </c>
      <c r="AD689" s="135">
        <v>1.7039686273112899E-2</v>
      </c>
      <c r="AF689" s="243">
        <f t="shared" si="11"/>
        <v>0.34707479519268503</v>
      </c>
      <c r="AG689" s="275">
        <f t="shared" si="12"/>
        <v>0.4106423143002349</v>
      </c>
      <c r="AH689" s="391">
        <f t="shared" si="13"/>
        <v>0.6110138966038321</v>
      </c>
      <c r="AI689" s="135">
        <f t="shared" si="14"/>
        <v>1.021656210904067</v>
      </c>
    </row>
    <row r="690" spans="1:35" ht="12.6">
      <c r="A690" s="10" t="s">
        <v>61</v>
      </c>
      <c r="B690" s="10">
        <v>324</v>
      </c>
      <c r="C690" s="10" t="s">
        <v>1515</v>
      </c>
      <c r="D690" s="388">
        <v>45250</v>
      </c>
      <c r="E690" s="389">
        <v>45250</v>
      </c>
      <c r="F690" s="390" t="str">
        <f t="shared" si="10"/>
        <v>Lighting</v>
      </c>
      <c r="G690" s="135">
        <v>1.08640999630958E-2</v>
      </c>
      <c r="H690" s="135">
        <v>9.0764186586465897E-3</v>
      </c>
      <c r="I690" s="135">
        <v>9.3560883873425905E-3</v>
      </c>
      <c r="J690" s="135">
        <v>1.27530145505096E-2</v>
      </c>
      <c r="K690" s="135">
        <v>3.6914401553295E-2</v>
      </c>
      <c r="L690" s="135">
        <v>8.6146383840891794E-2</v>
      </c>
      <c r="M690" s="135">
        <v>8.5778723525706702E-2</v>
      </c>
      <c r="N690" s="135">
        <v>5.6714272660420402E-2</v>
      </c>
      <c r="O690" s="135">
        <v>3.4263135706434397E-2</v>
      </c>
      <c r="P690" s="135">
        <v>2.5716496770323199E-2</v>
      </c>
      <c r="Q690" s="135">
        <v>2.6987381932399499E-2</v>
      </c>
      <c r="R690" s="135">
        <v>2.5871676507430701E-2</v>
      </c>
      <c r="S690" s="135">
        <v>2.5860206126079199E-2</v>
      </c>
      <c r="T690" s="135">
        <v>2.3983911486287899E-2</v>
      </c>
      <c r="U690" s="135">
        <v>2.45985745977415E-2</v>
      </c>
      <c r="V690" s="135">
        <v>2.9189334768982299E-2</v>
      </c>
      <c r="W690" s="135">
        <v>4.2356225841232303E-2</v>
      </c>
      <c r="X690" s="135">
        <v>6.4124437087391295E-2</v>
      </c>
      <c r="Y690" s="135">
        <v>8.9534915468690607E-2</v>
      </c>
      <c r="Z690" s="135">
        <v>9.7739032989919303E-2</v>
      </c>
      <c r="AA690" s="135">
        <v>8.7593665379767996E-2</v>
      </c>
      <c r="AB690" s="135">
        <v>6.3550754957384201E-2</v>
      </c>
      <c r="AC690" s="135">
        <v>3.1335961827832E-2</v>
      </c>
      <c r="AD690" s="135">
        <v>1.5875620156787101E-2</v>
      </c>
      <c r="AF690" s="243">
        <f t="shared" si="11"/>
        <v>0.1988473112601534</v>
      </c>
      <c r="AG690" s="275">
        <f t="shared" si="12"/>
        <v>0.44408896528443043</v>
      </c>
      <c r="AH690" s="391">
        <f t="shared" si="13"/>
        <v>0.57209576946016161</v>
      </c>
      <c r="AI690" s="135">
        <f t="shared" si="14"/>
        <v>1.016184734744592</v>
      </c>
    </row>
    <row r="691" spans="1:35" ht="12.6">
      <c r="A691" s="10" t="s">
        <v>61</v>
      </c>
      <c r="B691" s="10">
        <v>325</v>
      </c>
      <c r="C691" s="10" t="s">
        <v>1515</v>
      </c>
      <c r="D691" s="388">
        <v>45251</v>
      </c>
      <c r="E691" s="389">
        <v>45251</v>
      </c>
      <c r="F691" s="390" t="str">
        <f t="shared" si="10"/>
        <v>Lighting</v>
      </c>
      <c r="G691" s="135">
        <v>1.08640999630958E-2</v>
      </c>
      <c r="H691" s="135">
        <v>9.0764186586465897E-3</v>
      </c>
      <c r="I691" s="135">
        <v>9.3560883873425905E-3</v>
      </c>
      <c r="J691" s="135">
        <v>1.27530145505096E-2</v>
      </c>
      <c r="K691" s="135">
        <v>3.6914401553295E-2</v>
      </c>
      <c r="L691" s="135">
        <v>8.6146383840891794E-2</v>
      </c>
      <c r="M691" s="135">
        <v>8.5778723525706702E-2</v>
      </c>
      <c r="N691" s="135">
        <v>5.6714272660420402E-2</v>
      </c>
      <c r="O691" s="135">
        <v>3.4263135706434397E-2</v>
      </c>
      <c r="P691" s="135">
        <v>2.5716496770323199E-2</v>
      </c>
      <c r="Q691" s="135">
        <v>2.6987381932399499E-2</v>
      </c>
      <c r="R691" s="135">
        <v>2.5871676507430701E-2</v>
      </c>
      <c r="S691" s="135">
        <v>2.5860206126079199E-2</v>
      </c>
      <c r="T691" s="135">
        <v>2.3983911486287899E-2</v>
      </c>
      <c r="U691" s="135">
        <v>2.45985745977415E-2</v>
      </c>
      <c r="V691" s="135">
        <v>2.9189334768982299E-2</v>
      </c>
      <c r="W691" s="135">
        <v>4.2356225841232303E-2</v>
      </c>
      <c r="X691" s="135">
        <v>6.4124437087391295E-2</v>
      </c>
      <c r="Y691" s="135">
        <v>8.9534915468690607E-2</v>
      </c>
      <c r="Z691" s="135">
        <v>9.7739032989919303E-2</v>
      </c>
      <c r="AA691" s="135">
        <v>8.7593665379767996E-2</v>
      </c>
      <c r="AB691" s="135">
        <v>6.3550754957384201E-2</v>
      </c>
      <c r="AC691" s="135">
        <v>3.1335961827832E-2</v>
      </c>
      <c r="AD691" s="135">
        <v>1.5875620156787101E-2</v>
      </c>
      <c r="AF691" s="243">
        <f t="shared" si="11"/>
        <v>0.1988473112601534</v>
      </c>
      <c r="AG691" s="275">
        <f t="shared" si="12"/>
        <v>0.44408896528443043</v>
      </c>
      <c r="AH691" s="391">
        <f t="shared" si="13"/>
        <v>0.57209576946016161</v>
      </c>
      <c r="AI691" s="135">
        <f t="shared" si="14"/>
        <v>1.016184734744592</v>
      </c>
    </row>
    <row r="692" spans="1:35" ht="12.6">
      <c r="A692" s="10" t="s">
        <v>61</v>
      </c>
      <c r="B692" s="10">
        <v>326</v>
      </c>
      <c r="C692" s="10" t="s">
        <v>1515</v>
      </c>
      <c r="D692" s="388">
        <v>45252</v>
      </c>
      <c r="E692" s="389">
        <v>45252</v>
      </c>
      <c r="F692" s="390" t="str">
        <f t="shared" si="10"/>
        <v>Lighting</v>
      </c>
      <c r="G692" s="135">
        <v>1.08640999630958E-2</v>
      </c>
      <c r="H692" s="135">
        <v>9.0764186586465897E-3</v>
      </c>
      <c r="I692" s="135">
        <v>9.3560883873425905E-3</v>
      </c>
      <c r="J692" s="135">
        <v>1.27530145505096E-2</v>
      </c>
      <c r="K692" s="135">
        <v>3.6914401553295E-2</v>
      </c>
      <c r="L692" s="135">
        <v>8.6146383840891794E-2</v>
      </c>
      <c r="M692" s="135">
        <v>8.5778723525706702E-2</v>
      </c>
      <c r="N692" s="135">
        <v>5.6714272660420402E-2</v>
      </c>
      <c r="O692" s="135">
        <v>3.4263135706434397E-2</v>
      </c>
      <c r="P692" s="135">
        <v>2.5716496770323199E-2</v>
      </c>
      <c r="Q692" s="135">
        <v>2.6987381932399499E-2</v>
      </c>
      <c r="R692" s="135">
        <v>2.5871676507430701E-2</v>
      </c>
      <c r="S692" s="135">
        <v>2.5860206126079199E-2</v>
      </c>
      <c r="T692" s="135">
        <v>2.3983911486287899E-2</v>
      </c>
      <c r="U692" s="135">
        <v>2.45985745977415E-2</v>
      </c>
      <c r="V692" s="135">
        <v>2.9189334768982299E-2</v>
      </c>
      <c r="W692" s="135">
        <v>4.2356225841232303E-2</v>
      </c>
      <c r="X692" s="135">
        <v>6.4124437087391295E-2</v>
      </c>
      <c r="Y692" s="135">
        <v>8.9534915468690607E-2</v>
      </c>
      <c r="Z692" s="135">
        <v>9.7739032989919303E-2</v>
      </c>
      <c r="AA692" s="135">
        <v>8.7593665379767996E-2</v>
      </c>
      <c r="AB692" s="135">
        <v>6.3550754957384201E-2</v>
      </c>
      <c r="AC692" s="135">
        <v>3.1335961827832E-2</v>
      </c>
      <c r="AD692" s="135">
        <v>1.5875620156787101E-2</v>
      </c>
      <c r="AF692" s="243">
        <f t="shared" si="11"/>
        <v>0.1988473112601534</v>
      </c>
      <c r="AG692" s="275">
        <f t="shared" si="12"/>
        <v>0.44408896528443043</v>
      </c>
      <c r="AH692" s="391">
        <f t="shared" si="13"/>
        <v>0.57209576946016161</v>
      </c>
      <c r="AI692" s="135">
        <f t="shared" si="14"/>
        <v>1.016184734744592</v>
      </c>
    </row>
    <row r="693" spans="1:35" ht="12.6">
      <c r="A693" s="10" t="s">
        <v>61</v>
      </c>
      <c r="B693" s="10">
        <v>327</v>
      </c>
      <c r="C693" s="10" t="s">
        <v>1515</v>
      </c>
      <c r="D693" s="388">
        <v>45253</v>
      </c>
      <c r="E693" s="389">
        <v>45253</v>
      </c>
      <c r="F693" s="390" t="str">
        <f t="shared" si="10"/>
        <v>Lighting</v>
      </c>
      <c r="G693" s="135">
        <v>1.08640999630958E-2</v>
      </c>
      <c r="H693" s="135">
        <v>9.0764186586465897E-3</v>
      </c>
      <c r="I693" s="135">
        <v>9.3560883873425905E-3</v>
      </c>
      <c r="J693" s="135">
        <v>1.27530145505096E-2</v>
      </c>
      <c r="K693" s="135">
        <v>3.6914401553295E-2</v>
      </c>
      <c r="L693" s="135">
        <v>8.6146383840891794E-2</v>
      </c>
      <c r="M693" s="135">
        <v>8.5778723525706702E-2</v>
      </c>
      <c r="N693" s="135">
        <v>5.6714272660420402E-2</v>
      </c>
      <c r="O693" s="135">
        <v>3.4263135706434397E-2</v>
      </c>
      <c r="P693" s="135">
        <v>2.5716496770323199E-2</v>
      </c>
      <c r="Q693" s="135">
        <v>2.6987381932399499E-2</v>
      </c>
      <c r="R693" s="135">
        <v>2.5871676507430701E-2</v>
      </c>
      <c r="S693" s="135">
        <v>2.5860206126079199E-2</v>
      </c>
      <c r="T693" s="135">
        <v>2.3983911486287899E-2</v>
      </c>
      <c r="U693" s="135">
        <v>2.45985745977415E-2</v>
      </c>
      <c r="V693" s="135">
        <v>2.9189334768982299E-2</v>
      </c>
      <c r="W693" s="135">
        <v>4.2356225841232303E-2</v>
      </c>
      <c r="X693" s="135">
        <v>6.4124437087391295E-2</v>
      </c>
      <c r="Y693" s="135">
        <v>8.9534915468690607E-2</v>
      </c>
      <c r="Z693" s="135">
        <v>9.7739032989919303E-2</v>
      </c>
      <c r="AA693" s="135">
        <v>8.7593665379767996E-2</v>
      </c>
      <c r="AB693" s="135">
        <v>6.3550754957384201E-2</v>
      </c>
      <c r="AC693" s="135">
        <v>3.1335961827832E-2</v>
      </c>
      <c r="AD693" s="135">
        <v>1.5875620156787101E-2</v>
      </c>
      <c r="AF693" s="243">
        <f t="shared" si="11"/>
        <v>0.1988473112601534</v>
      </c>
      <c r="AG693" s="275">
        <f t="shared" si="12"/>
        <v>0.44408896528443043</v>
      </c>
      <c r="AH693" s="391">
        <f t="shared" si="13"/>
        <v>0.57209576946016161</v>
      </c>
      <c r="AI693" s="135">
        <f t="shared" si="14"/>
        <v>1.016184734744592</v>
      </c>
    </row>
    <row r="694" spans="1:35" ht="12.6">
      <c r="A694" s="10" t="s">
        <v>61</v>
      </c>
      <c r="B694" s="10">
        <v>328</v>
      </c>
      <c r="C694" s="10" t="s">
        <v>1515</v>
      </c>
      <c r="D694" s="388">
        <v>45254</v>
      </c>
      <c r="E694" s="389">
        <v>45254</v>
      </c>
      <c r="F694" s="390" t="str">
        <f t="shared" si="10"/>
        <v>Lighting</v>
      </c>
      <c r="G694" s="135">
        <v>1.08640999630958E-2</v>
      </c>
      <c r="H694" s="135">
        <v>9.0764186586465897E-3</v>
      </c>
      <c r="I694" s="135">
        <v>9.3560883873425905E-3</v>
      </c>
      <c r="J694" s="135">
        <v>1.27530145505096E-2</v>
      </c>
      <c r="K694" s="135">
        <v>3.6914401553295E-2</v>
      </c>
      <c r="L694" s="135">
        <v>8.6146383840891794E-2</v>
      </c>
      <c r="M694" s="135">
        <v>8.5778723525706702E-2</v>
      </c>
      <c r="N694" s="135">
        <v>5.6714272660420402E-2</v>
      </c>
      <c r="O694" s="135">
        <v>3.4263135706434397E-2</v>
      </c>
      <c r="P694" s="135">
        <v>2.5716496770323199E-2</v>
      </c>
      <c r="Q694" s="135">
        <v>2.6987381932399499E-2</v>
      </c>
      <c r="R694" s="135">
        <v>2.5871676507430701E-2</v>
      </c>
      <c r="S694" s="135">
        <v>2.5860206126079199E-2</v>
      </c>
      <c r="T694" s="135">
        <v>2.3983911486287899E-2</v>
      </c>
      <c r="U694" s="135">
        <v>2.45985745977415E-2</v>
      </c>
      <c r="V694" s="135">
        <v>2.9189334768982299E-2</v>
      </c>
      <c r="W694" s="135">
        <v>4.2356225841232303E-2</v>
      </c>
      <c r="X694" s="135">
        <v>6.4124437087391295E-2</v>
      </c>
      <c r="Y694" s="135">
        <v>8.9534915468690607E-2</v>
      </c>
      <c r="Z694" s="135">
        <v>9.7739032989919303E-2</v>
      </c>
      <c r="AA694" s="135">
        <v>8.7593665379767996E-2</v>
      </c>
      <c r="AB694" s="135">
        <v>6.3550754957384201E-2</v>
      </c>
      <c r="AC694" s="135">
        <v>3.1335961827832E-2</v>
      </c>
      <c r="AD694" s="135">
        <v>1.5875620156787101E-2</v>
      </c>
      <c r="AF694" s="243">
        <f t="shared" si="11"/>
        <v>0.1988473112601534</v>
      </c>
      <c r="AG694" s="275">
        <f t="shared" si="12"/>
        <v>0.44408896528443043</v>
      </c>
      <c r="AH694" s="391">
        <f t="shared" si="13"/>
        <v>0.57209576946016161</v>
      </c>
      <c r="AI694" s="135">
        <f t="shared" si="14"/>
        <v>1.016184734744592</v>
      </c>
    </row>
    <row r="695" spans="1:35" ht="12.6">
      <c r="A695" s="10" t="s">
        <v>61</v>
      </c>
      <c r="B695" s="10">
        <v>329</v>
      </c>
      <c r="C695" s="10" t="s">
        <v>1515</v>
      </c>
      <c r="D695" s="388">
        <v>45255</v>
      </c>
      <c r="E695" s="389">
        <v>45255</v>
      </c>
      <c r="F695" s="390" t="str">
        <f t="shared" si="10"/>
        <v>Lighting</v>
      </c>
      <c r="G695" s="135">
        <v>1.22771344760954E-2</v>
      </c>
      <c r="H695" s="135">
        <v>1.0347496637198699E-2</v>
      </c>
      <c r="I695" s="135">
        <v>1.0977292752670301E-2</v>
      </c>
      <c r="J695" s="135">
        <v>1.38352377350307E-2</v>
      </c>
      <c r="K695" s="135">
        <v>1.51269995680334E-2</v>
      </c>
      <c r="L695" s="135">
        <v>2.20433109107658E-2</v>
      </c>
      <c r="M695" s="135">
        <v>3.4433947193689703E-2</v>
      </c>
      <c r="N695" s="135">
        <v>4.3901360406232298E-2</v>
      </c>
      <c r="O695" s="135">
        <v>4.6768036240801697E-2</v>
      </c>
      <c r="P695" s="135">
        <v>5.3374555001188602E-2</v>
      </c>
      <c r="Q695" s="135">
        <v>5.39404503573696E-2</v>
      </c>
      <c r="R695" s="135">
        <v>5.1948408808882698E-2</v>
      </c>
      <c r="S695" s="135">
        <v>5.2356564432465801E-2</v>
      </c>
      <c r="T695" s="135">
        <v>4.39183954108254E-2</v>
      </c>
      <c r="U695" s="135">
        <v>4.5194275825325897E-2</v>
      </c>
      <c r="V695" s="135">
        <v>4.6630687670045599E-2</v>
      </c>
      <c r="W695" s="135">
        <v>5.3086012687770003E-2</v>
      </c>
      <c r="X695" s="135">
        <v>5.5796713466939998E-2</v>
      </c>
      <c r="Y695" s="135">
        <v>7.9060326774259601E-2</v>
      </c>
      <c r="Z695" s="135">
        <v>8.5175161193433893E-2</v>
      </c>
      <c r="AA695" s="135">
        <v>7.8849044740654295E-2</v>
      </c>
      <c r="AB695" s="135">
        <v>6.2199839614069503E-2</v>
      </c>
      <c r="AC695" s="135">
        <v>3.33752727272053E-2</v>
      </c>
      <c r="AD695" s="135">
        <v>1.7039686273112899E-2</v>
      </c>
      <c r="AF695" s="243">
        <f t="shared" si="11"/>
        <v>0.34707479519268503</v>
      </c>
      <c r="AG695" s="275">
        <f t="shared" si="12"/>
        <v>0.4106423143002349</v>
      </c>
      <c r="AH695" s="391">
        <f t="shared" si="13"/>
        <v>0.6110138966038321</v>
      </c>
      <c r="AI695" s="135">
        <f t="shared" si="14"/>
        <v>1.021656210904067</v>
      </c>
    </row>
    <row r="696" spans="1:35" ht="12.6">
      <c r="A696" s="10" t="s">
        <v>61</v>
      </c>
      <c r="B696" s="10">
        <v>330</v>
      </c>
      <c r="C696" s="10" t="s">
        <v>1515</v>
      </c>
      <c r="D696" s="388">
        <v>45256</v>
      </c>
      <c r="E696" s="389">
        <v>45256</v>
      </c>
      <c r="F696" s="390" t="str">
        <f t="shared" si="10"/>
        <v>Lighting</v>
      </c>
      <c r="G696" s="135">
        <v>1.22771344760954E-2</v>
      </c>
      <c r="H696" s="135">
        <v>1.0347496637198699E-2</v>
      </c>
      <c r="I696" s="135">
        <v>1.0977292752670301E-2</v>
      </c>
      <c r="J696" s="135">
        <v>1.38352377350307E-2</v>
      </c>
      <c r="K696" s="135">
        <v>1.51269995680334E-2</v>
      </c>
      <c r="L696" s="135">
        <v>2.20433109107658E-2</v>
      </c>
      <c r="M696" s="135">
        <v>3.4433947193689703E-2</v>
      </c>
      <c r="N696" s="135">
        <v>4.3901360406232298E-2</v>
      </c>
      <c r="O696" s="135">
        <v>4.6768036240801697E-2</v>
      </c>
      <c r="P696" s="135">
        <v>5.3374555001188602E-2</v>
      </c>
      <c r="Q696" s="135">
        <v>5.39404503573696E-2</v>
      </c>
      <c r="R696" s="135">
        <v>5.1948408808882698E-2</v>
      </c>
      <c r="S696" s="135">
        <v>5.2356564432465801E-2</v>
      </c>
      <c r="T696" s="135">
        <v>4.39183954108254E-2</v>
      </c>
      <c r="U696" s="135">
        <v>4.5194275825325897E-2</v>
      </c>
      <c r="V696" s="135">
        <v>4.6630687670045599E-2</v>
      </c>
      <c r="W696" s="135">
        <v>5.3086012687770003E-2</v>
      </c>
      <c r="X696" s="135">
        <v>5.5796713466939998E-2</v>
      </c>
      <c r="Y696" s="135">
        <v>7.9060326774259601E-2</v>
      </c>
      <c r="Z696" s="135">
        <v>8.5175161193433893E-2</v>
      </c>
      <c r="AA696" s="135">
        <v>7.8849044740654295E-2</v>
      </c>
      <c r="AB696" s="135">
        <v>6.2199839614069503E-2</v>
      </c>
      <c r="AC696" s="135">
        <v>3.33752727272053E-2</v>
      </c>
      <c r="AD696" s="135">
        <v>1.7039686273112899E-2</v>
      </c>
      <c r="AF696" s="243">
        <f t="shared" si="11"/>
        <v>0.34707479519268503</v>
      </c>
      <c r="AG696" s="275">
        <f t="shared" si="12"/>
        <v>0.4106423143002349</v>
      </c>
      <c r="AH696" s="391">
        <f t="shared" si="13"/>
        <v>0.6110138966038321</v>
      </c>
      <c r="AI696" s="135">
        <f t="shared" si="14"/>
        <v>1.021656210904067</v>
      </c>
    </row>
    <row r="697" spans="1:35" ht="12.6">
      <c r="A697" s="10" t="s">
        <v>61</v>
      </c>
      <c r="B697" s="10">
        <v>331</v>
      </c>
      <c r="C697" s="10" t="s">
        <v>1515</v>
      </c>
      <c r="D697" s="388">
        <v>45257</v>
      </c>
      <c r="E697" s="389">
        <v>45257</v>
      </c>
      <c r="F697" s="390" t="str">
        <f t="shared" si="10"/>
        <v>Lighting</v>
      </c>
      <c r="G697" s="135">
        <v>1.08640999630958E-2</v>
      </c>
      <c r="H697" s="135">
        <v>9.0764186586465897E-3</v>
      </c>
      <c r="I697" s="135">
        <v>9.3560883873425905E-3</v>
      </c>
      <c r="J697" s="135">
        <v>1.27530145505096E-2</v>
      </c>
      <c r="K697" s="135">
        <v>3.6914401553295E-2</v>
      </c>
      <c r="L697" s="135">
        <v>8.6146383840891794E-2</v>
      </c>
      <c r="M697" s="135">
        <v>8.5778723525706702E-2</v>
      </c>
      <c r="N697" s="135">
        <v>5.6714272660420402E-2</v>
      </c>
      <c r="O697" s="135">
        <v>3.4263135706434397E-2</v>
      </c>
      <c r="P697" s="135">
        <v>2.5716496770323199E-2</v>
      </c>
      <c r="Q697" s="135">
        <v>2.6987381932399499E-2</v>
      </c>
      <c r="R697" s="135">
        <v>2.5871676507430701E-2</v>
      </c>
      <c r="S697" s="135">
        <v>2.5860206126079199E-2</v>
      </c>
      <c r="T697" s="135">
        <v>2.3983911486287899E-2</v>
      </c>
      <c r="U697" s="135">
        <v>2.45985745977415E-2</v>
      </c>
      <c r="V697" s="135">
        <v>2.9189334768982299E-2</v>
      </c>
      <c r="W697" s="135">
        <v>4.2356225841232303E-2</v>
      </c>
      <c r="X697" s="135">
        <v>6.4124437087391295E-2</v>
      </c>
      <c r="Y697" s="135">
        <v>8.9534915468690607E-2</v>
      </c>
      <c r="Z697" s="135">
        <v>9.7739032989919303E-2</v>
      </c>
      <c r="AA697" s="135">
        <v>8.7593665379767996E-2</v>
      </c>
      <c r="AB697" s="135">
        <v>6.3550754957384201E-2</v>
      </c>
      <c r="AC697" s="135">
        <v>3.1335961827832E-2</v>
      </c>
      <c r="AD697" s="135">
        <v>1.5875620156787101E-2</v>
      </c>
      <c r="AF697" s="243">
        <f t="shared" si="11"/>
        <v>0.1988473112601534</v>
      </c>
      <c r="AG697" s="275">
        <f t="shared" si="12"/>
        <v>0.44408896528443043</v>
      </c>
      <c r="AH697" s="391">
        <f t="shared" si="13"/>
        <v>0.57209576946016161</v>
      </c>
      <c r="AI697" s="135">
        <f t="shared" si="14"/>
        <v>1.016184734744592</v>
      </c>
    </row>
    <row r="698" spans="1:35" ht="12.6">
      <c r="A698" s="10" t="s">
        <v>61</v>
      </c>
      <c r="B698" s="10">
        <v>332</v>
      </c>
      <c r="C698" s="10" t="s">
        <v>1515</v>
      </c>
      <c r="D698" s="388">
        <v>45258</v>
      </c>
      <c r="E698" s="389">
        <v>45258</v>
      </c>
      <c r="F698" s="390" t="str">
        <f t="shared" si="10"/>
        <v>Lighting</v>
      </c>
      <c r="G698" s="135">
        <v>1.08640999630958E-2</v>
      </c>
      <c r="H698" s="135">
        <v>9.0764186586465897E-3</v>
      </c>
      <c r="I698" s="135">
        <v>9.3560883873425905E-3</v>
      </c>
      <c r="J698" s="135">
        <v>1.27530145505096E-2</v>
      </c>
      <c r="K698" s="135">
        <v>3.6914401553295E-2</v>
      </c>
      <c r="L698" s="135">
        <v>8.6146383840891794E-2</v>
      </c>
      <c r="M698" s="135">
        <v>8.5778723525706702E-2</v>
      </c>
      <c r="N698" s="135">
        <v>5.6714272660420402E-2</v>
      </c>
      <c r="O698" s="135">
        <v>3.4263135706434397E-2</v>
      </c>
      <c r="P698" s="135">
        <v>2.5716496770323199E-2</v>
      </c>
      <c r="Q698" s="135">
        <v>2.6987381932399499E-2</v>
      </c>
      <c r="R698" s="135">
        <v>2.5871676507430701E-2</v>
      </c>
      <c r="S698" s="135">
        <v>2.5860206126079199E-2</v>
      </c>
      <c r="T698" s="135">
        <v>2.3983911486287899E-2</v>
      </c>
      <c r="U698" s="135">
        <v>2.45985745977415E-2</v>
      </c>
      <c r="V698" s="135">
        <v>2.9189334768982299E-2</v>
      </c>
      <c r="W698" s="135">
        <v>4.2356225841232303E-2</v>
      </c>
      <c r="X698" s="135">
        <v>6.4124437087391295E-2</v>
      </c>
      <c r="Y698" s="135">
        <v>8.9534915468690607E-2</v>
      </c>
      <c r="Z698" s="135">
        <v>9.7739032989919303E-2</v>
      </c>
      <c r="AA698" s="135">
        <v>8.7593665379767996E-2</v>
      </c>
      <c r="AB698" s="135">
        <v>6.3550754957384201E-2</v>
      </c>
      <c r="AC698" s="135">
        <v>3.1335961827832E-2</v>
      </c>
      <c r="AD698" s="135">
        <v>1.5875620156787101E-2</v>
      </c>
      <c r="AF698" s="243">
        <f t="shared" si="11"/>
        <v>0.1988473112601534</v>
      </c>
      <c r="AG698" s="275">
        <f t="shared" si="12"/>
        <v>0.44408896528443043</v>
      </c>
      <c r="AH698" s="391">
        <f t="shared" si="13"/>
        <v>0.57209576946016161</v>
      </c>
      <c r="AI698" s="135">
        <f t="shared" si="14"/>
        <v>1.016184734744592</v>
      </c>
    </row>
    <row r="699" spans="1:35" ht="12.6">
      <c r="A699" s="10" t="s">
        <v>61</v>
      </c>
      <c r="B699" s="10">
        <v>333</v>
      </c>
      <c r="C699" s="10" t="s">
        <v>1515</v>
      </c>
      <c r="D699" s="388">
        <v>45259</v>
      </c>
      <c r="E699" s="389">
        <v>45259</v>
      </c>
      <c r="F699" s="390" t="str">
        <f t="shared" si="10"/>
        <v>Lighting</v>
      </c>
      <c r="G699" s="135">
        <v>1.08640999630958E-2</v>
      </c>
      <c r="H699" s="135">
        <v>9.0764186586465897E-3</v>
      </c>
      <c r="I699" s="135">
        <v>9.3560883873425905E-3</v>
      </c>
      <c r="J699" s="135">
        <v>1.27530145505096E-2</v>
      </c>
      <c r="K699" s="135">
        <v>3.6914401553295E-2</v>
      </c>
      <c r="L699" s="135">
        <v>8.6146383840891794E-2</v>
      </c>
      <c r="M699" s="135">
        <v>8.5778723525706702E-2</v>
      </c>
      <c r="N699" s="135">
        <v>5.6714272660420402E-2</v>
      </c>
      <c r="O699" s="135">
        <v>3.4263135706434397E-2</v>
      </c>
      <c r="P699" s="135">
        <v>2.5716496770323199E-2</v>
      </c>
      <c r="Q699" s="135">
        <v>2.6987381932399499E-2</v>
      </c>
      <c r="R699" s="135">
        <v>2.5871676507430701E-2</v>
      </c>
      <c r="S699" s="135">
        <v>2.5860206126079199E-2</v>
      </c>
      <c r="T699" s="135">
        <v>2.3983911486287899E-2</v>
      </c>
      <c r="U699" s="135">
        <v>2.45985745977415E-2</v>
      </c>
      <c r="V699" s="135">
        <v>2.9189334768982299E-2</v>
      </c>
      <c r="W699" s="135">
        <v>4.2356225841232303E-2</v>
      </c>
      <c r="X699" s="135">
        <v>6.4124437087391295E-2</v>
      </c>
      <c r="Y699" s="135">
        <v>8.9534915468690607E-2</v>
      </c>
      <c r="Z699" s="135">
        <v>9.7739032989919303E-2</v>
      </c>
      <c r="AA699" s="135">
        <v>8.7593665379767996E-2</v>
      </c>
      <c r="AB699" s="135">
        <v>6.3550754957384201E-2</v>
      </c>
      <c r="AC699" s="135">
        <v>3.1335961827832E-2</v>
      </c>
      <c r="AD699" s="135">
        <v>1.5875620156787101E-2</v>
      </c>
      <c r="AF699" s="243">
        <f t="shared" si="11"/>
        <v>0.1988473112601534</v>
      </c>
      <c r="AG699" s="275">
        <f t="shared" si="12"/>
        <v>0.44408896528443043</v>
      </c>
      <c r="AH699" s="391">
        <f t="shared" si="13"/>
        <v>0.57209576946016161</v>
      </c>
      <c r="AI699" s="135">
        <f t="shared" si="14"/>
        <v>1.016184734744592</v>
      </c>
    </row>
    <row r="700" spans="1:35" ht="12.6">
      <c r="A700" s="10" t="s">
        <v>61</v>
      </c>
      <c r="B700" s="10">
        <v>334</v>
      </c>
      <c r="C700" s="10" t="s">
        <v>1515</v>
      </c>
      <c r="D700" s="388">
        <v>45260</v>
      </c>
      <c r="E700" s="389">
        <v>45260</v>
      </c>
      <c r="F700" s="390" t="str">
        <f t="shared" si="10"/>
        <v>Lighting</v>
      </c>
      <c r="G700" s="135">
        <v>1.08640999630958E-2</v>
      </c>
      <c r="H700" s="135">
        <v>9.0764186586465897E-3</v>
      </c>
      <c r="I700" s="135">
        <v>9.3560883873425905E-3</v>
      </c>
      <c r="J700" s="135">
        <v>1.27530145505096E-2</v>
      </c>
      <c r="K700" s="135">
        <v>3.6914401553295E-2</v>
      </c>
      <c r="L700" s="135">
        <v>8.6146383840891794E-2</v>
      </c>
      <c r="M700" s="135">
        <v>8.5778723525706702E-2</v>
      </c>
      <c r="N700" s="135">
        <v>5.6714272660420402E-2</v>
      </c>
      <c r="O700" s="135">
        <v>3.4263135706434397E-2</v>
      </c>
      <c r="P700" s="135">
        <v>2.5716496770323199E-2</v>
      </c>
      <c r="Q700" s="135">
        <v>2.6987381932399499E-2</v>
      </c>
      <c r="R700" s="135">
        <v>2.5871676507430701E-2</v>
      </c>
      <c r="S700" s="135">
        <v>2.5860206126079199E-2</v>
      </c>
      <c r="T700" s="135">
        <v>2.3983911486287899E-2</v>
      </c>
      <c r="U700" s="135">
        <v>2.45985745977415E-2</v>
      </c>
      <c r="V700" s="135">
        <v>2.9189334768982299E-2</v>
      </c>
      <c r="W700" s="135">
        <v>4.2356225841232303E-2</v>
      </c>
      <c r="X700" s="135">
        <v>6.4124437087391295E-2</v>
      </c>
      <c r="Y700" s="135">
        <v>8.9534915468690607E-2</v>
      </c>
      <c r="Z700" s="135">
        <v>9.7739032989919303E-2</v>
      </c>
      <c r="AA700" s="135">
        <v>8.7593665379767996E-2</v>
      </c>
      <c r="AB700" s="135">
        <v>6.3550754957384201E-2</v>
      </c>
      <c r="AC700" s="135">
        <v>3.1335961827832E-2</v>
      </c>
      <c r="AD700" s="135">
        <v>1.5875620156787101E-2</v>
      </c>
      <c r="AF700" s="243">
        <f t="shared" si="11"/>
        <v>0.1988473112601534</v>
      </c>
      <c r="AG700" s="275">
        <f t="shared" si="12"/>
        <v>0.44408896528443043</v>
      </c>
      <c r="AH700" s="391">
        <f t="shared" si="13"/>
        <v>0.57209576946016161</v>
      </c>
      <c r="AI700" s="135">
        <f t="shared" si="14"/>
        <v>1.016184734744592</v>
      </c>
    </row>
    <row r="701" spans="1:35" ht="12.6">
      <c r="A701" s="10" t="s">
        <v>61</v>
      </c>
      <c r="B701" s="10">
        <v>335</v>
      </c>
      <c r="C701" s="10" t="s">
        <v>1512</v>
      </c>
      <c r="D701" s="388">
        <v>45261</v>
      </c>
      <c r="E701" s="389">
        <v>45261</v>
      </c>
      <c r="F701" s="390" t="str">
        <f t="shared" si="10"/>
        <v>Lighting</v>
      </c>
      <c r="G701" s="135">
        <v>7.5952421850581601E-3</v>
      </c>
      <c r="H701" s="135">
        <v>6.8301865532236E-3</v>
      </c>
      <c r="I701" s="135">
        <v>7.4159413461902697E-3</v>
      </c>
      <c r="J701" s="135">
        <v>9.3585166610140099E-3</v>
      </c>
      <c r="K701" s="135">
        <v>3.3425006745758497E-2</v>
      </c>
      <c r="L701" s="135">
        <v>7.0715348246745705E-2</v>
      </c>
      <c r="M701" s="135">
        <v>5.1928626495336402E-2</v>
      </c>
      <c r="N701" s="135">
        <v>3.1673308886092801E-2</v>
      </c>
      <c r="O701" s="135">
        <v>2.2236994931657001E-2</v>
      </c>
      <c r="P701" s="135">
        <v>2.0560169292138799E-2</v>
      </c>
      <c r="Q701" s="135">
        <v>2.18661162079264E-2</v>
      </c>
      <c r="R701" s="135">
        <v>2.0842180624689899E-2</v>
      </c>
      <c r="S701" s="135">
        <v>2.0100994778200099E-2</v>
      </c>
      <c r="T701" s="135">
        <v>1.6831039902024201E-2</v>
      </c>
      <c r="U701" s="135">
        <v>1.9432218626620899E-2</v>
      </c>
      <c r="V701" s="135">
        <v>2.2657789154565799E-2</v>
      </c>
      <c r="W701" s="135">
        <v>2.6654402391733199E-2</v>
      </c>
      <c r="X701" s="135">
        <v>3.4431574936831799E-2</v>
      </c>
      <c r="Y701" s="135">
        <v>4.4276020812349097E-2</v>
      </c>
      <c r="Z701" s="135">
        <v>5.6346361140112801E-2</v>
      </c>
      <c r="AA701" s="135">
        <v>6.3844471002895795E-2</v>
      </c>
      <c r="AB701" s="135">
        <v>4.6815435432834902E-2</v>
      </c>
      <c r="AC701" s="135">
        <v>1.8402819557497199E-2</v>
      </c>
      <c r="AD701" s="135">
        <v>8.7440244163495707E-3</v>
      </c>
      <c r="AF701" s="243">
        <f t="shared" si="11"/>
        <v>0.14838474168576049</v>
      </c>
      <c r="AG701" s="275">
        <f t="shared" si="12"/>
        <v>0.32009215706031774</v>
      </c>
      <c r="AH701" s="391">
        <f t="shared" si="13"/>
        <v>0.36289263326752935</v>
      </c>
      <c r="AI701" s="135">
        <f t="shared" si="14"/>
        <v>0.68298479032784709</v>
      </c>
    </row>
    <row r="702" spans="1:35" ht="12.6">
      <c r="A702" s="10" t="s">
        <v>61</v>
      </c>
      <c r="B702" s="10">
        <v>336</v>
      </c>
      <c r="C702" s="10" t="s">
        <v>1512</v>
      </c>
      <c r="D702" s="388">
        <v>45262</v>
      </c>
      <c r="E702" s="389">
        <v>45262</v>
      </c>
      <c r="F702" s="390" t="str">
        <f t="shared" si="10"/>
        <v>Lighting</v>
      </c>
      <c r="G702" s="135">
        <v>8.3979857634250595E-3</v>
      </c>
      <c r="H702" s="135">
        <v>7.7963964395086896E-3</v>
      </c>
      <c r="I702" s="135">
        <v>8.3822325395603008E-3</v>
      </c>
      <c r="J702" s="135">
        <v>1.04290513120818E-2</v>
      </c>
      <c r="K702" s="135">
        <v>8.2112463453817598E-3</v>
      </c>
      <c r="L702" s="135">
        <v>1.07990385440268E-2</v>
      </c>
      <c r="M702" s="135">
        <v>2.0014397807540201E-2</v>
      </c>
      <c r="N702" s="135">
        <v>3.0890684582839299E-2</v>
      </c>
      <c r="O702" s="135">
        <v>4.2703331359732602E-2</v>
      </c>
      <c r="P702" s="135">
        <v>4.3606857894242797E-2</v>
      </c>
      <c r="Q702" s="135">
        <v>4.0790999038774499E-2</v>
      </c>
      <c r="R702" s="135">
        <v>3.5847085401207901E-2</v>
      </c>
      <c r="S702" s="135">
        <v>3.2277433130328603E-2</v>
      </c>
      <c r="T702" s="135">
        <v>2.7530842799098499E-2</v>
      </c>
      <c r="U702" s="135">
        <v>3.1619476682785197E-2</v>
      </c>
      <c r="V702" s="135">
        <v>2.7837118896337699E-2</v>
      </c>
      <c r="W702" s="135">
        <v>2.90835721058064E-2</v>
      </c>
      <c r="X702" s="135">
        <v>3.3496417590967303E-2</v>
      </c>
      <c r="Y702" s="135">
        <v>4.0296705301614603E-2</v>
      </c>
      <c r="Z702" s="135">
        <v>5.01490773383379E-2</v>
      </c>
      <c r="AA702" s="135">
        <v>5.7177958912325903E-2</v>
      </c>
      <c r="AB702" s="135">
        <v>4.41050484989172E-2</v>
      </c>
      <c r="AC702" s="135">
        <v>2.0819438993321698E-2</v>
      </c>
      <c r="AD702" s="135">
        <v>1.2035506651996399E-2</v>
      </c>
      <c r="AF702" s="243">
        <f t="shared" si="11"/>
        <v>0.2249865280543388</v>
      </c>
      <c r="AG702" s="275">
        <f t="shared" si="12"/>
        <v>0.25523373801119908</v>
      </c>
      <c r="AH702" s="391">
        <f t="shared" si="13"/>
        <v>0.41906416591896001</v>
      </c>
      <c r="AI702" s="135">
        <f t="shared" si="14"/>
        <v>0.67429790393015909</v>
      </c>
    </row>
    <row r="703" spans="1:35" ht="12.6">
      <c r="A703" s="10" t="s">
        <v>61</v>
      </c>
      <c r="B703" s="10">
        <v>337</v>
      </c>
      <c r="C703" s="10" t="s">
        <v>1512</v>
      </c>
      <c r="D703" s="388">
        <v>45263</v>
      </c>
      <c r="E703" s="389">
        <v>45263</v>
      </c>
      <c r="F703" s="390" t="str">
        <f t="shared" si="10"/>
        <v>Lighting</v>
      </c>
      <c r="G703" s="135">
        <v>8.3979857634250595E-3</v>
      </c>
      <c r="H703" s="135">
        <v>7.7963964395086896E-3</v>
      </c>
      <c r="I703" s="135">
        <v>8.3822325395603008E-3</v>
      </c>
      <c r="J703" s="135">
        <v>1.04290513120818E-2</v>
      </c>
      <c r="K703" s="135">
        <v>8.2112463453817598E-3</v>
      </c>
      <c r="L703" s="135">
        <v>1.07990385440268E-2</v>
      </c>
      <c r="M703" s="135">
        <v>2.0014397807540201E-2</v>
      </c>
      <c r="N703" s="135">
        <v>3.0890684582839299E-2</v>
      </c>
      <c r="O703" s="135">
        <v>4.2703331359732602E-2</v>
      </c>
      <c r="P703" s="135">
        <v>4.3606857894242797E-2</v>
      </c>
      <c r="Q703" s="135">
        <v>4.0790999038774499E-2</v>
      </c>
      <c r="R703" s="135">
        <v>3.5847085401207901E-2</v>
      </c>
      <c r="S703" s="135">
        <v>3.2277433130328603E-2</v>
      </c>
      <c r="T703" s="135">
        <v>2.7530842799098499E-2</v>
      </c>
      <c r="U703" s="135">
        <v>3.1619476682785197E-2</v>
      </c>
      <c r="V703" s="135">
        <v>2.7837118896337699E-2</v>
      </c>
      <c r="W703" s="135">
        <v>2.90835721058064E-2</v>
      </c>
      <c r="X703" s="135">
        <v>3.3496417590967303E-2</v>
      </c>
      <c r="Y703" s="135">
        <v>4.0296705301614603E-2</v>
      </c>
      <c r="Z703" s="135">
        <v>5.01490773383379E-2</v>
      </c>
      <c r="AA703" s="135">
        <v>5.7177958912325903E-2</v>
      </c>
      <c r="AB703" s="135">
        <v>4.41050484989172E-2</v>
      </c>
      <c r="AC703" s="135">
        <v>2.0819438993321698E-2</v>
      </c>
      <c r="AD703" s="135">
        <v>1.2035506651996399E-2</v>
      </c>
      <c r="AF703" s="243">
        <f t="shared" si="11"/>
        <v>0.2249865280543388</v>
      </c>
      <c r="AG703" s="275">
        <f t="shared" si="12"/>
        <v>0.25523373801119908</v>
      </c>
      <c r="AH703" s="391">
        <f t="shared" si="13"/>
        <v>0.41906416591896001</v>
      </c>
      <c r="AI703" s="135">
        <f t="shared" si="14"/>
        <v>0.67429790393015909</v>
      </c>
    </row>
    <row r="704" spans="1:35" ht="12.6">
      <c r="A704" s="10" t="s">
        <v>61</v>
      </c>
      <c r="B704" s="10">
        <v>338</v>
      </c>
      <c r="C704" s="10" t="s">
        <v>1512</v>
      </c>
      <c r="D704" s="388">
        <v>45264</v>
      </c>
      <c r="E704" s="389">
        <v>45264</v>
      </c>
      <c r="F704" s="390" t="str">
        <f t="shared" si="10"/>
        <v>Lighting</v>
      </c>
      <c r="G704" s="135">
        <v>7.5952421850581601E-3</v>
      </c>
      <c r="H704" s="135">
        <v>6.8301865532236E-3</v>
      </c>
      <c r="I704" s="135">
        <v>7.4159413461902697E-3</v>
      </c>
      <c r="J704" s="135">
        <v>9.3585166610140099E-3</v>
      </c>
      <c r="K704" s="135">
        <v>3.3425006745758497E-2</v>
      </c>
      <c r="L704" s="135">
        <v>7.0715348246745705E-2</v>
      </c>
      <c r="M704" s="135">
        <v>5.1928626495336402E-2</v>
      </c>
      <c r="N704" s="135">
        <v>3.1673308886092801E-2</v>
      </c>
      <c r="O704" s="135">
        <v>2.2236994931657001E-2</v>
      </c>
      <c r="P704" s="135">
        <v>2.0560169292138799E-2</v>
      </c>
      <c r="Q704" s="135">
        <v>2.18661162079264E-2</v>
      </c>
      <c r="R704" s="135">
        <v>2.0842180624689899E-2</v>
      </c>
      <c r="S704" s="135">
        <v>2.0100994778200099E-2</v>
      </c>
      <c r="T704" s="135">
        <v>1.6831039902024201E-2</v>
      </c>
      <c r="U704" s="135">
        <v>1.9432218626620899E-2</v>
      </c>
      <c r="V704" s="135">
        <v>2.2657789154565799E-2</v>
      </c>
      <c r="W704" s="135">
        <v>2.6654402391733199E-2</v>
      </c>
      <c r="X704" s="135">
        <v>3.4431574936831799E-2</v>
      </c>
      <c r="Y704" s="135">
        <v>4.4276020812349097E-2</v>
      </c>
      <c r="Z704" s="135">
        <v>5.6346361140112801E-2</v>
      </c>
      <c r="AA704" s="135">
        <v>6.3844471002895795E-2</v>
      </c>
      <c r="AB704" s="135">
        <v>4.6815435432834902E-2</v>
      </c>
      <c r="AC704" s="135">
        <v>1.8402819557497199E-2</v>
      </c>
      <c r="AD704" s="135">
        <v>8.7440244163495707E-3</v>
      </c>
      <c r="AF704" s="243">
        <f t="shared" si="11"/>
        <v>0.14838474168576049</v>
      </c>
      <c r="AG704" s="275">
        <f t="shared" si="12"/>
        <v>0.32009215706031774</v>
      </c>
      <c r="AH704" s="391">
        <f t="shared" si="13"/>
        <v>0.36289263326752935</v>
      </c>
      <c r="AI704" s="135">
        <f t="shared" si="14"/>
        <v>0.68298479032784709</v>
      </c>
    </row>
    <row r="705" spans="1:35" ht="12.6">
      <c r="A705" s="10" t="s">
        <v>61</v>
      </c>
      <c r="B705" s="10">
        <v>339</v>
      </c>
      <c r="C705" s="10" t="s">
        <v>1512</v>
      </c>
      <c r="D705" s="388">
        <v>45265</v>
      </c>
      <c r="E705" s="389">
        <v>45265</v>
      </c>
      <c r="F705" s="390" t="str">
        <f t="shared" si="10"/>
        <v>Lighting</v>
      </c>
      <c r="G705" s="135">
        <v>7.5952421850581601E-3</v>
      </c>
      <c r="H705" s="135">
        <v>6.8301865532236E-3</v>
      </c>
      <c r="I705" s="135">
        <v>7.4159413461902697E-3</v>
      </c>
      <c r="J705" s="135">
        <v>9.3585166610140099E-3</v>
      </c>
      <c r="K705" s="135">
        <v>3.3425006745758497E-2</v>
      </c>
      <c r="L705" s="135">
        <v>7.0715348246745705E-2</v>
      </c>
      <c r="M705" s="135">
        <v>5.1928626495336402E-2</v>
      </c>
      <c r="N705" s="135">
        <v>3.1673308886092801E-2</v>
      </c>
      <c r="O705" s="135">
        <v>2.2236994931657001E-2</v>
      </c>
      <c r="P705" s="135">
        <v>2.0560169292138799E-2</v>
      </c>
      <c r="Q705" s="135">
        <v>2.18661162079264E-2</v>
      </c>
      <c r="R705" s="135">
        <v>2.0842180624689899E-2</v>
      </c>
      <c r="S705" s="135">
        <v>2.0100994778200099E-2</v>
      </c>
      <c r="T705" s="135">
        <v>1.6831039902024201E-2</v>
      </c>
      <c r="U705" s="135">
        <v>1.9432218626620899E-2</v>
      </c>
      <c r="V705" s="135">
        <v>2.2657789154565799E-2</v>
      </c>
      <c r="W705" s="135">
        <v>2.6654402391733199E-2</v>
      </c>
      <c r="X705" s="135">
        <v>3.4431574936831799E-2</v>
      </c>
      <c r="Y705" s="135">
        <v>4.4276020812349097E-2</v>
      </c>
      <c r="Z705" s="135">
        <v>5.6346361140112801E-2</v>
      </c>
      <c r="AA705" s="135">
        <v>6.3844471002895795E-2</v>
      </c>
      <c r="AB705" s="135">
        <v>4.6815435432834902E-2</v>
      </c>
      <c r="AC705" s="135">
        <v>1.8402819557497199E-2</v>
      </c>
      <c r="AD705" s="135">
        <v>8.7440244163495707E-3</v>
      </c>
      <c r="AF705" s="243">
        <f t="shared" si="11"/>
        <v>0.14838474168576049</v>
      </c>
      <c r="AG705" s="275">
        <f t="shared" si="12"/>
        <v>0.32009215706031774</v>
      </c>
      <c r="AH705" s="391">
        <f t="shared" si="13"/>
        <v>0.36289263326752935</v>
      </c>
      <c r="AI705" s="135">
        <f t="shared" si="14"/>
        <v>0.68298479032784709</v>
      </c>
    </row>
    <row r="706" spans="1:35" ht="12.6">
      <c r="A706" s="10" t="s">
        <v>61</v>
      </c>
      <c r="B706" s="10">
        <v>340</v>
      </c>
      <c r="C706" s="10" t="s">
        <v>1512</v>
      </c>
      <c r="D706" s="388">
        <v>45266</v>
      </c>
      <c r="E706" s="389">
        <v>45266</v>
      </c>
      <c r="F706" s="390" t="str">
        <f t="shared" si="10"/>
        <v>Lighting</v>
      </c>
      <c r="G706" s="135">
        <v>7.5952421850581601E-3</v>
      </c>
      <c r="H706" s="135">
        <v>6.8301865532236E-3</v>
      </c>
      <c r="I706" s="135">
        <v>7.4159413461902697E-3</v>
      </c>
      <c r="J706" s="135">
        <v>9.3585166610140099E-3</v>
      </c>
      <c r="K706" s="135">
        <v>3.3425006745758497E-2</v>
      </c>
      <c r="L706" s="135">
        <v>7.0715348246745705E-2</v>
      </c>
      <c r="M706" s="135">
        <v>5.1928626495336402E-2</v>
      </c>
      <c r="N706" s="135">
        <v>3.1673308886092801E-2</v>
      </c>
      <c r="O706" s="135">
        <v>2.2236994931657001E-2</v>
      </c>
      <c r="P706" s="135">
        <v>2.0560169292138799E-2</v>
      </c>
      <c r="Q706" s="135">
        <v>2.18661162079264E-2</v>
      </c>
      <c r="R706" s="135">
        <v>2.0842180624689899E-2</v>
      </c>
      <c r="S706" s="135">
        <v>2.0100994778200099E-2</v>
      </c>
      <c r="T706" s="135">
        <v>1.6831039902024201E-2</v>
      </c>
      <c r="U706" s="135">
        <v>1.9432218626620899E-2</v>
      </c>
      <c r="V706" s="135">
        <v>2.2657789154565799E-2</v>
      </c>
      <c r="W706" s="135">
        <v>2.6654402391733199E-2</v>
      </c>
      <c r="X706" s="135">
        <v>3.4431574936831799E-2</v>
      </c>
      <c r="Y706" s="135">
        <v>4.4276020812349097E-2</v>
      </c>
      <c r="Z706" s="135">
        <v>5.6346361140112801E-2</v>
      </c>
      <c r="AA706" s="135">
        <v>6.3844471002895795E-2</v>
      </c>
      <c r="AB706" s="135">
        <v>4.6815435432834902E-2</v>
      </c>
      <c r="AC706" s="135">
        <v>1.8402819557497199E-2</v>
      </c>
      <c r="AD706" s="135">
        <v>8.7440244163495707E-3</v>
      </c>
      <c r="AF706" s="243">
        <f t="shared" si="11"/>
        <v>0.14838474168576049</v>
      </c>
      <c r="AG706" s="275">
        <f t="shared" si="12"/>
        <v>0.32009215706031774</v>
      </c>
      <c r="AH706" s="391">
        <f t="shared" si="13"/>
        <v>0.36289263326752935</v>
      </c>
      <c r="AI706" s="135">
        <f t="shared" si="14"/>
        <v>0.68298479032784709</v>
      </c>
    </row>
    <row r="707" spans="1:35" ht="12.6">
      <c r="A707" s="10" t="s">
        <v>61</v>
      </c>
      <c r="B707" s="10">
        <v>341</v>
      </c>
      <c r="C707" s="10" t="s">
        <v>1512</v>
      </c>
      <c r="D707" s="388">
        <v>45267</v>
      </c>
      <c r="E707" s="389">
        <v>45267</v>
      </c>
      <c r="F707" s="390" t="str">
        <f t="shared" si="10"/>
        <v>Lighting</v>
      </c>
      <c r="G707" s="135">
        <v>7.5952421850581601E-3</v>
      </c>
      <c r="H707" s="135">
        <v>6.8301865532236E-3</v>
      </c>
      <c r="I707" s="135">
        <v>7.4159413461902697E-3</v>
      </c>
      <c r="J707" s="135">
        <v>9.3585166610140099E-3</v>
      </c>
      <c r="K707" s="135">
        <v>3.3425006745758497E-2</v>
      </c>
      <c r="L707" s="135">
        <v>7.0715348246745705E-2</v>
      </c>
      <c r="M707" s="135">
        <v>5.1928626495336402E-2</v>
      </c>
      <c r="N707" s="135">
        <v>3.1673308886092801E-2</v>
      </c>
      <c r="O707" s="135">
        <v>2.2236994931657001E-2</v>
      </c>
      <c r="P707" s="135">
        <v>2.0560169292138799E-2</v>
      </c>
      <c r="Q707" s="135">
        <v>2.18661162079264E-2</v>
      </c>
      <c r="R707" s="135">
        <v>2.0842180624689899E-2</v>
      </c>
      <c r="S707" s="135">
        <v>2.0100994778200099E-2</v>
      </c>
      <c r="T707" s="135">
        <v>1.6831039902024201E-2</v>
      </c>
      <c r="U707" s="135">
        <v>1.9432218626620899E-2</v>
      </c>
      <c r="V707" s="135">
        <v>2.2657789154565799E-2</v>
      </c>
      <c r="W707" s="135">
        <v>2.6654402391733199E-2</v>
      </c>
      <c r="X707" s="135">
        <v>3.4431574936831799E-2</v>
      </c>
      <c r="Y707" s="135">
        <v>4.4276020812349097E-2</v>
      </c>
      <c r="Z707" s="135">
        <v>5.6346361140112801E-2</v>
      </c>
      <c r="AA707" s="135">
        <v>6.3844471002895795E-2</v>
      </c>
      <c r="AB707" s="135">
        <v>4.6815435432834902E-2</v>
      </c>
      <c r="AC707" s="135">
        <v>1.8402819557497199E-2</v>
      </c>
      <c r="AD707" s="135">
        <v>8.7440244163495707E-3</v>
      </c>
      <c r="AF707" s="243">
        <f t="shared" si="11"/>
        <v>0.14838474168576049</v>
      </c>
      <c r="AG707" s="275">
        <f t="shared" si="12"/>
        <v>0.32009215706031774</v>
      </c>
      <c r="AH707" s="391">
        <f t="shared" si="13"/>
        <v>0.36289263326752935</v>
      </c>
      <c r="AI707" s="135">
        <f t="shared" si="14"/>
        <v>0.68298479032784709</v>
      </c>
    </row>
    <row r="708" spans="1:35" ht="12.6">
      <c r="A708" s="10" t="s">
        <v>61</v>
      </c>
      <c r="B708" s="10">
        <v>342</v>
      </c>
      <c r="C708" s="10" t="s">
        <v>1512</v>
      </c>
      <c r="D708" s="388">
        <v>45268</v>
      </c>
      <c r="E708" s="389">
        <v>45268</v>
      </c>
      <c r="F708" s="390" t="str">
        <f t="shared" si="10"/>
        <v>Lighting</v>
      </c>
      <c r="G708" s="135">
        <v>7.5952421850581601E-3</v>
      </c>
      <c r="H708" s="135">
        <v>6.8301865532236E-3</v>
      </c>
      <c r="I708" s="135">
        <v>7.4159413461902697E-3</v>
      </c>
      <c r="J708" s="135">
        <v>9.3585166610140099E-3</v>
      </c>
      <c r="K708" s="135">
        <v>3.3425006745758497E-2</v>
      </c>
      <c r="L708" s="135">
        <v>7.0715348246745705E-2</v>
      </c>
      <c r="M708" s="135">
        <v>5.1928626495336402E-2</v>
      </c>
      <c r="N708" s="135">
        <v>3.1673308886092801E-2</v>
      </c>
      <c r="O708" s="135">
        <v>2.2236994931657001E-2</v>
      </c>
      <c r="P708" s="135">
        <v>2.0560169292138799E-2</v>
      </c>
      <c r="Q708" s="135">
        <v>2.18661162079264E-2</v>
      </c>
      <c r="R708" s="135">
        <v>2.0842180624689899E-2</v>
      </c>
      <c r="S708" s="135">
        <v>2.0100994778200099E-2</v>
      </c>
      <c r="T708" s="135">
        <v>1.6831039902024201E-2</v>
      </c>
      <c r="U708" s="135">
        <v>1.9432218626620899E-2</v>
      </c>
      <c r="V708" s="135">
        <v>2.2657789154565799E-2</v>
      </c>
      <c r="W708" s="135">
        <v>2.6654402391733199E-2</v>
      </c>
      <c r="X708" s="135">
        <v>3.4431574936831799E-2</v>
      </c>
      <c r="Y708" s="135">
        <v>4.4276020812349097E-2</v>
      </c>
      <c r="Z708" s="135">
        <v>5.6346361140112801E-2</v>
      </c>
      <c r="AA708" s="135">
        <v>6.3844471002895795E-2</v>
      </c>
      <c r="AB708" s="135">
        <v>4.6815435432834902E-2</v>
      </c>
      <c r="AC708" s="135">
        <v>1.8402819557497199E-2</v>
      </c>
      <c r="AD708" s="135">
        <v>8.7440244163495707E-3</v>
      </c>
      <c r="AF708" s="243">
        <f t="shared" si="11"/>
        <v>0.14838474168576049</v>
      </c>
      <c r="AG708" s="275">
        <f t="shared" si="12"/>
        <v>0.32009215706031774</v>
      </c>
      <c r="AH708" s="391">
        <f t="shared" si="13"/>
        <v>0.36289263326752935</v>
      </c>
      <c r="AI708" s="135">
        <f t="shared" si="14"/>
        <v>0.68298479032784709</v>
      </c>
    </row>
    <row r="709" spans="1:35" ht="12.6">
      <c r="A709" s="10" t="s">
        <v>61</v>
      </c>
      <c r="B709" s="10">
        <v>343</v>
      </c>
      <c r="C709" s="10" t="s">
        <v>1512</v>
      </c>
      <c r="D709" s="388">
        <v>45269</v>
      </c>
      <c r="E709" s="389">
        <v>45269</v>
      </c>
      <c r="F709" s="390" t="str">
        <f t="shared" si="10"/>
        <v>Lighting</v>
      </c>
      <c r="G709" s="135">
        <v>8.3979857634250595E-3</v>
      </c>
      <c r="H709" s="135">
        <v>7.7963964395086896E-3</v>
      </c>
      <c r="I709" s="135">
        <v>8.3822325395603008E-3</v>
      </c>
      <c r="J709" s="135">
        <v>1.04290513120818E-2</v>
      </c>
      <c r="K709" s="135">
        <v>8.2112463453817598E-3</v>
      </c>
      <c r="L709" s="135">
        <v>1.07990385440268E-2</v>
      </c>
      <c r="M709" s="135">
        <v>2.0014397807540201E-2</v>
      </c>
      <c r="N709" s="135">
        <v>3.0890684582839299E-2</v>
      </c>
      <c r="O709" s="135">
        <v>4.2703331359732602E-2</v>
      </c>
      <c r="P709" s="135">
        <v>4.3606857894242797E-2</v>
      </c>
      <c r="Q709" s="135">
        <v>4.0790999038774499E-2</v>
      </c>
      <c r="R709" s="135">
        <v>3.5847085401207901E-2</v>
      </c>
      <c r="S709" s="135">
        <v>3.2277433130328603E-2</v>
      </c>
      <c r="T709" s="135">
        <v>2.7530842799098499E-2</v>
      </c>
      <c r="U709" s="135">
        <v>3.1619476682785197E-2</v>
      </c>
      <c r="V709" s="135">
        <v>2.7837118896337699E-2</v>
      </c>
      <c r="W709" s="135">
        <v>2.90835721058064E-2</v>
      </c>
      <c r="X709" s="135">
        <v>3.3496417590967303E-2</v>
      </c>
      <c r="Y709" s="135">
        <v>4.0296705301614603E-2</v>
      </c>
      <c r="Z709" s="135">
        <v>5.01490773383379E-2</v>
      </c>
      <c r="AA709" s="135">
        <v>5.7177958912325903E-2</v>
      </c>
      <c r="AB709" s="135">
        <v>4.41050484989172E-2</v>
      </c>
      <c r="AC709" s="135">
        <v>2.0819438993321698E-2</v>
      </c>
      <c r="AD709" s="135">
        <v>1.2035506651996399E-2</v>
      </c>
      <c r="AF709" s="243">
        <f t="shared" si="11"/>
        <v>0.2249865280543388</v>
      </c>
      <c r="AG709" s="275">
        <f t="shared" si="12"/>
        <v>0.25523373801119908</v>
      </c>
      <c r="AH709" s="391">
        <f t="shared" si="13"/>
        <v>0.41906416591896001</v>
      </c>
      <c r="AI709" s="135">
        <f t="shared" si="14"/>
        <v>0.67429790393015909</v>
      </c>
    </row>
    <row r="710" spans="1:35" ht="12.6">
      <c r="A710" s="10" t="s">
        <v>61</v>
      </c>
      <c r="B710" s="10">
        <v>344</v>
      </c>
      <c r="C710" s="10" t="s">
        <v>1512</v>
      </c>
      <c r="D710" s="388">
        <v>45270</v>
      </c>
      <c r="E710" s="389">
        <v>45270</v>
      </c>
      <c r="F710" s="390" t="str">
        <f t="shared" si="10"/>
        <v>Lighting</v>
      </c>
      <c r="G710" s="135">
        <v>8.3979857634250595E-3</v>
      </c>
      <c r="H710" s="135">
        <v>7.7963964395086896E-3</v>
      </c>
      <c r="I710" s="135">
        <v>8.3822325395603008E-3</v>
      </c>
      <c r="J710" s="135">
        <v>1.04290513120818E-2</v>
      </c>
      <c r="K710" s="135">
        <v>8.2112463453817598E-3</v>
      </c>
      <c r="L710" s="135">
        <v>1.07990385440268E-2</v>
      </c>
      <c r="M710" s="135">
        <v>2.0014397807540201E-2</v>
      </c>
      <c r="N710" s="135">
        <v>3.0890684582839299E-2</v>
      </c>
      <c r="O710" s="135">
        <v>4.2703331359732602E-2</v>
      </c>
      <c r="P710" s="135">
        <v>4.3606857894242797E-2</v>
      </c>
      <c r="Q710" s="135">
        <v>4.0790999038774499E-2</v>
      </c>
      <c r="R710" s="135">
        <v>3.5847085401207901E-2</v>
      </c>
      <c r="S710" s="135">
        <v>3.2277433130328603E-2</v>
      </c>
      <c r="T710" s="135">
        <v>2.7530842799098499E-2</v>
      </c>
      <c r="U710" s="135">
        <v>3.1619476682785197E-2</v>
      </c>
      <c r="V710" s="135">
        <v>2.7837118896337699E-2</v>
      </c>
      <c r="W710" s="135">
        <v>2.90835721058064E-2</v>
      </c>
      <c r="X710" s="135">
        <v>3.3496417590967303E-2</v>
      </c>
      <c r="Y710" s="135">
        <v>4.0296705301614603E-2</v>
      </c>
      <c r="Z710" s="135">
        <v>5.01490773383379E-2</v>
      </c>
      <c r="AA710" s="135">
        <v>5.7177958912325903E-2</v>
      </c>
      <c r="AB710" s="135">
        <v>4.41050484989172E-2</v>
      </c>
      <c r="AC710" s="135">
        <v>2.0819438993321698E-2</v>
      </c>
      <c r="AD710" s="135">
        <v>1.2035506651996399E-2</v>
      </c>
      <c r="AF710" s="243">
        <f t="shared" si="11"/>
        <v>0.2249865280543388</v>
      </c>
      <c r="AG710" s="275">
        <f t="shared" si="12"/>
        <v>0.25523373801119908</v>
      </c>
      <c r="AH710" s="391">
        <f t="shared" si="13"/>
        <v>0.41906416591896001</v>
      </c>
      <c r="AI710" s="135">
        <f t="shared" si="14"/>
        <v>0.67429790393015909</v>
      </c>
    </row>
    <row r="711" spans="1:35" ht="12.6">
      <c r="A711" s="10" t="s">
        <v>61</v>
      </c>
      <c r="B711" s="10">
        <v>345</v>
      </c>
      <c r="C711" s="10" t="s">
        <v>1512</v>
      </c>
      <c r="D711" s="388">
        <v>45271</v>
      </c>
      <c r="E711" s="389">
        <v>45271</v>
      </c>
      <c r="F711" s="390" t="str">
        <f t="shared" si="10"/>
        <v>Lighting</v>
      </c>
      <c r="G711" s="135">
        <v>7.5952421850581601E-3</v>
      </c>
      <c r="H711" s="135">
        <v>6.8301865532236E-3</v>
      </c>
      <c r="I711" s="135">
        <v>7.4159413461902697E-3</v>
      </c>
      <c r="J711" s="135">
        <v>9.3585166610140099E-3</v>
      </c>
      <c r="K711" s="135">
        <v>3.3425006745758497E-2</v>
      </c>
      <c r="L711" s="135">
        <v>7.0715348246745705E-2</v>
      </c>
      <c r="M711" s="135">
        <v>5.1928626495336402E-2</v>
      </c>
      <c r="N711" s="135">
        <v>3.1673308886092801E-2</v>
      </c>
      <c r="O711" s="135">
        <v>2.2236994931657001E-2</v>
      </c>
      <c r="P711" s="135">
        <v>2.0560169292138799E-2</v>
      </c>
      <c r="Q711" s="135">
        <v>2.18661162079264E-2</v>
      </c>
      <c r="R711" s="135">
        <v>2.0842180624689899E-2</v>
      </c>
      <c r="S711" s="135">
        <v>2.0100994778200099E-2</v>
      </c>
      <c r="T711" s="135">
        <v>1.6831039902024201E-2</v>
      </c>
      <c r="U711" s="135">
        <v>1.9432218626620899E-2</v>
      </c>
      <c r="V711" s="135">
        <v>2.2657789154565799E-2</v>
      </c>
      <c r="W711" s="135">
        <v>2.6654402391733199E-2</v>
      </c>
      <c r="X711" s="135">
        <v>3.4431574936831799E-2</v>
      </c>
      <c r="Y711" s="135">
        <v>4.4276020812349097E-2</v>
      </c>
      <c r="Z711" s="135">
        <v>5.6346361140112801E-2</v>
      </c>
      <c r="AA711" s="135">
        <v>6.3844471002895795E-2</v>
      </c>
      <c r="AB711" s="135">
        <v>4.6815435432834902E-2</v>
      </c>
      <c r="AC711" s="135">
        <v>1.8402819557497199E-2</v>
      </c>
      <c r="AD711" s="135">
        <v>8.7440244163495707E-3</v>
      </c>
      <c r="AF711" s="243">
        <f t="shared" si="11"/>
        <v>0.14838474168576049</v>
      </c>
      <c r="AG711" s="275">
        <f t="shared" si="12"/>
        <v>0.32009215706031774</v>
      </c>
      <c r="AH711" s="391">
        <f t="shared" si="13"/>
        <v>0.36289263326752935</v>
      </c>
      <c r="AI711" s="135">
        <f t="shared" si="14"/>
        <v>0.68298479032784709</v>
      </c>
    </row>
    <row r="712" spans="1:35" ht="12.6">
      <c r="A712" s="10" t="s">
        <v>61</v>
      </c>
      <c r="B712" s="10">
        <v>346</v>
      </c>
      <c r="C712" s="10" t="s">
        <v>1512</v>
      </c>
      <c r="D712" s="388">
        <v>45272</v>
      </c>
      <c r="E712" s="389">
        <v>45272</v>
      </c>
      <c r="F712" s="390" t="str">
        <f t="shared" si="10"/>
        <v>Lighting</v>
      </c>
      <c r="G712" s="135">
        <v>7.5952421850581601E-3</v>
      </c>
      <c r="H712" s="135">
        <v>6.8301865532236E-3</v>
      </c>
      <c r="I712" s="135">
        <v>7.4159413461902697E-3</v>
      </c>
      <c r="J712" s="135">
        <v>9.3585166610140099E-3</v>
      </c>
      <c r="K712" s="135">
        <v>3.3425006745758497E-2</v>
      </c>
      <c r="L712" s="135">
        <v>7.0715348246745705E-2</v>
      </c>
      <c r="M712" s="135">
        <v>5.1928626495336402E-2</v>
      </c>
      <c r="N712" s="135">
        <v>3.1673308886092801E-2</v>
      </c>
      <c r="O712" s="135">
        <v>2.2236994931657001E-2</v>
      </c>
      <c r="P712" s="135">
        <v>2.0560169292138799E-2</v>
      </c>
      <c r="Q712" s="135">
        <v>2.18661162079264E-2</v>
      </c>
      <c r="R712" s="135">
        <v>2.0842180624689899E-2</v>
      </c>
      <c r="S712" s="135">
        <v>2.0100994778200099E-2</v>
      </c>
      <c r="T712" s="135">
        <v>1.6831039902024201E-2</v>
      </c>
      <c r="U712" s="135">
        <v>1.9432218626620899E-2</v>
      </c>
      <c r="V712" s="135">
        <v>2.2657789154565799E-2</v>
      </c>
      <c r="W712" s="135">
        <v>2.6654402391733199E-2</v>
      </c>
      <c r="X712" s="135">
        <v>3.4431574936831799E-2</v>
      </c>
      <c r="Y712" s="135">
        <v>4.4276020812349097E-2</v>
      </c>
      <c r="Z712" s="135">
        <v>5.6346361140112801E-2</v>
      </c>
      <c r="AA712" s="135">
        <v>6.3844471002895795E-2</v>
      </c>
      <c r="AB712" s="135">
        <v>4.6815435432834902E-2</v>
      </c>
      <c r="AC712" s="135">
        <v>1.8402819557497199E-2</v>
      </c>
      <c r="AD712" s="135">
        <v>8.7440244163495707E-3</v>
      </c>
      <c r="AF712" s="243">
        <f t="shared" si="11"/>
        <v>0.14838474168576049</v>
      </c>
      <c r="AG712" s="275">
        <f t="shared" si="12"/>
        <v>0.32009215706031774</v>
      </c>
      <c r="AH712" s="391">
        <f t="shared" si="13"/>
        <v>0.36289263326752935</v>
      </c>
      <c r="AI712" s="135">
        <f t="shared" si="14"/>
        <v>0.68298479032784709</v>
      </c>
    </row>
    <row r="713" spans="1:35" ht="12.6">
      <c r="A713" s="10" t="s">
        <v>61</v>
      </c>
      <c r="B713" s="10">
        <v>347</v>
      </c>
      <c r="C713" s="10" t="s">
        <v>1512</v>
      </c>
      <c r="D713" s="388">
        <v>45273</v>
      </c>
      <c r="E713" s="389">
        <v>45273</v>
      </c>
      <c r="F713" s="390" t="str">
        <f t="shared" si="10"/>
        <v>Lighting</v>
      </c>
      <c r="G713" s="135">
        <v>7.5952421850581601E-3</v>
      </c>
      <c r="H713" s="135">
        <v>6.8301865532236E-3</v>
      </c>
      <c r="I713" s="135">
        <v>7.4159413461902697E-3</v>
      </c>
      <c r="J713" s="135">
        <v>9.3585166610140099E-3</v>
      </c>
      <c r="K713" s="135">
        <v>3.3425006745758497E-2</v>
      </c>
      <c r="L713" s="135">
        <v>7.0715348246745705E-2</v>
      </c>
      <c r="M713" s="135">
        <v>5.1928626495336402E-2</v>
      </c>
      <c r="N713" s="135">
        <v>3.1673308886092801E-2</v>
      </c>
      <c r="O713" s="135">
        <v>2.2236994931657001E-2</v>
      </c>
      <c r="P713" s="135">
        <v>2.0560169292138799E-2</v>
      </c>
      <c r="Q713" s="135">
        <v>2.18661162079264E-2</v>
      </c>
      <c r="R713" s="135">
        <v>2.0842180624689899E-2</v>
      </c>
      <c r="S713" s="135">
        <v>2.0100994778200099E-2</v>
      </c>
      <c r="T713" s="135">
        <v>1.6831039902024201E-2</v>
      </c>
      <c r="U713" s="135">
        <v>1.9432218626620899E-2</v>
      </c>
      <c r="V713" s="135">
        <v>2.2657789154565799E-2</v>
      </c>
      <c r="W713" s="135">
        <v>2.6654402391733199E-2</v>
      </c>
      <c r="X713" s="135">
        <v>3.4431574936831799E-2</v>
      </c>
      <c r="Y713" s="135">
        <v>4.4276020812349097E-2</v>
      </c>
      <c r="Z713" s="135">
        <v>5.6346361140112801E-2</v>
      </c>
      <c r="AA713" s="135">
        <v>6.3844471002895795E-2</v>
      </c>
      <c r="AB713" s="135">
        <v>4.6815435432834902E-2</v>
      </c>
      <c r="AC713" s="135">
        <v>1.8402819557497199E-2</v>
      </c>
      <c r="AD713" s="135">
        <v>8.7440244163495707E-3</v>
      </c>
      <c r="AF713" s="243">
        <f t="shared" si="11"/>
        <v>0.14838474168576049</v>
      </c>
      <c r="AG713" s="275">
        <f t="shared" si="12"/>
        <v>0.32009215706031774</v>
      </c>
      <c r="AH713" s="391">
        <f t="shared" si="13"/>
        <v>0.36289263326752935</v>
      </c>
      <c r="AI713" s="135">
        <f t="shared" si="14"/>
        <v>0.68298479032784709</v>
      </c>
    </row>
    <row r="714" spans="1:35" ht="12.6">
      <c r="A714" s="10" t="s">
        <v>61</v>
      </c>
      <c r="B714" s="10">
        <v>348</v>
      </c>
      <c r="C714" s="10" t="s">
        <v>1512</v>
      </c>
      <c r="D714" s="388">
        <v>45274</v>
      </c>
      <c r="E714" s="389">
        <v>45274</v>
      </c>
      <c r="F714" s="390" t="str">
        <f t="shared" si="10"/>
        <v>Lighting</v>
      </c>
      <c r="G714" s="135">
        <v>7.5952421850581601E-3</v>
      </c>
      <c r="H714" s="135">
        <v>6.8301865532236E-3</v>
      </c>
      <c r="I714" s="135">
        <v>7.4159413461902697E-3</v>
      </c>
      <c r="J714" s="135">
        <v>9.3585166610140099E-3</v>
      </c>
      <c r="K714" s="135">
        <v>3.3425006745758497E-2</v>
      </c>
      <c r="L714" s="135">
        <v>7.0715348246745705E-2</v>
      </c>
      <c r="M714" s="135">
        <v>5.1928626495336402E-2</v>
      </c>
      <c r="N714" s="135">
        <v>3.1673308886092801E-2</v>
      </c>
      <c r="O714" s="135">
        <v>2.2236994931657001E-2</v>
      </c>
      <c r="P714" s="135">
        <v>2.0560169292138799E-2</v>
      </c>
      <c r="Q714" s="135">
        <v>2.18661162079264E-2</v>
      </c>
      <c r="R714" s="135">
        <v>2.0842180624689899E-2</v>
      </c>
      <c r="S714" s="135">
        <v>2.0100994778200099E-2</v>
      </c>
      <c r="T714" s="135">
        <v>1.6831039902024201E-2</v>
      </c>
      <c r="U714" s="135">
        <v>1.9432218626620899E-2</v>
      </c>
      <c r="V714" s="135">
        <v>2.2657789154565799E-2</v>
      </c>
      <c r="W714" s="135">
        <v>2.6654402391733199E-2</v>
      </c>
      <c r="X714" s="135">
        <v>3.4431574936831799E-2</v>
      </c>
      <c r="Y714" s="135">
        <v>4.4276020812349097E-2</v>
      </c>
      <c r="Z714" s="135">
        <v>5.6346361140112801E-2</v>
      </c>
      <c r="AA714" s="135">
        <v>6.3844471002895795E-2</v>
      </c>
      <c r="AB714" s="135">
        <v>4.6815435432834902E-2</v>
      </c>
      <c r="AC714" s="135">
        <v>1.8402819557497199E-2</v>
      </c>
      <c r="AD714" s="135">
        <v>8.7440244163495707E-3</v>
      </c>
      <c r="AF714" s="243">
        <f t="shared" si="11"/>
        <v>0.14838474168576049</v>
      </c>
      <c r="AG714" s="275">
        <f t="shared" si="12"/>
        <v>0.32009215706031774</v>
      </c>
      <c r="AH714" s="391">
        <f t="shared" si="13"/>
        <v>0.36289263326752935</v>
      </c>
      <c r="AI714" s="135">
        <f t="shared" si="14"/>
        <v>0.68298479032784709</v>
      </c>
    </row>
    <row r="715" spans="1:35" ht="12.6">
      <c r="A715" s="10" t="s">
        <v>61</v>
      </c>
      <c r="B715" s="10">
        <v>349</v>
      </c>
      <c r="C715" s="10" t="s">
        <v>1512</v>
      </c>
      <c r="D715" s="388">
        <v>45275</v>
      </c>
      <c r="E715" s="389">
        <v>45275</v>
      </c>
      <c r="F715" s="390" t="str">
        <f t="shared" si="10"/>
        <v>Lighting</v>
      </c>
      <c r="G715" s="135">
        <v>7.5952421850581601E-3</v>
      </c>
      <c r="H715" s="135">
        <v>6.8301865532236E-3</v>
      </c>
      <c r="I715" s="135">
        <v>7.4159413461902697E-3</v>
      </c>
      <c r="J715" s="135">
        <v>9.3585166610140099E-3</v>
      </c>
      <c r="K715" s="135">
        <v>3.3425006745758497E-2</v>
      </c>
      <c r="L715" s="135">
        <v>7.0715348246745705E-2</v>
      </c>
      <c r="M715" s="135">
        <v>5.1928626495336402E-2</v>
      </c>
      <c r="N715" s="135">
        <v>3.1673308886092801E-2</v>
      </c>
      <c r="O715" s="135">
        <v>2.2236994931657001E-2</v>
      </c>
      <c r="P715" s="135">
        <v>2.0560169292138799E-2</v>
      </c>
      <c r="Q715" s="135">
        <v>2.18661162079264E-2</v>
      </c>
      <c r="R715" s="135">
        <v>2.0842180624689899E-2</v>
      </c>
      <c r="S715" s="135">
        <v>2.0100994778200099E-2</v>
      </c>
      <c r="T715" s="135">
        <v>1.6831039902024201E-2</v>
      </c>
      <c r="U715" s="135">
        <v>1.9432218626620899E-2</v>
      </c>
      <c r="V715" s="135">
        <v>2.2657789154565799E-2</v>
      </c>
      <c r="W715" s="135">
        <v>2.6654402391733199E-2</v>
      </c>
      <c r="X715" s="135">
        <v>3.4431574936831799E-2</v>
      </c>
      <c r="Y715" s="135">
        <v>4.4276020812349097E-2</v>
      </c>
      <c r="Z715" s="135">
        <v>5.6346361140112801E-2</v>
      </c>
      <c r="AA715" s="135">
        <v>6.3844471002895795E-2</v>
      </c>
      <c r="AB715" s="135">
        <v>4.6815435432834902E-2</v>
      </c>
      <c r="AC715" s="135">
        <v>1.8402819557497199E-2</v>
      </c>
      <c r="AD715" s="135">
        <v>8.7440244163495707E-3</v>
      </c>
      <c r="AF715" s="243">
        <f t="shared" si="11"/>
        <v>0.14838474168576049</v>
      </c>
      <c r="AG715" s="275">
        <f t="shared" si="12"/>
        <v>0.32009215706031774</v>
      </c>
      <c r="AH715" s="391">
        <f t="shared" si="13"/>
        <v>0.36289263326752935</v>
      </c>
      <c r="AI715" s="135">
        <f t="shared" si="14"/>
        <v>0.68298479032784709</v>
      </c>
    </row>
    <row r="716" spans="1:35" ht="12.6">
      <c r="A716" s="10" t="s">
        <v>61</v>
      </c>
      <c r="B716" s="10">
        <v>350</v>
      </c>
      <c r="C716" s="10" t="s">
        <v>1512</v>
      </c>
      <c r="D716" s="388">
        <v>45276</v>
      </c>
      <c r="E716" s="389">
        <v>45276</v>
      </c>
      <c r="F716" s="390" t="str">
        <f t="shared" si="10"/>
        <v>Lighting</v>
      </c>
      <c r="G716" s="135">
        <v>8.3979857634250595E-3</v>
      </c>
      <c r="H716" s="135">
        <v>7.7963964395086896E-3</v>
      </c>
      <c r="I716" s="135">
        <v>8.3822325395603008E-3</v>
      </c>
      <c r="J716" s="135">
        <v>1.04290513120818E-2</v>
      </c>
      <c r="K716" s="135">
        <v>8.2112463453817598E-3</v>
      </c>
      <c r="L716" s="135">
        <v>1.07990385440268E-2</v>
      </c>
      <c r="M716" s="135">
        <v>2.0014397807540201E-2</v>
      </c>
      <c r="N716" s="135">
        <v>3.0890684582839299E-2</v>
      </c>
      <c r="O716" s="135">
        <v>4.2703331359732602E-2</v>
      </c>
      <c r="P716" s="135">
        <v>4.3606857894242797E-2</v>
      </c>
      <c r="Q716" s="135">
        <v>4.0790999038774499E-2</v>
      </c>
      <c r="R716" s="135">
        <v>3.5847085401207901E-2</v>
      </c>
      <c r="S716" s="135">
        <v>3.2277433130328603E-2</v>
      </c>
      <c r="T716" s="135">
        <v>2.7530842799098499E-2</v>
      </c>
      <c r="U716" s="135">
        <v>3.1619476682785197E-2</v>
      </c>
      <c r="V716" s="135">
        <v>2.7837118896337699E-2</v>
      </c>
      <c r="W716" s="135">
        <v>2.90835721058064E-2</v>
      </c>
      <c r="X716" s="135">
        <v>3.3496417590967303E-2</v>
      </c>
      <c r="Y716" s="135">
        <v>4.0296705301614603E-2</v>
      </c>
      <c r="Z716" s="135">
        <v>5.01490773383379E-2</v>
      </c>
      <c r="AA716" s="135">
        <v>5.7177958912325903E-2</v>
      </c>
      <c r="AB716" s="135">
        <v>4.41050484989172E-2</v>
      </c>
      <c r="AC716" s="135">
        <v>2.0819438993321698E-2</v>
      </c>
      <c r="AD716" s="135">
        <v>1.2035506651996399E-2</v>
      </c>
      <c r="AF716" s="243">
        <f t="shared" si="11"/>
        <v>0.2249865280543388</v>
      </c>
      <c r="AG716" s="275">
        <f t="shared" si="12"/>
        <v>0.25523373801119908</v>
      </c>
      <c r="AH716" s="391">
        <f t="shared" si="13"/>
        <v>0.41906416591896001</v>
      </c>
      <c r="AI716" s="135">
        <f t="shared" si="14"/>
        <v>0.67429790393015909</v>
      </c>
    </row>
    <row r="717" spans="1:35" ht="12.6">
      <c r="A717" s="10" t="s">
        <v>61</v>
      </c>
      <c r="B717" s="10">
        <v>351</v>
      </c>
      <c r="C717" s="10" t="s">
        <v>1512</v>
      </c>
      <c r="D717" s="388">
        <v>45277</v>
      </c>
      <c r="E717" s="389">
        <v>45277</v>
      </c>
      <c r="F717" s="390" t="str">
        <f t="shared" si="10"/>
        <v>Lighting</v>
      </c>
      <c r="G717" s="135">
        <v>8.3979857634250595E-3</v>
      </c>
      <c r="H717" s="135">
        <v>7.7963964395086896E-3</v>
      </c>
      <c r="I717" s="135">
        <v>8.3822325395603008E-3</v>
      </c>
      <c r="J717" s="135">
        <v>1.04290513120818E-2</v>
      </c>
      <c r="K717" s="135">
        <v>8.2112463453817598E-3</v>
      </c>
      <c r="L717" s="135">
        <v>1.07990385440268E-2</v>
      </c>
      <c r="M717" s="135">
        <v>2.0014397807540201E-2</v>
      </c>
      <c r="N717" s="135">
        <v>3.0890684582839299E-2</v>
      </c>
      <c r="O717" s="135">
        <v>4.2703331359732602E-2</v>
      </c>
      <c r="P717" s="135">
        <v>4.3606857894242797E-2</v>
      </c>
      <c r="Q717" s="135">
        <v>4.0790999038774499E-2</v>
      </c>
      <c r="R717" s="135">
        <v>3.5847085401207901E-2</v>
      </c>
      <c r="S717" s="135">
        <v>3.2277433130328603E-2</v>
      </c>
      <c r="T717" s="135">
        <v>2.7530842799098499E-2</v>
      </c>
      <c r="U717" s="135">
        <v>3.1619476682785197E-2</v>
      </c>
      <c r="V717" s="135">
        <v>2.7837118896337699E-2</v>
      </c>
      <c r="W717" s="135">
        <v>2.90835721058064E-2</v>
      </c>
      <c r="X717" s="135">
        <v>3.3496417590967303E-2</v>
      </c>
      <c r="Y717" s="135">
        <v>4.0296705301614603E-2</v>
      </c>
      <c r="Z717" s="135">
        <v>5.01490773383379E-2</v>
      </c>
      <c r="AA717" s="135">
        <v>5.7177958912325903E-2</v>
      </c>
      <c r="AB717" s="135">
        <v>4.41050484989172E-2</v>
      </c>
      <c r="AC717" s="135">
        <v>2.0819438993321698E-2</v>
      </c>
      <c r="AD717" s="135">
        <v>1.2035506651996399E-2</v>
      </c>
      <c r="AF717" s="243">
        <f t="shared" si="11"/>
        <v>0.2249865280543388</v>
      </c>
      <c r="AG717" s="275">
        <f t="shared" si="12"/>
        <v>0.25523373801119908</v>
      </c>
      <c r="AH717" s="391">
        <f t="shared" si="13"/>
        <v>0.41906416591896001</v>
      </c>
      <c r="AI717" s="135">
        <f t="shared" si="14"/>
        <v>0.67429790393015909</v>
      </c>
    </row>
    <row r="718" spans="1:35" ht="12.6">
      <c r="A718" s="10" t="s">
        <v>61</v>
      </c>
      <c r="B718" s="10">
        <v>352</v>
      </c>
      <c r="C718" s="10" t="s">
        <v>1512</v>
      </c>
      <c r="D718" s="388">
        <v>45278</v>
      </c>
      <c r="E718" s="389">
        <v>45278</v>
      </c>
      <c r="F718" s="390" t="str">
        <f t="shared" si="10"/>
        <v>Lighting</v>
      </c>
      <c r="G718" s="135">
        <v>7.5952421850581601E-3</v>
      </c>
      <c r="H718" s="135">
        <v>6.8301865532236E-3</v>
      </c>
      <c r="I718" s="135">
        <v>7.4159413461902697E-3</v>
      </c>
      <c r="J718" s="135">
        <v>9.3585166610140099E-3</v>
      </c>
      <c r="K718" s="135">
        <v>3.3425006745758497E-2</v>
      </c>
      <c r="L718" s="135">
        <v>7.0715348246745705E-2</v>
      </c>
      <c r="M718" s="135">
        <v>5.1928626495336402E-2</v>
      </c>
      <c r="N718" s="135">
        <v>3.1673308886092801E-2</v>
      </c>
      <c r="O718" s="135">
        <v>2.2236994931657001E-2</v>
      </c>
      <c r="P718" s="135">
        <v>2.0560169292138799E-2</v>
      </c>
      <c r="Q718" s="135">
        <v>2.18661162079264E-2</v>
      </c>
      <c r="R718" s="135">
        <v>2.0842180624689899E-2</v>
      </c>
      <c r="S718" s="135">
        <v>2.0100994778200099E-2</v>
      </c>
      <c r="T718" s="135">
        <v>1.6831039902024201E-2</v>
      </c>
      <c r="U718" s="135">
        <v>1.9432218626620899E-2</v>
      </c>
      <c r="V718" s="135">
        <v>2.2657789154565799E-2</v>
      </c>
      <c r="W718" s="135">
        <v>2.6654402391733199E-2</v>
      </c>
      <c r="X718" s="135">
        <v>3.4431574936831799E-2</v>
      </c>
      <c r="Y718" s="135">
        <v>4.4276020812349097E-2</v>
      </c>
      <c r="Z718" s="135">
        <v>5.6346361140112801E-2</v>
      </c>
      <c r="AA718" s="135">
        <v>6.3844471002895795E-2</v>
      </c>
      <c r="AB718" s="135">
        <v>4.6815435432834902E-2</v>
      </c>
      <c r="AC718" s="135">
        <v>1.8402819557497199E-2</v>
      </c>
      <c r="AD718" s="135">
        <v>8.7440244163495707E-3</v>
      </c>
      <c r="AF718" s="243">
        <f t="shared" si="11"/>
        <v>0.14838474168576049</v>
      </c>
      <c r="AG718" s="275">
        <f t="shared" si="12"/>
        <v>0.32009215706031774</v>
      </c>
      <c r="AH718" s="391">
        <f t="shared" si="13"/>
        <v>0.36289263326752935</v>
      </c>
      <c r="AI718" s="135">
        <f t="shared" si="14"/>
        <v>0.68298479032784709</v>
      </c>
    </row>
    <row r="719" spans="1:35" ht="12.6">
      <c r="A719" s="10" t="s">
        <v>61</v>
      </c>
      <c r="B719" s="10">
        <v>353</v>
      </c>
      <c r="C719" s="10" t="s">
        <v>1512</v>
      </c>
      <c r="D719" s="388">
        <v>45279</v>
      </c>
      <c r="E719" s="389">
        <v>45279</v>
      </c>
      <c r="F719" s="390" t="str">
        <f t="shared" si="10"/>
        <v>Lighting</v>
      </c>
      <c r="G719" s="135">
        <v>7.5952421850581601E-3</v>
      </c>
      <c r="H719" s="135">
        <v>6.8301865532236E-3</v>
      </c>
      <c r="I719" s="135">
        <v>7.4159413461902697E-3</v>
      </c>
      <c r="J719" s="135">
        <v>9.3585166610140099E-3</v>
      </c>
      <c r="K719" s="135">
        <v>3.3425006745758497E-2</v>
      </c>
      <c r="L719" s="135">
        <v>7.0715348246745705E-2</v>
      </c>
      <c r="M719" s="135">
        <v>5.1928626495336402E-2</v>
      </c>
      <c r="N719" s="135">
        <v>3.1673308886092801E-2</v>
      </c>
      <c r="O719" s="135">
        <v>2.2236994931657001E-2</v>
      </c>
      <c r="P719" s="135">
        <v>2.0560169292138799E-2</v>
      </c>
      <c r="Q719" s="135">
        <v>2.18661162079264E-2</v>
      </c>
      <c r="R719" s="135">
        <v>2.0842180624689899E-2</v>
      </c>
      <c r="S719" s="135">
        <v>2.0100994778200099E-2</v>
      </c>
      <c r="T719" s="135">
        <v>1.6831039902024201E-2</v>
      </c>
      <c r="U719" s="135">
        <v>1.9432218626620899E-2</v>
      </c>
      <c r="V719" s="135">
        <v>2.2657789154565799E-2</v>
      </c>
      <c r="W719" s="135">
        <v>2.6654402391733199E-2</v>
      </c>
      <c r="X719" s="135">
        <v>3.4431574936831799E-2</v>
      </c>
      <c r="Y719" s="135">
        <v>4.4276020812349097E-2</v>
      </c>
      <c r="Z719" s="135">
        <v>5.6346361140112801E-2</v>
      </c>
      <c r="AA719" s="135">
        <v>6.3844471002895795E-2</v>
      </c>
      <c r="AB719" s="135">
        <v>4.6815435432834902E-2</v>
      </c>
      <c r="AC719" s="135">
        <v>1.8402819557497199E-2</v>
      </c>
      <c r="AD719" s="135">
        <v>8.7440244163495707E-3</v>
      </c>
      <c r="AF719" s="243">
        <f t="shared" si="11"/>
        <v>0.14838474168576049</v>
      </c>
      <c r="AG719" s="275">
        <f t="shared" si="12"/>
        <v>0.32009215706031774</v>
      </c>
      <c r="AH719" s="391">
        <f t="shared" si="13"/>
        <v>0.36289263326752935</v>
      </c>
      <c r="AI719" s="135">
        <f t="shared" si="14"/>
        <v>0.68298479032784709</v>
      </c>
    </row>
    <row r="720" spans="1:35" ht="12.6">
      <c r="A720" s="10" t="s">
        <v>61</v>
      </c>
      <c r="B720" s="10">
        <v>354</v>
      </c>
      <c r="C720" s="10" t="s">
        <v>1512</v>
      </c>
      <c r="D720" s="388">
        <v>45280</v>
      </c>
      <c r="E720" s="389">
        <v>45280</v>
      </c>
      <c r="F720" s="390" t="str">
        <f t="shared" si="10"/>
        <v>Lighting</v>
      </c>
      <c r="G720" s="135">
        <v>7.5952421850581601E-3</v>
      </c>
      <c r="H720" s="135">
        <v>6.8301865532236E-3</v>
      </c>
      <c r="I720" s="135">
        <v>7.4159413461902697E-3</v>
      </c>
      <c r="J720" s="135">
        <v>9.3585166610140099E-3</v>
      </c>
      <c r="K720" s="135">
        <v>3.3425006745758497E-2</v>
      </c>
      <c r="L720" s="135">
        <v>7.0715348246745705E-2</v>
      </c>
      <c r="M720" s="135">
        <v>5.1928626495336402E-2</v>
      </c>
      <c r="N720" s="135">
        <v>3.1673308886092801E-2</v>
      </c>
      <c r="O720" s="135">
        <v>2.2236994931657001E-2</v>
      </c>
      <c r="P720" s="135">
        <v>2.0560169292138799E-2</v>
      </c>
      <c r="Q720" s="135">
        <v>2.18661162079264E-2</v>
      </c>
      <c r="R720" s="135">
        <v>2.0842180624689899E-2</v>
      </c>
      <c r="S720" s="135">
        <v>2.0100994778200099E-2</v>
      </c>
      <c r="T720" s="135">
        <v>1.6831039902024201E-2</v>
      </c>
      <c r="U720" s="135">
        <v>1.9432218626620899E-2</v>
      </c>
      <c r="V720" s="135">
        <v>2.2657789154565799E-2</v>
      </c>
      <c r="W720" s="135">
        <v>2.6654402391733199E-2</v>
      </c>
      <c r="X720" s="135">
        <v>3.4431574936831799E-2</v>
      </c>
      <c r="Y720" s="135">
        <v>4.4276020812349097E-2</v>
      </c>
      <c r="Z720" s="135">
        <v>5.6346361140112801E-2</v>
      </c>
      <c r="AA720" s="135">
        <v>6.3844471002895795E-2</v>
      </c>
      <c r="AB720" s="135">
        <v>4.6815435432834902E-2</v>
      </c>
      <c r="AC720" s="135">
        <v>1.8402819557497199E-2</v>
      </c>
      <c r="AD720" s="135">
        <v>8.7440244163495707E-3</v>
      </c>
      <c r="AF720" s="243">
        <f t="shared" si="11"/>
        <v>0.14838474168576049</v>
      </c>
      <c r="AG720" s="275">
        <f t="shared" si="12"/>
        <v>0.32009215706031774</v>
      </c>
      <c r="AH720" s="391">
        <f t="shared" si="13"/>
        <v>0.36289263326752935</v>
      </c>
      <c r="AI720" s="135">
        <f t="shared" si="14"/>
        <v>0.68298479032784709</v>
      </c>
    </row>
    <row r="721" spans="1:35" ht="12.6">
      <c r="A721" s="10" t="s">
        <v>61</v>
      </c>
      <c r="B721" s="10">
        <v>355</v>
      </c>
      <c r="C721" s="10" t="s">
        <v>1512</v>
      </c>
      <c r="D721" s="388">
        <v>45281</v>
      </c>
      <c r="E721" s="389">
        <v>45281</v>
      </c>
      <c r="F721" s="390" t="str">
        <f t="shared" si="10"/>
        <v>Lighting</v>
      </c>
      <c r="G721" s="135">
        <v>7.5952421850581601E-3</v>
      </c>
      <c r="H721" s="135">
        <v>6.8301865532236E-3</v>
      </c>
      <c r="I721" s="135">
        <v>7.4159413461902697E-3</v>
      </c>
      <c r="J721" s="135">
        <v>9.3585166610140099E-3</v>
      </c>
      <c r="K721" s="135">
        <v>3.3425006745758497E-2</v>
      </c>
      <c r="L721" s="135">
        <v>7.0715348246745705E-2</v>
      </c>
      <c r="M721" s="135">
        <v>5.1928626495336402E-2</v>
      </c>
      <c r="N721" s="135">
        <v>3.1673308886092801E-2</v>
      </c>
      <c r="O721" s="135">
        <v>2.2236994931657001E-2</v>
      </c>
      <c r="P721" s="135">
        <v>2.0560169292138799E-2</v>
      </c>
      <c r="Q721" s="135">
        <v>2.18661162079264E-2</v>
      </c>
      <c r="R721" s="135">
        <v>2.0842180624689899E-2</v>
      </c>
      <c r="S721" s="135">
        <v>2.0100994778200099E-2</v>
      </c>
      <c r="T721" s="135">
        <v>1.6831039902024201E-2</v>
      </c>
      <c r="U721" s="135">
        <v>1.9432218626620899E-2</v>
      </c>
      <c r="V721" s="135">
        <v>2.2657789154565799E-2</v>
      </c>
      <c r="W721" s="135">
        <v>2.6654402391733199E-2</v>
      </c>
      <c r="X721" s="135">
        <v>3.4431574936831799E-2</v>
      </c>
      <c r="Y721" s="135">
        <v>4.4276020812349097E-2</v>
      </c>
      <c r="Z721" s="135">
        <v>5.6346361140112801E-2</v>
      </c>
      <c r="AA721" s="135">
        <v>6.3844471002895795E-2</v>
      </c>
      <c r="AB721" s="135">
        <v>4.6815435432834902E-2</v>
      </c>
      <c r="AC721" s="135">
        <v>1.8402819557497199E-2</v>
      </c>
      <c r="AD721" s="135">
        <v>8.7440244163495707E-3</v>
      </c>
      <c r="AF721" s="243">
        <f t="shared" si="11"/>
        <v>0.14838474168576049</v>
      </c>
      <c r="AG721" s="275">
        <f t="shared" si="12"/>
        <v>0.32009215706031774</v>
      </c>
      <c r="AH721" s="391">
        <f t="shared" si="13"/>
        <v>0.36289263326752935</v>
      </c>
      <c r="AI721" s="135">
        <f t="shared" si="14"/>
        <v>0.68298479032784709</v>
      </c>
    </row>
    <row r="722" spans="1:35" ht="12.6">
      <c r="A722" s="10" t="s">
        <v>61</v>
      </c>
      <c r="B722" s="10">
        <v>356</v>
      </c>
      <c r="C722" s="10" t="s">
        <v>1512</v>
      </c>
      <c r="D722" s="388">
        <v>45282</v>
      </c>
      <c r="E722" s="389">
        <v>45282</v>
      </c>
      <c r="F722" s="390" t="str">
        <f t="shared" si="10"/>
        <v>Lighting</v>
      </c>
      <c r="G722" s="135">
        <v>7.5952421850581601E-3</v>
      </c>
      <c r="H722" s="135">
        <v>6.8301865532236E-3</v>
      </c>
      <c r="I722" s="135">
        <v>7.4159413461902697E-3</v>
      </c>
      <c r="J722" s="135">
        <v>9.3585166610140099E-3</v>
      </c>
      <c r="K722" s="135">
        <v>3.3425006745758497E-2</v>
      </c>
      <c r="L722" s="135">
        <v>7.0715348246745705E-2</v>
      </c>
      <c r="M722" s="135">
        <v>5.1928626495336402E-2</v>
      </c>
      <c r="N722" s="135">
        <v>3.1673308886092801E-2</v>
      </c>
      <c r="O722" s="135">
        <v>2.2236994931657001E-2</v>
      </c>
      <c r="P722" s="135">
        <v>2.0560169292138799E-2</v>
      </c>
      <c r="Q722" s="135">
        <v>2.18661162079264E-2</v>
      </c>
      <c r="R722" s="135">
        <v>2.0842180624689899E-2</v>
      </c>
      <c r="S722" s="135">
        <v>2.0100994778200099E-2</v>
      </c>
      <c r="T722" s="135">
        <v>1.6831039902024201E-2</v>
      </c>
      <c r="U722" s="135">
        <v>1.9432218626620899E-2</v>
      </c>
      <c r="V722" s="135">
        <v>2.2657789154565799E-2</v>
      </c>
      <c r="W722" s="135">
        <v>2.6654402391733199E-2</v>
      </c>
      <c r="X722" s="135">
        <v>3.4431574936831799E-2</v>
      </c>
      <c r="Y722" s="135">
        <v>4.4276020812349097E-2</v>
      </c>
      <c r="Z722" s="135">
        <v>5.6346361140112801E-2</v>
      </c>
      <c r="AA722" s="135">
        <v>6.3844471002895795E-2</v>
      </c>
      <c r="AB722" s="135">
        <v>4.6815435432834902E-2</v>
      </c>
      <c r="AC722" s="135">
        <v>1.8402819557497199E-2</v>
      </c>
      <c r="AD722" s="135">
        <v>8.7440244163495707E-3</v>
      </c>
      <c r="AF722" s="243">
        <f t="shared" si="11"/>
        <v>0.14838474168576049</v>
      </c>
      <c r="AG722" s="275">
        <f t="shared" si="12"/>
        <v>0.32009215706031774</v>
      </c>
      <c r="AH722" s="391">
        <f t="shared" si="13"/>
        <v>0.36289263326752935</v>
      </c>
      <c r="AI722" s="135">
        <f t="shared" si="14"/>
        <v>0.68298479032784709</v>
      </c>
    </row>
    <row r="723" spans="1:35" ht="12.6">
      <c r="A723" s="10" t="s">
        <v>61</v>
      </c>
      <c r="B723" s="10">
        <v>357</v>
      </c>
      <c r="C723" s="10" t="s">
        <v>1512</v>
      </c>
      <c r="D723" s="388">
        <v>45283</v>
      </c>
      <c r="E723" s="389">
        <v>45283</v>
      </c>
      <c r="F723" s="390" t="str">
        <f t="shared" si="10"/>
        <v>Lighting</v>
      </c>
      <c r="G723" s="135">
        <v>8.3979857634250595E-3</v>
      </c>
      <c r="H723" s="135">
        <v>7.7963964395086896E-3</v>
      </c>
      <c r="I723" s="135">
        <v>8.3822325395603008E-3</v>
      </c>
      <c r="J723" s="135">
        <v>1.04290513120818E-2</v>
      </c>
      <c r="K723" s="135">
        <v>8.2112463453817598E-3</v>
      </c>
      <c r="L723" s="135">
        <v>1.07990385440268E-2</v>
      </c>
      <c r="M723" s="135">
        <v>2.0014397807540201E-2</v>
      </c>
      <c r="N723" s="135">
        <v>3.0890684582839299E-2</v>
      </c>
      <c r="O723" s="135">
        <v>4.2703331359732602E-2</v>
      </c>
      <c r="P723" s="135">
        <v>4.3606857894242797E-2</v>
      </c>
      <c r="Q723" s="135">
        <v>4.0790999038774499E-2</v>
      </c>
      <c r="R723" s="135">
        <v>3.5847085401207901E-2</v>
      </c>
      <c r="S723" s="135">
        <v>3.2277433130328603E-2</v>
      </c>
      <c r="T723" s="135">
        <v>2.7530842799098499E-2</v>
      </c>
      <c r="U723" s="135">
        <v>3.1619476682785197E-2</v>
      </c>
      <c r="V723" s="135">
        <v>2.7837118896337699E-2</v>
      </c>
      <c r="W723" s="135">
        <v>2.90835721058064E-2</v>
      </c>
      <c r="X723" s="135">
        <v>3.3496417590967303E-2</v>
      </c>
      <c r="Y723" s="135">
        <v>4.0296705301614603E-2</v>
      </c>
      <c r="Z723" s="135">
        <v>5.01490773383379E-2</v>
      </c>
      <c r="AA723" s="135">
        <v>5.7177958912325903E-2</v>
      </c>
      <c r="AB723" s="135">
        <v>4.41050484989172E-2</v>
      </c>
      <c r="AC723" s="135">
        <v>2.0819438993321698E-2</v>
      </c>
      <c r="AD723" s="135">
        <v>1.2035506651996399E-2</v>
      </c>
      <c r="AF723" s="243">
        <f t="shared" si="11"/>
        <v>0.2249865280543388</v>
      </c>
      <c r="AG723" s="275">
        <f t="shared" si="12"/>
        <v>0.25523373801119908</v>
      </c>
      <c r="AH723" s="391">
        <f t="shared" si="13"/>
        <v>0.41906416591896001</v>
      </c>
      <c r="AI723" s="135">
        <f t="shared" si="14"/>
        <v>0.67429790393015909</v>
      </c>
    </row>
    <row r="724" spans="1:35" ht="12.6">
      <c r="A724" s="10" t="s">
        <v>61</v>
      </c>
      <c r="B724" s="10">
        <v>358</v>
      </c>
      <c r="C724" s="10" t="s">
        <v>1512</v>
      </c>
      <c r="D724" s="388">
        <v>45284</v>
      </c>
      <c r="E724" s="389">
        <v>45284</v>
      </c>
      <c r="F724" s="390" t="str">
        <f t="shared" si="10"/>
        <v>Lighting</v>
      </c>
      <c r="G724" s="135">
        <v>8.3979857634250595E-3</v>
      </c>
      <c r="H724" s="135">
        <v>7.7963964395086896E-3</v>
      </c>
      <c r="I724" s="135">
        <v>8.3822325395603008E-3</v>
      </c>
      <c r="J724" s="135">
        <v>1.04290513120818E-2</v>
      </c>
      <c r="K724" s="135">
        <v>8.2112463453817598E-3</v>
      </c>
      <c r="L724" s="135">
        <v>1.07990385440268E-2</v>
      </c>
      <c r="M724" s="135">
        <v>2.0014397807540201E-2</v>
      </c>
      <c r="N724" s="135">
        <v>3.0890684582839299E-2</v>
      </c>
      <c r="O724" s="135">
        <v>4.2703331359732602E-2</v>
      </c>
      <c r="P724" s="135">
        <v>4.3606857894242797E-2</v>
      </c>
      <c r="Q724" s="135">
        <v>4.0790999038774499E-2</v>
      </c>
      <c r="R724" s="135">
        <v>3.5847085401207901E-2</v>
      </c>
      <c r="S724" s="135">
        <v>3.2277433130328603E-2</v>
      </c>
      <c r="T724" s="135">
        <v>2.7530842799098499E-2</v>
      </c>
      <c r="U724" s="135">
        <v>3.1619476682785197E-2</v>
      </c>
      <c r="V724" s="135">
        <v>2.7837118896337699E-2</v>
      </c>
      <c r="W724" s="135">
        <v>2.90835721058064E-2</v>
      </c>
      <c r="X724" s="135">
        <v>3.3496417590967303E-2</v>
      </c>
      <c r="Y724" s="135">
        <v>4.0296705301614603E-2</v>
      </c>
      <c r="Z724" s="135">
        <v>5.01490773383379E-2</v>
      </c>
      <c r="AA724" s="135">
        <v>5.7177958912325903E-2</v>
      </c>
      <c r="AB724" s="135">
        <v>4.41050484989172E-2</v>
      </c>
      <c r="AC724" s="135">
        <v>2.0819438993321698E-2</v>
      </c>
      <c r="AD724" s="135">
        <v>1.2035506651996399E-2</v>
      </c>
      <c r="AF724" s="243">
        <f t="shared" si="11"/>
        <v>0.2249865280543388</v>
      </c>
      <c r="AG724" s="275">
        <f t="shared" si="12"/>
        <v>0.25523373801119908</v>
      </c>
      <c r="AH724" s="391">
        <f t="shared" si="13"/>
        <v>0.41906416591896001</v>
      </c>
      <c r="AI724" s="135">
        <f t="shared" si="14"/>
        <v>0.67429790393015909</v>
      </c>
    </row>
    <row r="725" spans="1:35" ht="12.6">
      <c r="A725" s="10" t="s">
        <v>61</v>
      </c>
      <c r="B725" s="10">
        <v>359</v>
      </c>
      <c r="C725" s="10" t="s">
        <v>1512</v>
      </c>
      <c r="D725" s="388">
        <v>45285</v>
      </c>
      <c r="E725" s="389">
        <v>45285</v>
      </c>
      <c r="F725" s="390" t="str">
        <f t="shared" si="10"/>
        <v>Lighting</v>
      </c>
      <c r="G725" s="135">
        <v>7.5952421850581601E-3</v>
      </c>
      <c r="H725" s="135">
        <v>6.8301865532236E-3</v>
      </c>
      <c r="I725" s="135">
        <v>7.4159413461902697E-3</v>
      </c>
      <c r="J725" s="135">
        <v>9.3585166610140099E-3</v>
      </c>
      <c r="K725" s="135">
        <v>3.3425006745758497E-2</v>
      </c>
      <c r="L725" s="135">
        <v>7.0715348246745705E-2</v>
      </c>
      <c r="M725" s="135">
        <v>5.1928626495336402E-2</v>
      </c>
      <c r="N725" s="135">
        <v>3.1673308886092801E-2</v>
      </c>
      <c r="O725" s="135">
        <v>2.2236994931657001E-2</v>
      </c>
      <c r="P725" s="135">
        <v>2.0560169292138799E-2</v>
      </c>
      <c r="Q725" s="135">
        <v>2.18661162079264E-2</v>
      </c>
      <c r="R725" s="135">
        <v>2.0842180624689899E-2</v>
      </c>
      <c r="S725" s="135">
        <v>2.0100994778200099E-2</v>
      </c>
      <c r="T725" s="135">
        <v>1.6831039902024201E-2</v>
      </c>
      <c r="U725" s="135">
        <v>1.9432218626620899E-2</v>
      </c>
      <c r="V725" s="135">
        <v>2.2657789154565799E-2</v>
      </c>
      <c r="W725" s="135">
        <v>2.6654402391733199E-2</v>
      </c>
      <c r="X725" s="135">
        <v>3.4431574936831799E-2</v>
      </c>
      <c r="Y725" s="135">
        <v>4.4276020812349097E-2</v>
      </c>
      <c r="Z725" s="135">
        <v>5.6346361140112801E-2</v>
      </c>
      <c r="AA725" s="135">
        <v>6.3844471002895795E-2</v>
      </c>
      <c r="AB725" s="135">
        <v>4.6815435432834902E-2</v>
      </c>
      <c r="AC725" s="135">
        <v>1.8402819557497199E-2</v>
      </c>
      <c r="AD725" s="135">
        <v>8.7440244163495707E-3</v>
      </c>
      <c r="AF725" s="243">
        <f t="shared" si="11"/>
        <v>0.14838474168576049</v>
      </c>
      <c r="AG725" s="275">
        <f t="shared" si="12"/>
        <v>0.32009215706031774</v>
      </c>
      <c r="AH725" s="391">
        <f t="shared" si="13"/>
        <v>0.36289263326752935</v>
      </c>
      <c r="AI725" s="135">
        <f t="shared" si="14"/>
        <v>0.68298479032784709</v>
      </c>
    </row>
    <row r="726" spans="1:35" ht="12.6">
      <c r="A726" s="10" t="s">
        <v>61</v>
      </c>
      <c r="B726" s="10">
        <v>360</v>
      </c>
      <c r="C726" s="10" t="s">
        <v>1512</v>
      </c>
      <c r="D726" s="388">
        <v>45286</v>
      </c>
      <c r="E726" s="389">
        <v>45286</v>
      </c>
      <c r="F726" s="390" t="str">
        <f t="shared" si="10"/>
        <v>Lighting</v>
      </c>
      <c r="G726" s="135">
        <v>7.5952421850581601E-3</v>
      </c>
      <c r="H726" s="135">
        <v>6.8301865532236E-3</v>
      </c>
      <c r="I726" s="135">
        <v>7.4159413461902697E-3</v>
      </c>
      <c r="J726" s="135">
        <v>9.3585166610140099E-3</v>
      </c>
      <c r="K726" s="135">
        <v>3.3425006745758497E-2</v>
      </c>
      <c r="L726" s="135">
        <v>7.0715348246745705E-2</v>
      </c>
      <c r="M726" s="135">
        <v>5.1928626495336402E-2</v>
      </c>
      <c r="N726" s="135">
        <v>3.1673308886092801E-2</v>
      </c>
      <c r="O726" s="135">
        <v>2.2236994931657001E-2</v>
      </c>
      <c r="P726" s="135">
        <v>2.0560169292138799E-2</v>
      </c>
      <c r="Q726" s="135">
        <v>2.18661162079264E-2</v>
      </c>
      <c r="R726" s="135">
        <v>2.0842180624689899E-2</v>
      </c>
      <c r="S726" s="135">
        <v>2.0100994778200099E-2</v>
      </c>
      <c r="T726" s="135">
        <v>1.6831039902024201E-2</v>
      </c>
      <c r="U726" s="135">
        <v>1.9432218626620899E-2</v>
      </c>
      <c r="V726" s="135">
        <v>2.2657789154565799E-2</v>
      </c>
      <c r="W726" s="135">
        <v>2.6654402391733199E-2</v>
      </c>
      <c r="X726" s="135">
        <v>3.4431574936831799E-2</v>
      </c>
      <c r="Y726" s="135">
        <v>4.4276020812349097E-2</v>
      </c>
      <c r="Z726" s="135">
        <v>5.6346361140112801E-2</v>
      </c>
      <c r="AA726" s="135">
        <v>6.3844471002895795E-2</v>
      </c>
      <c r="AB726" s="135">
        <v>4.6815435432834902E-2</v>
      </c>
      <c r="AC726" s="135">
        <v>1.8402819557497199E-2</v>
      </c>
      <c r="AD726" s="135">
        <v>8.7440244163495707E-3</v>
      </c>
      <c r="AF726" s="243">
        <f t="shared" si="11"/>
        <v>0.14838474168576049</v>
      </c>
      <c r="AG726" s="275">
        <f t="shared" si="12"/>
        <v>0.32009215706031774</v>
      </c>
      <c r="AH726" s="391">
        <f t="shared" si="13"/>
        <v>0.36289263326752935</v>
      </c>
      <c r="AI726" s="135">
        <f t="shared" si="14"/>
        <v>0.68298479032784709</v>
      </c>
    </row>
    <row r="727" spans="1:35" ht="12.6">
      <c r="A727" s="10" t="s">
        <v>61</v>
      </c>
      <c r="B727" s="10">
        <v>361</v>
      </c>
      <c r="C727" s="10" t="s">
        <v>1512</v>
      </c>
      <c r="D727" s="388">
        <v>45287</v>
      </c>
      <c r="E727" s="389">
        <v>45287</v>
      </c>
      <c r="F727" s="390" t="str">
        <f t="shared" si="10"/>
        <v>Lighting</v>
      </c>
      <c r="G727" s="135">
        <v>7.5952421850581601E-3</v>
      </c>
      <c r="H727" s="135">
        <v>6.8301865532236E-3</v>
      </c>
      <c r="I727" s="135">
        <v>7.4159413461902697E-3</v>
      </c>
      <c r="J727" s="135">
        <v>9.3585166610140099E-3</v>
      </c>
      <c r="K727" s="135">
        <v>3.3425006745758497E-2</v>
      </c>
      <c r="L727" s="135">
        <v>7.0715348246745705E-2</v>
      </c>
      <c r="M727" s="135">
        <v>5.1928626495336402E-2</v>
      </c>
      <c r="N727" s="135">
        <v>3.1673308886092801E-2</v>
      </c>
      <c r="O727" s="135">
        <v>2.2236994931657001E-2</v>
      </c>
      <c r="P727" s="135">
        <v>2.0560169292138799E-2</v>
      </c>
      <c r="Q727" s="135">
        <v>2.18661162079264E-2</v>
      </c>
      <c r="R727" s="135">
        <v>2.0842180624689899E-2</v>
      </c>
      <c r="S727" s="135">
        <v>2.0100994778200099E-2</v>
      </c>
      <c r="T727" s="135">
        <v>1.6831039902024201E-2</v>
      </c>
      <c r="U727" s="135">
        <v>1.9432218626620899E-2</v>
      </c>
      <c r="V727" s="135">
        <v>2.2657789154565799E-2</v>
      </c>
      <c r="W727" s="135">
        <v>2.6654402391733199E-2</v>
      </c>
      <c r="X727" s="135">
        <v>3.4431574936831799E-2</v>
      </c>
      <c r="Y727" s="135">
        <v>4.4276020812349097E-2</v>
      </c>
      <c r="Z727" s="135">
        <v>5.6346361140112801E-2</v>
      </c>
      <c r="AA727" s="135">
        <v>6.3844471002895795E-2</v>
      </c>
      <c r="AB727" s="135">
        <v>4.6815435432834902E-2</v>
      </c>
      <c r="AC727" s="135">
        <v>1.8402819557497199E-2</v>
      </c>
      <c r="AD727" s="135">
        <v>8.7440244163495707E-3</v>
      </c>
      <c r="AF727" s="243">
        <f t="shared" si="11"/>
        <v>0.14838474168576049</v>
      </c>
      <c r="AG727" s="275">
        <f t="shared" si="12"/>
        <v>0.32009215706031774</v>
      </c>
      <c r="AH727" s="391">
        <f t="shared" si="13"/>
        <v>0.36289263326752935</v>
      </c>
      <c r="AI727" s="135">
        <f t="shared" si="14"/>
        <v>0.68298479032784709</v>
      </c>
    </row>
    <row r="728" spans="1:35" ht="12.6">
      <c r="A728" s="10" t="s">
        <v>61</v>
      </c>
      <c r="B728" s="10">
        <v>362</v>
      </c>
      <c r="C728" s="10" t="s">
        <v>1512</v>
      </c>
      <c r="D728" s="388">
        <v>45288</v>
      </c>
      <c r="E728" s="389">
        <v>45288</v>
      </c>
      <c r="F728" s="390" t="str">
        <f t="shared" si="10"/>
        <v>Lighting</v>
      </c>
      <c r="G728" s="135">
        <v>7.5952421850581601E-3</v>
      </c>
      <c r="H728" s="135">
        <v>6.8301865532236E-3</v>
      </c>
      <c r="I728" s="135">
        <v>7.4159413461902697E-3</v>
      </c>
      <c r="J728" s="135">
        <v>9.3585166610140099E-3</v>
      </c>
      <c r="K728" s="135">
        <v>3.3425006745758497E-2</v>
      </c>
      <c r="L728" s="135">
        <v>7.0715348246745705E-2</v>
      </c>
      <c r="M728" s="135">
        <v>5.1928626495336402E-2</v>
      </c>
      <c r="N728" s="135">
        <v>3.1673308886092801E-2</v>
      </c>
      <c r="O728" s="135">
        <v>2.2236994931657001E-2</v>
      </c>
      <c r="P728" s="135">
        <v>2.0560169292138799E-2</v>
      </c>
      <c r="Q728" s="135">
        <v>2.18661162079264E-2</v>
      </c>
      <c r="R728" s="135">
        <v>2.0842180624689899E-2</v>
      </c>
      <c r="S728" s="135">
        <v>2.0100994778200099E-2</v>
      </c>
      <c r="T728" s="135">
        <v>1.6831039902024201E-2</v>
      </c>
      <c r="U728" s="135">
        <v>1.9432218626620899E-2</v>
      </c>
      <c r="V728" s="135">
        <v>2.2657789154565799E-2</v>
      </c>
      <c r="W728" s="135">
        <v>2.6654402391733199E-2</v>
      </c>
      <c r="X728" s="135">
        <v>3.4431574936831799E-2</v>
      </c>
      <c r="Y728" s="135">
        <v>4.4276020812349097E-2</v>
      </c>
      <c r="Z728" s="135">
        <v>5.6346361140112801E-2</v>
      </c>
      <c r="AA728" s="135">
        <v>6.3844471002895795E-2</v>
      </c>
      <c r="AB728" s="135">
        <v>4.6815435432834902E-2</v>
      </c>
      <c r="AC728" s="135">
        <v>1.8402819557497199E-2</v>
      </c>
      <c r="AD728" s="135">
        <v>8.7440244163495707E-3</v>
      </c>
      <c r="AF728" s="243">
        <f t="shared" si="11"/>
        <v>0.14838474168576049</v>
      </c>
      <c r="AG728" s="275">
        <f t="shared" si="12"/>
        <v>0.32009215706031774</v>
      </c>
      <c r="AH728" s="391">
        <f t="shared" si="13"/>
        <v>0.36289263326752935</v>
      </c>
      <c r="AI728" s="135">
        <f t="shared" si="14"/>
        <v>0.68298479032784709</v>
      </c>
    </row>
    <row r="729" spans="1:35" ht="12.6">
      <c r="A729" s="10" t="s">
        <v>61</v>
      </c>
      <c r="B729" s="10">
        <v>363</v>
      </c>
      <c r="C729" s="10" t="s">
        <v>1512</v>
      </c>
      <c r="D729" s="388">
        <v>45289</v>
      </c>
      <c r="E729" s="389">
        <v>45289</v>
      </c>
      <c r="F729" s="390" t="str">
        <f t="shared" si="10"/>
        <v>Lighting</v>
      </c>
      <c r="G729" s="135">
        <v>7.5952421850581601E-3</v>
      </c>
      <c r="H729" s="135">
        <v>6.8301865532236E-3</v>
      </c>
      <c r="I729" s="135">
        <v>7.4159413461902697E-3</v>
      </c>
      <c r="J729" s="135">
        <v>9.3585166610140099E-3</v>
      </c>
      <c r="K729" s="135">
        <v>3.3425006745758497E-2</v>
      </c>
      <c r="L729" s="135">
        <v>7.0715348246745705E-2</v>
      </c>
      <c r="M729" s="135">
        <v>5.1928626495336402E-2</v>
      </c>
      <c r="N729" s="135">
        <v>3.1673308886092801E-2</v>
      </c>
      <c r="O729" s="135">
        <v>2.2236994931657001E-2</v>
      </c>
      <c r="P729" s="135">
        <v>2.0560169292138799E-2</v>
      </c>
      <c r="Q729" s="135">
        <v>2.18661162079264E-2</v>
      </c>
      <c r="R729" s="135">
        <v>2.0842180624689899E-2</v>
      </c>
      <c r="S729" s="135">
        <v>2.0100994778200099E-2</v>
      </c>
      <c r="T729" s="135">
        <v>1.6831039902024201E-2</v>
      </c>
      <c r="U729" s="135">
        <v>1.9432218626620899E-2</v>
      </c>
      <c r="V729" s="135">
        <v>2.2657789154565799E-2</v>
      </c>
      <c r="W729" s="135">
        <v>2.6654402391733199E-2</v>
      </c>
      <c r="X729" s="135">
        <v>3.4431574936831799E-2</v>
      </c>
      <c r="Y729" s="135">
        <v>4.4276020812349097E-2</v>
      </c>
      <c r="Z729" s="135">
        <v>5.6346361140112801E-2</v>
      </c>
      <c r="AA729" s="135">
        <v>6.3844471002895795E-2</v>
      </c>
      <c r="AB729" s="135">
        <v>4.6815435432834902E-2</v>
      </c>
      <c r="AC729" s="135">
        <v>1.8402819557497199E-2</v>
      </c>
      <c r="AD729" s="135">
        <v>8.7440244163495707E-3</v>
      </c>
      <c r="AF729" s="243">
        <f t="shared" si="11"/>
        <v>0.14838474168576049</v>
      </c>
      <c r="AG729" s="275">
        <f t="shared" si="12"/>
        <v>0.32009215706031774</v>
      </c>
      <c r="AH729" s="391">
        <f t="shared" si="13"/>
        <v>0.36289263326752935</v>
      </c>
      <c r="AI729" s="135">
        <f t="shared" si="14"/>
        <v>0.68298479032784709</v>
      </c>
    </row>
    <row r="730" spans="1:35" ht="12.6">
      <c r="A730" s="10" t="s">
        <v>61</v>
      </c>
      <c r="B730" s="10">
        <v>364</v>
      </c>
      <c r="C730" s="10" t="s">
        <v>1512</v>
      </c>
      <c r="D730" s="388">
        <v>45290</v>
      </c>
      <c r="E730" s="389">
        <v>45290</v>
      </c>
      <c r="F730" s="390" t="str">
        <f t="shared" si="10"/>
        <v>Lighting</v>
      </c>
      <c r="G730" s="135">
        <v>8.3979857634250595E-3</v>
      </c>
      <c r="H730" s="135">
        <v>7.7963964395086896E-3</v>
      </c>
      <c r="I730" s="135">
        <v>8.3822325395603008E-3</v>
      </c>
      <c r="J730" s="135">
        <v>1.04290513120818E-2</v>
      </c>
      <c r="K730" s="135">
        <v>8.2112463453817598E-3</v>
      </c>
      <c r="L730" s="135">
        <v>1.07990385440268E-2</v>
      </c>
      <c r="M730" s="135">
        <v>2.0014397807540201E-2</v>
      </c>
      <c r="N730" s="135">
        <v>3.0890684582839299E-2</v>
      </c>
      <c r="O730" s="135">
        <v>4.2703331359732602E-2</v>
      </c>
      <c r="P730" s="135">
        <v>4.3606857894242797E-2</v>
      </c>
      <c r="Q730" s="135">
        <v>4.0790999038774499E-2</v>
      </c>
      <c r="R730" s="135">
        <v>3.5847085401207901E-2</v>
      </c>
      <c r="S730" s="135">
        <v>3.2277433130328603E-2</v>
      </c>
      <c r="T730" s="135">
        <v>2.7530842799098499E-2</v>
      </c>
      <c r="U730" s="135">
        <v>3.1619476682785197E-2</v>
      </c>
      <c r="V730" s="135">
        <v>2.7837118896337699E-2</v>
      </c>
      <c r="W730" s="135">
        <v>2.90835721058064E-2</v>
      </c>
      <c r="X730" s="135">
        <v>3.3496417590967303E-2</v>
      </c>
      <c r="Y730" s="135">
        <v>4.0296705301614603E-2</v>
      </c>
      <c r="Z730" s="135">
        <v>5.01490773383379E-2</v>
      </c>
      <c r="AA730" s="135">
        <v>5.7177958912325903E-2</v>
      </c>
      <c r="AB730" s="135">
        <v>4.41050484989172E-2</v>
      </c>
      <c r="AC730" s="135">
        <v>2.0819438993321698E-2</v>
      </c>
      <c r="AD730" s="135">
        <v>1.2035506651996399E-2</v>
      </c>
      <c r="AF730" s="243">
        <f t="shared" si="11"/>
        <v>0.2249865280543388</v>
      </c>
      <c r="AG730" s="275">
        <f t="shared" si="12"/>
        <v>0.25523373801119908</v>
      </c>
      <c r="AH730" s="391">
        <f t="shared" si="13"/>
        <v>0.41906416591896001</v>
      </c>
      <c r="AI730" s="135">
        <f t="shared" si="14"/>
        <v>0.67429790393015909</v>
      </c>
    </row>
    <row r="731" spans="1:35" ht="12.6">
      <c r="A731" s="10" t="s">
        <v>61</v>
      </c>
      <c r="B731" s="10">
        <v>365</v>
      </c>
      <c r="C731" s="10" t="s">
        <v>1512</v>
      </c>
      <c r="D731" s="388">
        <v>45291</v>
      </c>
      <c r="E731" s="389">
        <v>45291</v>
      </c>
      <c r="F731" s="390" t="str">
        <f t="shared" si="10"/>
        <v>Lighting</v>
      </c>
      <c r="G731" s="135">
        <v>8.3979857634250595E-3</v>
      </c>
      <c r="H731" s="135">
        <v>7.7963964395086896E-3</v>
      </c>
      <c r="I731" s="135">
        <v>8.3822325395603008E-3</v>
      </c>
      <c r="J731" s="135">
        <v>1.04290513120818E-2</v>
      </c>
      <c r="K731" s="135">
        <v>8.2112463453817598E-3</v>
      </c>
      <c r="L731" s="135">
        <v>1.07990385440268E-2</v>
      </c>
      <c r="M731" s="135">
        <v>2.0014397807540201E-2</v>
      </c>
      <c r="N731" s="135">
        <v>3.0890684582839299E-2</v>
      </c>
      <c r="O731" s="135">
        <v>4.2703331359732602E-2</v>
      </c>
      <c r="P731" s="135">
        <v>4.3606857894242797E-2</v>
      </c>
      <c r="Q731" s="135">
        <v>4.0790999038774499E-2</v>
      </c>
      <c r="R731" s="135">
        <v>3.5847085401207901E-2</v>
      </c>
      <c r="S731" s="135">
        <v>3.2277433130328603E-2</v>
      </c>
      <c r="T731" s="135">
        <v>2.7530842799098499E-2</v>
      </c>
      <c r="U731" s="135">
        <v>3.1619476682785197E-2</v>
      </c>
      <c r="V731" s="135">
        <v>2.7837118896337699E-2</v>
      </c>
      <c r="W731" s="135">
        <v>2.90835721058064E-2</v>
      </c>
      <c r="X731" s="135">
        <v>3.3496417590967303E-2</v>
      </c>
      <c r="Y731" s="135">
        <v>4.0296705301614603E-2</v>
      </c>
      <c r="Z731" s="135">
        <v>5.01490773383379E-2</v>
      </c>
      <c r="AA731" s="135">
        <v>5.7177958912325903E-2</v>
      </c>
      <c r="AB731" s="135">
        <v>4.41050484989172E-2</v>
      </c>
      <c r="AC731" s="135">
        <v>2.0819438993321698E-2</v>
      </c>
      <c r="AD731" s="135">
        <v>1.2035506651996399E-2</v>
      </c>
      <c r="AF731" s="243">
        <f t="shared" si="11"/>
        <v>0.2249865280543388</v>
      </c>
      <c r="AG731" s="275">
        <f t="shared" si="12"/>
        <v>0.25523373801119908</v>
      </c>
      <c r="AH731" s="391">
        <f t="shared" si="13"/>
        <v>0.41906416591896001</v>
      </c>
      <c r="AI731" s="135">
        <f t="shared" si="14"/>
        <v>0.67429790393015909</v>
      </c>
    </row>
    <row r="732" spans="1:35" ht="12.6">
      <c r="A732" s="10" t="s">
        <v>63</v>
      </c>
      <c r="B732" s="10">
        <v>1</v>
      </c>
      <c r="C732" s="10" t="s">
        <v>1512</v>
      </c>
      <c r="D732" s="388">
        <v>44927</v>
      </c>
      <c r="E732" s="389">
        <v>44927</v>
      </c>
      <c r="F732" s="390" t="str">
        <f t="shared" si="10"/>
        <v>Other</v>
      </c>
      <c r="G732" s="135">
        <v>3.02249236828823E-2</v>
      </c>
      <c r="H732" s="135">
        <v>2.65288462772971E-2</v>
      </c>
      <c r="I732" s="135">
        <v>2.5145917074864601E-2</v>
      </c>
      <c r="J732" s="135">
        <v>2.4408777352441499E-2</v>
      </c>
      <c r="K732" s="135">
        <v>2.4842477171432301E-2</v>
      </c>
      <c r="L732" s="135">
        <v>2.5530836650180001E-2</v>
      </c>
      <c r="M732" s="135">
        <v>3.1791489082233497E-2</v>
      </c>
      <c r="N732" s="135">
        <v>4.0981642760216798E-2</v>
      </c>
      <c r="O732" s="135">
        <v>3.9671341845700203E-2</v>
      </c>
      <c r="P732" s="135">
        <v>4.2385623903080698E-2</v>
      </c>
      <c r="Q732" s="135">
        <v>4.6226801762819E-2</v>
      </c>
      <c r="R732" s="135">
        <v>4.8969350413243802E-2</v>
      </c>
      <c r="S732" s="135">
        <v>4.8684292656016502E-2</v>
      </c>
      <c r="T732" s="135">
        <v>5.10937011472168E-2</v>
      </c>
      <c r="U732" s="135">
        <v>5.2849881605689097E-2</v>
      </c>
      <c r="V732" s="135">
        <v>5.2864630338031598E-2</v>
      </c>
      <c r="W732" s="135">
        <v>5.2114686921837301E-2</v>
      </c>
      <c r="X732" s="135">
        <v>5.3932536426095398E-2</v>
      </c>
      <c r="Y732" s="135">
        <v>5.8168722198650699E-2</v>
      </c>
      <c r="Z732" s="135">
        <v>6.2348960693243902E-2</v>
      </c>
      <c r="AA732" s="135">
        <v>6.1459218411883898E-2</v>
      </c>
      <c r="AB732" s="135">
        <v>5.2533760995209601E-2</v>
      </c>
      <c r="AC732" s="135">
        <v>4.0061294496834599E-2</v>
      </c>
      <c r="AD732" s="135">
        <v>3.3219280801326898E-2</v>
      </c>
      <c r="AF732" s="243">
        <f t="shared" si="11"/>
        <v>0.35280334484485409</v>
      </c>
      <c r="AG732" s="275">
        <f t="shared" si="12"/>
        <v>0.51936103525828403</v>
      </c>
      <c r="AH732" s="391">
        <f t="shared" si="13"/>
        <v>0.50667795941014404</v>
      </c>
      <c r="AI732" s="135">
        <f t="shared" si="14"/>
        <v>1.0260389946684281</v>
      </c>
    </row>
    <row r="733" spans="1:35" ht="12.6">
      <c r="A733" s="10" t="s">
        <v>63</v>
      </c>
      <c r="B733" s="10">
        <v>2</v>
      </c>
      <c r="C733" s="10" t="s">
        <v>1512</v>
      </c>
      <c r="D733" s="388">
        <v>44928</v>
      </c>
      <c r="E733" s="389">
        <v>44928</v>
      </c>
      <c r="F733" s="390" t="str">
        <f t="shared" si="10"/>
        <v>Other</v>
      </c>
      <c r="G733" s="135">
        <v>2.76471081710787E-2</v>
      </c>
      <c r="H733" s="135">
        <v>2.62785744672847E-2</v>
      </c>
      <c r="I733" s="135">
        <v>2.5584710009458798E-2</v>
      </c>
      <c r="J733" s="135">
        <v>2.50025532640499E-2</v>
      </c>
      <c r="K733" s="135">
        <v>2.5344650769859998E-2</v>
      </c>
      <c r="L733" s="135">
        <v>2.6624930448429101E-2</v>
      </c>
      <c r="M733" s="135">
        <v>3.6965692830214697E-2</v>
      </c>
      <c r="N733" s="135">
        <v>4.1650935857578099E-2</v>
      </c>
      <c r="O733" s="135">
        <v>3.9367301375182899E-2</v>
      </c>
      <c r="P733" s="135">
        <v>3.9639629856922598E-2</v>
      </c>
      <c r="Q733" s="135">
        <v>4.1695948106080002E-2</v>
      </c>
      <c r="R733" s="135">
        <v>4.2887060569663502E-2</v>
      </c>
      <c r="S733" s="135">
        <v>4.4997726855643197E-2</v>
      </c>
      <c r="T733" s="135">
        <v>4.6101486388439701E-2</v>
      </c>
      <c r="U733" s="135">
        <v>4.5909271975321402E-2</v>
      </c>
      <c r="V733" s="135">
        <v>4.4657319004925498E-2</v>
      </c>
      <c r="W733" s="135">
        <v>4.4619800546701498E-2</v>
      </c>
      <c r="X733" s="135">
        <v>4.9978881294706803E-2</v>
      </c>
      <c r="Y733" s="135">
        <v>5.6592795244331501E-2</v>
      </c>
      <c r="Z733" s="135">
        <v>6.3854259874512501E-2</v>
      </c>
      <c r="AA733" s="135">
        <v>6.3994189688477796E-2</v>
      </c>
      <c r="AB733" s="135">
        <v>5.4461888869153902E-2</v>
      </c>
      <c r="AC733" s="135">
        <v>4.0694171473124097E-2</v>
      </c>
      <c r="AD733" s="135">
        <v>3.1521698900089899E-2</v>
      </c>
      <c r="AF733" s="243">
        <f t="shared" si="11"/>
        <v>0.3108686134467748</v>
      </c>
      <c r="AG733" s="275">
        <f t="shared" si="12"/>
        <v>0.49194969510462139</v>
      </c>
      <c r="AH733" s="391">
        <f t="shared" si="13"/>
        <v>0.49412289073660953</v>
      </c>
      <c r="AI733" s="135">
        <f t="shared" si="14"/>
        <v>0.98607258584123092</v>
      </c>
    </row>
    <row r="734" spans="1:35" ht="12.6">
      <c r="A734" s="10" t="s">
        <v>63</v>
      </c>
      <c r="B734" s="10">
        <v>3</v>
      </c>
      <c r="C734" s="10" t="s">
        <v>1512</v>
      </c>
      <c r="D734" s="388">
        <v>44929</v>
      </c>
      <c r="E734" s="389">
        <v>44929</v>
      </c>
      <c r="F734" s="390" t="str">
        <f t="shared" si="10"/>
        <v>Other</v>
      </c>
      <c r="G734" s="135">
        <v>2.76471081710787E-2</v>
      </c>
      <c r="H734" s="135">
        <v>2.62785744672847E-2</v>
      </c>
      <c r="I734" s="135">
        <v>2.5584710009458798E-2</v>
      </c>
      <c r="J734" s="135">
        <v>2.50025532640499E-2</v>
      </c>
      <c r="K734" s="135">
        <v>2.5344650769859998E-2</v>
      </c>
      <c r="L734" s="135">
        <v>2.6624930448429101E-2</v>
      </c>
      <c r="M734" s="135">
        <v>3.6965692830214697E-2</v>
      </c>
      <c r="N734" s="135">
        <v>4.1650935857578099E-2</v>
      </c>
      <c r="O734" s="135">
        <v>3.9367301375182899E-2</v>
      </c>
      <c r="P734" s="135">
        <v>3.9639629856922598E-2</v>
      </c>
      <c r="Q734" s="135">
        <v>4.1695948106080002E-2</v>
      </c>
      <c r="R734" s="135">
        <v>4.2887060569663502E-2</v>
      </c>
      <c r="S734" s="135">
        <v>4.4997726855643197E-2</v>
      </c>
      <c r="T734" s="135">
        <v>4.6101486388439701E-2</v>
      </c>
      <c r="U734" s="135">
        <v>4.5909271975321402E-2</v>
      </c>
      <c r="V734" s="135">
        <v>4.4657319004925498E-2</v>
      </c>
      <c r="W734" s="135">
        <v>4.4619800546701498E-2</v>
      </c>
      <c r="X734" s="135">
        <v>4.9978881294706803E-2</v>
      </c>
      <c r="Y734" s="135">
        <v>5.6592795244331501E-2</v>
      </c>
      <c r="Z734" s="135">
        <v>6.3854259874512501E-2</v>
      </c>
      <c r="AA734" s="135">
        <v>6.3994189688477796E-2</v>
      </c>
      <c r="AB734" s="135">
        <v>5.4461888869153902E-2</v>
      </c>
      <c r="AC734" s="135">
        <v>4.0694171473124097E-2</v>
      </c>
      <c r="AD734" s="135">
        <v>3.1521698900089899E-2</v>
      </c>
      <c r="AF734" s="243">
        <f t="shared" si="11"/>
        <v>0.3108686134467748</v>
      </c>
      <c r="AG734" s="275">
        <f t="shared" si="12"/>
        <v>0.49194969510462139</v>
      </c>
      <c r="AH734" s="391">
        <f t="shared" si="13"/>
        <v>0.49412289073660953</v>
      </c>
      <c r="AI734" s="135">
        <f t="shared" si="14"/>
        <v>0.98607258584123092</v>
      </c>
    </row>
    <row r="735" spans="1:35" ht="12.6">
      <c r="A735" s="10" t="s">
        <v>63</v>
      </c>
      <c r="B735" s="10">
        <v>4</v>
      </c>
      <c r="C735" s="10" t="s">
        <v>1512</v>
      </c>
      <c r="D735" s="388">
        <v>44930</v>
      </c>
      <c r="E735" s="389">
        <v>44930</v>
      </c>
      <c r="F735" s="390" t="str">
        <f t="shared" si="10"/>
        <v>Other</v>
      </c>
      <c r="G735" s="135">
        <v>2.76471081710787E-2</v>
      </c>
      <c r="H735" s="135">
        <v>2.62785744672847E-2</v>
      </c>
      <c r="I735" s="135">
        <v>2.5584710009458798E-2</v>
      </c>
      <c r="J735" s="135">
        <v>2.50025532640499E-2</v>
      </c>
      <c r="K735" s="135">
        <v>2.5344650769859998E-2</v>
      </c>
      <c r="L735" s="135">
        <v>2.6624930448429101E-2</v>
      </c>
      <c r="M735" s="135">
        <v>3.6965692830214697E-2</v>
      </c>
      <c r="N735" s="135">
        <v>4.1650935857578099E-2</v>
      </c>
      <c r="O735" s="135">
        <v>3.9367301375182899E-2</v>
      </c>
      <c r="P735" s="135">
        <v>3.9639629856922598E-2</v>
      </c>
      <c r="Q735" s="135">
        <v>4.1695948106080002E-2</v>
      </c>
      <c r="R735" s="135">
        <v>4.2887060569663502E-2</v>
      </c>
      <c r="S735" s="135">
        <v>4.4997726855643197E-2</v>
      </c>
      <c r="T735" s="135">
        <v>4.6101486388439701E-2</v>
      </c>
      <c r="U735" s="135">
        <v>4.5909271975321402E-2</v>
      </c>
      <c r="V735" s="135">
        <v>4.4657319004925498E-2</v>
      </c>
      <c r="W735" s="135">
        <v>4.4619800546701498E-2</v>
      </c>
      <c r="X735" s="135">
        <v>4.9978881294706803E-2</v>
      </c>
      <c r="Y735" s="135">
        <v>5.6592795244331501E-2</v>
      </c>
      <c r="Z735" s="135">
        <v>6.3854259874512501E-2</v>
      </c>
      <c r="AA735" s="135">
        <v>6.3994189688477796E-2</v>
      </c>
      <c r="AB735" s="135">
        <v>5.4461888869153902E-2</v>
      </c>
      <c r="AC735" s="135">
        <v>4.0694171473124097E-2</v>
      </c>
      <c r="AD735" s="135">
        <v>3.1521698900089899E-2</v>
      </c>
      <c r="AF735" s="243">
        <f t="shared" si="11"/>
        <v>0.3108686134467748</v>
      </c>
      <c r="AG735" s="275">
        <f t="shared" si="12"/>
        <v>0.49194969510462139</v>
      </c>
      <c r="AH735" s="391">
        <f t="shared" si="13"/>
        <v>0.49412289073660953</v>
      </c>
      <c r="AI735" s="135">
        <f t="shared" si="14"/>
        <v>0.98607258584123092</v>
      </c>
    </row>
    <row r="736" spans="1:35" ht="12.6">
      <c r="A736" s="10" t="s">
        <v>63</v>
      </c>
      <c r="B736" s="10">
        <v>5</v>
      </c>
      <c r="C736" s="10" t="s">
        <v>1512</v>
      </c>
      <c r="D736" s="388">
        <v>44931</v>
      </c>
      <c r="E736" s="389">
        <v>44931</v>
      </c>
      <c r="F736" s="390" t="str">
        <f t="shared" si="10"/>
        <v>Other</v>
      </c>
      <c r="G736" s="135">
        <v>2.76471081710787E-2</v>
      </c>
      <c r="H736" s="135">
        <v>2.62785744672847E-2</v>
      </c>
      <c r="I736" s="135">
        <v>2.5584710009458798E-2</v>
      </c>
      <c r="J736" s="135">
        <v>2.50025532640499E-2</v>
      </c>
      <c r="K736" s="135">
        <v>2.5344650769859998E-2</v>
      </c>
      <c r="L736" s="135">
        <v>2.6624930448429101E-2</v>
      </c>
      <c r="M736" s="135">
        <v>3.6965692830214697E-2</v>
      </c>
      <c r="N736" s="135">
        <v>4.1650935857578099E-2</v>
      </c>
      <c r="O736" s="135">
        <v>3.9367301375182899E-2</v>
      </c>
      <c r="P736" s="135">
        <v>3.9639629856922598E-2</v>
      </c>
      <c r="Q736" s="135">
        <v>4.1695948106080002E-2</v>
      </c>
      <c r="R736" s="135">
        <v>4.2887060569663502E-2</v>
      </c>
      <c r="S736" s="135">
        <v>4.4997726855643197E-2</v>
      </c>
      <c r="T736" s="135">
        <v>4.6101486388439701E-2</v>
      </c>
      <c r="U736" s="135">
        <v>4.5909271975321402E-2</v>
      </c>
      <c r="V736" s="135">
        <v>4.4657319004925498E-2</v>
      </c>
      <c r="W736" s="135">
        <v>4.4619800546701498E-2</v>
      </c>
      <c r="X736" s="135">
        <v>4.9978881294706803E-2</v>
      </c>
      <c r="Y736" s="135">
        <v>5.6592795244331501E-2</v>
      </c>
      <c r="Z736" s="135">
        <v>6.3854259874512501E-2</v>
      </c>
      <c r="AA736" s="135">
        <v>6.3994189688477796E-2</v>
      </c>
      <c r="AB736" s="135">
        <v>5.4461888869153902E-2</v>
      </c>
      <c r="AC736" s="135">
        <v>4.0694171473124097E-2</v>
      </c>
      <c r="AD736" s="135">
        <v>3.1521698900089899E-2</v>
      </c>
      <c r="AF736" s="243">
        <f t="shared" si="11"/>
        <v>0.3108686134467748</v>
      </c>
      <c r="AG736" s="275">
        <f t="shared" si="12"/>
        <v>0.49194969510462139</v>
      </c>
      <c r="AH736" s="391">
        <f t="shared" si="13"/>
        <v>0.49412289073660953</v>
      </c>
      <c r="AI736" s="135">
        <f t="shared" si="14"/>
        <v>0.98607258584123092</v>
      </c>
    </row>
    <row r="737" spans="1:35" ht="12.6">
      <c r="A737" s="10" t="s">
        <v>63</v>
      </c>
      <c r="B737" s="10">
        <v>6</v>
      </c>
      <c r="C737" s="10" t="s">
        <v>1512</v>
      </c>
      <c r="D737" s="388">
        <v>44932</v>
      </c>
      <c r="E737" s="389">
        <v>44932</v>
      </c>
      <c r="F737" s="390" t="str">
        <f t="shared" si="10"/>
        <v>Other</v>
      </c>
      <c r="G737" s="135">
        <v>2.76471081710787E-2</v>
      </c>
      <c r="H737" s="135">
        <v>2.62785744672847E-2</v>
      </c>
      <c r="I737" s="135">
        <v>2.5584710009458798E-2</v>
      </c>
      <c r="J737" s="135">
        <v>2.50025532640499E-2</v>
      </c>
      <c r="K737" s="135">
        <v>2.5344650769859998E-2</v>
      </c>
      <c r="L737" s="135">
        <v>2.6624930448429101E-2</v>
      </c>
      <c r="M737" s="135">
        <v>3.6965692830214697E-2</v>
      </c>
      <c r="N737" s="135">
        <v>4.1650935857578099E-2</v>
      </c>
      <c r="O737" s="135">
        <v>3.9367301375182899E-2</v>
      </c>
      <c r="P737" s="135">
        <v>3.9639629856922598E-2</v>
      </c>
      <c r="Q737" s="135">
        <v>4.1695948106080002E-2</v>
      </c>
      <c r="R737" s="135">
        <v>4.2887060569663502E-2</v>
      </c>
      <c r="S737" s="135">
        <v>4.4997726855643197E-2</v>
      </c>
      <c r="T737" s="135">
        <v>4.6101486388439701E-2</v>
      </c>
      <c r="U737" s="135">
        <v>4.5909271975321402E-2</v>
      </c>
      <c r="V737" s="135">
        <v>4.4657319004925498E-2</v>
      </c>
      <c r="W737" s="135">
        <v>4.4619800546701498E-2</v>
      </c>
      <c r="X737" s="135">
        <v>4.9978881294706803E-2</v>
      </c>
      <c r="Y737" s="135">
        <v>5.6592795244331501E-2</v>
      </c>
      <c r="Z737" s="135">
        <v>6.3854259874512501E-2</v>
      </c>
      <c r="AA737" s="135">
        <v>6.3994189688477796E-2</v>
      </c>
      <c r="AB737" s="135">
        <v>5.4461888869153902E-2</v>
      </c>
      <c r="AC737" s="135">
        <v>4.0694171473124097E-2</v>
      </c>
      <c r="AD737" s="135">
        <v>3.1521698900089899E-2</v>
      </c>
      <c r="AF737" s="243">
        <f t="shared" si="11"/>
        <v>0.3108686134467748</v>
      </c>
      <c r="AG737" s="275">
        <f t="shared" si="12"/>
        <v>0.49194969510462139</v>
      </c>
      <c r="AH737" s="391">
        <f t="shared" si="13"/>
        <v>0.49412289073660953</v>
      </c>
      <c r="AI737" s="135">
        <f t="shared" si="14"/>
        <v>0.98607258584123092</v>
      </c>
    </row>
    <row r="738" spans="1:35" ht="12.6">
      <c r="A738" s="10" t="s">
        <v>63</v>
      </c>
      <c r="B738" s="10">
        <v>7</v>
      </c>
      <c r="C738" s="10" t="s">
        <v>1512</v>
      </c>
      <c r="D738" s="388">
        <v>44933</v>
      </c>
      <c r="E738" s="389">
        <v>44933</v>
      </c>
      <c r="F738" s="390" t="str">
        <f t="shared" si="10"/>
        <v>Other</v>
      </c>
      <c r="G738" s="135">
        <v>3.02249236828823E-2</v>
      </c>
      <c r="H738" s="135">
        <v>2.65288462772971E-2</v>
      </c>
      <c r="I738" s="135">
        <v>2.5145917074864601E-2</v>
      </c>
      <c r="J738" s="135">
        <v>2.4408777352441499E-2</v>
      </c>
      <c r="K738" s="135">
        <v>2.4842477171432301E-2</v>
      </c>
      <c r="L738" s="135">
        <v>2.5530836650180001E-2</v>
      </c>
      <c r="M738" s="135">
        <v>3.1791489082233497E-2</v>
      </c>
      <c r="N738" s="135">
        <v>4.0981642760216798E-2</v>
      </c>
      <c r="O738" s="135">
        <v>3.9671341845700203E-2</v>
      </c>
      <c r="P738" s="135">
        <v>4.2385623903080698E-2</v>
      </c>
      <c r="Q738" s="135">
        <v>4.6226801762819E-2</v>
      </c>
      <c r="R738" s="135">
        <v>4.8969350413243802E-2</v>
      </c>
      <c r="S738" s="135">
        <v>4.8684292656016502E-2</v>
      </c>
      <c r="T738" s="135">
        <v>5.10937011472168E-2</v>
      </c>
      <c r="U738" s="135">
        <v>5.2849881605689097E-2</v>
      </c>
      <c r="V738" s="135">
        <v>5.2864630338031598E-2</v>
      </c>
      <c r="W738" s="135">
        <v>5.2114686921837301E-2</v>
      </c>
      <c r="X738" s="135">
        <v>5.3932536426095398E-2</v>
      </c>
      <c r="Y738" s="135">
        <v>5.8168722198650699E-2</v>
      </c>
      <c r="Z738" s="135">
        <v>6.2348960693243902E-2</v>
      </c>
      <c r="AA738" s="135">
        <v>6.1459218411883898E-2</v>
      </c>
      <c r="AB738" s="135">
        <v>5.2533760995209601E-2</v>
      </c>
      <c r="AC738" s="135">
        <v>4.0061294496834599E-2</v>
      </c>
      <c r="AD738" s="135">
        <v>3.3219280801326898E-2</v>
      </c>
      <c r="AF738" s="243">
        <f t="shared" si="11"/>
        <v>0.35280334484485409</v>
      </c>
      <c r="AG738" s="275">
        <f t="shared" si="12"/>
        <v>0.51936103525828403</v>
      </c>
      <c r="AH738" s="391">
        <f t="shared" si="13"/>
        <v>0.50667795941014404</v>
      </c>
      <c r="AI738" s="135">
        <f t="shared" si="14"/>
        <v>1.0260389946684281</v>
      </c>
    </row>
    <row r="739" spans="1:35" ht="12.6">
      <c r="A739" s="10" t="s">
        <v>63</v>
      </c>
      <c r="B739" s="10">
        <v>8</v>
      </c>
      <c r="C739" s="10" t="s">
        <v>1512</v>
      </c>
      <c r="D739" s="388">
        <v>44934</v>
      </c>
      <c r="E739" s="389">
        <v>44934</v>
      </c>
      <c r="F739" s="390" t="str">
        <f t="shared" si="10"/>
        <v>Other</v>
      </c>
      <c r="G739" s="135">
        <v>3.02249236828823E-2</v>
      </c>
      <c r="H739" s="135">
        <v>2.65288462772971E-2</v>
      </c>
      <c r="I739" s="135">
        <v>2.5145917074864601E-2</v>
      </c>
      <c r="J739" s="135">
        <v>2.4408777352441499E-2</v>
      </c>
      <c r="K739" s="135">
        <v>2.4842477171432301E-2</v>
      </c>
      <c r="L739" s="135">
        <v>2.5530836650180001E-2</v>
      </c>
      <c r="M739" s="135">
        <v>3.1791489082233497E-2</v>
      </c>
      <c r="N739" s="135">
        <v>4.0981642760216798E-2</v>
      </c>
      <c r="O739" s="135">
        <v>3.9671341845700203E-2</v>
      </c>
      <c r="P739" s="135">
        <v>4.2385623903080698E-2</v>
      </c>
      <c r="Q739" s="135">
        <v>4.6226801762819E-2</v>
      </c>
      <c r="R739" s="135">
        <v>4.8969350413243802E-2</v>
      </c>
      <c r="S739" s="135">
        <v>4.8684292656016502E-2</v>
      </c>
      <c r="T739" s="135">
        <v>5.10937011472168E-2</v>
      </c>
      <c r="U739" s="135">
        <v>5.2849881605689097E-2</v>
      </c>
      <c r="V739" s="135">
        <v>5.2864630338031598E-2</v>
      </c>
      <c r="W739" s="135">
        <v>5.2114686921837301E-2</v>
      </c>
      <c r="X739" s="135">
        <v>5.3932536426095398E-2</v>
      </c>
      <c r="Y739" s="135">
        <v>5.8168722198650699E-2</v>
      </c>
      <c r="Z739" s="135">
        <v>6.2348960693243902E-2</v>
      </c>
      <c r="AA739" s="135">
        <v>6.1459218411883898E-2</v>
      </c>
      <c r="AB739" s="135">
        <v>5.2533760995209601E-2</v>
      </c>
      <c r="AC739" s="135">
        <v>4.0061294496834599E-2</v>
      </c>
      <c r="AD739" s="135">
        <v>3.3219280801326898E-2</v>
      </c>
      <c r="AF739" s="243">
        <f t="shared" si="11"/>
        <v>0.35280334484485409</v>
      </c>
      <c r="AG739" s="275">
        <f t="shared" si="12"/>
        <v>0.51936103525828403</v>
      </c>
      <c r="AH739" s="391">
        <f t="shared" si="13"/>
        <v>0.50667795941014404</v>
      </c>
      <c r="AI739" s="135">
        <f t="shared" si="14"/>
        <v>1.0260389946684281</v>
      </c>
    </row>
    <row r="740" spans="1:35" ht="12.6">
      <c r="A740" s="10" t="s">
        <v>63</v>
      </c>
      <c r="B740" s="10">
        <v>9</v>
      </c>
      <c r="C740" s="10" t="s">
        <v>1512</v>
      </c>
      <c r="D740" s="388">
        <v>44935</v>
      </c>
      <c r="E740" s="389">
        <v>44935</v>
      </c>
      <c r="F740" s="390" t="str">
        <f t="shared" si="10"/>
        <v>Other</v>
      </c>
      <c r="G740" s="135">
        <v>2.76471081710787E-2</v>
      </c>
      <c r="H740" s="135">
        <v>2.62785744672847E-2</v>
      </c>
      <c r="I740" s="135">
        <v>2.5584710009458798E-2</v>
      </c>
      <c r="J740" s="135">
        <v>2.50025532640499E-2</v>
      </c>
      <c r="K740" s="135">
        <v>2.5344650769859998E-2</v>
      </c>
      <c r="L740" s="135">
        <v>2.6624930448429101E-2</v>
      </c>
      <c r="M740" s="135">
        <v>3.6965692830214697E-2</v>
      </c>
      <c r="N740" s="135">
        <v>4.1650935857578099E-2</v>
      </c>
      <c r="O740" s="135">
        <v>3.9367301375182899E-2</v>
      </c>
      <c r="P740" s="135">
        <v>3.9639629856922598E-2</v>
      </c>
      <c r="Q740" s="135">
        <v>4.1695948106080002E-2</v>
      </c>
      <c r="R740" s="135">
        <v>4.2887060569663502E-2</v>
      </c>
      <c r="S740" s="135">
        <v>4.4997726855643197E-2</v>
      </c>
      <c r="T740" s="135">
        <v>4.6101486388439701E-2</v>
      </c>
      <c r="U740" s="135">
        <v>4.5909271975321402E-2</v>
      </c>
      <c r="V740" s="135">
        <v>4.4657319004925498E-2</v>
      </c>
      <c r="W740" s="135">
        <v>4.4619800546701498E-2</v>
      </c>
      <c r="X740" s="135">
        <v>4.9978881294706803E-2</v>
      </c>
      <c r="Y740" s="135">
        <v>5.6592795244331501E-2</v>
      </c>
      <c r="Z740" s="135">
        <v>6.3854259874512501E-2</v>
      </c>
      <c r="AA740" s="135">
        <v>6.3994189688477796E-2</v>
      </c>
      <c r="AB740" s="135">
        <v>5.4461888869153902E-2</v>
      </c>
      <c r="AC740" s="135">
        <v>4.0694171473124097E-2</v>
      </c>
      <c r="AD740" s="135">
        <v>3.1521698900089899E-2</v>
      </c>
      <c r="AF740" s="243">
        <f t="shared" si="11"/>
        <v>0.3108686134467748</v>
      </c>
      <c r="AG740" s="275">
        <f t="shared" si="12"/>
        <v>0.49194969510462139</v>
      </c>
      <c r="AH740" s="391">
        <f t="shared" si="13"/>
        <v>0.49412289073660953</v>
      </c>
      <c r="AI740" s="135">
        <f t="shared" si="14"/>
        <v>0.98607258584123092</v>
      </c>
    </row>
    <row r="741" spans="1:35" ht="12.6">
      <c r="A741" s="10" t="s">
        <v>63</v>
      </c>
      <c r="B741" s="10">
        <v>10</v>
      </c>
      <c r="C741" s="10" t="s">
        <v>1512</v>
      </c>
      <c r="D741" s="388">
        <v>44936</v>
      </c>
      <c r="E741" s="389">
        <v>44936</v>
      </c>
      <c r="F741" s="390" t="str">
        <f t="shared" si="10"/>
        <v>Other</v>
      </c>
      <c r="G741" s="135">
        <v>2.76471081710787E-2</v>
      </c>
      <c r="H741" s="135">
        <v>2.62785744672847E-2</v>
      </c>
      <c r="I741" s="135">
        <v>2.5584710009458798E-2</v>
      </c>
      <c r="J741" s="135">
        <v>2.50025532640499E-2</v>
      </c>
      <c r="K741" s="135">
        <v>2.5344650769859998E-2</v>
      </c>
      <c r="L741" s="135">
        <v>2.6624930448429101E-2</v>
      </c>
      <c r="M741" s="135">
        <v>3.6965692830214697E-2</v>
      </c>
      <c r="N741" s="135">
        <v>4.1650935857578099E-2</v>
      </c>
      <c r="O741" s="135">
        <v>3.9367301375182899E-2</v>
      </c>
      <c r="P741" s="135">
        <v>3.9639629856922598E-2</v>
      </c>
      <c r="Q741" s="135">
        <v>4.1695948106080002E-2</v>
      </c>
      <c r="R741" s="135">
        <v>4.2887060569663502E-2</v>
      </c>
      <c r="S741" s="135">
        <v>4.4997726855643197E-2</v>
      </c>
      <c r="T741" s="135">
        <v>4.6101486388439701E-2</v>
      </c>
      <c r="U741" s="135">
        <v>4.5909271975321402E-2</v>
      </c>
      <c r="V741" s="135">
        <v>4.4657319004925498E-2</v>
      </c>
      <c r="W741" s="135">
        <v>4.4619800546701498E-2</v>
      </c>
      <c r="X741" s="135">
        <v>4.9978881294706803E-2</v>
      </c>
      <c r="Y741" s="135">
        <v>5.6592795244331501E-2</v>
      </c>
      <c r="Z741" s="135">
        <v>6.3854259874512501E-2</v>
      </c>
      <c r="AA741" s="135">
        <v>6.3994189688477796E-2</v>
      </c>
      <c r="AB741" s="135">
        <v>5.4461888869153902E-2</v>
      </c>
      <c r="AC741" s="135">
        <v>4.0694171473124097E-2</v>
      </c>
      <c r="AD741" s="135">
        <v>3.1521698900089899E-2</v>
      </c>
      <c r="AF741" s="243">
        <f t="shared" si="11"/>
        <v>0.3108686134467748</v>
      </c>
      <c r="AG741" s="275">
        <f t="shared" si="12"/>
        <v>0.49194969510462139</v>
      </c>
      <c r="AH741" s="391">
        <f t="shared" si="13"/>
        <v>0.49412289073660953</v>
      </c>
      <c r="AI741" s="135">
        <f t="shared" si="14"/>
        <v>0.98607258584123092</v>
      </c>
    </row>
    <row r="742" spans="1:35" ht="12.6">
      <c r="A742" s="10" t="s">
        <v>63</v>
      </c>
      <c r="B742" s="10">
        <v>11</v>
      </c>
      <c r="C742" s="10" t="s">
        <v>1512</v>
      </c>
      <c r="D742" s="388">
        <v>44937</v>
      </c>
      <c r="E742" s="389">
        <v>44937</v>
      </c>
      <c r="F742" s="390" t="str">
        <f t="shared" si="10"/>
        <v>Other</v>
      </c>
      <c r="G742" s="135">
        <v>2.76471081710787E-2</v>
      </c>
      <c r="H742" s="135">
        <v>2.62785744672847E-2</v>
      </c>
      <c r="I742" s="135">
        <v>2.5584710009458798E-2</v>
      </c>
      <c r="J742" s="135">
        <v>2.50025532640499E-2</v>
      </c>
      <c r="K742" s="135">
        <v>2.5344650769859998E-2</v>
      </c>
      <c r="L742" s="135">
        <v>2.6624930448429101E-2</v>
      </c>
      <c r="M742" s="135">
        <v>3.6965692830214697E-2</v>
      </c>
      <c r="N742" s="135">
        <v>4.1650935857578099E-2</v>
      </c>
      <c r="O742" s="135">
        <v>3.9367301375182899E-2</v>
      </c>
      <c r="P742" s="135">
        <v>3.9639629856922598E-2</v>
      </c>
      <c r="Q742" s="135">
        <v>4.1695948106080002E-2</v>
      </c>
      <c r="R742" s="135">
        <v>4.2887060569663502E-2</v>
      </c>
      <c r="S742" s="135">
        <v>4.4997726855643197E-2</v>
      </c>
      <c r="T742" s="135">
        <v>4.6101486388439701E-2</v>
      </c>
      <c r="U742" s="135">
        <v>4.5909271975321402E-2</v>
      </c>
      <c r="V742" s="135">
        <v>4.4657319004925498E-2</v>
      </c>
      <c r="W742" s="135">
        <v>4.4619800546701498E-2</v>
      </c>
      <c r="X742" s="135">
        <v>4.9978881294706803E-2</v>
      </c>
      <c r="Y742" s="135">
        <v>5.6592795244331501E-2</v>
      </c>
      <c r="Z742" s="135">
        <v>6.3854259874512501E-2</v>
      </c>
      <c r="AA742" s="135">
        <v>6.3994189688477796E-2</v>
      </c>
      <c r="AB742" s="135">
        <v>5.4461888869153902E-2</v>
      </c>
      <c r="AC742" s="135">
        <v>4.0694171473124097E-2</v>
      </c>
      <c r="AD742" s="135">
        <v>3.1521698900089899E-2</v>
      </c>
      <c r="AF742" s="243">
        <f t="shared" si="11"/>
        <v>0.3108686134467748</v>
      </c>
      <c r="AG742" s="275">
        <f t="shared" si="12"/>
        <v>0.49194969510462139</v>
      </c>
      <c r="AH742" s="391">
        <f t="shared" si="13"/>
        <v>0.49412289073660953</v>
      </c>
      <c r="AI742" s="135">
        <f t="shared" si="14"/>
        <v>0.98607258584123092</v>
      </c>
    </row>
    <row r="743" spans="1:35" ht="12.6">
      <c r="A743" s="10" t="s">
        <v>63</v>
      </c>
      <c r="B743" s="10">
        <v>12</v>
      </c>
      <c r="C743" s="10" t="s">
        <v>1512</v>
      </c>
      <c r="D743" s="388">
        <v>44938</v>
      </c>
      <c r="E743" s="389">
        <v>44938</v>
      </c>
      <c r="F743" s="390" t="str">
        <f t="shared" si="10"/>
        <v>Other</v>
      </c>
      <c r="G743" s="135">
        <v>2.76471081710787E-2</v>
      </c>
      <c r="H743" s="135">
        <v>2.62785744672847E-2</v>
      </c>
      <c r="I743" s="135">
        <v>2.5584710009458798E-2</v>
      </c>
      <c r="J743" s="135">
        <v>2.50025532640499E-2</v>
      </c>
      <c r="K743" s="135">
        <v>2.5344650769859998E-2</v>
      </c>
      <c r="L743" s="135">
        <v>2.6624930448429101E-2</v>
      </c>
      <c r="M743" s="135">
        <v>3.6965692830214697E-2</v>
      </c>
      <c r="N743" s="135">
        <v>4.1650935857578099E-2</v>
      </c>
      <c r="O743" s="135">
        <v>3.9367301375182899E-2</v>
      </c>
      <c r="P743" s="135">
        <v>3.9639629856922598E-2</v>
      </c>
      <c r="Q743" s="135">
        <v>4.1695948106080002E-2</v>
      </c>
      <c r="R743" s="135">
        <v>4.2887060569663502E-2</v>
      </c>
      <c r="S743" s="135">
        <v>4.4997726855643197E-2</v>
      </c>
      <c r="T743" s="135">
        <v>4.6101486388439701E-2</v>
      </c>
      <c r="U743" s="135">
        <v>4.5909271975321402E-2</v>
      </c>
      <c r="V743" s="135">
        <v>4.4657319004925498E-2</v>
      </c>
      <c r="W743" s="135">
        <v>4.4619800546701498E-2</v>
      </c>
      <c r="X743" s="135">
        <v>4.9978881294706803E-2</v>
      </c>
      <c r="Y743" s="135">
        <v>5.6592795244331501E-2</v>
      </c>
      <c r="Z743" s="135">
        <v>6.3854259874512501E-2</v>
      </c>
      <c r="AA743" s="135">
        <v>6.3994189688477796E-2</v>
      </c>
      <c r="AB743" s="135">
        <v>5.4461888869153902E-2</v>
      </c>
      <c r="AC743" s="135">
        <v>4.0694171473124097E-2</v>
      </c>
      <c r="AD743" s="135">
        <v>3.1521698900089899E-2</v>
      </c>
      <c r="AF743" s="243">
        <f t="shared" si="11"/>
        <v>0.3108686134467748</v>
      </c>
      <c r="AG743" s="275">
        <f t="shared" si="12"/>
        <v>0.49194969510462139</v>
      </c>
      <c r="AH743" s="391">
        <f t="shared" si="13"/>
        <v>0.49412289073660953</v>
      </c>
      <c r="AI743" s="135">
        <f t="shared" si="14"/>
        <v>0.98607258584123092</v>
      </c>
    </row>
    <row r="744" spans="1:35" ht="12.6">
      <c r="A744" s="10" t="s">
        <v>63</v>
      </c>
      <c r="B744" s="10">
        <v>13</v>
      </c>
      <c r="C744" s="10" t="s">
        <v>1512</v>
      </c>
      <c r="D744" s="388">
        <v>44939</v>
      </c>
      <c r="E744" s="389">
        <v>44939</v>
      </c>
      <c r="F744" s="390" t="str">
        <f t="shared" si="10"/>
        <v>Other</v>
      </c>
      <c r="G744" s="135">
        <v>2.76471081710787E-2</v>
      </c>
      <c r="H744" s="135">
        <v>2.62785744672847E-2</v>
      </c>
      <c r="I744" s="135">
        <v>2.5584710009458798E-2</v>
      </c>
      <c r="J744" s="135">
        <v>2.50025532640499E-2</v>
      </c>
      <c r="K744" s="135">
        <v>2.5344650769859998E-2</v>
      </c>
      <c r="L744" s="135">
        <v>2.6624930448429101E-2</v>
      </c>
      <c r="M744" s="135">
        <v>3.6965692830214697E-2</v>
      </c>
      <c r="N744" s="135">
        <v>4.1650935857578099E-2</v>
      </c>
      <c r="O744" s="135">
        <v>3.9367301375182899E-2</v>
      </c>
      <c r="P744" s="135">
        <v>3.9639629856922598E-2</v>
      </c>
      <c r="Q744" s="135">
        <v>4.1695948106080002E-2</v>
      </c>
      <c r="R744" s="135">
        <v>4.2887060569663502E-2</v>
      </c>
      <c r="S744" s="135">
        <v>4.4997726855643197E-2</v>
      </c>
      <c r="T744" s="135">
        <v>4.6101486388439701E-2</v>
      </c>
      <c r="U744" s="135">
        <v>4.5909271975321402E-2</v>
      </c>
      <c r="V744" s="135">
        <v>4.4657319004925498E-2</v>
      </c>
      <c r="W744" s="135">
        <v>4.4619800546701498E-2</v>
      </c>
      <c r="X744" s="135">
        <v>4.9978881294706803E-2</v>
      </c>
      <c r="Y744" s="135">
        <v>5.6592795244331501E-2</v>
      </c>
      <c r="Z744" s="135">
        <v>6.3854259874512501E-2</v>
      </c>
      <c r="AA744" s="135">
        <v>6.3994189688477796E-2</v>
      </c>
      <c r="AB744" s="135">
        <v>5.4461888869153902E-2</v>
      </c>
      <c r="AC744" s="135">
        <v>4.0694171473124097E-2</v>
      </c>
      <c r="AD744" s="135">
        <v>3.1521698900089899E-2</v>
      </c>
      <c r="AF744" s="243">
        <f t="shared" si="11"/>
        <v>0.3108686134467748</v>
      </c>
      <c r="AG744" s="275">
        <f t="shared" si="12"/>
        <v>0.49194969510462139</v>
      </c>
      <c r="AH744" s="391">
        <f t="shared" si="13"/>
        <v>0.49412289073660953</v>
      </c>
      <c r="AI744" s="135">
        <f t="shared" si="14"/>
        <v>0.98607258584123092</v>
      </c>
    </row>
    <row r="745" spans="1:35" ht="12.6">
      <c r="A745" s="10" t="s">
        <v>63</v>
      </c>
      <c r="B745" s="10">
        <v>14</v>
      </c>
      <c r="C745" s="10" t="s">
        <v>1512</v>
      </c>
      <c r="D745" s="388">
        <v>44940</v>
      </c>
      <c r="E745" s="389">
        <v>44940</v>
      </c>
      <c r="F745" s="390" t="str">
        <f t="shared" si="10"/>
        <v>Other</v>
      </c>
      <c r="G745" s="135">
        <v>3.02249236828823E-2</v>
      </c>
      <c r="H745" s="135">
        <v>2.65288462772971E-2</v>
      </c>
      <c r="I745" s="135">
        <v>2.5145917074864601E-2</v>
      </c>
      <c r="J745" s="135">
        <v>2.4408777352441499E-2</v>
      </c>
      <c r="K745" s="135">
        <v>2.4842477171432301E-2</v>
      </c>
      <c r="L745" s="135">
        <v>2.5530836650180001E-2</v>
      </c>
      <c r="M745" s="135">
        <v>3.1791489082233497E-2</v>
      </c>
      <c r="N745" s="135">
        <v>4.0981642760216798E-2</v>
      </c>
      <c r="O745" s="135">
        <v>3.9671341845700203E-2</v>
      </c>
      <c r="P745" s="135">
        <v>4.2385623903080698E-2</v>
      </c>
      <c r="Q745" s="135">
        <v>4.6226801762819E-2</v>
      </c>
      <c r="R745" s="135">
        <v>4.8969350413243802E-2</v>
      </c>
      <c r="S745" s="135">
        <v>4.8684292656016502E-2</v>
      </c>
      <c r="T745" s="135">
        <v>5.10937011472168E-2</v>
      </c>
      <c r="U745" s="135">
        <v>5.2849881605689097E-2</v>
      </c>
      <c r="V745" s="135">
        <v>5.2864630338031598E-2</v>
      </c>
      <c r="W745" s="135">
        <v>5.2114686921837301E-2</v>
      </c>
      <c r="X745" s="135">
        <v>5.3932536426095398E-2</v>
      </c>
      <c r="Y745" s="135">
        <v>5.8168722198650699E-2</v>
      </c>
      <c r="Z745" s="135">
        <v>6.2348960693243902E-2</v>
      </c>
      <c r="AA745" s="135">
        <v>6.1459218411883898E-2</v>
      </c>
      <c r="AB745" s="135">
        <v>5.2533760995209601E-2</v>
      </c>
      <c r="AC745" s="135">
        <v>4.0061294496834599E-2</v>
      </c>
      <c r="AD745" s="135">
        <v>3.3219280801326898E-2</v>
      </c>
      <c r="AF745" s="243">
        <f t="shared" si="11"/>
        <v>0.35280334484485409</v>
      </c>
      <c r="AG745" s="275">
        <f t="shared" si="12"/>
        <v>0.51936103525828403</v>
      </c>
      <c r="AH745" s="391">
        <f t="shared" si="13"/>
        <v>0.50667795941014404</v>
      </c>
      <c r="AI745" s="135">
        <f t="shared" si="14"/>
        <v>1.0260389946684281</v>
      </c>
    </row>
    <row r="746" spans="1:35" ht="12.6">
      <c r="A746" s="10" t="s">
        <v>63</v>
      </c>
      <c r="B746" s="10">
        <v>15</v>
      </c>
      <c r="C746" s="10" t="s">
        <v>1512</v>
      </c>
      <c r="D746" s="388">
        <v>44941</v>
      </c>
      <c r="E746" s="389">
        <v>44941</v>
      </c>
      <c r="F746" s="390" t="str">
        <f t="shared" si="10"/>
        <v>Other</v>
      </c>
      <c r="G746" s="135">
        <v>3.02249236828823E-2</v>
      </c>
      <c r="H746" s="135">
        <v>2.65288462772971E-2</v>
      </c>
      <c r="I746" s="135">
        <v>2.5145917074864601E-2</v>
      </c>
      <c r="J746" s="135">
        <v>2.4408777352441499E-2</v>
      </c>
      <c r="K746" s="135">
        <v>2.4842477171432301E-2</v>
      </c>
      <c r="L746" s="135">
        <v>2.5530836650180001E-2</v>
      </c>
      <c r="M746" s="135">
        <v>3.1791489082233497E-2</v>
      </c>
      <c r="N746" s="135">
        <v>4.0981642760216798E-2</v>
      </c>
      <c r="O746" s="135">
        <v>3.9671341845700203E-2</v>
      </c>
      <c r="P746" s="135">
        <v>4.2385623903080698E-2</v>
      </c>
      <c r="Q746" s="135">
        <v>4.6226801762819E-2</v>
      </c>
      <c r="R746" s="135">
        <v>4.8969350413243802E-2</v>
      </c>
      <c r="S746" s="135">
        <v>4.8684292656016502E-2</v>
      </c>
      <c r="T746" s="135">
        <v>5.10937011472168E-2</v>
      </c>
      <c r="U746" s="135">
        <v>5.2849881605689097E-2</v>
      </c>
      <c r="V746" s="135">
        <v>5.2864630338031598E-2</v>
      </c>
      <c r="W746" s="135">
        <v>5.2114686921837301E-2</v>
      </c>
      <c r="X746" s="135">
        <v>5.3932536426095398E-2</v>
      </c>
      <c r="Y746" s="135">
        <v>5.8168722198650699E-2</v>
      </c>
      <c r="Z746" s="135">
        <v>6.2348960693243902E-2</v>
      </c>
      <c r="AA746" s="135">
        <v>6.1459218411883898E-2</v>
      </c>
      <c r="AB746" s="135">
        <v>5.2533760995209601E-2</v>
      </c>
      <c r="AC746" s="135">
        <v>4.0061294496834599E-2</v>
      </c>
      <c r="AD746" s="135">
        <v>3.3219280801326898E-2</v>
      </c>
      <c r="AF746" s="243">
        <f t="shared" si="11"/>
        <v>0.35280334484485409</v>
      </c>
      <c r="AG746" s="275">
        <f t="shared" si="12"/>
        <v>0.51936103525828403</v>
      </c>
      <c r="AH746" s="391">
        <f t="shared" si="13"/>
        <v>0.50667795941014404</v>
      </c>
      <c r="AI746" s="135">
        <f t="shared" si="14"/>
        <v>1.0260389946684281</v>
      </c>
    </row>
    <row r="747" spans="1:35" ht="12.6">
      <c r="A747" s="10" t="s">
        <v>63</v>
      </c>
      <c r="B747" s="10">
        <v>16</v>
      </c>
      <c r="C747" s="10" t="s">
        <v>1512</v>
      </c>
      <c r="D747" s="388">
        <v>44942</v>
      </c>
      <c r="E747" s="389">
        <v>44942</v>
      </c>
      <c r="F747" s="390" t="str">
        <f t="shared" si="10"/>
        <v>Other</v>
      </c>
      <c r="G747" s="135">
        <v>2.76471081710787E-2</v>
      </c>
      <c r="H747" s="135">
        <v>2.62785744672847E-2</v>
      </c>
      <c r="I747" s="135">
        <v>2.5584710009458798E-2</v>
      </c>
      <c r="J747" s="135">
        <v>2.50025532640499E-2</v>
      </c>
      <c r="K747" s="135">
        <v>2.5344650769859998E-2</v>
      </c>
      <c r="L747" s="135">
        <v>2.6624930448429101E-2</v>
      </c>
      <c r="M747" s="135">
        <v>3.6965692830214697E-2</v>
      </c>
      <c r="N747" s="135">
        <v>4.1650935857578099E-2</v>
      </c>
      <c r="O747" s="135">
        <v>3.9367301375182899E-2</v>
      </c>
      <c r="P747" s="135">
        <v>3.9639629856922598E-2</v>
      </c>
      <c r="Q747" s="135">
        <v>4.1695948106080002E-2</v>
      </c>
      <c r="R747" s="135">
        <v>4.2887060569663502E-2</v>
      </c>
      <c r="S747" s="135">
        <v>4.4997726855643197E-2</v>
      </c>
      <c r="T747" s="135">
        <v>4.6101486388439701E-2</v>
      </c>
      <c r="U747" s="135">
        <v>4.5909271975321402E-2</v>
      </c>
      <c r="V747" s="135">
        <v>4.4657319004925498E-2</v>
      </c>
      <c r="W747" s="135">
        <v>4.4619800546701498E-2</v>
      </c>
      <c r="X747" s="135">
        <v>4.9978881294706803E-2</v>
      </c>
      <c r="Y747" s="135">
        <v>5.6592795244331501E-2</v>
      </c>
      <c r="Z747" s="135">
        <v>6.3854259874512501E-2</v>
      </c>
      <c r="AA747" s="135">
        <v>6.3994189688477796E-2</v>
      </c>
      <c r="AB747" s="135">
        <v>5.4461888869153902E-2</v>
      </c>
      <c r="AC747" s="135">
        <v>4.0694171473124097E-2</v>
      </c>
      <c r="AD747" s="135">
        <v>3.1521698900089899E-2</v>
      </c>
      <c r="AF747" s="243">
        <f t="shared" si="11"/>
        <v>0.3108686134467748</v>
      </c>
      <c r="AG747" s="275">
        <f t="shared" si="12"/>
        <v>0.49194969510462139</v>
      </c>
      <c r="AH747" s="391">
        <f t="shared" si="13"/>
        <v>0.49412289073660953</v>
      </c>
      <c r="AI747" s="135">
        <f t="shared" si="14"/>
        <v>0.98607258584123092</v>
      </c>
    </row>
    <row r="748" spans="1:35" ht="12.6">
      <c r="A748" s="10" t="s">
        <v>63</v>
      </c>
      <c r="B748" s="10">
        <v>17</v>
      </c>
      <c r="C748" s="10" t="s">
        <v>1512</v>
      </c>
      <c r="D748" s="388">
        <v>44943</v>
      </c>
      <c r="E748" s="389">
        <v>44943</v>
      </c>
      <c r="F748" s="390" t="str">
        <f t="shared" si="10"/>
        <v>Other</v>
      </c>
      <c r="G748" s="135">
        <v>2.76471081710787E-2</v>
      </c>
      <c r="H748" s="135">
        <v>2.62785744672847E-2</v>
      </c>
      <c r="I748" s="135">
        <v>2.5584710009458798E-2</v>
      </c>
      <c r="J748" s="135">
        <v>2.50025532640499E-2</v>
      </c>
      <c r="K748" s="135">
        <v>2.5344650769859998E-2</v>
      </c>
      <c r="L748" s="135">
        <v>2.6624930448429101E-2</v>
      </c>
      <c r="M748" s="135">
        <v>3.6965692830214697E-2</v>
      </c>
      <c r="N748" s="135">
        <v>4.1650935857578099E-2</v>
      </c>
      <c r="O748" s="135">
        <v>3.9367301375182899E-2</v>
      </c>
      <c r="P748" s="135">
        <v>3.9639629856922598E-2</v>
      </c>
      <c r="Q748" s="135">
        <v>4.1695948106080002E-2</v>
      </c>
      <c r="R748" s="135">
        <v>4.2887060569663502E-2</v>
      </c>
      <c r="S748" s="135">
        <v>4.4997726855643197E-2</v>
      </c>
      <c r="T748" s="135">
        <v>4.6101486388439701E-2</v>
      </c>
      <c r="U748" s="135">
        <v>4.5909271975321402E-2</v>
      </c>
      <c r="V748" s="135">
        <v>4.4657319004925498E-2</v>
      </c>
      <c r="W748" s="135">
        <v>4.4619800546701498E-2</v>
      </c>
      <c r="X748" s="135">
        <v>4.9978881294706803E-2</v>
      </c>
      <c r="Y748" s="135">
        <v>5.6592795244331501E-2</v>
      </c>
      <c r="Z748" s="135">
        <v>6.3854259874512501E-2</v>
      </c>
      <c r="AA748" s="135">
        <v>6.3994189688477796E-2</v>
      </c>
      <c r="AB748" s="135">
        <v>5.4461888869153902E-2</v>
      </c>
      <c r="AC748" s="135">
        <v>4.0694171473124097E-2</v>
      </c>
      <c r="AD748" s="135">
        <v>3.1521698900089899E-2</v>
      </c>
      <c r="AF748" s="243">
        <f t="shared" si="11"/>
        <v>0.3108686134467748</v>
      </c>
      <c r="AG748" s="275">
        <f t="shared" si="12"/>
        <v>0.49194969510462139</v>
      </c>
      <c r="AH748" s="391">
        <f t="shared" si="13"/>
        <v>0.49412289073660953</v>
      </c>
      <c r="AI748" s="135">
        <f t="shared" si="14"/>
        <v>0.98607258584123092</v>
      </c>
    </row>
    <row r="749" spans="1:35" ht="12.6">
      <c r="A749" s="10" t="s">
        <v>63</v>
      </c>
      <c r="B749" s="10">
        <v>18</v>
      </c>
      <c r="C749" s="10" t="s">
        <v>1512</v>
      </c>
      <c r="D749" s="388">
        <v>44944</v>
      </c>
      <c r="E749" s="389">
        <v>44944</v>
      </c>
      <c r="F749" s="390" t="str">
        <f t="shared" si="10"/>
        <v>Other</v>
      </c>
      <c r="G749" s="135">
        <v>2.76471081710787E-2</v>
      </c>
      <c r="H749" s="135">
        <v>2.62785744672847E-2</v>
      </c>
      <c r="I749" s="135">
        <v>2.5584710009458798E-2</v>
      </c>
      <c r="J749" s="135">
        <v>2.50025532640499E-2</v>
      </c>
      <c r="K749" s="135">
        <v>2.5344650769859998E-2</v>
      </c>
      <c r="L749" s="135">
        <v>2.6624930448429101E-2</v>
      </c>
      <c r="M749" s="135">
        <v>3.6965692830214697E-2</v>
      </c>
      <c r="N749" s="135">
        <v>4.1650935857578099E-2</v>
      </c>
      <c r="O749" s="135">
        <v>3.9367301375182899E-2</v>
      </c>
      <c r="P749" s="135">
        <v>3.9639629856922598E-2</v>
      </c>
      <c r="Q749" s="135">
        <v>4.1695948106080002E-2</v>
      </c>
      <c r="R749" s="135">
        <v>4.2887060569663502E-2</v>
      </c>
      <c r="S749" s="135">
        <v>4.4997726855643197E-2</v>
      </c>
      <c r="T749" s="135">
        <v>4.6101486388439701E-2</v>
      </c>
      <c r="U749" s="135">
        <v>4.5909271975321402E-2</v>
      </c>
      <c r="V749" s="135">
        <v>4.4657319004925498E-2</v>
      </c>
      <c r="W749" s="135">
        <v>4.4619800546701498E-2</v>
      </c>
      <c r="X749" s="135">
        <v>4.9978881294706803E-2</v>
      </c>
      <c r="Y749" s="135">
        <v>5.6592795244331501E-2</v>
      </c>
      <c r="Z749" s="135">
        <v>6.3854259874512501E-2</v>
      </c>
      <c r="AA749" s="135">
        <v>6.3994189688477796E-2</v>
      </c>
      <c r="AB749" s="135">
        <v>5.4461888869153902E-2</v>
      </c>
      <c r="AC749" s="135">
        <v>4.0694171473124097E-2</v>
      </c>
      <c r="AD749" s="135">
        <v>3.1521698900089899E-2</v>
      </c>
      <c r="AF749" s="243">
        <f t="shared" si="11"/>
        <v>0.3108686134467748</v>
      </c>
      <c r="AG749" s="275">
        <f t="shared" si="12"/>
        <v>0.49194969510462139</v>
      </c>
      <c r="AH749" s="391">
        <f t="shared" si="13"/>
        <v>0.49412289073660953</v>
      </c>
      <c r="AI749" s="135">
        <f t="shared" si="14"/>
        <v>0.98607258584123092</v>
      </c>
    </row>
    <row r="750" spans="1:35" ht="12.6">
      <c r="A750" s="10" t="s">
        <v>63</v>
      </c>
      <c r="B750" s="10">
        <v>19</v>
      </c>
      <c r="C750" s="10" t="s">
        <v>1512</v>
      </c>
      <c r="D750" s="388">
        <v>44945</v>
      </c>
      <c r="E750" s="389">
        <v>44945</v>
      </c>
      <c r="F750" s="390" t="str">
        <f t="shared" si="10"/>
        <v>Other</v>
      </c>
      <c r="G750" s="135">
        <v>2.76471081710787E-2</v>
      </c>
      <c r="H750" s="135">
        <v>2.62785744672847E-2</v>
      </c>
      <c r="I750" s="135">
        <v>2.5584710009458798E-2</v>
      </c>
      <c r="J750" s="135">
        <v>2.50025532640499E-2</v>
      </c>
      <c r="K750" s="135">
        <v>2.5344650769859998E-2</v>
      </c>
      <c r="L750" s="135">
        <v>2.6624930448429101E-2</v>
      </c>
      <c r="M750" s="135">
        <v>3.6965692830214697E-2</v>
      </c>
      <c r="N750" s="135">
        <v>4.1650935857578099E-2</v>
      </c>
      <c r="O750" s="135">
        <v>3.9367301375182899E-2</v>
      </c>
      <c r="P750" s="135">
        <v>3.9639629856922598E-2</v>
      </c>
      <c r="Q750" s="135">
        <v>4.1695948106080002E-2</v>
      </c>
      <c r="R750" s="135">
        <v>4.2887060569663502E-2</v>
      </c>
      <c r="S750" s="135">
        <v>4.4997726855643197E-2</v>
      </c>
      <c r="T750" s="135">
        <v>4.6101486388439701E-2</v>
      </c>
      <c r="U750" s="135">
        <v>4.5909271975321402E-2</v>
      </c>
      <c r="V750" s="135">
        <v>4.4657319004925498E-2</v>
      </c>
      <c r="W750" s="135">
        <v>4.4619800546701498E-2</v>
      </c>
      <c r="X750" s="135">
        <v>4.9978881294706803E-2</v>
      </c>
      <c r="Y750" s="135">
        <v>5.6592795244331501E-2</v>
      </c>
      <c r="Z750" s="135">
        <v>6.3854259874512501E-2</v>
      </c>
      <c r="AA750" s="135">
        <v>6.3994189688477796E-2</v>
      </c>
      <c r="AB750" s="135">
        <v>5.4461888869153902E-2</v>
      </c>
      <c r="AC750" s="135">
        <v>4.0694171473124097E-2</v>
      </c>
      <c r="AD750" s="135">
        <v>3.1521698900089899E-2</v>
      </c>
      <c r="AF750" s="243">
        <f t="shared" si="11"/>
        <v>0.3108686134467748</v>
      </c>
      <c r="AG750" s="275">
        <f t="shared" si="12"/>
        <v>0.49194969510462139</v>
      </c>
      <c r="AH750" s="391">
        <f t="shared" si="13"/>
        <v>0.49412289073660953</v>
      </c>
      <c r="AI750" s="135">
        <f t="shared" si="14"/>
        <v>0.98607258584123092</v>
      </c>
    </row>
    <row r="751" spans="1:35" ht="12.6">
      <c r="A751" s="10" t="s">
        <v>63</v>
      </c>
      <c r="B751" s="10">
        <v>20</v>
      </c>
      <c r="C751" s="10" t="s">
        <v>1512</v>
      </c>
      <c r="D751" s="388">
        <v>44946</v>
      </c>
      <c r="E751" s="389">
        <v>44946</v>
      </c>
      <c r="F751" s="390" t="str">
        <f t="shared" si="10"/>
        <v>Other</v>
      </c>
      <c r="G751" s="135">
        <v>2.76471081710787E-2</v>
      </c>
      <c r="H751" s="135">
        <v>2.62785744672847E-2</v>
      </c>
      <c r="I751" s="135">
        <v>2.5584710009458798E-2</v>
      </c>
      <c r="J751" s="135">
        <v>2.50025532640499E-2</v>
      </c>
      <c r="K751" s="135">
        <v>2.5344650769859998E-2</v>
      </c>
      <c r="L751" s="135">
        <v>2.6624930448429101E-2</v>
      </c>
      <c r="M751" s="135">
        <v>3.6965692830214697E-2</v>
      </c>
      <c r="N751" s="135">
        <v>4.1650935857578099E-2</v>
      </c>
      <c r="O751" s="135">
        <v>3.9367301375182899E-2</v>
      </c>
      <c r="P751" s="135">
        <v>3.9639629856922598E-2</v>
      </c>
      <c r="Q751" s="135">
        <v>4.1695948106080002E-2</v>
      </c>
      <c r="R751" s="135">
        <v>4.2887060569663502E-2</v>
      </c>
      <c r="S751" s="135">
        <v>4.4997726855643197E-2</v>
      </c>
      <c r="T751" s="135">
        <v>4.6101486388439701E-2</v>
      </c>
      <c r="U751" s="135">
        <v>4.5909271975321402E-2</v>
      </c>
      <c r="V751" s="135">
        <v>4.4657319004925498E-2</v>
      </c>
      <c r="W751" s="135">
        <v>4.4619800546701498E-2</v>
      </c>
      <c r="X751" s="135">
        <v>4.9978881294706803E-2</v>
      </c>
      <c r="Y751" s="135">
        <v>5.6592795244331501E-2</v>
      </c>
      <c r="Z751" s="135">
        <v>6.3854259874512501E-2</v>
      </c>
      <c r="AA751" s="135">
        <v>6.3994189688477796E-2</v>
      </c>
      <c r="AB751" s="135">
        <v>5.4461888869153902E-2</v>
      </c>
      <c r="AC751" s="135">
        <v>4.0694171473124097E-2</v>
      </c>
      <c r="AD751" s="135">
        <v>3.1521698900089899E-2</v>
      </c>
      <c r="AF751" s="243">
        <f t="shared" si="11"/>
        <v>0.3108686134467748</v>
      </c>
      <c r="AG751" s="275">
        <f t="shared" si="12"/>
        <v>0.49194969510462139</v>
      </c>
      <c r="AH751" s="391">
        <f t="shared" si="13"/>
        <v>0.49412289073660953</v>
      </c>
      <c r="AI751" s="135">
        <f t="shared" si="14"/>
        <v>0.98607258584123092</v>
      </c>
    </row>
    <row r="752" spans="1:35" ht="12.6">
      <c r="A752" s="10" t="s">
        <v>63</v>
      </c>
      <c r="B752" s="10">
        <v>21</v>
      </c>
      <c r="C752" s="10" t="s">
        <v>1512</v>
      </c>
      <c r="D752" s="388">
        <v>44947</v>
      </c>
      <c r="E752" s="389">
        <v>44947</v>
      </c>
      <c r="F752" s="390" t="str">
        <f t="shared" si="10"/>
        <v>Other</v>
      </c>
      <c r="G752" s="135">
        <v>3.02249236828823E-2</v>
      </c>
      <c r="H752" s="135">
        <v>2.65288462772971E-2</v>
      </c>
      <c r="I752" s="135">
        <v>2.5145917074864601E-2</v>
      </c>
      <c r="J752" s="135">
        <v>2.4408777352441499E-2</v>
      </c>
      <c r="K752" s="135">
        <v>2.4842477171432301E-2</v>
      </c>
      <c r="L752" s="135">
        <v>2.5530836650180001E-2</v>
      </c>
      <c r="M752" s="135">
        <v>3.1791489082233497E-2</v>
      </c>
      <c r="N752" s="135">
        <v>4.0981642760216798E-2</v>
      </c>
      <c r="O752" s="135">
        <v>3.9671341845700203E-2</v>
      </c>
      <c r="P752" s="135">
        <v>4.2385623903080698E-2</v>
      </c>
      <c r="Q752" s="135">
        <v>4.6226801762819E-2</v>
      </c>
      <c r="R752" s="135">
        <v>4.8969350413243802E-2</v>
      </c>
      <c r="S752" s="135">
        <v>4.8684292656016502E-2</v>
      </c>
      <c r="T752" s="135">
        <v>5.10937011472168E-2</v>
      </c>
      <c r="U752" s="135">
        <v>5.2849881605689097E-2</v>
      </c>
      <c r="V752" s="135">
        <v>5.2864630338031598E-2</v>
      </c>
      <c r="W752" s="135">
        <v>5.2114686921837301E-2</v>
      </c>
      <c r="X752" s="135">
        <v>5.3932536426095398E-2</v>
      </c>
      <c r="Y752" s="135">
        <v>5.8168722198650699E-2</v>
      </c>
      <c r="Z752" s="135">
        <v>6.2348960693243902E-2</v>
      </c>
      <c r="AA752" s="135">
        <v>6.1459218411883898E-2</v>
      </c>
      <c r="AB752" s="135">
        <v>5.2533760995209601E-2</v>
      </c>
      <c r="AC752" s="135">
        <v>4.0061294496834599E-2</v>
      </c>
      <c r="AD752" s="135">
        <v>3.3219280801326898E-2</v>
      </c>
      <c r="AF752" s="243">
        <f t="shared" si="11"/>
        <v>0.35280334484485409</v>
      </c>
      <c r="AG752" s="275">
        <f t="shared" si="12"/>
        <v>0.51936103525828403</v>
      </c>
      <c r="AH752" s="391">
        <f t="shared" si="13"/>
        <v>0.50667795941014404</v>
      </c>
      <c r="AI752" s="135">
        <f t="shared" si="14"/>
        <v>1.0260389946684281</v>
      </c>
    </row>
    <row r="753" spans="1:35" ht="12.6">
      <c r="A753" s="10" t="s">
        <v>63</v>
      </c>
      <c r="B753" s="10">
        <v>22</v>
      </c>
      <c r="C753" s="10" t="s">
        <v>1512</v>
      </c>
      <c r="D753" s="388">
        <v>44948</v>
      </c>
      <c r="E753" s="389">
        <v>44948</v>
      </c>
      <c r="F753" s="390" t="str">
        <f t="shared" si="10"/>
        <v>Other</v>
      </c>
      <c r="G753" s="135">
        <v>3.02249236828823E-2</v>
      </c>
      <c r="H753" s="135">
        <v>2.65288462772971E-2</v>
      </c>
      <c r="I753" s="135">
        <v>2.5145917074864601E-2</v>
      </c>
      <c r="J753" s="135">
        <v>2.4408777352441499E-2</v>
      </c>
      <c r="K753" s="135">
        <v>2.4842477171432301E-2</v>
      </c>
      <c r="L753" s="135">
        <v>2.5530836650180001E-2</v>
      </c>
      <c r="M753" s="135">
        <v>3.1791489082233497E-2</v>
      </c>
      <c r="N753" s="135">
        <v>4.0981642760216798E-2</v>
      </c>
      <c r="O753" s="135">
        <v>3.9671341845700203E-2</v>
      </c>
      <c r="P753" s="135">
        <v>4.2385623903080698E-2</v>
      </c>
      <c r="Q753" s="135">
        <v>4.6226801762819E-2</v>
      </c>
      <c r="R753" s="135">
        <v>4.8969350413243802E-2</v>
      </c>
      <c r="S753" s="135">
        <v>4.8684292656016502E-2</v>
      </c>
      <c r="T753" s="135">
        <v>5.10937011472168E-2</v>
      </c>
      <c r="U753" s="135">
        <v>5.2849881605689097E-2</v>
      </c>
      <c r="V753" s="135">
        <v>5.2864630338031598E-2</v>
      </c>
      <c r="W753" s="135">
        <v>5.2114686921837301E-2</v>
      </c>
      <c r="X753" s="135">
        <v>5.3932536426095398E-2</v>
      </c>
      <c r="Y753" s="135">
        <v>5.8168722198650699E-2</v>
      </c>
      <c r="Z753" s="135">
        <v>6.2348960693243902E-2</v>
      </c>
      <c r="AA753" s="135">
        <v>6.1459218411883898E-2</v>
      </c>
      <c r="AB753" s="135">
        <v>5.2533760995209601E-2</v>
      </c>
      <c r="AC753" s="135">
        <v>4.0061294496834599E-2</v>
      </c>
      <c r="AD753" s="135">
        <v>3.3219280801326898E-2</v>
      </c>
      <c r="AF753" s="243">
        <f t="shared" si="11"/>
        <v>0.35280334484485409</v>
      </c>
      <c r="AG753" s="275">
        <f t="shared" si="12"/>
        <v>0.51936103525828403</v>
      </c>
      <c r="AH753" s="391">
        <f t="shared" si="13"/>
        <v>0.50667795941014404</v>
      </c>
      <c r="AI753" s="135">
        <f t="shared" si="14"/>
        <v>1.0260389946684281</v>
      </c>
    </row>
    <row r="754" spans="1:35" ht="12.6">
      <c r="A754" s="10" t="s">
        <v>63</v>
      </c>
      <c r="B754" s="10">
        <v>23</v>
      </c>
      <c r="C754" s="10" t="s">
        <v>1512</v>
      </c>
      <c r="D754" s="388">
        <v>44949</v>
      </c>
      <c r="E754" s="389">
        <v>44949</v>
      </c>
      <c r="F754" s="390" t="str">
        <f t="shared" si="10"/>
        <v>Other</v>
      </c>
      <c r="G754" s="135">
        <v>2.76471081710787E-2</v>
      </c>
      <c r="H754" s="135">
        <v>2.62785744672847E-2</v>
      </c>
      <c r="I754" s="135">
        <v>2.5584710009458798E-2</v>
      </c>
      <c r="J754" s="135">
        <v>2.50025532640499E-2</v>
      </c>
      <c r="K754" s="135">
        <v>2.5344650769859998E-2</v>
      </c>
      <c r="L754" s="135">
        <v>2.6624930448429101E-2</v>
      </c>
      <c r="M754" s="135">
        <v>3.6965692830214697E-2</v>
      </c>
      <c r="N754" s="135">
        <v>4.1650935857578099E-2</v>
      </c>
      <c r="O754" s="135">
        <v>3.9367301375182899E-2</v>
      </c>
      <c r="P754" s="135">
        <v>3.9639629856922598E-2</v>
      </c>
      <c r="Q754" s="135">
        <v>4.1695948106080002E-2</v>
      </c>
      <c r="R754" s="135">
        <v>4.2887060569663502E-2</v>
      </c>
      <c r="S754" s="135">
        <v>4.4997726855643197E-2</v>
      </c>
      <c r="T754" s="135">
        <v>4.6101486388439701E-2</v>
      </c>
      <c r="U754" s="135">
        <v>4.5909271975321402E-2</v>
      </c>
      <c r="V754" s="135">
        <v>4.4657319004925498E-2</v>
      </c>
      <c r="W754" s="135">
        <v>4.4619800546701498E-2</v>
      </c>
      <c r="X754" s="135">
        <v>4.9978881294706803E-2</v>
      </c>
      <c r="Y754" s="135">
        <v>5.6592795244331501E-2</v>
      </c>
      <c r="Z754" s="135">
        <v>6.3854259874512501E-2</v>
      </c>
      <c r="AA754" s="135">
        <v>6.3994189688477796E-2</v>
      </c>
      <c r="AB754" s="135">
        <v>5.4461888869153902E-2</v>
      </c>
      <c r="AC754" s="135">
        <v>4.0694171473124097E-2</v>
      </c>
      <c r="AD754" s="135">
        <v>3.1521698900089899E-2</v>
      </c>
      <c r="AF754" s="243">
        <f t="shared" si="11"/>
        <v>0.3108686134467748</v>
      </c>
      <c r="AG754" s="275">
        <f t="shared" si="12"/>
        <v>0.49194969510462139</v>
      </c>
      <c r="AH754" s="391">
        <f t="shared" si="13"/>
        <v>0.49412289073660953</v>
      </c>
      <c r="AI754" s="135">
        <f t="shared" si="14"/>
        <v>0.98607258584123092</v>
      </c>
    </row>
    <row r="755" spans="1:35" ht="12.6">
      <c r="A755" s="10" t="s">
        <v>63</v>
      </c>
      <c r="B755" s="10">
        <v>24</v>
      </c>
      <c r="C755" s="10" t="s">
        <v>1512</v>
      </c>
      <c r="D755" s="388">
        <v>44950</v>
      </c>
      <c r="E755" s="389">
        <v>44950</v>
      </c>
      <c r="F755" s="390" t="str">
        <f t="shared" si="10"/>
        <v>Other</v>
      </c>
      <c r="G755" s="135">
        <v>2.76471081710787E-2</v>
      </c>
      <c r="H755" s="135">
        <v>2.62785744672847E-2</v>
      </c>
      <c r="I755" s="135">
        <v>2.5584710009458798E-2</v>
      </c>
      <c r="J755" s="135">
        <v>2.50025532640499E-2</v>
      </c>
      <c r="K755" s="135">
        <v>2.5344650769859998E-2</v>
      </c>
      <c r="L755" s="135">
        <v>2.6624930448429101E-2</v>
      </c>
      <c r="M755" s="135">
        <v>3.6965692830214697E-2</v>
      </c>
      <c r="N755" s="135">
        <v>4.1650935857578099E-2</v>
      </c>
      <c r="O755" s="135">
        <v>3.9367301375182899E-2</v>
      </c>
      <c r="P755" s="135">
        <v>3.9639629856922598E-2</v>
      </c>
      <c r="Q755" s="135">
        <v>4.1695948106080002E-2</v>
      </c>
      <c r="R755" s="135">
        <v>4.2887060569663502E-2</v>
      </c>
      <c r="S755" s="135">
        <v>4.4997726855643197E-2</v>
      </c>
      <c r="T755" s="135">
        <v>4.6101486388439701E-2</v>
      </c>
      <c r="U755" s="135">
        <v>4.5909271975321402E-2</v>
      </c>
      <c r="V755" s="135">
        <v>4.4657319004925498E-2</v>
      </c>
      <c r="W755" s="135">
        <v>4.4619800546701498E-2</v>
      </c>
      <c r="X755" s="135">
        <v>4.9978881294706803E-2</v>
      </c>
      <c r="Y755" s="135">
        <v>5.6592795244331501E-2</v>
      </c>
      <c r="Z755" s="135">
        <v>6.3854259874512501E-2</v>
      </c>
      <c r="AA755" s="135">
        <v>6.3994189688477796E-2</v>
      </c>
      <c r="AB755" s="135">
        <v>5.4461888869153902E-2</v>
      </c>
      <c r="AC755" s="135">
        <v>4.0694171473124097E-2</v>
      </c>
      <c r="AD755" s="135">
        <v>3.1521698900089899E-2</v>
      </c>
      <c r="AF755" s="243">
        <f t="shared" si="11"/>
        <v>0.3108686134467748</v>
      </c>
      <c r="AG755" s="275">
        <f t="shared" si="12"/>
        <v>0.49194969510462139</v>
      </c>
      <c r="AH755" s="391">
        <f t="shared" si="13"/>
        <v>0.49412289073660953</v>
      </c>
      <c r="AI755" s="135">
        <f t="shared" si="14"/>
        <v>0.98607258584123092</v>
      </c>
    </row>
    <row r="756" spans="1:35" ht="12.6">
      <c r="A756" s="10" t="s">
        <v>63</v>
      </c>
      <c r="B756" s="10">
        <v>25</v>
      </c>
      <c r="C756" s="10" t="s">
        <v>1512</v>
      </c>
      <c r="D756" s="388">
        <v>44951</v>
      </c>
      <c r="E756" s="389">
        <v>44951</v>
      </c>
      <c r="F756" s="390" t="str">
        <f t="shared" si="10"/>
        <v>Other</v>
      </c>
      <c r="G756" s="135">
        <v>2.76471081710787E-2</v>
      </c>
      <c r="H756" s="135">
        <v>2.62785744672847E-2</v>
      </c>
      <c r="I756" s="135">
        <v>2.5584710009458798E-2</v>
      </c>
      <c r="J756" s="135">
        <v>2.50025532640499E-2</v>
      </c>
      <c r="K756" s="135">
        <v>2.5344650769859998E-2</v>
      </c>
      <c r="L756" s="135">
        <v>2.6624930448429101E-2</v>
      </c>
      <c r="M756" s="135">
        <v>3.6965692830214697E-2</v>
      </c>
      <c r="N756" s="135">
        <v>4.1650935857578099E-2</v>
      </c>
      <c r="O756" s="135">
        <v>3.9367301375182899E-2</v>
      </c>
      <c r="P756" s="135">
        <v>3.9639629856922598E-2</v>
      </c>
      <c r="Q756" s="135">
        <v>4.1695948106080002E-2</v>
      </c>
      <c r="R756" s="135">
        <v>4.2887060569663502E-2</v>
      </c>
      <c r="S756" s="135">
        <v>4.4997726855643197E-2</v>
      </c>
      <c r="T756" s="135">
        <v>4.6101486388439701E-2</v>
      </c>
      <c r="U756" s="135">
        <v>4.5909271975321402E-2</v>
      </c>
      <c r="V756" s="135">
        <v>4.4657319004925498E-2</v>
      </c>
      <c r="W756" s="135">
        <v>4.4619800546701498E-2</v>
      </c>
      <c r="X756" s="135">
        <v>4.9978881294706803E-2</v>
      </c>
      <c r="Y756" s="135">
        <v>5.6592795244331501E-2</v>
      </c>
      <c r="Z756" s="135">
        <v>6.3854259874512501E-2</v>
      </c>
      <c r="AA756" s="135">
        <v>6.3994189688477796E-2</v>
      </c>
      <c r="AB756" s="135">
        <v>5.4461888869153902E-2</v>
      </c>
      <c r="AC756" s="135">
        <v>4.0694171473124097E-2</v>
      </c>
      <c r="AD756" s="135">
        <v>3.1521698900089899E-2</v>
      </c>
      <c r="AF756" s="243">
        <f t="shared" si="11"/>
        <v>0.3108686134467748</v>
      </c>
      <c r="AG756" s="275">
        <f t="shared" si="12"/>
        <v>0.49194969510462139</v>
      </c>
      <c r="AH756" s="391">
        <f t="shared" si="13"/>
        <v>0.49412289073660953</v>
      </c>
      <c r="AI756" s="135">
        <f t="shared" si="14"/>
        <v>0.98607258584123092</v>
      </c>
    </row>
    <row r="757" spans="1:35" ht="12.6">
      <c r="A757" s="10" t="s">
        <v>63</v>
      </c>
      <c r="B757" s="10">
        <v>26</v>
      </c>
      <c r="C757" s="10" t="s">
        <v>1512</v>
      </c>
      <c r="D757" s="388">
        <v>44952</v>
      </c>
      <c r="E757" s="389">
        <v>44952</v>
      </c>
      <c r="F757" s="390" t="str">
        <f t="shared" si="10"/>
        <v>Other</v>
      </c>
      <c r="G757" s="135">
        <v>2.76471081710787E-2</v>
      </c>
      <c r="H757" s="135">
        <v>2.62785744672847E-2</v>
      </c>
      <c r="I757" s="135">
        <v>2.5584710009458798E-2</v>
      </c>
      <c r="J757" s="135">
        <v>2.50025532640499E-2</v>
      </c>
      <c r="K757" s="135">
        <v>2.5344650769859998E-2</v>
      </c>
      <c r="L757" s="135">
        <v>2.6624930448429101E-2</v>
      </c>
      <c r="M757" s="135">
        <v>3.6965692830214697E-2</v>
      </c>
      <c r="N757" s="135">
        <v>4.1650935857578099E-2</v>
      </c>
      <c r="O757" s="135">
        <v>3.9367301375182899E-2</v>
      </c>
      <c r="P757" s="135">
        <v>3.9639629856922598E-2</v>
      </c>
      <c r="Q757" s="135">
        <v>4.1695948106080002E-2</v>
      </c>
      <c r="R757" s="135">
        <v>4.2887060569663502E-2</v>
      </c>
      <c r="S757" s="135">
        <v>4.4997726855643197E-2</v>
      </c>
      <c r="T757" s="135">
        <v>4.6101486388439701E-2</v>
      </c>
      <c r="U757" s="135">
        <v>4.5909271975321402E-2</v>
      </c>
      <c r="V757" s="135">
        <v>4.4657319004925498E-2</v>
      </c>
      <c r="W757" s="135">
        <v>4.4619800546701498E-2</v>
      </c>
      <c r="X757" s="135">
        <v>4.9978881294706803E-2</v>
      </c>
      <c r="Y757" s="135">
        <v>5.6592795244331501E-2</v>
      </c>
      <c r="Z757" s="135">
        <v>6.3854259874512501E-2</v>
      </c>
      <c r="AA757" s="135">
        <v>6.3994189688477796E-2</v>
      </c>
      <c r="AB757" s="135">
        <v>5.4461888869153902E-2</v>
      </c>
      <c r="AC757" s="135">
        <v>4.0694171473124097E-2</v>
      </c>
      <c r="AD757" s="135">
        <v>3.1521698900089899E-2</v>
      </c>
      <c r="AF757" s="243">
        <f t="shared" si="11"/>
        <v>0.3108686134467748</v>
      </c>
      <c r="AG757" s="275">
        <f t="shared" si="12"/>
        <v>0.49194969510462139</v>
      </c>
      <c r="AH757" s="391">
        <f t="shared" si="13"/>
        <v>0.49412289073660953</v>
      </c>
      <c r="AI757" s="135">
        <f t="shared" si="14"/>
        <v>0.98607258584123092</v>
      </c>
    </row>
    <row r="758" spans="1:35" ht="12.6">
      <c r="A758" s="10" t="s">
        <v>63</v>
      </c>
      <c r="B758" s="10">
        <v>27</v>
      </c>
      <c r="C758" s="10" t="s">
        <v>1512</v>
      </c>
      <c r="D758" s="388">
        <v>44953</v>
      </c>
      <c r="E758" s="389">
        <v>44953</v>
      </c>
      <c r="F758" s="390" t="str">
        <f t="shared" si="10"/>
        <v>Other</v>
      </c>
      <c r="G758" s="135">
        <v>2.76471081710787E-2</v>
      </c>
      <c r="H758" s="135">
        <v>2.62785744672847E-2</v>
      </c>
      <c r="I758" s="135">
        <v>2.5584710009458798E-2</v>
      </c>
      <c r="J758" s="135">
        <v>2.50025532640499E-2</v>
      </c>
      <c r="K758" s="135">
        <v>2.5344650769859998E-2</v>
      </c>
      <c r="L758" s="135">
        <v>2.6624930448429101E-2</v>
      </c>
      <c r="M758" s="135">
        <v>3.6965692830214697E-2</v>
      </c>
      <c r="N758" s="135">
        <v>4.1650935857578099E-2</v>
      </c>
      <c r="O758" s="135">
        <v>3.9367301375182899E-2</v>
      </c>
      <c r="P758" s="135">
        <v>3.9639629856922598E-2</v>
      </c>
      <c r="Q758" s="135">
        <v>4.1695948106080002E-2</v>
      </c>
      <c r="R758" s="135">
        <v>4.2887060569663502E-2</v>
      </c>
      <c r="S758" s="135">
        <v>4.4997726855643197E-2</v>
      </c>
      <c r="T758" s="135">
        <v>4.6101486388439701E-2</v>
      </c>
      <c r="U758" s="135">
        <v>4.5909271975321402E-2</v>
      </c>
      <c r="V758" s="135">
        <v>4.4657319004925498E-2</v>
      </c>
      <c r="W758" s="135">
        <v>4.4619800546701498E-2</v>
      </c>
      <c r="X758" s="135">
        <v>4.9978881294706803E-2</v>
      </c>
      <c r="Y758" s="135">
        <v>5.6592795244331501E-2</v>
      </c>
      <c r="Z758" s="135">
        <v>6.3854259874512501E-2</v>
      </c>
      <c r="AA758" s="135">
        <v>6.3994189688477796E-2</v>
      </c>
      <c r="AB758" s="135">
        <v>5.4461888869153902E-2</v>
      </c>
      <c r="AC758" s="135">
        <v>4.0694171473124097E-2</v>
      </c>
      <c r="AD758" s="135">
        <v>3.1521698900089899E-2</v>
      </c>
      <c r="AF758" s="243">
        <f t="shared" si="11"/>
        <v>0.3108686134467748</v>
      </c>
      <c r="AG758" s="275">
        <f t="shared" si="12"/>
        <v>0.49194969510462139</v>
      </c>
      <c r="AH758" s="391">
        <f t="shared" si="13"/>
        <v>0.49412289073660953</v>
      </c>
      <c r="AI758" s="135">
        <f t="shared" si="14"/>
        <v>0.98607258584123092</v>
      </c>
    </row>
    <row r="759" spans="1:35" ht="12.6">
      <c r="A759" s="10" t="s">
        <v>63</v>
      </c>
      <c r="B759" s="10">
        <v>28</v>
      </c>
      <c r="C759" s="10" t="s">
        <v>1512</v>
      </c>
      <c r="D759" s="388">
        <v>44954</v>
      </c>
      <c r="E759" s="389">
        <v>44954</v>
      </c>
      <c r="F759" s="390" t="str">
        <f t="shared" si="10"/>
        <v>Other</v>
      </c>
      <c r="G759" s="135">
        <v>3.02249236828823E-2</v>
      </c>
      <c r="H759" s="135">
        <v>2.65288462772971E-2</v>
      </c>
      <c r="I759" s="135">
        <v>2.5145917074864601E-2</v>
      </c>
      <c r="J759" s="135">
        <v>2.4408777352441499E-2</v>
      </c>
      <c r="K759" s="135">
        <v>2.4842477171432301E-2</v>
      </c>
      <c r="L759" s="135">
        <v>2.5530836650180001E-2</v>
      </c>
      <c r="M759" s="135">
        <v>3.1791489082233497E-2</v>
      </c>
      <c r="N759" s="135">
        <v>4.0981642760216798E-2</v>
      </c>
      <c r="O759" s="135">
        <v>3.9671341845700203E-2</v>
      </c>
      <c r="P759" s="135">
        <v>4.2385623903080698E-2</v>
      </c>
      <c r="Q759" s="135">
        <v>4.6226801762819E-2</v>
      </c>
      <c r="R759" s="135">
        <v>4.8969350413243802E-2</v>
      </c>
      <c r="S759" s="135">
        <v>4.8684292656016502E-2</v>
      </c>
      <c r="T759" s="135">
        <v>5.10937011472168E-2</v>
      </c>
      <c r="U759" s="135">
        <v>5.2849881605689097E-2</v>
      </c>
      <c r="V759" s="135">
        <v>5.2864630338031598E-2</v>
      </c>
      <c r="W759" s="135">
        <v>5.2114686921837301E-2</v>
      </c>
      <c r="X759" s="135">
        <v>5.3932536426095398E-2</v>
      </c>
      <c r="Y759" s="135">
        <v>5.8168722198650699E-2</v>
      </c>
      <c r="Z759" s="135">
        <v>6.2348960693243902E-2</v>
      </c>
      <c r="AA759" s="135">
        <v>6.1459218411883898E-2</v>
      </c>
      <c r="AB759" s="135">
        <v>5.2533760995209601E-2</v>
      </c>
      <c r="AC759" s="135">
        <v>4.0061294496834599E-2</v>
      </c>
      <c r="AD759" s="135">
        <v>3.3219280801326898E-2</v>
      </c>
      <c r="AF759" s="243">
        <f t="shared" si="11"/>
        <v>0.35280334484485409</v>
      </c>
      <c r="AG759" s="275">
        <f t="shared" si="12"/>
        <v>0.51936103525828403</v>
      </c>
      <c r="AH759" s="391">
        <f t="shared" si="13"/>
        <v>0.50667795941014404</v>
      </c>
      <c r="AI759" s="135">
        <f t="shared" si="14"/>
        <v>1.0260389946684281</v>
      </c>
    </row>
    <row r="760" spans="1:35" ht="12.6">
      <c r="A760" s="10" t="s">
        <v>63</v>
      </c>
      <c r="B760" s="10">
        <v>29</v>
      </c>
      <c r="C760" s="10" t="s">
        <v>1512</v>
      </c>
      <c r="D760" s="388">
        <v>44955</v>
      </c>
      <c r="E760" s="389">
        <v>44955</v>
      </c>
      <c r="F760" s="390" t="str">
        <f t="shared" si="10"/>
        <v>Other</v>
      </c>
      <c r="G760" s="135">
        <v>3.02249236828823E-2</v>
      </c>
      <c r="H760" s="135">
        <v>2.65288462772971E-2</v>
      </c>
      <c r="I760" s="135">
        <v>2.5145917074864601E-2</v>
      </c>
      <c r="J760" s="135">
        <v>2.4408777352441499E-2</v>
      </c>
      <c r="K760" s="135">
        <v>2.4842477171432301E-2</v>
      </c>
      <c r="L760" s="135">
        <v>2.5530836650180001E-2</v>
      </c>
      <c r="M760" s="135">
        <v>3.1791489082233497E-2</v>
      </c>
      <c r="N760" s="135">
        <v>4.0981642760216798E-2</v>
      </c>
      <c r="O760" s="135">
        <v>3.9671341845700203E-2</v>
      </c>
      <c r="P760" s="135">
        <v>4.2385623903080698E-2</v>
      </c>
      <c r="Q760" s="135">
        <v>4.6226801762819E-2</v>
      </c>
      <c r="R760" s="135">
        <v>4.8969350413243802E-2</v>
      </c>
      <c r="S760" s="135">
        <v>4.8684292656016502E-2</v>
      </c>
      <c r="T760" s="135">
        <v>5.10937011472168E-2</v>
      </c>
      <c r="U760" s="135">
        <v>5.2849881605689097E-2</v>
      </c>
      <c r="V760" s="135">
        <v>5.2864630338031598E-2</v>
      </c>
      <c r="W760" s="135">
        <v>5.2114686921837301E-2</v>
      </c>
      <c r="X760" s="135">
        <v>5.3932536426095398E-2</v>
      </c>
      <c r="Y760" s="135">
        <v>5.8168722198650699E-2</v>
      </c>
      <c r="Z760" s="135">
        <v>6.2348960693243902E-2</v>
      </c>
      <c r="AA760" s="135">
        <v>6.1459218411883898E-2</v>
      </c>
      <c r="AB760" s="135">
        <v>5.2533760995209601E-2</v>
      </c>
      <c r="AC760" s="135">
        <v>4.0061294496834599E-2</v>
      </c>
      <c r="AD760" s="135">
        <v>3.3219280801326898E-2</v>
      </c>
      <c r="AF760" s="243">
        <f t="shared" si="11"/>
        <v>0.35280334484485409</v>
      </c>
      <c r="AG760" s="275">
        <f t="shared" si="12"/>
        <v>0.51936103525828403</v>
      </c>
      <c r="AH760" s="391">
        <f t="shared" si="13"/>
        <v>0.50667795941014404</v>
      </c>
      <c r="AI760" s="135">
        <f t="shared" si="14"/>
        <v>1.0260389946684281</v>
      </c>
    </row>
    <row r="761" spans="1:35" ht="12.6">
      <c r="A761" s="10" t="s">
        <v>63</v>
      </c>
      <c r="B761" s="10">
        <v>30</v>
      </c>
      <c r="C761" s="10" t="s">
        <v>1512</v>
      </c>
      <c r="D761" s="388">
        <v>44956</v>
      </c>
      <c r="E761" s="389">
        <v>44956</v>
      </c>
      <c r="F761" s="390" t="str">
        <f t="shared" si="10"/>
        <v>Other</v>
      </c>
      <c r="G761" s="135">
        <v>2.76471081710787E-2</v>
      </c>
      <c r="H761" s="135">
        <v>2.62785744672847E-2</v>
      </c>
      <c r="I761" s="135">
        <v>2.5584710009458798E-2</v>
      </c>
      <c r="J761" s="135">
        <v>2.50025532640499E-2</v>
      </c>
      <c r="K761" s="135">
        <v>2.5344650769859998E-2</v>
      </c>
      <c r="L761" s="135">
        <v>2.6624930448429101E-2</v>
      </c>
      <c r="M761" s="135">
        <v>3.6965692830214697E-2</v>
      </c>
      <c r="N761" s="135">
        <v>4.1650935857578099E-2</v>
      </c>
      <c r="O761" s="135">
        <v>3.9367301375182899E-2</v>
      </c>
      <c r="P761" s="135">
        <v>3.9639629856922598E-2</v>
      </c>
      <c r="Q761" s="135">
        <v>4.1695948106080002E-2</v>
      </c>
      <c r="R761" s="135">
        <v>4.2887060569663502E-2</v>
      </c>
      <c r="S761" s="135">
        <v>4.4997726855643197E-2</v>
      </c>
      <c r="T761" s="135">
        <v>4.6101486388439701E-2</v>
      </c>
      <c r="U761" s="135">
        <v>4.5909271975321402E-2</v>
      </c>
      <c r="V761" s="135">
        <v>4.4657319004925498E-2</v>
      </c>
      <c r="W761" s="135">
        <v>4.4619800546701498E-2</v>
      </c>
      <c r="X761" s="135">
        <v>4.9978881294706803E-2</v>
      </c>
      <c r="Y761" s="135">
        <v>5.6592795244331501E-2</v>
      </c>
      <c r="Z761" s="135">
        <v>6.3854259874512501E-2</v>
      </c>
      <c r="AA761" s="135">
        <v>6.3994189688477796E-2</v>
      </c>
      <c r="AB761" s="135">
        <v>5.4461888869153902E-2</v>
      </c>
      <c r="AC761" s="135">
        <v>4.0694171473124097E-2</v>
      </c>
      <c r="AD761" s="135">
        <v>3.1521698900089899E-2</v>
      </c>
      <c r="AF761" s="243">
        <f t="shared" si="11"/>
        <v>0.3108686134467748</v>
      </c>
      <c r="AG761" s="275">
        <f t="shared" si="12"/>
        <v>0.49194969510462139</v>
      </c>
      <c r="AH761" s="391">
        <f t="shared" si="13"/>
        <v>0.49412289073660953</v>
      </c>
      <c r="AI761" s="135">
        <f t="shared" si="14"/>
        <v>0.98607258584123092</v>
      </c>
    </row>
    <row r="762" spans="1:35" ht="12.6">
      <c r="A762" s="10" t="s">
        <v>63</v>
      </c>
      <c r="B762" s="10">
        <v>31</v>
      </c>
      <c r="C762" s="10" t="s">
        <v>1512</v>
      </c>
      <c r="D762" s="388">
        <v>44957</v>
      </c>
      <c r="E762" s="389">
        <v>44957</v>
      </c>
      <c r="F762" s="390" t="str">
        <f t="shared" si="10"/>
        <v>Other</v>
      </c>
      <c r="G762" s="135">
        <v>2.76471081710787E-2</v>
      </c>
      <c r="H762" s="135">
        <v>2.62785744672847E-2</v>
      </c>
      <c r="I762" s="135">
        <v>2.5584710009458798E-2</v>
      </c>
      <c r="J762" s="135">
        <v>2.50025532640499E-2</v>
      </c>
      <c r="K762" s="135">
        <v>2.5344650769859998E-2</v>
      </c>
      <c r="L762" s="135">
        <v>2.6624930448429101E-2</v>
      </c>
      <c r="M762" s="135">
        <v>3.6965692830214697E-2</v>
      </c>
      <c r="N762" s="135">
        <v>4.1650935857578099E-2</v>
      </c>
      <c r="O762" s="135">
        <v>3.9367301375182899E-2</v>
      </c>
      <c r="P762" s="135">
        <v>3.9639629856922598E-2</v>
      </c>
      <c r="Q762" s="135">
        <v>4.1695948106080002E-2</v>
      </c>
      <c r="R762" s="135">
        <v>4.2887060569663502E-2</v>
      </c>
      <c r="S762" s="135">
        <v>4.4997726855643197E-2</v>
      </c>
      <c r="T762" s="135">
        <v>4.6101486388439701E-2</v>
      </c>
      <c r="U762" s="135">
        <v>4.5909271975321402E-2</v>
      </c>
      <c r="V762" s="135">
        <v>4.4657319004925498E-2</v>
      </c>
      <c r="W762" s="135">
        <v>4.4619800546701498E-2</v>
      </c>
      <c r="X762" s="135">
        <v>4.9978881294706803E-2</v>
      </c>
      <c r="Y762" s="135">
        <v>5.6592795244331501E-2</v>
      </c>
      <c r="Z762" s="135">
        <v>6.3854259874512501E-2</v>
      </c>
      <c r="AA762" s="135">
        <v>6.3994189688477796E-2</v>
      </c>
      <c r="AB762" s="135">
        <v>5.4461888869153902E-2</v>
      </c>
      <c r="AC762" s="135">
        <v>4.0694171473124097E-2</v>
      </c>
      <c r="AD762" s="135">
        <v>3.1521698900089899E-2</v>
      </c>
      <c r="AF762" s="243">
        <f t="shared" si="11"/>
        <v>0.3108686134467748</v>
      </c>
      <c r="AG762" s="275">
        <f t="shared" si="12"/>
        <v>0.49194969510462139</v>
      </c>
      <c r="AH762" s="391">
        <f t="shared" si="13"/>
        <v>0.49412289073660953</v>
      </c>
      <c r="AI762" s="135">
        <f t="shared" si="14"/>
        <v>0.98607258584123092</v>
      </c>
    </row>
    <row r="763" spans="1:35" ht="12.6">
      <c r="A763" s="10" t="s">
        <v>63</v>
      </c>
      <c r="B763" s="10">
        <v>32</v>
      </c>
      <c r="C763" s="10" t="s">
        <v>1512</v>
      </c>
      <c r="D763" s="388">
        <v>44958</v>
      </c>
      <c r="E763" s="389">
        <v>44958</v>
      </c>
      <c r="F763" s="390" t="str">
        <f t="shared" si="10"/>
        <v>Other</v>
      </c>
      <c r="G763" s="135">
        <v>2.76471081710787E-2</v>
      </c>
      <c r="H763" s="135">
        <v>2.62785744672847E-2</v>
      </c>
      <c r="I763" s="135">
        <v>2.5584710009458798E-2</v>
      </c>
      <c r="J763" s="135">
        <v>2.50025532640499E-2</v>
      </c>
      <c r="K763" s="135">
        <v>2.5344650769859998E-2</v>
      </c>
      <c r="L763" s="135">
        <v>2.6624930448429101E-2</v>
      </c>
      <c r="M763" s="135">
        <v>3.6965692830214697E-2</v>
      </c>
      <c r="N763" s="135">
        <v>4.1650935857578099E-2</v>
      </c>
      <c r="O763" s="135">
        <v>3.9367301375182899E-2</v>
      </c>
      <c r="P763" s="135">
        <v>3.9639629856922598E-2</v>
      </c>
      <c r="Q763" s="135">
        <v>4.1695948106080002E-2</v>
      </c>
      <c r="R763" s="135">
        <v>4.2887060569663502E-2</v>
      </c>
      <c r="S763" s="135">
        <v>4.4997726855643197E-2</v>
      </c>
      <c r="T763" s="135">
        <v>4.6101486388439701E-2</v>
      </c>
      <c r="U763" s="135">
        <v>4.5909271975321402E-2</v>
      </c>
      <c r="V763" s="135">
        <v>4.4657319004925498E-2</v>
      </c>
      <c r="W763" s="135">
        <v>4.4619800546701498E-2</v>
      </c>
      <c r="X763" s="135">
        <v>4.9978881294706803E-2</v>
      </c>
      <c r="Y763" s="135">
        <v>5.6592795244331501E-2</v>
      </c>
      <c r="Z763" s="135">
        <v>6.3854259874512501E-2</v>
      </c>
      <c r="AA763" s="135">
        <v>6.3994189688477796E-2</v>
      </c>
      <c r="AB763" s="135">
        <v>5.4461888869153902E-2</v>
      </c>
      <c r="AC763" s="135">
        <v>4.0694171473124097E-2</v>
      </c>
      <c r="AD763" s="135">
        <v>3.1521698900089899E-2</v>
      </c>
      <c r="AF763" s="243">
        <f t="shared" si="11"/>
        <v>0.3108686134467748</v>
      </c>
      <c r="AG763" s="275">
        <f t="shared" si="12"/>
        <v>0.49194969510462139</v>
      </c>
      <c r="AH763" s="391">
        <f t="shared" si="13"/>
        <v>0.49412289073660953</v>
      </c>
      <c r="AI763" s="135">
        <f t="shared" si="14"/>
        <v>0.98607258584123092</v>
      </c>
    </row>
    <row r="764" spans="1:35" ht="12.6">
      <c r="A764" s="10" t="s">
        <v>63</v>
      </c>
      <c r="B764" s="10">
        <v>33</v>
      </c>
      <c r="C764" s="10" t="s">
        <v>1512</v>
      </c>
      <c r="D764" s="388">
        <v>44959</v>
      </c>
      <c r="E764" s="389">
        <v>44959</v>
      </c>
      <c r="F764" s="390" t="str">
        <f t="shared" si="10"/>
        <v>Other</v>
      </c>
      <c r="G764" s="135">
        <v>2.76471081710787E-2</v>
      </c>
      <c r="H764" s="135">
        <v>2.62785744672847E-2</v>
      </c>
      <c r="I764" s="135">
        <v>2.5584710009458798E-2</v>
      </c>
      <c r="J764" s="135">
        <v>2.50025532640499E-2</v>
      </c>
      <c r="K764" s="135">
        <v>2.5344650769859998E-2</v>
      </c>
      <c r="L764" s="135">
        <v>2.6624930448429101E-2</v>
      </c>
      <c r="M764" s="135">
        <v>3.6965692830214697E-2</v>
      </c>
      <c r="N764" s="135">
        <v>4.1650935857578099E-2</v>
      </c>
      <c r="O764" s="135">
        <v>3.9367301375182899E-2</v>
      </c>
      <c r="P764" s="135">
        <v>3.9639629856922598E-2</v>
      </c>
      <c r="Q764" s="135">
        <v>4.1695948106080002E-2</v>
      </c>
      <c r="R764" s="135">
        <v>4.2887060569663502E-2</v>
      </c>
      <c r="S764" s="135">
        <v>4.4997726855643197E-2</v>
      </c>
      <c r="T764" s="135">
        <v>4.6101486388439701E-2</v>
      </c>
      <c r="U764" s="135">
        <v>4.5909271975321402E-2</v>
      </c>
      <c r="V764" s="135">
        <v>4.4657319004925498E-2</v>
      </c>
      <c r="W764" s="135">
        <v>4.4619800546701498E-2</v>
      </c>
      <c r="X764" s="135">
        <v>4.9978881294706803E-2</v>
      </c>
      <c r="Y764" s="135">
        <v>5.6592795244331501E-2</v>
      </c>
      <c r="Z764" s="135">
        <v>6.3854259874512501E-2</v>
      </c>
      <c r="AA764" s="135">
        <v>6.3994189688477796E-2</v>
      </c>
      <c r="AB764" s="135">
        <v>5.4461888869153902E-2</v>
      </c>
      <c r="AC764" s="135">
        <v>4.0694171473124097E-2</v>
      </c>
      <c r="AD764" s="135">
        <v>3.1521698900089899E-2</v>
      </c>
      <c r="AF764" s="243">
        <f t="shared" si="11"/>
        <v>0.3108686134467748</v>
      </c>
      <c r="AG764" s="275">
        <f t="shared" si="12"/>
        <v>0.49194969510462139</v>
      </c>
      <c r="AH764" s="391">
        <f t="shared" si="13"/>
        <v>0.49412289073660953</v>
      </c>
      <c r="AI764" s="135">
        <f t="shared" si="14"/>
        <v>0.98607258584123092</v>
      </c>
    </row>
    <row r="765" spans="1:35" ht="12.6">
      <c r="A765" s="10" t="s">
        <v>63</v>
      </c>
      <c r="B765" s="10">
        <v>34</v>
      </c>
      <c r="C765" s="10" t="s">
        <v>1512</v>
      </c>
      <c r="D765" s="388">
        <v>44960</v>
      </c>
      <c r="E765" s="389">
        <v>44960</v>
      </c>
      <c r="F765" s="390" t="str">
        <f t="shared" si="10"/>
        <v>Other</v>
      </c>
      <c r="G765" s="135">
        <v>2.76471081710787E-2</v>
      </c>
      <c r="H765" s="135">
        <v>2.62785744672847E-2</v>
      </c>
      <c r="I765" s="135">
        <v>2.5584710009458798E-2</v>
      </c>
      <c r="J765" s="135">
        <v>2.50025532640499E-2</v>
      </c>
      <c r="K765" s="135">
        <v>2.5344650769859998E-2</v>
      </c>
      <c r="L765" s="135">
        <v>2.6624930448429101E-2</v>
      </c>
      <c r="M765" s="135">
        <v>3.6965692830214697E-2</v>
      </c>
      <c r="N765" s="135">
        <v>4.1650935857578099E-2</v>
      </c>
      <c r="O765" s="135">
        <v>3.9367301375182899E-2</v>
      </c>
      <c r="P765" s="135">
        <v>3.9639629856922598E-2</v>
      </c>
      <c r="Q765" s="135">
        <v>4.1695948106080002E-2</v>
      </c>
      <c r="R765" s="135">
        <v>4.2887060569663502E-2</v>
      </c>
      <c r="S765" s="135">
        <v>4.4997726855643197E-2</v>
      </c>
      <c r="T765" s="135">
        <v>4.6101486388439701E-2</v>
      </c>
      <c r="U765" s="135">
        <v>4.5909271975321402E-2</v>
      </c>
      <c r="V765" s="135">
        <v>4.4657319004925498E-2</v>
      </c>
      <c r="W765" s="135">
        <v>4.4619800546701498E-2</v>
      </c>
      <c r="X765" s="135">
        <v>4.9978881294706803E-2</v>
      </c>
      <c r="Y765" s="135">
        <v>5.6592795244331501E-2</v>
      </c>
      <c r="Z765" s="135">
        <v>6.3854259874512501E-2</v>
      </c>
      <c r="AA765" s="135">
        <v>6.3994189688477796E-2</v>
      </c>
      <c r="AB765" s="135">
        <v>5.4461888869153902E-2</v>
      </c>
      <c r="AC765" s="135">
        <v>4.0694171473124097E-2</v>
      </c>
      <c r="AD765" s="135">
        <v>3.1521698900089899E-2</v>
      </c>
      <c r="AF765" s="243">
        <f t="shared" si="11"/>
        <v>0.3108686134467748</v>
      </c>
      <c r="AG765" s="275">
        <f t="shared" si="12"/>
        <v>0.49194969510462139</v>
      </c>
      <c r="AH765" s="391">
        <f t="shared" si="13"/>
        <v>0.49412289073660953</v>
      </c>
      <c r="AI765" s="135">
        <f t="shared" si="14"/>
        <v>0.98607258584123092</v>
      </c>
    </row>
    <row r="766" spans="1:35" ht="12.6">
      <c r="A766" s="10" t="s">
        <v>63</v>
      </c>
      <c r="B766" s="10">
        <v>35</v>
      </c>
      <c r="C766" s="10" t="s">
        <v>1512</v>
      </c>
      <c r="D766" s="388">
        <v>44961</v>
      </c>
      <c r="E766" s="389">
        <v>44961</v>
      </c>
      <c r="F766" s="390" t="str">
        <f t="shared" ref="F766:F1020" si="15">A766</f>
        <v>Other</v>
      </c>
      <c r="G766" s="135">
        <v>3.02249236828823E-2</v>
      </c>
      <c r="H766" s="135">
        <v>2.65288462772971E-2</v>
      </c>
      <c r="I766" s="135">
        <v>2.5145917074864601E-2</v>
      </c>
      <c r="J766" s="135">
        <v>2.4408777352441499E-2</v>
      </c>
      <c r="K766" s="135">
        <v>2.4842477171432301E-2</v>
      </c>
      <c r="L766" s="135">
        <v>2.5530836650180001E-2</v>
      </c>
      <c r="M766" s="135">
        <v>3.1791489082233497E-2</v>
      </c>
      <c r="N766" s="135">
        <v>4.0981642760216798E-2</v>
      </c>
      <c r="O766" s="135">
        <v>3.9671341845700203E-2</v>
      </c>
      <c r="P766" s="135">
        <v>4.2385623903080698E-2</v>
      </c>
      <c r="Q766" s="135">
        <v>4.6226801762819E-2</v>
      </c>
      <c r="R766" s="135">
        <v>4.8969350413243802E-2</v>
      </c>
      <c r="S766" s="135">
        <v>4.8684292656016502E-2</v>
      </c>
      <c r="T766" s="135">
        <v>5.10937011472168E-2</v>
      </c>
      <c r="U766" s="135">
        <v>5.2849881605689097E-2</v>
      </c>
      <c r="V766" s="135">
        <v>5.2864630338031598E-2</v>
      </c>
      <c r="W766" s="135">
        <v>5.2114686921837301E-2</v>
      </c>
      <c r="X766" s="135">
        <v>5.3932536426095398E-2</v>
      </c>
      <c r="Y766" s="135">
        <v>5.8168722198650699E-2</v>
      </c>
      <c r="Z766" s="135">
        <v>6.2348960693243902E-2</v>
      </c>
      <c r="AA766" s="135">
        <v>6.1459218411883898E-2</v>
      </c>
      <c r="AB766" s="135">
        <v>5.2533760995209601E-2</v>
      </c>
      <c r="AC766" s="135">
        <v>4.0061294496834599E-2</v>
      </c>
      <c r="AD766" s="135">
        <v>3.3219280801326898E-2</v>
      </c>
      <c r="AF766" s="243">
        <f t="shared" si="11"/>
        <v>0.35280334484485409</v>
      </c>
      <c r="AG766" s="275">
        <f t="shared" si="12"/>
        <v>0.51936103525828403</v>
      </c>
      <c r="AH766" s="391">
        <f t="shared" si="13"/>
        <v>0.50667795941014404</v>
      </c>
      <c r="AI766" s="135">
        <f t="shared" si="14"/>
        <v>1.0260389946684281</v>
      </c>
    </row>
    <row r="767" spans="1:35" ht="12.6">
      <c r="A767" s="10" t="s">
        <v>63</v>
      </c>
      <c r="B767" s="10">
        <v>36</v>
      </c>
      <c r="C767" s="10" t="s">
        <v>1512</v>
      </c>
      <c r="D767" s="388">
        <v>44962</v>
      </c>
      <c r="E767" s="389">
        <v>44962</v>
      </c>
      <c r="F767" s="390" t="str">
        <f t="shared" si="15"/>
        <v>Other</v>
      </c>
      <c r="G767" s="135">
        <v>3.02249236828823E-2</v>
      </c>
      <c r="H767" s="135">
        <v>2.65288462772971E-2</v>
      </c>
      <c r="I767" s="135">
        <v>2.5145917074864601E-2</v>
      </c>
      <c r="J767" s="135">
        <v>2.4408777352441499E-2</v>
      </c>
      <c r="K767" s="135">
        <v>2.4842477171432301E-2</v>
      </c>
      <c r="L767" s="135">
        <v>2.5530836650180001E-2</v>
      </c>
      <c r="M767" s="135">
        <v>3.1791489082233497E-2</v>
      </c>
      <c r="N767" s="135">
        <v>4.0981642760216798E-2</v>
      </c>
      <c r="O767" s="135">
        <v>3.9671341845700203E-2</v>
      </c>
      <c r="P767" s="135">
        <v>4.2385623903080698E-2</v>
      </c>
      <c r="Q767" s="135">
        <v>4.6226801762819E-2</v>
      </c>
      <c r="R767" s="135">
        <v>4.8969350413243802E-2</v>
      </c>
      <c r="S767" s="135">
        <v>4.8684292656016502E-2</v>
      </c>
      <c r="T767" s="135">
        <v>5.10937011472168E-2</v>
      </c>
      <c r="U767" s="135">
        <v>5.2849881605689097E-2</v>
      </c>
      <c r="V767" s="135">
        <v>5.2864630338031598E-2</v>
      </c>
      <c r="W767" s="135">
        <v>5.2114686921837301E-2</v>
      </c>
      <c r="X767" s="135">
        <v>5.3932536426095398E-2</v>
      </c>
      <c r="Y767" s="135">
        <v>5.8168722198650699E-2</v>
      </c>
      <c r="Z767" s="135">
        <v>6.2348960693243902E-2</v>
      </c>
      <c r="AA767" s="135">
        <v>6.1459218411883898E-2</v>
      </c>
      <c r="AB767" s="135">
        <v>5.2533760995209601E-2</v>
      </c>
      <c r="AC767" s="135">
        <v>4.0061294496834599E-2</v>
      </c>
      <c r="AD767" s="135">
        <v>3.3219280801326898E-2</v>
      </c>
      <c r="AF767" s="243">
        <f t="shared" ref="AF767:AF1021" si="16">SUM(Q767:W767)</f>
        <v>0.35280334484485409</v>
      </c>
      <c r="AG767" s="275">
        <f t="shared" ref="AG767:AG1021" si="17">SUM(G767:AD767)-AH767</f>
        <v>0.51936103525828403</v>
      </c>
      <c r="AH767" s="391">
        <f t="shared" ref="AH767:AH1021" si="18">SUM(N767:R767,X767:AB767)</f>
        <v>0.50667795941014404</v>
      </c>
      <c r="AI767" s="135">
        <f t="shared" ref="AI767:AI1021" si="19">SUM(G767:AD767)</f>
        <v>1.0260389946684281</v>
      </c>
    </row>
    <row r="768" spans="1:35" ht="12.6">
      <c r="A768" s="10" t="s">
        <v>63</v>
      </c>
      <c r="B768" s="10">
        <v>37</v>
      </c>
      <c r="C768" s="10" t="s">
        <v>1512</v>
      </c>
      <c r="D768" s="388">
        <v>44963</v>
      </c>
      <c r="E768" s="389">
        <v>44963</v>
      </c>
      <c r="F768" s="390" t="str">
        <f t="shared" si="15"/>
        <v>Other</v>
      </c>
      <c r="G768" s="135">
        <v>2.76471081710787E-2</v>
      </c>
      <c r="H768" s="135">
        <v>2.62785744672847E-2</v>
      </c>
      <c r="I768" s="135">
        <v>2.5584710009458798E-2</v>
      </c>
      <c r="J768" s="135">
        <v>2.50025532640499E-2</v>
      </c>
      <c r="K768" s="135">
        <v>2.5344650769859998E-2</v>
      </c>
      <c r="L768" s="135">
        <v>2.6624930448429101E-2</v>
      </c>
      <c r="M768" s="135">
        <v>3.6965692830214697E-2</v>
      </c>
      <c r="N768" s="135">
        <v>4.1650935857578099E-2</v>
      </c>
      <c r="O768" s="135">
        <v>3.9367301375182899E-2</v>
      </c>
      <c r="P768" s="135">
        <v>3.9639629856922598E-2</v>
      </c>
      <c r="Q768" s="135">
        <v>4.1695948106080002E-2</v>
      </c>
      <c r="R768" s="135">
        <v>4.2887060569663502E-2</v>
      </c>
      <c r="S768" s="135">
        <v>4.4997726855643197E-2</v>
      </c>
      <c r="T768" s="135">
        <v>4.6101486388439701E-2</v>
      </c>
      <c r="U768" s="135">
        <v>4.5909271975321402E-2</v>
      </c>
      <c r="V768" s="135">
        <v>4.4657319004925498E-2</v>
      </c>
      <c r="W768" s="135">
        <v>4.4619800546701498E-2</v>
      </c>
      <c r="X768" s="135">
        <v>4.9978881294706803E-2</v>
      </c>
      <c r="Y768" s="135">
        <v>5.6592795244331501E-2</v>
      </c>
      <c r="Z768" s="135">
        <v>6.3854259874512501E-2</v>
      </c>
      <c r="AA768" s="135">
        <v>6.3994189688477796E-2</v>
      </c>
      <c r="AB768" s="135">
        <v>5.4461888869153902E-2</v>
      </c>
      <c r="AC768" s="135">
        <v>4.0694171473124097E-2</v>
      </c>
      <c r="AD768" s="135">
        <v>3.1521698900089899E-2</v>
      </c>
      <c r="AF768" s="243">
        <f t="shared" si="16"/>
        <v>0.3108686134467748</v>
      </c>
      <c r="AG768" s="275">
        <f t="shared" si="17"/>
        <v>0.49194969510462139</v>
      </c>
      <c r="AH768" s="391">
        <f t="shared" si="18"/>
        <v>0.49412289073660953</v>
      </c>
      <c r="AI768" s="135">
        <f t="shared" si="19"/>
        <v>0.98607258584123092</v>
      </c>
    </row>
    <row r="769" spans="1:35" ht="12.6">
      <c r="A769" s="10" t="s">
        <v>63</v>
      </c>
      <c r="B769" s="10">
        <v>38</v>
      </c>
      <c r="C769" s="10" t="s">
        <v>1512</v>
      </c>
      <c r="D769" s="388">
        <v>44964</v>
      </c>
      <c r="E769" s="389">
        <v>44964</v>
      </c>
      <c r="F769" s="390" t="str">
        <f t="shared" si="15"/>
        <v>Other</v>
      </c>
      <c r="G769" s="135">
        <v>2.76471081710787E-2</v>
      </c>
      <c r="H769" s="135">
        <v>2.62785744672847E-2</v>
      </c>
      <c r="I769" s="135">
        <v>2.5584710009458798E-2</v>
      </c>
      <c r="J769" s="135">
        <v>2.50025532640499E-2</v>
      </c>
      <c r="K769" s="135">
        <v>2.5344650769859998E-2</v>
      </c>
      <c r="L769" s="135">
        <v>2.6624930448429101E-2</v>
      </c>
      <c r="M769" s="135">
        <v>3.6965692830214697E-2</v>
      </c>
      <c r="N769" s="135">
        <v>4.1650935857578099E-2</v>
      </c>
      <c r="O769" s="135">
        <v>3.9367301375182899E-2</v>
      </c>
      <c r="P769" s="135">
        <v>3.9639629856922598E-2</v>
      </c>
      <c r="Q769" s="135">
        <v>4.1695948106080002E-2</v>
      </c>
      <c r="R769" s="135">
        <v>4.2887060569663502E-2</v>
      </c>
      <c r="S769" s="135">
        <v>4.4997726855643197E-2</v>
      </c>
      <c r="T769" s="135">
        <v>4.6101486388439701E-2</v>
      </c>
      <c r="U769" s="135">
        <v>4.5909271975321402E-2</v>
      </c>
      <c r="V769" s="135">
        <v>4.4657319004925498E-2</v>
      </c>
      <c r="W769" s="135">
        <v>4.4619800546701498E-2</v>
      </c>
      <c r="X769" s="135">
        <v>4.9978881294706803E-2</v>
      </c>
      <c r="Y769" s="135">
        <v>5.6592795244331501E-2</v>
      </c>
      <c r="Z769" s="135">
        <v>6.3854259874512501E-2</v>
      </c>
      <c r="AA769" s="135">
        <v>6.3994189688477796E-2</v>
      </c>
      <c r="AB769" s="135">
        <v>5.4461888869153902E-2</v>
      </c>
      <c r="AC769" s="135">
        <v>4.0694171473124097E-2</v>
      </c>
      <c r="AD769" s="135">
        <v>3.1521698900089899E-2</v>
      </c>
      <c r="AF769" s="243">
        <f t="shared" si="16"/>
        <v>0.3108686134467748</v>
      </c>
      <c r="AG769" s="275">
        <f t="shared" si="17"/>
        <v>0.49194969510462139</v>
      </c>
      <c r="AH769" s="391">
        <f t="shared" si="18"/>
        <v>0.49412289073660953</v>
      </c>
      <c r="AI769" s="135">
        <f t="shared" si="19"/>
        <v>0.98607258584123092</v>
      </c>
    </row>
    <row r="770" spans="1:35" ht="12.6">
      <c r="A770" s="10" t="s">
        <v>63</v>
      </c>
      <c r="B770" s="10">
        <v>39</v>
      </c>
      <c r="C770" s="10" t="s">
        <v>1512</v>
      </c>
      <c r="D770" s="388">
        <v>44965</v>
      </c>
      <c r="E770" s="389">
        <v>44965</v>
      </c>
      <c r="F770" s="390" t="str">
        <f t="shared" si="15"/>
        <v>Other</v>
      </c>
      <c r="G770" s="135">
        <v>2.76471081710787E-2</v>
      </c>
      <c r="H770" s="135">
        <v>2.62785744672847E-2</v>
      </c>
      <c r="I770" s="135">
        <v>2.5584710009458798E-2</v>
      </c>
      <c r="J770" s="135">
        <v>2.50025532640499E-2</v>
      </c>
      <c r="K770" s="135">
        <v>2.5344650769859998E-2</v>
      </c>
      <c r="L770" s="135">
        <v>2.6624930448429101E-2</v>
      </c>
      <c r="M770" s="135">
        <v>3.6965692830214697E-2</v>
      </c>
      <c r="N770" s="135">
        <v>4.1650935857578099E-2</v>
      </c>
      <c r="O770" s="135">
        <v>3.9367301375182899E-2</v>
      </c>
      <c r="P770" s="135">
        <v>3.9639629856922598E-2</v>
      </c>
      <c r="Q770" s="135">
        <v>4.1695948106080002E-2</v>
      </c>
      <c r="R770" s="135">
        <v>4.2887060569663502E-2</v>
      </c>
      <c r="S770" s="135">
        <v>4.4997726855643197E-2</v>
      </c>
      <c r="T770" s="135">
        <v>4.6101486388439701E-2</v>
      </c>
      <c r="U770" s="135">
        <v>4.5909271975321402E-2</v>
      </c>
      <c r="V770" s="135">
        <v>4.4657319004925498E-2</v>
      </c>
      <c r="W770" s="135">
        <v>4.4619800546701498E-2</v>
      </c>
      <c r="X770" s="135">
        <v>4.9978881294706803E-2</v>
      </c>
      <c r="Y770" s="135">
        <v>5.6592795244331501E-2</v>
      </c>
      <c r="Z770" s="135">
        <v>6.3854259874512501E-2</v>
      </c>
      <c r="AA770" s="135">
        <v>6.3994189688477796E-2</v>
      </c>
      <c r="AB770" s="135">
        <v>5.4461888869153902E-2</v>
      </c>
      <c r="AC770" s="135">
        <v>4.0694171473124097E-2</v>
      </c>
      <c r="AD770" s="135">
        <v>3.1521698900089899E-2</v>
      </c>
      <c r="AF770" s="243">
        <f t="shared" si="16"/>
        <v>0.3108686134467748</v>
      </c>
      <c r="AG770" s="275">
        <f t="shared" si="17"/>
        <v>0.49194969510462139</v>
      </c>
      <c r="AH770" s="391">
        <f t="shared" si="18"/>
        <v>0.49412289073660953</v>
      </c>
      <c r="AI770" s="135">
        <f t="shared" si="19"/>
        <v>0.98607258584123092</v>
      </c>
    </row>
    <row r="771" spans="1:35" ht="12.6">
      <c r="A771" s="10" t="s">
        <v>63</v>
      </c>
      <c r="B771" s="10">
        <v>40</v>
      </c>
      <c r="C771" s="10" t="s">
        <v>1512</v>
      </c>
      <c r="D771" s="388">
        <v>44966</v>
      </c>
      <c r="E771" s="389">
        <v>44966</v>
      </c>
      <c r="F771" s="390" t="str">
        <f t="shared" si="15"/>
        <v>Other</v>
      </c>
      <c r="G771" s="135">
        <v>2.76471081710787E-2</v>
      </c>
      <c r="H771" s="135">
        <v>2.62785744672847E-2</v>
      </c>
      <c r="I771" s="135">
        <v>2.5584710009458798E-2</v>
      </c>
      <c r="J771" s="135">
        <v>2.50025532640499E-2</v>
      </c>
      <c r="K771" s="135">
        <v>2.5344650769859998E-2</v>
      </c>
      <c r="L771" s="135">
        <v>2.6624930448429101E-2</v>
      </c>
      <c r="M771" s="135">
        <v>3.6965692830214697E-2</v>
      </c>
      <c r="N771" s="135">
        <v>4.1650935857578099E-2</v>
      </c>
      <c r="O771" s="135">
        <v>3.9367301375182899E-2</v>
      </c>
      <c r="P771" s="135">
        <v>3.9639629856922598E-2</v>
      </c>
      <c r="Q771" s="135">
        <v>4.1695948106080002E-2</v>
      </c>
      <c r="R771" s="135">
        <v>4.2887060569663502E-2</v>
      </c>
      <c r="S771" s="135">
        <v>4.4997726855643197E-2</v>
      </c>
      <c r="T771" s="135">
        <v>4.6101486388439701E-2</v>
      </c>
      <c r="U771" s="135">
        <v>4.5909271975321402E-2</v>
      </c>
      <c r="V771" s="135">
        <v>4.4657319004925498E-2</v>
      </c>
      <c r="W771" s="135">
        <v>4.4619800546701498E-2</v>
      </c>
      <c r="X771" s="135">
        <v>4.9978881294706803E-2</v>
      </c>
      <c r="Y771" s="135">
        <v>5.6592795244331501E-2</v>
      </c>
      <c r="Z771" s="135">
        <v>6.3854259874512501E-2</v>
      </c>
      <c r="AA771" s="135">
        <v>6.3994189688477796E-2</v>
      </c>
      <c r="AB771" s="135">
        <v>5.4461888869153902E-2</v>
      </c>
      <c r="AC771" s="135">
        <v>4.0694171473124097E-2</v>
      </c>
      <c r="AD771" s="135">
        <v>3.1521698900089899E-2</v>
      </c>
      <c r="AF771" s="243">
        <f t="shared" si="16"/>
        <v>0.3108686134467748</v>
      </c>
      <c r="AG771" s="275">
        <f t="shared" si="17"/>
        <v>0.49194969510462139</v>
      </c>
      <c r="AH771" s="391">
        <f t="shared" si="18"/>
        <v>0.49412289073660953</v>
      </c>
      <c r="AI771" s="135">
        <f t="shared" si="19"/>
        <v>0.98607258584123092</v>
      </c>
    </row>
    <row r="772" spans="1:35" ht="12.6">
      <c r="A772" s="10" t="s">
        <v>63</v>
      </c>
      <c r="B772" s="10">
        <v>41</v>
      </c>
      <c r="C772" s="10" t="s">
        <v>1512</v>
      </c>
      <c r="D772" s="388">
        <v>44967</v>
      </c>
      <c r="E772" s="389">
        <v>44967</v>
      </c>
      <c r="F772" s="390" t="str">
        <f t="shared" si="15"/>
        <v>Other</v>
      </c>
      <c r="G772" s="135">
        <v>2.76471081710787E-2</v>
      </c>
      <c r="H772" s="135">
        <v>2.62785744672847E-2</v>
      </c>
      <c r="I772" s="135">
        <v>2.5584710009458798E-2</v>
      </c>
      <c r="J772" s="135">
        <v>2.50025532640499E-2</v>
      </c>
      <c r="K772" s="135">
        <v>2.5344650769859998E-2</v>
      </c>
      <c r="L772" s="135">
        <v>2.6624930448429101E-2</v>
      </c>
      <c r="M772" s="135">
        <v>3.6965692830214697E-2</v>
      </c>
      <c r="N772" s="135">
        <v>4.1650935857578099E-2</v>
      </c>
      <c r="O772" s="135">
        <v>3.9367301375182899E-2</v>
      </c>
      <c r="P772" s="135">
        <v>3.9639629856922598E-2</v>
      </c>
      <c r="Q772" s="135">
        <v>4.1695948106080002E-2</v>
      </c>
      <c r="R772" s="135">
        <v>4.2887060569663502E-2</v>
      </c>
      <c r="S772" s="135">
        <v>4.4997726855643197E-2</v>
      </c>
      <c r="T772" s="135">
        <v>4.6101486388439701E-2</v>
      </c>
      <c r="U772" s="135">
        <v>4.5909271975321402E-2</v>
      </c>
      <c r="V772" s="135">
        <v>4.4657319004925498E-2</v>
      </c>
      <c r="W772" s="135">
        <v>4.4619800546701498E-2</v>
      </c>
      <c r="X772" s="135">
        <v>4.9978881294706803E-2</v>
      </c>
      <c r="Y772" s="135">
        <v>5.6592795244331501E-2</v>
      </c>
      <c r="Z772" s="135">
        <v>6.3854259874512501E-2</v>
      </c>
      <c r="AA772" s="135">
        <v>6.3994189688477796E-2</v>
      </c>
      <c r="AB772" s="135">
        <v>5.4461888869153902E-2</v>
      </c>
      <c r="AC772" s="135">
        <v>4.0694171473124097E-2</v>
      </c>
      <c r="AD772" s="135">
        <v>3.1521698900089899E-2</v>
      </c>
      <c r="AF772" s="243">
        <f t="shared" si="16"/>
        <v>0.3108686134467748</v>
      </c>
      <c r="AG772" s="275">
        <f t="shared" si="17"/>
        <v>0.49194969510462139</v>
      </c>
      <c r="AH772" s="391">
        <f t="shared" si="18"/>
        <v>0.49412289073660953</v>
      </c>
      <c r="AI772" s="135">
        <f t="shared" si="19"/>
        <v>0.98607258584123092</v>
      </c>
    </row>
    <row r="773" spans="1:35" ht="12.6">
      <c r="A773" s="10" t="s">
        <v>63</v>
      </c>
      <c r="B773" s="10">
        <v>42</v>
      </c>
      <c r="C773" s="10" t="s">
        <v>1512</v>
      </c>
      <c r="D773" s="388">
        <v>44968</v>
      </c>
      <c r="E773" s="389">
        <v>44968</v>
      </c>
      <c r="F773" s="390" t="str">
        <f t="shared" si="15"/>
        <v>Other</v>
      </c>
      <c r="G773" s="135">
        <v>3.02249236828823E-2</v>
      </c>
      <c r="H773" s="135">
        <v>2.65288462772971E-2</v>
      </c>
      <c r="I773" s="135">
        <v>2.5145917074864601E-2</v>
      </c>
      <c r="J773" s="135">
        <v>2.4408777352441499E-2</v>
      </c>
      <c r="K773" s="135">
        <v>2.4842477171432301E-2</v>
      </c>
      <c r="L773" s="135">
        <v>2.5530836650180001E-2</v>
      </c>
      <c r="M773" s="135">
        <v>3.1791489082233497E-2</v>
      </c>
      <c r="N773" s="135">
        <v>4.0981642760216798E-2</v>
      </c>
      <c r="O773" s="135">
        <v>3.9671341845700203E-2</v>
      </c>
      <c r="P773" s="135">
        <v>4.2385623903080698E-2</v>
      </c>
      <c r="Q773" s="135">
        <v>4.6226801762819E-2</v>
      </c>
      <c r="R773" s="135">
        <v>4.8969350413243802E-2</v>
      </c>
      <c r="S773" s="135">
        <v>4.8684292656016502E-2</v>
      </c>
      <c r="T773" s="135">
        <v>5.10937011472168E-2</v>
      </c>
      <c r="U773" s="135">
        <v>5.2849881605689097E-2</v>
      </c>
      <c r="V773" s="135">
        <v>5.2864630338031598E-2</v>
      </c>
      <c r="W773" s="135">
        <v>5.2114686921837301E-2</v>
      </c>
      <c r="X773" s="135">
        <v>5.3932536426095398E-2</v>
      </c>
      <c r="Y773" s="135">
        <v>5.8168722198650699E-2</v>
      </c>
      <c r="Z773" s="135">
        <v>6.2348960693243902E-2</v>
      </c>
      <c r="AA773" s="135">
        <v>6.1459218411883898E-2</v>
      </c>
      <c r="AB773" s="135">
        <v>5.2533760995209601E-2</v>
      </c>
      <c r="AC773" s="135">
        <v>4.0061294496834599E-2</v>
      </c>
      <c r="AD773" s="135">
        <v>3.3219280801326898E-2</v>
      </c>
      <c r="AF773" s="243">
        <f t="shared" si="16"/>
        <v>0.35280334484485409</v>
      </c>
      <c r="AG773" s="275">
        <f t="shared" si="17"/>
        <v>0.51936103525828403</v>
      </c>
      <c r="AH773" s="391">
        <f t="shared" si="18"/>
        <v>0.50667795941014404</v>
      </c>
      <c r="AI773" s="135">
        <f t="shared" si="19"/>
        <v>1.0260389946684281</v>
      </c>
    </row>
    <row r="774" spans="1:35" ht="12.6">
      <c r="A774" s="10" t="s">
        <v>63</v>
      </c>
      <c r="B774" s="10">
        <v>43</v>
      </c>
      <c r="C774" s="10" t="s">
        <v>1512</v>
      </c>
      <c r="D774" s="388">
        <v>44969</v>
      </c>
      <c r="E774" s="389">
        <v>44969</v>
      </c>
      <c r="F774" s="390" t="str">
        <f t="shared" si="15"/>
        <v>Other</v>
      </c>
      <c r="G774" s="135">
        <v>3.02249236828823E-2</v>
      </c>
      <c r="H774" s="135">
        <v>2.65288462772971E-2</v>
      </c>
      <c r="I774" s="135">
        <v>2.5145917074864601E-2</v>
      </c>
      <c r="J774" s="135">
        <v>2.4408777352441499E-2</v>
      </c>
      <c r="K774" s="135">
        <v>2.4842477171432301E-2</v>
      </c>
      <c r="L774" s="135">
        <v>2.5530836650180001E-2</v>
      </c>
      <c r="M774" s="135">
        <v>3.1791489082233497E-2</v>
      </c>
      <c r="N774" s="135">
        <v>4.0981642760216798E-2</v>
      </c>
      <c r="O774" s="135">
        <v>3.9671341845700203E-2</v>
      </c>
      <c r="P774" s="135">
        <v>4.2385623903080698E-2</v>
      </c>
      <c r="Q774" s="135">
        <v>4.6226801762819E-2</v>
      </c>
      <c r="R774" s="135">
        <v>4.8969350413243802E-2</v>
      </c>
      <c r="S774" s="135">
        <v>4.8684292656016502E-2</v>
      </c>
      <c r="T774" s="135">
        <v>5.10937011472168E-2</v>
      </c>
      <c r="U774" s="135">
        <v>5.2849881605689097E-2</v>
      </c>
      <c r="V774" s="135">
        <v>5.2864630338031598E-2</v>
      </c>
      <c r="W774" s="135">
        <v>5.2114686921837301E-2</v>
      </c>
      <c r="X774" s="135">
        <v>5.3932536426095398E-2</v>
      </c>
      <c r="Y774" s="135">
        <v>5.8168722198650699E-2</v>
      </c>
      <c r="Z774" s="135">
        <v>6.2348960693243902E-2</v>
      </c>
      <c r="AA774" s="135">
        <v>6.1459218411883898E-2</v>
      </c>
      <c r="AB774" s="135">
        <v>5.2533760995209601E-2</v>
      </c>
      <c r="AC774" s="135">
        <v>4.0061294496834599E-2</v>
      </c>
      <c r="AD774" s="135">
        <v>3.3219280801326898E-2</v>
      </c>
      <c r="AF774" s="243">
        <f t="shared" si="16"/>
        <v>0.35280334484485409</v>
      </c>
      <c r="AG774" s="275">
        <f t="shared" si="17"/>
        <v>0.51936103525828403</v>
      </c>
      <c r="AH774" s="391">
        <f t="shared" si="18"/>
        <v>0.50667795941014404</v>
      </c>
      <c r="AI774" s="135">
        <f t="shared" si="19"/>
        <v>1.0260389946684281</v>
      </c>
    </row>
    <row r="775" spans="1:35" ht="12.6">
      <c r="A775" s="10" t="s">
        <v>63</v>
      </c>
      <c r="B775" s="10">
        <v>44</v>
      </c>
      <c r="C775" s="10" t="s">
        <v>1512</v>
      </c>
      <c r="D775" s="388">
        <v>44970</v>
      </c>
      <c r="E775" s="389">
        <v>44970</v>
      </c>
      <c r="F775" s="390" t="str">
        <f t="shared" si="15"/>
        <v>Other</v>
      </c>
      <c r="G775" s="135">
        <v>2.76471081710787E-2</v>
      </c>
      <c r="H775" s="135">
        <v>2.62785744672847E-2</v>
      </c>
      <c r="I775" s="135">
        <v>2.5584710009458798E-2</v>
      </c>
      <c r="J775" s="135">
        <v>2.50025532640499E-2</v>
      </c>
      <c r="K775" s="135">
        <v>2.5344650769859998E-2</v>
      </c>
      <c r="L775" s="135">
        <v>2.6624930448429101E-2</v>
      </c>
      <c r="M775" s="135">
        <v>3.6965692830214697E-2</v>
      </c>
      <c r="N775" s="135">
        <v>4.1650935857578099E-2</v>
      </c>
      <c r="O775" s="135">
        <v>3.9367301375182899E-2</v>
      </c>
      <c r="P775" s="135">
        <v>3.9639629856922598E-2</v>
      </c>
      <c r="Q775" s="135">
        <v>4.1695948106080002E-2</v>
      </c>
      <c r="R775" s="135">
        <v>4.2887060569663502E-2</v>
      </c>
      <c r="S775" s="135">
        <v>4.4997726855643197E-2</v>
      </c>
      <c r="T775" s="135">
        <v>4.6101486388439701E-2</v>
      </c>
      <c r="U775" s="135">
        <v>4.5909271975321402E-2</v>
      </c>
      <c r="V775" s="135">
        <v>4.4657319004925498E-2</v>
      </c>
      <c r="W775" s="135">
        <v>4.4619800546701498E-2</v>
      </c>
      <c r="X775" s="135">
        <v>4.9978881294706803E-2</v>
      </c>
      <c r="Y775" s="135">
        <v>5.6592795244331501E-2</v>
      </c>
      <c r="Z775" s="135">
        <v>6.3854259874512501E-2</v>
      </c>
      <c r="AA775" s="135">
        <v>6.3994189688477796E-2</v>
      </c>
      <c r="AB775" s="135">
        <v>5.4461888869153902E-2</v>
      </c>
      <c r="AC775" s="135">
        <v>4.0694171473124097E-2</v>
      </c>
      <c r="AD775" s="135">
        <v>3.1521698900089899E-2</v>
      </c>
      <c r="AF775" s="243">
        <f t="shared" si="16"/>
        <v>0.3108686134467748</v>
      </c>
      <c r="AG775" s="275">
        <f t="shared" si="17"/>
        <v>0.49194969510462139</v>
      </c>
      <c r="AH775" s="391">
        <f t="shared" si="18"/>
        <v>0.49412289073660953</v>
      </c>
      <c r="AI775" s="135">
        <f t="shared" si="19"/>
        <v>0.98607258584123092</v>
      </c>
    </row>
    <row r="776" spans="1:35" ht="12.6">
      <c r="A776" s="10" t="s">
        <v>63</v>
      </c>
      <c r="B776" s="10">
        <v>45</v>
      </c>
      <c r="C776" s="10" t="s">
        <v>1512</v>
      </c>
      <c r="D776" s="388">
        <v>44971</v>
      </c>
      <c r="E776" s="389">
        <v>44971</v>
      </c>
      <c r="F776" s="390" t="str">
        <f t="shared" si="15"/>
        <v>Other</v>
      </c>
      <c r="G776" s="135">
        <v>2.76471081710787E-2</v>
      </c>
      <c r="H776" s="135">
        <v>2.62785744672847E-2</v>
      </c>
      <c r="I776" s="135">
        <v>2.5584710009458798E-2</v>
      </c>
      <c r="J776" s="135">
        <v>2.50025532640499E-2</v>
      </c>
      <c r="K776" s="135">
        <v>2.5344650769859998E-2</v>
      </c>
      <c r="L776" s="135">
        <v>2.6624930448429101E-2</v>
      </c>
      <c r="M776" s="135">
        <v>3.6965692830214697E-2</v>
      </c>
      <c r="N776" s="135">
        <v>4.1650935857578099E-2</v>
      </c>
      <c r="O776" s="135">
        <v>3.9367301375182899E-2</v>
      </c>
      <c r="P776" s="135">
        <v>3.9639629856922598E-2</v>
      </c>
      <c r="Q776" s="135">
        <v>4.1695948106080002E-2</v>
      </c>
      <c r="R776" s="135">
        <v>4.2887060569663502E-2</v>
      </c>
      <c r="S776" s="135">
        <v>4.4997726855643197E-2</v>
      </c>
      <c r="T776" s="135">
        <v>4.6101486388439701E-2</v>
      </c>
      <c r="U776" s="135">
        <v>4.5909271975321402E-2</v>
      </c>
      <c r="V776" s="135">
        <v>4.4657319004925498E-2</v>
      </c>
      <c r="W776" s="135">
        <v>4.4619800546701498E-2</v>
      </c>
      <c r="X776" s="135">
        <v>4.9978881294706803E-2</v>
      </c>
      <c r="Y776" s="135">
        <v>5.6592795244331501E-2</v>
      </c>
      <c r="Z776" s="135">
        <v>6.3854259874512501E-2</v>
      </c>
      <c r="AA776" s="135">
        <v>6.3994189688477796E-2</v>
      </c>
      <c r="AB776" s="135">
        <v>5.4461888869153902E-2</v>
      </c>
      <c r="AC776" s="135">
        <v>4.0694171473124097E-2</v>
      </c>
      <c r="AD776" s="135">
        <v>3.1521698900089899E-2</v>
      </c>
      <c r="AF776" s="243">
        <f t="shared" si="16"/>
        <v>0.3108686134467748</v>
      </c>
      <c r="AG776" s="275">
        <f t="shared" si="17"/>
        <v>0.49194969510462139</v>
      </c>
      <c r="AH776" s="391">
        <f t="shared" si="18"/>
        <v>0.49412289073660953</v>
      </c>
      <c r="AI776" s="135">
        <f t="shared" si="19"/>
        <v>0.98607258584123092</v>
      </c>
    </row>
    <row r="777" spans="1:35" ht="12.6">
      <c r="A777" s="10" t="s">
        <v>63</v>
      </c>
      <c r="B777" s="10">
        <v>46</v>
      </c>
      <c r="C777" s="10" t="s">
        <v>1512</v>
      </c>
      <c r="D777" s="388">
        <v>44972</v>
      </c>
      <c r="E777" s="389">
        <v>44972</v>
      </c>
      <c r="F777" s="390" t="str">
        <f t="shared" si="15"/>
        <v>Other</v>
      </c>
      <c r="G777" s="135">
        <v>2.76471081710787E-2</v>
      </c>
      <c r="H777" s="135">
        <v>2.62785744672847E-2</v>
      </c>
      <c r="I777" s="135">
        <v>2.5584710009458798E-2</v>
      </c>
      <c r="J777" s="135">
        <v>2.50025532640499E-2</v>
      </c>
      <c r="K777" s="135">
        <v>2.5344650769859998E-2</v>
      </c>
      <c r="L777" s="135">
        <v>2.6624930448429101E-2</v>
      </c>
      <c r="M777" s="135">
        <v>3.6965692830214697E-2</v>
      </c>
      <c r="N777" s="135">
        <v>4.1650935857578099E-2</v>
      </c>
      <c r="O777" s="135">
        <v>3.9367301375182899E-2</v>
      </c>
      <c r="P777" s="135">
        <v>3.9639629856922598E-2</v>
      </c>
      <c r="Q777" s="135">
        <v>4.1695948106080002E-2</v>
      </c>
      <c r="R777" s="135">
        <v>4.2887060569663502E-2</v>
      </c>
      <c r="S777" s="135">
        <v>4.4997726855643197E-2</v>
      </c>
      <c r="T777" s="135">
        <v>4.6101486388439701E-2</v>
      </c>
      <c r="U777" s="135">
        <v>4.5909271975321402E-2</v>
      </c>
      <c r="V777" s="135">
        <v>4.4657319004925498E-2</v>
      </c>
      <c r="W777" s="135">
        <v>4.4619800546701498E-2</v>
      </c>
      <c r="X777" s="135">
        <v>4.9978881294706803E-2</v>
      </c>
      <c r="Y777" s="135">
        <v>5.6592795244331501E-2</v>
      </c>
      <c r="Z777" s="135">
        <v>6.3854259874512501E-2</v>
      </c>
      <c r="AA777" s="135">
        <v>6.3994189688477796E-2</v>
      </c>
      <c r="AB777" s="135">
        <v>5.4461888869153902E-2</v>
      </c>
      <c r="AC777" s="135">
        <v>4.0694171473124097E-2</v>
      </c>
      <c r="AD777" s="135">
        <v>3.1521698900089899E-2</v>
      </c>
      <c r="AF777" s="243">
        <f t="shared" si="16"/>
        <v>0.3108686134467748</v>
      </c>
      <c r="AG777" s="275">
        <f t="shared" si="17"/>
        <v>0.49194969510462139</v>
      </c>
      <c r="AH777" s="391">
        <f t="shared" si="18"/>
        <v>0.49412289073660953</v>
      </c>
      <c r="AI777" s="135">
        <f t="shared" si="19"/>
        <v>0.98607258584123092</v>
      </c>
    </row>
    <row r="778" spans="1:35" ht="12.6">
      <c r="A778" s="10" t="s">
        <v>63</v>
      </c>
      <c r="B778" s="10">
        <v>47</v>
      </c>
      <c r="C778" s="10" t="s">
        <v>1512</v>
      </c>
      <c r="D778" s="388">
        <v>44973</v>
      </c>
      <c r="E778" s="389">
        <v>44973</v>
      </c>
      <c r="F778" s="390" t="str">
        <f t="shared" si="15"/>
        <v>Other</v>
      </c>
      <c r="G778" s="135">
        <v>2.76471081710787E-2</v>
      </c>
      <c r="H778" s="135">
        <v>2.62785744672847E-2</v>
      </c>
      <c r="I778" s="135">
        <v>2.5584710009458798E-2</v>
      </c>
      <c r="J778" s="135">
        <v>2.50025532640499E-2</v>
      </c>
      <c r="K778" s="135">
        <v>2.5344650769859998E-2</v>
      </c>
      <c r="L778" s="135">
        <v>2.6624930448429101E-2</v>
      </c>
      <c r="M778" s="135">
        <v>3.6965692830214697E-2</v>
      </c>
      <c r="N778" s="135">
        <v>4.1650935857578099E-2</v>
      </c>
      <c r="O778" s="135">
        <v>3.9367301375182899E-2</v>
      </c>
      <c r="P778" s="135">
        <v>3.9639629856922598E-2</v>
      </c>
      <c r="Q778" s="135">
        <v>4.1695948106080002E-2</v>
      </c>
      <c r="R778" s="135">
        <v>4.2887060569663502E-2</v>
      </c>
      <c r="S778" s="135">
        <v>4.4997726855643197E-2</v>
      </c>
      <c r="T778" s="135">
        <v>4.6101486388439701E-2</v>
      </c>
      <c r="U778" s="135">
        <v>4.5909271975321402E-2</v>
      </c>
      <c r="V778" s="135">
        <v>4.4657319004925498E-2</v>
      </c>
      <c r="W778" s="135">
        <v>4.4619800546701498E-2</v>
      </c>
      <c r="X778" s="135">
        <v>4.9978881294706803E-2</v>
      </c>
      <c r="Y778" s="135">
        <v>5.6592795244331501E-2</v>
      </c>
      <c r="Z778" s="135">
        <v>6.3854259874512501E-2</v>
      </c>
      <c r="AA778" s="135">
        <v>6.3994189688477796E-2</v>
      </c>
      <c r="AB778" s="135">
        <v>5.4461888869153902E-2</v>
      </c>
      <c r="AC778" s="135">
        <v>4.0694171473124097E-2</v>
      </c>
      <c r="AD778" s="135">
        <v>3.1521698900089899E-2</v>
      </c>
      <c r="AF778" s="243">
        <f t="shared" si="16"/>
        <v>0.3108686134467748</v>
      </c>
      <c r="AG778" s="275">
        <f t="shared" si="17"/>
        <v>0.49194969510462139</v>
      </c>
      <c r="AH778" s="391">
        <f t="shared" si="18"/>
        <v>0.49412289073660953</v>
      </c>
      <c r="AI778" s="135">
        <f t="shared" si="19"/>
        <v>0.98607258584123092</v>
      </c>
    </row>
    <row r="779" spans="1:35" ht="12.6">
      <c r="A779" s="10" t="s">
        <v>63</v>
      </c>
      <c r="B779" s="10">
        <v>48</v>
      </c>
      <c r="C779" s="10" t="s">
        <v>1512</v>
      </c>
      <c r="D779" s="388">
        <v>44974</v>
      </c>
      <c r="E779" s="389">
        <v>44974</v>
      </c>
      <c r="F779" s="390" t="str">
        <f t="shared" si="15"/>
        <v>Other</v>
      </c>
      <c r="G779" s="135">
        <v>2.76471081710787E-2</v>
      </c>
      <c r="H779" s="135">
        <v>2.62785744672847E-2</v>
      </c>
      <c r="I779" s="135">
        <v>2.5584710009458798E-2</v>
      </c>
      <c r="J779" s="135">
        <v>2.50025532640499E-2</v>
      </c>
      <c r="K779" s="135">
        <v>2.5344650769859998E-2</v>
      </c>
      <c r="L779" s="135">
        <v>2.6624930448429101E-2</v>
      </c>
      <c r="M779" s="135">
        <v>3.6965692830214697E-2</v>
      </c>
      <c r="N779" s="135">
        <v>4.1650935857578099E-2</v>
      </c>
      <c r="O779" s="135">
        <v>3.9367301375182899E-2</v>
      </c>
      <c r="P779" s="135">
        <v>3.9639629856922598E-2</v>
      </c>
      <c r="Q779" s="135">
        <v>4.1695948106080002E-2</v>
      </c>
      <c r="R779" s="135">
        <v>4.2887060569663502E-2</v>
      </c>
      <c r="S779" s="135">
        <v>4.4997726855643197E-2</v>
      </c>
      <c r="T779" s="135">
        <v>4.6101486388439701E-2</v>
      </c>
      <c r="U779" s="135">
        <v>4.5909271975321402E-2</v>
      </c>
      <c r="V779" s="135">
        <v>4.4657319004925498E-2</v>
      </c>
      <c r="W779" s="135">
        <v>4.4619800546701498E-2</v>
      </c>
      <c r="X779" s="135">
        <v>4.9978881294706803E-2</v>
      </c>
      <c r="Y779" s="135">
        <v>5.6592795244331501E-2</v>
      </c>
      <c r="Z779" s="135">
        <v>6.3854259874512501E-2</v>
      </c>
      <c r="AA779" s="135">
        <v>6.3994189688477796E-2</v>
      </c>
      <c r="AB779" s="135">
        <v>5.4461888869153902E-2</v>
      </c>
      <c r="AC779" s="135">
        <v>4.0694171473124097E-2</v>
      </c>
      <c r="AD779" s="135">
        <v>3.1521698900089899E-2</v>
      </c>
      <c r="AF779" s="243">
        <f t="shared" si="16"/>
        <v>0.3108686134467748</v>
      </c>
      <c r="AG779" s="275">
        <f t="shared" si="17"/>
        <v>0.49194969510462139</v>
      </c>
      <c r="AH779" s="391">
        <f t="shared" si="18"/>
        <v>0.49412289073660953</v>
      </c>
      <c r="AI779" s="135">
        <f t="shared" si="19"/>
        <v>0.98607258584123092</v>
      </c>
    </row>
    <row r="780" spans="1:35" ht="12.6">
      <c r="A780" s="10" t="s">
        <v>63</v>
      </c>
      <c r="B780" s="10">
        <v>49</v>
      </c>
      <c r="C780" s="10" t="s">
        <v>1512</v>
      </c>
      <c r="D780" s="388">
        <v>44975</v>
      </c>
      <c r="E780" s="389">
        <v>44975</v>
      </c>
      <c r="F780" s="390" t="str">
        <f t="shared" si="15"/>
        <v>Other</v>
      </c>
      <c r="G780" s="135">
        <v>3.02249236828823E-2</v>
      </c>
      <c r="H780" s="135">
        <v>2.65288462772971E-2</v>
      </c>
      <c r="I780" s="135">
        <v>2.5145917074864601E-2</v>
      </c>
      <c r="J780" s="135">
        <v>2.4408777352441499E-2</v>
      </c>
      <c r="K780" s="135">
        <v>2.4842477171432301E-2</v>
      </c>
      <c r="L780" s="135">
        <v>2.5530836650180001E-2</v>
      </c>
      <c r="M780" s="135">
        <v>3.1791489082233497E-2</v>
      </c>
      <c r="N780" s="135">
        <v>4.0981642760216798E-2</v>
      </c>
      <c r="O780" s="135">
        <v>3.9671341845700203E-2</v>
      </c>
      <c r="P780" s="135">
        <v>4.2385623903080698E-2</v>
      </c>
      <c r="Q780" s="135">
        <v>4.6226801762819E-2</v>
      </c>
      <c r="R780" s="135">
        <v>4.8969350413243802E-2</v>
      </c>
      <c r="S780" s="135">
        <v>4.8684292656016502E-2</v>
      </c>
      <c r="T780" s="135">
        <v>5.10937011472168E-2</v>
      </c>
      <c r="U780" s="135">
        <v>5.2849881605689097E-2</v>
      </c>
      <c r="V780" s="135">
        <v>5.2864630338031598E-2</v>
      </c>
      <c r="W780" s="135">
        <v>5.2114686921837301E-2</v>
      </c>
      <c r="X780" s="135">
        <v>5.3932536426095398E-2</v>
      </c>
      <c r="Y780" s="135">
        <v>5.8168722198650699E-2</v>
      </c>
      <c r="Z780" s="135">
        <v>6.2348960693243902E-2</v>
      </c>
      <c r="AA780" s="135">
        <v>6.1459218411883898E-2</v>
      </c>
      <c r="AB780" s="135">
        <v>5.2533760995209601E-2</v>
      </c>
      <c r="AC780" s="135">
        <v>4.0061294496834599E-2</v>
      </c>
      <c r="AD780" s="135">
        <v>3.3219280801326898E-2</v>
      </c>
      <c r="AF780" s="243">
        <f t="shared" si="16"/>
        <v>0.35280334484485409</v>
      </c>
      <c r="AG780" s="275">
        <f t="shared" si="17"/>
        <v>0.51936103525828403</v>
      </c>
      <c r="AH780" s="391">
        <f t="shared" si="18"/>
        <v>0.50667795941014404</v>
      </c>
      <c r="AI780" s="135">
        <f t="shared" si="19"/>
        <v>1.0260389946684281</v>
      </c>
    </row>
    <row r="781" spans="1:35" ht="12.6">
      <c r="A781" s="10" t="s">
        <v>63</v>
      </c>
      <c r="B781" s="10">
        <v>50</v>
      </c>
      <c r="C781" s="10" t="s">
        <v>1512</v>
      </c>
      <c r="D781" s="388">
        <v>44976</v>
      </c>
      <c r="E781" s="389">
        <v>44976</v>
      </c>
      <c r="F781" s="390" t="str">
        <f t="shared" si="15"/>
        <v>Other</v>
      </c>
      <c r="G781" s="135">
        <v>3.02249236828823E-2</v>
      </c>
      <c r="H781" s="135">
        <v>2.65288462772971E-2</v>
      </c>
      <c r="I781" s="135">
        <v>2.5145917074864601E-2</v>
      </c>
      <c r="J781" s="135">
        <v>2.4408777352441499E-2</v>
      </c>
      <c r="K781" s="135">
        <v>2.4842477171432301E-2</v>
      </c>
      <c r="L781" s="135">
        <v>2.5530836650180001E-2</v>
      </c>
      <c r="M781" s="135">
        <v>3.1791489082233497E-2</v>
      </c>
      <c r="N781" s="135">
        <v>4.0981642760216798E-2</v>
      </c>
      <c r="O781" s="135">
        <v>3.9671341845700203E-2</v>
      </c>
      <c r="P781" s="135">
        <v>4.2385623903080698E-2</v>
      </c>
      <c r="Q781" s="135">
        <v>4.6226801762819E-2</v>
      </c>
      <c r="R781" s="135">
        <v>4.8969350413243802E-2</v>
      </c>
      <c r="S781" s="135">
        <v>4.8684292656016502E-2</v>
      </c>
      <c r="T781" s="135">
        <v>5.10937011472168E-2</v>
      </c>
      <c r="U781" s="135">
        <v>5.2849881605689097E-2</v>
      </c>
      <c r="V781" s="135">
        <v>5.2864630338031598E-2</v>
      </c>
      <c r="W781" s="135">
        <v>5.2114686921837301E-2</v>
      </c>
      <c r="X781" s="135">
        <v>5.3932536426095398E-2</v>
      </c>
      <c r="Y781" s="135">
        <v>5.8168722198650699E-2</v>
      </c>
      <c r="Z781" s="135">
        <v>6.2348960693243902E-2</v>
      </c>
      <c r="AA781" s="135">
        <v>6.1459218411883898E-2</v>
      </c>
      <c r="AB781" s="135">
        <v>5.2533760995209601E-2</v>
      </c>
      <c r="AC781" s="135">
        <v>4.0061294496834599E-2</v>
      </c>
      <c r="AD781" s="135">
        <v>3.3219280801326898E-2</v>
      </c>
      <c r="AF781" s="243">
        <f t="shared" si="16"/>
        <v>0.35280334484485409</v>
      </c>
      <c r="AG781" s="275">
        <f t="shared" si="17"/>
        <v>0.51936103525828403</v>
      </c>
      <c r="AH781" s="391">
        <f t="shared" si="18"/>
        <v>0.50667795941014404</v>
      </c>
      <c r="AI781" s="135">
        <f t="shared" si="19"/>
        <v>1.0260389946684281</v>
      </c>
    </row>
    <row r="782" spans="1:35" ht="12.6">
      <c r="A782" s="10" t="s">
        <v>63</v>
      </c>
      <c r="B782" s="10">
        <v>51</v>
      </c>
      <c r="C782" s="10" t="s">
        <v>1512</v>
      </c>
      <c r="D782" s="388">
        <v>44977</v>
      </c>
      <c r="E782" s="389">
        <v>44977</v>
      </c>
      <c r="F782" s="390" t="str">
        <f t="shared" si="15"/>
        <v>Other</v>
      </c>
      <c r="G782" s="135">
        <v>2.76471081710787E-2</v>
      </c>
      <c r="H782" s="135">
        <v>2.62785744672847E-2</v>
      </c>
      <c r="I782" s="135">
        <v>2.5584710009458798E-2</v>
      </c>
      <c r="J782" s="135">
        <v>2.50025532640499E-2</v>
      </c>
      <c r="K782" s="135">
        <v>2.5344650769859998E-2</v>
      </c>
      <c r="L782" s="135">
        <v>2.6624930448429101E-2</v>
      </c>
      <c r="M782" s="135">
        <v>3.6965692830214697E-2</v>
      </c>
      <c r="N782" s="135">
        <v>4.1650935857578099E-2</v>
      </c>
      <c r="O782" s="135">
        <v>3.9367301375182899E-2</v>
      </c>
      <c r="P782" s="135">
        <v>3.9639629856922598E-2</v>
      </c>
      <c r="Q782" s="135">
        <v>4.1695948106080002E-2</v>
      </c>
      <c r="R782" s="135">
        <v>4.2887060569663502E-2</v>
      </c>
      <c r="S782" s="135">
        <v>4.4997726855643197E-2</v>
      </c>
      <c r="T782" s="135">
        <v>4.6101486388439701E-2</v>
      </c>
      <c r="U782" s="135">
        <v>4.5909271975321402E-2</v>
      </c>
      <c r="V782" s="135">
        <v>4.4657319004925498E-2</v>
      </c>
      <c r="W782" s="135">
        <v>4.4619800546701498E-2</v>
      </c>
      <c r="X782" s="135">
        <v>4.9978881294706803E-2</v>
      </c>
      <c r="Y782" s="135">
        <v>5.6592795244331501E-2</v>
      </c>
      <c r="Z782" s="135">
        <v>6.3854259874512501E-2</v>
      </c>
      <c r="AA782" s="135">
        <v>6.3994189688477796E-2</v>
      </c>
      <c r="AB782" s="135">
        <v>5.4461888869153902E-2</v>
      </c>
      <c r="AC782" s="135">
        <v>4.0694171473124097E-2</v>
      </c>
      <c r="AD782" s="135">
        <v>3.1521698900089899E-2</v>
      </c>
      <c r="AF782" s="243">
        <f t="shared" si="16"/>
        <v>0.3108686134467748</v>
      </c>
      <c r="AG782" s="275">
        <f t="shared" si="17"/>
        <v>0.49194969510462139</v>
      </c>
      <c r="AH782" s="391">
        <f t="shared" si="18"/>
        <v>0.49412289073660953</v>
      </c>
      <c r="AI782" s="135">
        <f t="shared" si="19"/>
        <v>0.98607258584123092</v>
      </c>
    </row>
    <row r="783" spans="1:35" ht="12.6">
      <c r="A783" s="10" t="s">
        <v>63</v>
      </c>
      <c r="B783" s="10">
        <v>52</v>
      </c>
      <c r="C783" s="10" t="s">
        <v>1512</v>
      </c>
      <c r="D783" s="388">
        <v>44978</v>
      </c>
      <c r="E783" s="389">
        <v>44978</v>
      </c>
      <c r="F783" s="390" t="str">
        <f t="shared" si="15"/>
        <v>Other</v>
      </c>
      <c r="G783" s="135">
        <v>2.76471081710787E-2</v>
      </c>
      <c r="H783" s="135">
        <v>2.62785744672847E-2</v>
      </c>
      <c r="I783" s="135">
        <v>2.5584710009458798E-2</v>
      </c>
      <c r="J783" s="135">
        <v>2.50025532640499E-2</v>
      </c>
      <c r="K783" s="135">
        <v>2.5344650769859998E-2</v>
      </c>
      <c r="L783" s="135">
        <v>2.6624930448429101E-2</v>
      </c>
      <c r="M783" s="135">
        <v>3.6965692830214697E-2</v>
      </c>
      <c r="N783" s="135">
        <v>4.1650935857578099E-2</v>
      </c>
      <c r="O783" s="135">
        <v>3.9367301375182899E-2</v>
      </c>
      <c r="P783" s="135">
        <v>3.9639629856922598E-2</v>
      </c>
      <c r="Q783" s="135">
        <v>4.1695948106080002E-2</v>
      </c>
      <c r="R783" s="135">
        <v>4.2887060569663502E-2</v>
      </c>
      <c r="S783" s="135">
        <v>4.4997726855643197E-2</v>
      </c>
      <c r="T783" s="135">
        <v>4.6101486388439701E-2</v>
      </c>
      <c r="U783" s="135">
        <v>4.5909271975321402E-2</v>
      </c>
      <c r="V783" s="135">
        <v>4.4657319004925498E-2</v>
      </c>
      <c r="W783" s="135">
        <v>4.4619800546701498E-2</v>
      </c>
      <c r="X783" s="135">
        <v>4.9978881294706803E-2</v>
      </c>
      <c r="Y783" s="135">
        <v>5.6592795244331501E-2</v>
      </c>
      <c r="Z783" s="135">
        <v>6.3854259874512501E-2</v>
      </c>
      <c r="AA783" s="135">
        <v>6.3994189688477796E-2</v>
      </c>
      <c r="AB783" s="135">
        <v>5.4461888869153902E-2</v>
      </c>
      <c r="AC783" s="135">
        <v>4.0694171473124097E-2</v>
      </c>
      <c r="AD783" s="135">
        <v>3.1521698900089899E-2</v>
      </c>
      <c r="AF783" s="243">
        <f t="shared" si="16"/>
        <v>0.3108686134467748</v>
      </c>
      <c r="AG783" s="275">
        <f t="shared" si="17"/>
        <v>0.49194969510462139</v>
      </c>
      <c r="AH783" s="391">
        <f t="shared" si="18"/>
        <v>0.49412289073660953</v>
      </c>
      <c r="AI783" s="135">
        <f t="shared" si="19"/>
        <v>0.98607258584123092</v>
      </c>
    </row>
    <row r="784" spans="1:35" ht="12.6">
      <c r="A784" s="10" t="s">
        <v>63</v>
      </c>
      <c r="B784" s="10">
        <v>53</v>
      </c>
      <c r="C784" s="10" t="s">
        <v>1512</v>
      </c>
      <c r="D784" s="388">
        <v>44979</v>
      </c>
      <c r="E784" s="389">
        <v>44979</v>
      </c>
      <c r="F784" s="390" t="str">
        <f t="shared" si="15"/>
        <v>Other</v>
      </c>
      <c r="G784" s="135">
        <v>2.76471081710787E-2</v>
      </c>
      <c r="H784" s="135">
        <v>2.62785744672847E-2</v>
      </c>
      <c r="I784" s="135">
        <v>2.5584710009458798E-2</v>
      </c>
      <c r="J784" s="135">
        <v>2.50025532640499E-2</v>
      </c>
      <c r="K784" s="135">
        <v>2.5344650769859998E-2</v>
      </c>
      <c r="L784" s="135">
        <v>2.6624930448429101E-2</v>
      </c>
      <c r="M784" s="135">
        <v>3.6965692830214697E-2</v>
      </c>
      <c r="N784" s="135">
        <v>4.1650935857578099E-2</v>
      </c>
      <c r="O784" s="135">
        <v>3.9367301375182899E-2</v>
      </c>
      <c r="P784" s="135">
        <v>3.9639629856922598E-2</v>
      </c>
      <c r="Q784" s="135">
        <v>4.1695948106080002E-2</v>
      </c>
      <c r="R784" s="135">
        <v>4.2887060569663502E-2</v>
      </c>
      <c r="S784" s="135">
        <v>4.4997726855643197E-2</v>
      </c>
      <c r="T784" s="135">
        <v>4.6101486388439701E-2</v>
      </c>
      <c r="U784" s="135">
        <v>4.5909271975321402E-2</v>
      </c>
      <c r="V784" s="135">
        <v>4.4657319004925498E-2</v>
      </c>
      <c r="W784" s="135">
        <v>4.4619800546701498E-2</v>
      </c>
      <c r="X784" s="135">
        <v>4.9978881294706803E-2</v>
      </c>
      <c r="Y784" s="135">
        <v>5.6592795244331501E-2</v>
      </c>
      <c r="Z784" s="135">
        <v>6.3854259874512501E-2</v>
      </c>
      <c r="AA784" s="135">
        <v>6.3994189688477796E-2</v>
      </c>
      <c r="AB784" s="135">
        <v>5.4461888869153902E-2</v>
      </c>
      <c r="AC784" s="135">
        <v>4.0694171473124097E-2</v>
      </c>
      <c r="AD784" s="135">
        <v>3.1521698900089899E-2</v>
      </c>
      <c r="AF784" s="243">
        <f t="shared" si="16"/>
        <v>0.3108686134467748</v>
      </c>
      <c r="AG784" s="275">
        <f t="shared" si="17"/>
        <v>0.49194969510462139</v>
      </c>
      <c r="AH784" s="391">
        <f t="shared" si="18"/>
        <v>0.49412289073660953</v>
      </c>
      <c r="AI784" s="135">
        <f t="shared" si="19"/>
        <v>0.98607258584123092</v>
      </c>
    </row>
    <row r="785" spans="1:35" ht="12.6">
      <c r="A785" s="10" t="s">
        <v>63</v>
      </c>
      <c r="B785" s="10">
        <v>54</v>
      </c>
      <c r="C785" s="10" t="s">
        <v>1512</v>
      </c>
      <c r="D785" s="388">
        <v>44980</v>
      </c>
      <c r="E785" s="389">
        <v>44980</v>
      </c>
      <c r="F785" s="390" t="str">
        <f t="shared" si="15"/>
        <v>Other</v>
      </c>
      <c r="G785" s="135">
        <v>2.76471081710787E-2</v>
      </c>
      <c r="H785" s="135">
        <v>2.62785744672847E-2</v>
      </c>
      <c r="I785" s="135">
        <v>2.5584710009458798E-2</v>
      </c>
      <c r="J785" s="135">
        <v>2.50025532640499E-2</v>
      </c>
      <c r="K785" s="135">
        <v>2.5344650769859998E-2</v>
      </c>
      <c r="L785" s="135">
        <v>2.6624930448429101E-2</v>
      </c>
      <c r="M785" s="135">
        <v>3.6965692830214697E-2</v>
      </c>
      <c r="N785" s="135">
        <v>4.1650935857578099E-2</v>
      </c>
      <c r="O785" s="135">
        <v>3.9367301375182899E-2</v>
      </c>
      <c r="P785" s="135">
        <v>3.9639629856922598E-2</v>
      </c>
      <c r="Q785" s="135">
        <v>4.1695948106080002E-2</v>
      </c>
      <c r="R785" s="135">
        <v>4.2887060569663502E-2</v>
      </c>
      <c r="S785" s="135">
        <v>4.4997726855643197E-2</v>
      </c>
      <c r="T785" s="135">
        <v>4.6101486388439701E-2</v>
      </c>
      <c r="U785" s="135">
        <v>4.5909271975321402E-2</v>
      </c>
      <c r="V785" s="135">
        <v>4.4657319004925498E-2</v>
      </c>
      <c r="W785" s="135">
        <v>4.4619800546701498E-2</v>
      </c>
      <c r="X785" s="135">
        <v>4.9978881294706803E-2</v>
      </c>
      <c r="Y785" s="135">
        <v>5.6592795244331501E-2</v>
      </c>
      <c r="Z785" s="135">
        <v>6.3854259874512501E-2</v>
      </c>
      <c r="AA785" s="135">
        <v>6.3994189688477796E-2</v>
      </c>
      <c r="AB785" s="135">
        <v>5.4461888869153902E-2</v>
      </c>
      <c r="AC785" s="135">
        <v>4.0694171473124097E-2</v>
      </c>
      <c r="AD785" s="135">
        <v>3.1521698900089899E-2</v>
      </c>
      <c r="AF785" s="243">
        <f t="shared" si="16"/>
        <v>0.3108686134467748</v>
      </c>
      <c r="AG785" s="275">
        <f t="shared" si="17"/>
        <v>0.49194969510462139</v>
      </c>
      <c r="AH785" s="391">
        <f t="shared" si="18"/>
        <v>0.49412289073660953</v>
      </c>
      <c r="AI785" s="135">
        <f t="shared" si="19"/>
        <v>0.98607258584123092</v>
      </c>
    </row>
    <row r="786" spans="1:35" ht="12.6">
      <c r="A786" s="10" t="s">
        <v>63</v>
      </c>
      <c r="B786" s="10">
        <v>55</v>
      </c>
      <c r="C786" s="10" t="s">
        <v>1512</v>
      </c>
      <c r="D786" s="388">
        <v>44981</v>
      </c>
      <c r="E786" s="389">
        <v>44981</v>
      </c>
      <c r="F786" s="390" t="str">
        <f t="shared" si="15"/>
        <v>Other</v>
      </c>
      <c r="G786" s="135">
        <v>2.76471081710787E-2</v>
      </c>
      <c r="H786" s="135">
        <v>2.62785744672847E-2</v>
      </c>
      <c r="I786" s="135">
        <v>2.5584710009458798E-2</v>
      </c>
      <c r="J786" s="135">
        <v>2.50025532640499E-2</v>
      </c>
      <c r="K786" s="135">
        <v>2.5344650769859998E-2</v>
      </c>
      <c r="L786" s="135">
        <v>2.6624930448429101E-2</v>
      </c>
      <c r="M786" s="135">
        <v>3.6965692830214697E-2</v>
      </c>
      <c r="N786" s="135">
        <v>4.1650935857578099E-2</v>
      </c>
      <c r="O786" s="135">
        <v>3.9367301375182899E-2</v>
      </c>
      <c r="P786" s="135">
        <v>3.9639629856922598E-2</v>
      </c>
      <c r="Q786" s="135">
        <v>4.1695948106080002E-2</v>
      </c>
      <c r="R786" s="135">
        <v>4.2887060569663502E-2</v>
      </c>
      <c r="S786" s="135">
        <v>4.4997726855643197E-2</v>
      </c>
      <c r="T786" s="135">
        <v>4.6101486388439701E-2</v>
      </c>
      <c r="U786" s="135">
        <v>4.5909271975321402E-2</v>
      </c>
      <c r="V786" s="135">
        <v>4.4657319004925498E-2</v>
      </c>
      <c r="W786" s="135">
        <v>4.4619800546701498E-2</v>
      </c>
      <c r="X786" s="135">
        <v>4.9978881294706803E-2</v>
      </c>
      <c r="Y786" s="135">
        <v>5.6592795244331501E-2</v>
      </c>
      <c r="Z786" s="135">
        <v>6.3854259874512501E-2</v>
      </c>
      <c r="AA786" s="135">
        <v>6.3994189688477796E-2</v>
      </c>
      <c r="AB786" s="135">
        <v>5.4461888869153902E-2</v>
      </c>
      <c r="AC786" s="135">
        <v>4.0694171473124097E-2</v>
      </c>
      <c r="AD786" s="135">
        <v>3.1521698900089899E-2</v>
      </c>
      <c r="AF786" s="243">
        <f t="shared" si="16"/>
        <v>0.3108686134467748</v>
      </c>
      <c r="AG786" s="275">
        <f t="shared" si="17"/>
        <v>0.49194969510462139</v>
      </c>
      <c r="AH786" s="391">
        <f t="shared" si="18"/>
        <v>0.49412289073660953</v>
      </c>
      <c r="AI786" s="135">
        <f t="shared" si="19"/>
        <v>0.98607258584123092</v>
      </c>
    </row>
    <row r="787" spans="1:35" ht="12.6">
      <c r="A787" s="10" t="s">
        <v>63</v>
      </c>
      <c r="B787" s="10">
        <v>56</v>
      </c>
      <c r="C787" s="10" t="s">
        <v>1512</v>
      </c>
      <c r="D787" s="388">
        <v>44982</v>
      </c>
      <c r="E787" s="389">
        <v>44982</v>
      </c>
      <c r="F787" s="390" t="str">
        <f t="shared" si="15"/>
        <v>Other</v>
      </c>
      <c r="G787" s="135">
        <v>3.02249236828823E-2</v>
      </c>
      <c r="H787" s="135">
        <v>2.65288462772971E-2</v>
      </c>
      <c r="I787" s="135">
        <v>2.5145917074864601E-2</v>
      </c>
      <c r="J787" s="135">
        <v>2.4408777352441499E-2</v>
      </c>
      <c r="K787" s="135">
        <v>2.4842477171432301E-2</v>
      </c>
      <c r="L787" s="135">
        <v>2.5530836650180001E-2</v>
      </c>
      <c r="M787" s="135">
        <v>3.1791489082233497E-2</v>
      </c>
      <c r="N787" s="135">
        <v>4.0981642760216798E-2</v>
      </c>
      <c r="O787" s="135">
        <v>3.9671341845700203E-2</v>
      </c>
      <c r="P787" s="135">
        <v>4.2385623903080698E-2</v>
      </c>
      <c r="Q787" s="135">
        <v>4.6226801762819E-2</v>
      </c>
      <c r="R787" s="135">
        <v>4.8969350413243802E-2</v>
      </c>
      <c r="S787" s="135">
        <v>4.8684292656016502E-2</v>
      </c>
      <c r="T787" s="135">
        <v>5.10937011472168E-2</v>
      </c>
      <c r="U787" s="135">
        <v>5.2849881605689097E-2</v>
      </c>
      <c r="V787" s="135">
        <v>5.2864630338031598E-2</v>
      </c>
      <c r="W787" s="135">
        <v>5.2114686921837301E-2</v>
      </c>
      <c r="X787" s="135">
        <v>5.3932536426095398E-2</v>
      </c>
      <c r="Y787" s="135">
        <v>5.8168722198650699E-2</v>
      </c>
      <c r="Z787" s="135">
        <v>6.2348960693243902E-2</v>
      </c>
      <c r="AA787" s="135">
        <v>6.1459218411883898E-2</v>
      </c>
      <c r="AB787" s="135">
        <v>5.2533760995209601E-2</v>
      </c>
      <c r="AC787" s="135">
        <v>4.0061294496834599E-2</v>
      </c>
      <c r="AD787" s="135">
        <v>3.3219280801326898E-2</v>
      </c>
      <c r="AF787" s="243">
        <f t="shared" si="16"/>
        <v>0.35280334484485409</v>
      </c>
      <c r="AG787" s="275">
        <f t="shared" si="17"/>
        <v>0.51936103525828403</v>
      </c>
      <c r="AH787" s="391">
        <f t="shared" si="18"/>
        <v>0.50667795941014404</v>
      </c>
      <c r="AI787" s="135">
        <f t="shared" si="19"/>
        <v>1.0260389946684281</v>
      </c>
    </row>
    <row r="788" spans="1:35" ht="12.6">
      <c r="A788" s="10" t="s">
        <v>63</v>
      </c>
      <c r="B788" s="10">
        <v>57</v>
      </c>
      <c r="C788" s="10" t="s">
        <v>1512</v>
      </c>
      <c r="D788" s="388">
        <v>44983</v>
      </c>
      <c r="E788" s="389">
        <v>44983</v>
      </c>
      <c r="F788" s="390" t="str">
        <f t="shared" si="15"/>
        <v>Other</v>
      </c>
      <c r="G788" s="135">
        <v>3.02249236828823E-2</v>
      </c>
      <c r="H788" s="135">
        <v>2.65288462772971E-2</v>
      </c>
      <c r="I788" s="135">
        <v>2.5145917074864601E-2</v>
      </c>
      <c r="J788" s="135">
        <v>2.4408777352441499E-2</v>
      </c>
      <c r="K788" s="135">
        <v>2.4842477171432301E-2</v>
      </c>
      <c r="L788" s="135">
        <v>2.5530836650180001E-2</v>
      </c>
      <c r="M788" s="135">
        <v>3.1791489082233497E-2</v>
      </c>
      <c r="N788" s="135">
        <v>4.0981642760216798E-2</v>
      </c>
      <c r="O788" s="135">
        <v>3.9671341845700203E-2</v>
      </c>
      <c r="P788" s="135">
        <v>4.2385623903080698E-2</v>
      </c>
      <c r="Q788" s="135">
        <v>4.6226801762819E-2</v>
      </c>
      <c r="R788" s="135">
        <v>4.8969350413243802E-2</v>
      </c>
      <c r="S788" s="135">
        <v>4.8684292656016502E-2</v>
      </c>
      <c r="T788" s="135">
        <v>5.10937011472168E-2</v>
      </c>
      <c r="U788" s="135">
        <v>5.2849881605689097E-2</v>
      </c>
      <c r="V788" s="135">
        <v>5.2864630338031598E-2</v>
      </c>
      <c r="W788" s="135">
        <v>5.2114686921837301E-2</v>
      </c>
      <c r="X788" s="135">
        <v>5.3932536426095398E-2</v>
      </c>
      <c r="Y788" s="135">
        <v>5.8168722198650699E-2</v>
      </c>
      <c r="Z788" s="135">
        <v>6.2348960693243902E-2</v>
      </c>
      <c r="AA788" s="135">
        <v>6.1459218411883898E-2</v>
      </c>
      <c r="AB788" s="135">
        <v>5.2533760995209601E-2</v>
      </c>
      <c r="AC788" s="135">
        <v>4.0061294496834599E-2</v>
      </c>
      <c r="AD788" s="135">
        <v>3.3219280801326898E-2</v>
      </c>
      <c r="AF788" s="243">
        <f t="shared" si="16"/>
        <v>0.35280334484485409</v>
      </c>
      <c r="AG788" s="275">
        <f t="shared" si="17"/>
        <v>0.51936103525828403</v>
      </c>
      <c r="AH788" s="391">
        <f t="shared" si="18"/>
        <v>0.50667795941014404</v>
      </c>
      <c r="AI788" s="135">
        <f t="shared" si="19"/>
        <v>1.0260389946684281</v>
      </c>
    </row>
    <row r="789" spans="1:35" ht="12.6">
      <c r="A789" s="10" t="s">
        <v>63</v>
      </c>
      <c r="B789" s="10">
        <v>58</v>
      </c>
      <c r="C789" s="10" t="s">
        <v>1512</v>
      </c>
      <c r="D789" s="388">
        <v>44984</v>
      </c>
      <c r="E789" s="389">
        <v>44984</v>
      </c>
      <c r="F789" s="390" t="str">
        <f t="shared" si="15"/>
        <v>Other</v>
      </c>
      <c r="G789" s="135">
        <v>2.76471081710787E-2</v>
      </c>
      <c r="H789" s="135">
        <v>2.62785744672847E-2</v>
      </c>
      <c r="I789" s="135">
        <v>2.5584710009458798E-2</v>
      </c>
      <c r="J789" s="135">
        <v>2.50025532640499E-2</v>
      </c>
      <c r="K789" s="135">
        <v>2.5344650769859998E-2</v>
      </c>
      <c r="L789" s="135">
        <v>2.6624930448429101E-2</v>
      </c>
      <c r="M789" s="135">
        <v>3.6965692830214697E-2</v>
      </c>
      <c r="N789" s="135">
        <v>4.1650935857578099E-2</v>
      </c>
      <c r="O789" s="135">
        <v>3.9367301375182899E-2</v>
      </c>
      <c r="P789" s="135">
        <v>3.9639629856922598E-2</v>
      </c>
      <c r="Q789" s="135">
        <v>4.1695948106080002E-2</v>
      </c>
      <c r="R789" s="135">
        <v>4.2887060569663502E-2</v>
      </c>
      <c r="S789" s="135">
        <v>4.4997726855643197E-2</v>
      </c>
      <c r="T789" s="135">
        <v>4.6101486388439701E-2</v>
      </c>
      <c r="U789" s="135">
        <v>4.5909271975321402E-2</v>
      </c>
      <c r="V789" s="135">
        <v>4.4657319004925498E-2</v>
      </c>
      <c r="W789" s="135">
        <v>4.4619800546701498E-2</v>
      </c>
      <c r="X789" s="135">
        <v>4.9978881294706803E-2</v>
      </c>
      <c r="Y789" s="135">
        <v>5.6592795244331501E-2</v>
      </c>
      <c r="Z789" s="135">
        <v>6.3854259874512501E-2</v>
      </c>
      <c r="AA789" s="135">
        <v>6.3994189688477796E-2</v>
      </c>
      <c r="AB789" s="135">
        <v>5.4461888869153902E-2</v>
      </c>
      <c r="AC789" s="135">
        <v>4.0694171473124097E-2</v>
      </c>
      <c r="AD789" s="135">
        <v>3.1521698900089899E-2</v>
      </c>
      <c r="AF789" s="243">
        <f t="shared" si="16"/>
        <v>0.3108686134467748</v>
      </c>
      <c r="AG789" s="275">
        <f t="shared" si="17"/>
        <v>0.49194969510462139</v>
      </c>
      <c r="AH789" s="391">
        <f t="shared" si="18"/>
        <v>0.49412289073660953</v>
      </c>
      <c r="AI789" s="135">
        <f t="shared" si="19"/>
        <v>0.98607258584123092</v>
      </c>
    </row>
    <row r="790" spans="1:35" ht="12.6">
      <c r="A790" s="10" t="s">
        <v>63</v>
      </c>
      <c r="B790" s="10">
        <v>59</v>
      </c>
      <c r="C790" s="10" t="s">
        <v>1512</v>
      </c>
      <c r="D790" s="388">
        <v>44985</v>
      </c>
      <c r="E790" s="389">
        <v>44985</v>
      </c>
      <c r="F790" s="390" t="str">
        <f t="shared" si="15"/>
        <v>Other</v>
      </c>
      <c r="G790" s="135">
        <v>2.76471081710787E-2</v>
      </c>
      <c r="H790" s="135">
        <v>2.62785744672847E-2</v>
      </c>
      <c r="I790" s="135">
        <v>2.5584710009458798E-2</v>
      </c>
      <c r="J790" s="135">
        <v>2.50025532640499E-2</v>
      </c>
      <c r="K790" s="135">
        <v>2.5344650769859998E-2</v>
      </c>
      <c r="L790" s="135">
        <v>2.6624930448429101E-2</v>
      </c>
      <c r="M790" s="135">
        <v>3.6965692830214697E-2</v>
      </c>
      <c r="N790" s="135">
        <v>4.1650935857578099E-2</v>
      </c>
      <c r="O790" s="135">
        <v>3.9367301375182899E-2</v>
      </c>
      <c r="P790" s="135">
        <v>3.9639629856922598E-2</v>
      </c>
      <c r="Q790" s="135">
        <v>4.1695948106080002E-2</v>
      </c>
      <c r="R790" s="135">
        <v>4.2887060569663502E-2</v>
      </c>
      <c r="S790" s="135">
        <v>4.4997726855643197E-2</v>
      </c>
      <c r="T790" s="135">
        <v>4.6101486388439701E-2</v>
      </c>
      <c r="U790" s="135">
        <v>4.5909271975321402E-2</v>
      </c>
      <c r="V790" s="135">
        <v>4.4657319004925498E-2</v>
      </c>
      <c r="W790" s="135">
        <v>4.4619800546701498E-2</v>
      </c>
      <c r="X790" s="135">
        <v>4.9978881294706803E-2</v>
      </c>
      <c r="Y790" s="135">
        <v>5.6592795244331501E-2</v>
      </c>
      <c r="Z790" s="135">
        <v>6.3854259874512501E-2</v>
      </c>
      <c r="AA790" s="135">
        <v>6.3994189688477796E-2</v>
      </c>
      <c r="AB790" s="135">
        <v>5.4461888869153902E-2</v>
      </c>
      <c r="AC790" s="135">
        <v>4.0694171473124097E-2</v>
      </c>
      <c r="AD790" s="135">
        <v>3.1521698900089899E-2</v>
      </c>
      <c r="AF790" s="243">
        <f t="shared" si="16"/>
        <v>0.3108686134467748</v>
      </c>
      <c r="AG790" s="275">
        <f t="shared" si="17"/>
        <v>0.49194969510462139</v>
      </c>
      <c r="AH790" s="391">
        <f t="shared" si="18"/>
        <v>0.49412289073660953</v>
      </c>
      <c r="AI790" s="135">
        <f t="shared" si="19"/>
        <v>0.98607258584123092</v>
      </c>
    </row>
    <row r="791" spans="1:35" ht="12.6">
      <c r="A791" s="10" t="s">
        <v>63</v>
      </c>
      <c r="B791" s="10">
        <v>60</v>
      </c>
      <c r="C791" s="10" t="s">
        <v>1513</v>
      </c>
      <c r="D791" s="388">
        <v>44986</v>
      </c>
      <c r="E791" s="389">
        <v>44986</v>
      </c>
      <c r="F791" s="390" t="str">
        <f t="shared" si="15"/>
        <v>Other</v>
      </c>
      <c r="G791" s="135">
        <v>2.6676256567957399E-2</v>
      </c>
      <c r="H791" s="135">
        <v>2.52631622165756E-2</v>
      </c>
      <c r="I791" s="135">
        <v>2.4586587658058701E-2</v>
      </c>
      <c r="J791" s="135">
        <v>2.41099676176709E-2</v>
      </c>
      <c r="K791" s="135">
        <v>2.4251081537013601E-2</v>
      </c>
      <c r="L791" s="135">
        <v>2.5707331168557002E-2</v>
      </c>
      <c r="M791" s="135">
        <v>3.5487783389631301E-2</v>
      </c>
      <c r="N791" s="135">
        <v>4.0154083659836699E-2</v>
      </c>
      <c r="O791" s="135">
        <v>3.8265874241609502E-2</v>
      </c>
      <c r="P791" s="135">
        <v>3.7832665130905503E-2</v>
      </c>
      <c r="Q791" s="135">
        <v>4.0430374424496499E-2</v>
      </c>
      <c r="R791" s="135">
        <v>4.1961541939891898E-2</v>
      </c>
      <c r="S791" s="135">
        <v>4.3805545698623098E-2</v>
      </c>
      <c r="T791" s="135">
        <v>4.4218763331982797E-2</v>
      </c>
      <c r="U791" s="135">
        <v>4.3891384413338903E-2</v>
      </c>
      <c r="V791" s="135">
        <v>4.1844945889229997E-2</v>
      </c>
      <c r="W791" s="135">
        <v>4.0612066058762303E-2</v>
      </c>
      <c r="X791" s="135">
        <v>4.6616937789524297E-2</v>
      </c>
      <c r="Y791" s="135">
        <v>5.51615909211998E-2</v>
      </c>
      <c r="Z791" s="135">
        <v>6.3725316407100496E-2</v>
      </c>
      <c r="AA791" s="135">
        <v>6.4115678608094695E-2</v>
      </c>
      <c r="AB791" s="135">
        <v>5.4868524985678097E-2</v>
      </c>
      <c r="AC791" s="135">
        <v>4.0999771236056602E-2</v>
      </c>
      <c r="AD791" s="135">
        <v>3.08821460605192E-2</v>
      </c>
      <c r="AF791" s="243">
        <f t="shared" si="16"/>
        <v>0.29676462175632545</v>
      </c>
      <c r="AG791" s="275">
        <f t="shared" si="17"/>
        <v>0.47233679284397745</v>
      </c>
      <c r="AH791" s="391">
        <f t="shared" si="18"/>
        <v>0.48313258810833748</v>
      </c>
      <c r="AI791" s="135">
        <f t="shared" si="19"/>
        <v>0.95546938095231493</v>
      </c>
    </row>
    <row r="792" spans="1:35" ht="12.6">
      <c r="A792" s="10" t="s">
        <v>63</v>
      </c>
      <c r="B792" s="10">
        <v>61</v>
      </c>
      <c r="C792" s="10" t="s">
        <v>1513</v>
      </c>
      <c r="D792" s="388">
        <v>44987</v>
      </c>
      <c r="E792" s="389">
        <v>44987</v>
      </c>
      <c r="F792" s="390" t="str">
        <f t="shared" si="15"/>
        <v>Other</v>
      </c>
      <c r="G792" s="135">
        <v>2.6676256567957399E-2</v>
      </c>
      <c r="H792" s="135">
        <v>2.52631622165756E-2</v>
      </c>
      <c r="I792" s="135">
        <v>2.4586587658058701E-2</v>
      </c>
      <c r="J792" s="135">
        <v>2.41099676176709E-2</v>
      </c>
      <c r="K792" s="135">
        <v>2.4251081537013601E-2</v>
      </c>
      <c r="L792" s="135">
        <v>2.5707331168557002E-2</v>
      </c>
      <c r="M792" s="135">
        <v>3.5487783389631301E-2</v>
      </c>
      <c r="N792" s="135">
        <v>4.0154083659836699E-2</v>
      </c>
      <c r="O792" s="135">
        <v>3.8265874241609502E-2</v>
      </c>
      <c r="P792" s="135">
        <v>3.7832665130905503E-2</v>
      </c>
      <c r="Q792" s="135">
        <v>4.0430374424496499E-2</v>
      </c>
      <c r="R792" s="135">
        <v>4.1961541939891898E-2</v>
      </c>
      <c r="S792" s="135">
        <v>4.3805545698623098E-2</v>
      </c>
      <c r="T792" s="135">
        <v>4.4218763331982797E-2</v>
      </c>
      <c r="U792" s="135">
        <v>4.3891384413338903E-2</v>
      </c>
      <c r="V792" s="135">
        <v>4.1844945889229997E-2</v>
      </c>
      <c r="W792" s="135">
        <v>4.0612066058762303E-2</v>
      </c>
      <c r="X792" s="135">
        <v>4.6616937789524297E-2</v>
      </c>
      <c r="Y792" s="135">
        <v>5.51615909211998E-2</v>
      </c>
      <c r="Z792" s="135">
        <v>6.3725316407100496E-2</v>
      </c>
      <c r="AA792" s="135">
        <v>6.4115678608094695E-2</v>
      </c>
      <c r="AB792" s="135">
        <v>5.4868524985678097E-2</v>
      </c>
      <c r="AC792" s="135">
        <v>4.0999771236056602E-2</v>
      </c>
      <c r="AD792" s="135">
        <v>3.08821460605192E-2</v>
      </c>
      <c r="AF792" s="243">
        <f t="shared" si="16"/>
        <v>0.29676462175632545</v>
      </c>
      <c r="AG792" s="275">
        <f t="shared" si="17"/>
        <v>0.47233679284397745</v>
      </c>
      <c r="AH792" s="391">
        <f t="shared" si="18"/>
        <v>0.48313258810833748</v>
      </c>
      <c r="AI792" s="135">
        <f t="shared" si="19"/>
        <v>0.95546938095231493</v>
      </c>
    </row>
    <row r="793" spans="1:35" ht="12.6">
      <c r="A793" s="10" t="s">
        <v>63</v>
      </c>
      <c r="B793" s="10">
        <v>62</v>
      </c>
      <c r="C793" s="10" t="s">
        <v>1513</v>
      </c>
      <c r="D793" s="388">
        <v>44988</v>
      </c>
      <c r="E793" s="389">
        <v>44988</v>
      </c>
      <c r="F793" s="390" t="str">
        <f t="shared" si="15"/>
        <v>Other</v>
      </c>
      <c r="G793" s="135">
        <v>2.6676256567957399E-2</v>
      </c>
      <c r="H793" s="135">
        <v>2.52631622165756E-2</v>
      </c>
      <c r="I793" s="135">
        <v>2.4586587658058701E-2</v>
      </c>
      <c r="J793" s="135">
        <v>2.41099676176709E-2</v>
      </c>
      <c r="K793" s="135">
        <v>2.4251081537013601E-2</v>
      </c>
      <c r="L793" s="135">
        <v>2.5707331168557002E-2</v>
      </c>
      <c r="M793" s="135">
        <v>3.5487783389631301E-2</v>
      </c>
      <c r="N793" s="135">
        <v>4.0154083659836699E-2</v>
      </c>
      <c r="O793" s="135">
        <v>3.8265874241609502E-2</v>
      </c>
      <c r="P793" s="135">
        <v>3.7832665130905503E-2</v>
      </c>
      <c r="Q793" s="135">
        <v>4.0430374424496499E-2</v>
      </c>
      <c r="R793" s="135">
        <v>4.1961541939891898E-2</v>
      </c>
      <c r="S793" s="135">
        <v>4.3805545698623098E-2</v>
      </c>
      <c r="T793" s="135">
        <v>4.4218763331982797E-2</v>
      </c>
      <c r="U793" s="135">
        <v>4.3891384413338903E-2</v>
      </c>
      <c r="V793" s="135">
        <v>4.1844945889229997E-2</v>
      </c>
      <c r="W793" s="135">
        <v>4.0612066058762303E-2</v>
      </c>
      <c r="X793" s="135">
        <v>4.6616937789524297E-2</v>
      </c>
      <c r="Y793" s="135">
        <v>5.51615909211998E-2</v>
      </c>
      <c r="Z793" s="135">
        <v>6.3725316407100496E-2</v>
      </c>
      <c r="AA793" s="135">
        <v>6.4115678608094695E-2</v>
      </c>
      <c r="AB793" s="135">
        <v>5.4868524985678097E-2</v>
      </c>
      <c r="AC793" s="135">
        <v>4.0999771236056602E-2</v>
      </c>
      <c r="AD793" s="135">
        <v>3.08821460605192E-2</v>
      </c>
      <c r="AF793" s="243">
        <f t="shared" si="16"/>
        <v>0.29676462175632545</v>
      </c>
      <c r="AG793" s="275">
        <f t="shared" si="17"/>
        <v>0.47233679284397745</v>
      </c>
      <c r="AH793" s="391">
        <f t="shared" si="18"/>
        <v>0.48313258810833748</v>
      </c>
      <c r="AI793" s="135">
        <f t="shared" si="19"/>
        <v>0.95546938095231493</v>
      </c>
    </row>
    <row r="794" spans="1:35" ht="12.6">
      <c r="A794" s="10" t="s">
        <v>63</v>
      </c>
      <c r="B794" s="10">
        <v>63</v>
      </c>
      <c r="C794" s="10" t="s">
        <v>1513</v>
      </c>
      <c r="D794" s="388">
        <v>44989</v>
      </c>
      <c r="E794" s="389">
        <v>44989</v>
      </c>
      <c r="F794" s="390" t="str">
        <f t="shared" si="15"/>
        <v>Other</v>
      </c>
      <c r="G794" s="135">
        <v>2.9581905760173301E-2</v>
      </c>
      <c r="H794" s="135">
        <v>2.5846863416031301E-2</v>
      </c>
      <c r="I794" s="135">
        <v>2.4433190210176502E-2</v>
      </c>
      <c r="J794" s="135">
        <v>2.3629395940015799E-2</v>
      </c>
      <c r="K794" s="135">
        <v>2.4118169501963799E-2</v>
      </c>
      <c r="L794" s="135">
        <v>2.48817253394551E-2</v>
      </c>
      <c r="M794" s="135">
        <v>3.0116465792275199E-2</v>
      </c>
      <c r="N794" s="135">
        <v>3.8794095671866098E-2</v>
      </c>
      <c r="O794" s="135">
        <v>3.8625300418055099E-2</v>
      </c>
      <c r="P794" s="135">
        <v>4.1162625827875297E-2</v>
      </c>
      <c r="Q794" s="135">
        <v>4.6107833916895297E-2</v>
      </c>
      <c r="R794" s="135">
        <v>4.87624049833413E-2</v>
      </c>
      <c r="S794" s="135">
        <v>4.8358101764359597E-2</v>
      </c>
      <c r="T794" s="135">
        <v>4.9789836051873503E-2</v>
      </c>
      <c r="U794" s="135">
        <v>5.1432357045753899E-2</v>
      </c>
      <c r="V794" s="135">
        <v>5.1122607077058103E-2</v>
      </c>
      <c r="W794" s="135">
        <v>4.97430910899977E-2</v>
      </c>
      <c r="X794" s="135">
        <v>5.1757286160907003E-2</v>
      </c>
      <c r="Y794" s="135">
        <v>5.7811372164669902E-2</v>
      </c>
      <c r="Z794" s="135">
        <v>6.3341387776554597E-2</v>
      </c>
      <c r="AA794" s="135">
        <v>6.23430570424564E-2</v>
      </c>
      <c r="AB794" s="135">
        <v>5.3189571453664299E-2</v>
      </c>
      <c r="AC794" s="135">
        <v>4.0728742355680102E-2</v>
      </c>
      <c r="AD794" s="135">
        <v>3.3094900847490102E-2</v>
      </c>
      <c r="AF794" s="243">
        <f t="shared" si="16"/>
        <v>0.3453162319292794</v>
      </c>
      <c r="AG794" s="275">
        <f t="shared" si="17"/>
        <v>0.5068773521923039</v>
      </c>
      <c r="AH794" s="391">
        <f t="shared" si="18"/>
        <v>0.50189493541628527</v>
      </c>
      <c r="AI794" s="135">
        <f t="shared" si="19"/>
        <v>1.0087722876085892</v>
      </c>
    </row>
    <row r="795" spans="1:35" ht="12.6">
      <c r="A795" s="10" t="s">
        <v>63</v>
      </c>
      <c r="B795" s="10">
        <v>64</v>
      </c>
      <c r="C795" s="10" t="s">
        <v>1513</v>
      </c>
      <c r="D795" s="388">
        <v>44990</v>
      </c>
      <c r="E795" s="389">
        <v>44990</v>
      </c>
      <c r="F795" s="390" t="str">
        <f t="shared" si="15"/>
        <v>Other</v>
      </c>
      <c r="G795" s="135">
        <v>2.9581905760173301E-2</v>
      </c>
      <c r="H795" s="135">
        <v>2.5846863416031301E-2</v>
      </c>
      <c r="I795" s="135">
        <v>2.4433190210176502E-2</v>
      </c>
      <c r="J795" s="135">
        <v>2.3629395940015799E-2</v>
      </c>
      <c r="K795" s="135">
        <v>2.4118169501963799E-2</v>
      </c>
      <c r="L795" s="135">
        <v>2.48817253394551E-2</v>
      </c>
      <c r="M795" s="135">
        <v>3.0116465792275199E-2</v>
      </c>
      <c r="N795" s="135">
        <v>3.8794095671866098E-2</v>
      </c>
      <c r="O795" s="135">
        <v>3.8625300418055099E-2</v>
      </c>
      <c r="P795" s="135">
        <v>4.1162625827875297E-2</v>
      </c>
      <c r="Q795" s="135">
        <v>4.6107833916895297E-2</v>
      </c>
      <c r="R795" s="135">
        <v>4.87624049833413E-2</v>
      </c>
      <c r="S795" s="135">
        <v>4.8358101764359597E-2</v>
      </c>
      <c r="T795" s="135">
        <v>4.9789836051873503E-2</v>
      </c>
      <c r="U795" s="135">
        <v>5.1432357045753899E-2</v>
      </c>
      <c r="V795" s="135">
        <v>5.1122607077058103E-2</v>
      </c>
      <c r="W795" s="135">
        <v>4.97430910899977E-2</v>
      </c>
      <c r="X795" s="135">
        <v>5.1757286160907003E-2</v>
      </c>
      <c r="Y795" s="135">
        <v>5.7811372164669902E-2</v>
      </c>
      <c r="Z795" s="135">
        <v>6.3341387776554597E-2</v>
      </c>
      <c r="AA795" s="135">
        <v>6.23430570424564E-2</v>
      </c>
      <c r="AB795" s="135">
        <v>5.3189571453664299E-2</v>
      </c>
      <c r="AC795" s="135">
        <v>4.0728742355680102E-2</v>
      </c>
      <c r="AD795" s="135">
        <v>3.3094900847490102E-2</v>
      </c>
      <c r="AF795" s="243">
        <f t="shared" si="16"/>
        <v>0.3453162319292794</v>
      </c>
      <c r="AG795" s="275">
        <f t="shared" si="17"/>
        <v>0.5068773521923039</v>
      </c>
      <c r="AH795" s="391">
        <f t="shared" si="18"/>
        <v>0.50189493541628527</v>
      </c>
      <c r="AI795" s="135">
        <f t="shared" si="19"/>
        <v>1.0087722876085892</v>
      </c>
    </row>
    <row r="796" spans="1:35" ht="12.6">
      <c r="A796" s="10" t="s">
        <v>63</v>
      </c>
      <c r="B796" s="10">
        <v>65</v>
      </c>
      <c r="C796" s="10" t="s">
        <v>1513</v>
      </c>
      <c r="D796" s="388">
        <v>44991</v>
      </c>
      <c r="E796" s="389">
        <v>44991</v>
      </c>
      <c r="F796" s="390" t="str">
        <f t="shared" si="15"/>
        <v>Other</v>
      </c>
      <c r="G796" s="135">
        <v>2.6676256567957399E-2</v>
      </c>
      <c r="H796" s="135">
        <v>2.52631622165756E-2</v>
      </c>
      <c r="I796" s="135">
        <v>2.4586587658058701E-2</v>
      </c>
      <c r="J796" s="135">
        <v>2.41099676176709E-2</v>
      </c>
      <c r="K796" s="135">
        <v>2.4251081537013601E-2</v>
      </c>
      <c r="L796" s="135">
        <v>2.5707331168557002E-2</v>
      </c>
      <c r="M796" s="135">
        <v>3.5487783389631301E-2</v>
      </c>
      <c r="N796" s="135">
        <v>4.0154083659836699E-2</v>
      </c>
      <c r="O796" s="135">
        <v>3.8265874241609502E-2</v>
      </c>
      <c r="P796" s="135">
        <v>3.7832665130905503E-2</v>
      </c>
      <c r="Q796" s="135">
        <v>4.0430374424496499E-2</v>
      </c>
      <c r="R796" s="135">
        <v>4.1961541939891898E-2</v>
      </c>
      <c r="S796" s="135">
        <v>4.3805545698623098E-2</v>
      </c>
      <c r="T796" s="135">
        <v>4.4218763331982797E-2</v>
      </c>
      <c r="U796" s="135">
        <v>4.3891384413338903E-2</v>
      </c>
      <c r="V796" s="135">
        <v>4.1844945889229997E-2</v>
      </c>
      <c r="W796" s="135">
        <v>4.0612066058762303E-2</v>
      </c>
      <c r="X796" s="135">
        <v>4.6616937789524297E-2</v>
      </c>
      <c r="Y796" s="135">
        <v>5.51615909211998E-2</v>
      </c>
      <c r="Z796" s="135">
        <v>6.3725316407100496E-2</v>
      </c>
      <c r="AA796" s="135">
        <v>6.4115678608094695E-2</v>
      </c>
      <c r="AB796" s="135">
        <v>5.4868524985678097E-2</v>
      </c>
      <c r="AC796" s="135">
        <v>4.0999771236056602E-2</v>
      </c>
      <c r="AD796" s="135">
        <v>3.08821460605192E-2</v>
      </c>
      <c r="AF796" s="243">
        <f t="shared" si="16"/>
        <v>0.29676462175632545</v>
      </c>
      <c r="AG796" s="275">
        <f t="shared" si="17"/>
        <v>0.47233679284397745</v>
      </c>
      <c r="AH796" s="391">
        <f t="shared" si="18"/>
        <v>0.48313258810833748</v>
      </c>
      <c r="AI796" s="135">
        <f t="shared" si="19"/>
        <v>0.95546938095231493</v>
      </c>
    </row>
    <row r="797" spans="1:35" ht="12.6">
      <c r="A797" s="10" t="s">
        <v>63</v>
      </c>
      <c r="B797" s="10">
        <v>66</v>
      </c>
      <c r="C797" s="10" t="s">
        <v>1513</v>
      </c>
      <c r="D797" s="388">
        <v>44992</v>
      </c>
      <c r="E797" s="389">
        <v>44992</v>
      </c>
      <c r="F797" s="390" t="str">
        <f t="shared" si="15"/>
        <v>Other</v>
      </c>
      <c r="G797" s="135">
        <v>2.6676256567957399E-2</v>
      </c>
      <c r="H797" s="135">
        <v>2.52631622165756E-2</v>
      </c>
      <c r="I797" s="135">
        <v>2.4586587658058701E-2</v>
      </c>
      <c r="J797" s="135">
        <v>2.41099676176709E-2</v>
      </c>
      <c r="K797" s="135">
        <v>2.4251081537013601E-2</v>
      </c>
      <c r="L797" s="135">
        <v>2.5707331168557002E-2</v>
      </c>
      <c r="M797" s="135">
        <v>3.5487783389631301E-2</v>
      </c>
      <c r="N797" s="135">
        <v>4.0154083659836699E-2</v>
      </c>
      <c r="O797" s="135">
        <v>3.8265874241609502E-2</v>
      </c>
      <c r="P797" s="135">
        <v>3.7832665130905503E-2</v>
      </c>
      <c r="Q797" s="135">
        <v>4.0430374424496499E-2</v>
      </c>
      <c r="R797" s="135">
        <v>4.1961541939891898E-2</v>
      </c>
      <c r="S797" s="135">
        <v>4.3805545698623098E-2</v>
      </c>
      <c r="T797" s="135">
        <v>4.4218763331982797E-2</v>
      </c>
      <c r="U797" s="135">
        <v>4.3891384413338903E-2</v>
      </c>
      <c r="V797" s="135">
        <v>4.1844945889229997E-2</v>
      </c>
      <c r="W797" s="135">
        <v>4.0612066058762303E-2</v>
      </c>
      <c r="X797" s="135">
        <v>4.6616937789524297E-2</v>
      </c>
      <c r="Y797" s="135">
        <v>5.51615909211998E-2</v>
      </c>
      <c r="Z797" s="135">
        <v>6.3725316407100496E-2</v>
      </c>
      <c r="AA797" s="135">
        <v>6.4115678608094695E-2</v>
      </c>
      <c r="AB797" s="135">
        <v>5.4868524985678097E-2</v>
      </c>
      <c r="AC797" s="135">
        <v>4.0999771236056602E-2</v>
      </c>
      <c r="AD797" s="135">
        <v>3.08821460605192E-2</v>
      </c>
      <c r="AF797" s="243">
        <f t="shared" si="16"/>
        <v>0.29676462175632545</v>
      </c>
      <c r="AG797" s="275">
        <f t="shared" si="17"/>
        <v>0.47233679284397745</v>
      </c>
      <c r="AH797" s="391">
        <f t="shared" si="18"/>
        <v>0.48313258810833748</v>
      </c>
      <c r="AI797" s="135">
        <f t="shared" si="19"/>
        <v>0.95546938095231493</v>
      </c>
    </row>
    <row r="798" spans="1:35" ht="12.6">
      <c r="A798" s="10" t="s">
        <v>63</v>
      </c>
      <c r="B798" s="10">
        <v>67</v>
      </c>
      <c r="C798" s="10" t="s">
        <v>1513</v>
      </c>
      <c r="D798" s="388">
        <v>44993</v>
      </c>
      <c r="E798" s="389">
        <v>44993</v>
      </c>
      <c r="F798" s="390" t="str">
        <f t="shared" si="15"/>
        <v>Other</v>
      </c>
      <c r="G798" s="135">
        <v>2.6676256567957399E-2</v>
      </c>
      <c r="H798" s="135">
        <v>2.52631622165756E-2</v>
      </c>
      <c r="I798" s="135">
        <v>2.4586587658058701E-2</v>
      </c>
      <c r="J798" s="135">
        <v>2.41099676176709E-2</v>
      </c>
      <c r="K798" s="135">
        <v>2.4251081537013601E-2</v>
      </c>
      <c r="L798" s="135">
        <v>2.5707331168557002E-2</v>
      </c>
      <c r="M798" s="135">
        <v>3.5487783389631301E-2</v>
      </c>
      <c r="N798" s="135">
        <v>4.0154083659836699E-2</v>
      </c>
      <c r="O798" s="135">
        <v>3.8265874241609502E-2</v>
      </c>
      <c r="P798" s="135">
        <v>3.7832665130905503E-2</v>
      </c>
      <c r="Q798" s="135">
        <v>4.0430374424496499E-2</v>
      </c>
      <c r="R798" s="135">
        <v>4.1961541939891898E-2</v>
      </c>
      <c r="S798" s="135">
        <v>4.3805545698623098E-2</v>
      </c>
      <c r="T798" s="135">
        <v>4.4218763331982797E-2</v>
      </c>
      <c r="U798" s="135">
        <v>4.3891384413338903E-2</v>
      </c>
      <c r="V798" s="135">
        <v>4.1844945889229997E-2</v>
      </c>
      <c r="W798" s="135">
        <v>4.0612066058762303E-2</v>
      </c>
      <c r="X798" s="135">
        <v>4.6616937789524297E-2</v>
      </c>
      <c r="Y798" s="135">
        <v>5.51615909211998E-2</v>
      </c>
      <c r="Z798" s="135">
        <v>6.3725316407100496E-2</v>
      </c>
      <c r="AA798" s="135">
        <v>6.4115678608094695E-2</v>
      </c>
      <c r="AB798" s="135">
        <v>5.4868524985678097E-2</v>
      </c>
      <c r="AC798" s="135">
        <v>4.0999771236056602E-2</v>
      </c>
      <c r="AD798" s="135">
        <v>3.08821460605192E-2</v>
      </c>
      <c r="AF798" s="243">
        <f t="shared" si="16"/>
        <v>0.29676462175632545</v>
      </c>
      <c r="AG798" s="275">
        <f t="shared" si="17"/>
        <v>0.47233679284397745</v>
      </c>
      <c r="AH798" s="391">
        <f t="shared" si="18"/>
        <v>0.48313258810833748</v>
      </c>
      <c r="AI798" s="135">
        <f t="shared" si="19"/>
        <v>0.95546938095231493</v>
      </c>
    </row>
    <row r="799" spans="1:35" ht="12.6">
      <c r="A799" s="10" t="s">
        <v>63</v>
      </c>
      <c r="B799" s="10">
        <v>68</v>
      </c>
      <c r="C799" s="10" t="s">
        <v>1513</v>
      </c>
      <c r="D799" s="388">
        <v>44994</v>
      </c>
      <c r="E799" s="389">
        <v>44994</v>
      </c>
      <c r="F799" s="390" t="str">
        <f t="shared" si="15"/>
        <v>Other</v>
      </c>
      <c r="G799" s="135">
        <v>2.6676256567957399E-2</v>
      </c>
      <c r="H799" s="135">
        <v>2.52631622165756E-2</v>
      </c>
      <c r="I799" s="135">
        <v>2.4586587658058701E-2</v>
      </c>
      <c r="J799" s="135">
        <v>2.41099676176709E-2</v>
      </c>
      <c r="K799" s="135">
        <v>2.4251081537013601E-2</v>
      </c>
      <c r="L799" s="135">
        <v>2.5707331168557002E-2</v>
      </c>
      <c r="M799" s="135">
        <v>3.5487783389631301E-2</v>
      </c>
      <c r="N799" s="135">
        <v>4.0154083659836699E-2</v>
      </c>
      <c r="O799" s="135">
        <v>3.8265874241609502E-2</v>
      </c>
      <c r="P799" s="135">
        <v>3.7832665130905503E-2</v>
      </c>
      <c r="Q799" s="135">
        <v>4.0430374424496499E-2</v>
      </c>
      <c r="R799" s="135">
        <v>4.1961541939891898E-2</v>
      </c>
      <c r="S799" s="135">
        <v>4.3805545698623098E-2</v>
      </c>
      <c r="T799" s="135">
        <v>4.4218763331982797E-2</v>
      </c>
      <c r="U799" s="135">
        <v>4.3891384413338903E-2</v>
      </c>
      <c r="V799" s="135">
        <v>4.1844945889229997E-2</v>
      </c>
      <c r="W799" s="135">
        <v>4.0612066058762303E-2</v>
      </c>
      <c r="X799" s="135">
        <v>4.6616937789524297E-2</v>
      </c>
      <c r="Y799" s="135">
        <v>5.51615909211998E-2</v>
      </c>
      <c r="Z799" s="135">
        <v>6.3725316407100496E-2</v>
      </c>
      <c r="AA799" s="135">
        <v>6.4115678608094695E-2</v>
      </c>
      <c r="AB799" s="135">
        <v>5.4868524985678097E-2</v>
      </c>
      <c r="AC799" s="135">
        <v>4.0999771236056602E-2</v>
      </c>
      <c r="AD799" s="135">
        <v>3.08821460605192E-2</v>
      </c>
      <c r="AF799" s="243">
        <f t="shared" si="16"/>
        <v>0.29676462175632545</v>
      </c>
      <c r="AG799" s="275">
        <f t="shared" si="17"/>
        <v>0.47233679284397745</v>
      </c>
      <c r="AH799" s="391">
        <f t="shared" si="18"/>
        <v>0.48313258810833748</v>
      </c>
      <c r="AI799" s="135">
        <f t="shared" si="19"/>
        <v>0.95546938095231493</v>
      </c>
    </row>
    <row r="800" spans="1:35" ht="12.6">
      <c r="A800" s="10" t="s">
        <v>63</v>
      </c>
      <c r="B800" s="10">
        <v>69</v>
      </c>
      <c r="C800" s="10" t="s">
        <v>1513</v>
      </c>
      <c r="D800" s="388">
        <v>44995</v>
      </c>
      <c r="E800" s="389">
        <v>44995</v>
      </c>
      <c r="F800" s="390" t="str">
        <f t="shared" si="15"/>
        <v>Other</v>
      </c>
      <c r="G800" s="135">
        <v>2.6676256567957399E-2</v>
      </c>
      <c r="H800" s="135">
        <v>2.52631622165756E-2</v>
      </c>
      <c r="I800" s="135">
        <v>2.4586587658058701E-2</v>
      </c>
      <c r="J800" s="135">
        <v>2.41099676176709E-2</v>
      </c>
      <c r="K800" s="135">
        <v>2.4251081537013601E-2</v>
      </c>
      <c r="L800" s="135">
        <v>2.5707331168557002E-2</v>
      </c>
      <c r="M800" s="135">
        <v>3.5487783389631301E-2</v>
      </c>
      <c r="N800" s="135">
        <v>4.0154083659836699E-2</v>
      </c>
      <c r="O800" s="135">
        <v>3.8265874241609502E-2</v>
      </c>
      <c r="P800" s="135">
        <v>3.7832665130905503E-2</v>
      </c>
      <c r="Q800" s="135">
        <v>4.0430374424496499E-2</v>
      </c>
      <c r="R800" s="135">
        <v>4.1961541939891898E-2</v>
      </c>
      <c r="S800" s="135">
        <v>4.3805545698623098E-2</v>
      </c>
      <c r="T800" s="135">
        <v>4.4218763331982797E-2</v>
      </c>
      <c r="U800" s="135">
        <v>4.3891384413338903E-2</v>
      </c>
      <c r="V800" s="135">
        <v>4.1844945889229997E-2</v>
      </c>
      <c r="W800" s="135">
        <v>4.0612066058762303E-2</v>
      </c>
      <c r="X800" s="135">
        <v>4.6616937789524297E-2</v>
      </c>
      <c r="Y800" s="135">
        <v>5.51615909211998E-2</v>
      </c>
      <c r="Z800" s="135">
        <v>6.3725316407100496E-2</v>
      </c>
      <c r="AA800" s="135">
        <v>6.4115678608094695E-2</v>
      </c>
      <c r="AB800" s="135">
        <v>5.4868524985678097E-2</v>
      </c>
      <c r="AC800" s="135">
        <v>4.0999771236056602E-2</v>
      </c>
      <c r="AD800" s="135">
        <v>3.08821460605192E-2</v>
      </c>
      <c r="AF800" s="243">
        <f t="shared" si="16"/>
        <v>0.29676462175632545</v>
      </c>
      <c r="AG800" s="275">
        <f t="shared" si="17"/>
        <v>0.47233679284397745</v>
      </c>
      <c r="AH800" s="391">
        <f t="shared" si="18"/>
        <v>0.48313258810833748</v>
      </c>
      <c r="AI800" s="135">
        <f t="shared" si="19"/>
        <v>0.95546938095231493</v>
      </c>
    </row>
    <row r="801" spans="1:35" ht="12.6">
      <c r="A801" s="10" t="s">
        <v>63</v>
      </c>
      <c r="B801" s="10">
        <v>70</v>
      </c>
      <c r="C801" s="10" t="s">
        <v>1513</v>
      </c>
      <c r="D801" s="388">
        <v>44996</v>
      </c>
      <c r="E801" s="389">
        <v>44996</v>
      </c>
      <c r="F801" s="390" t="str">
        <f t="shared" si="15"/>
        <v>Other</v>
      </c>
      <c r="G801" s="135">
        <v>2.9581905760173301E-2</v>
      </c>
      <c r="H801" s="135">
        <v>2.5846863416031301E-2</v>
      </c>
      <c r="I801" s="135">
        <v>2.4433190210176502E-2</v>
      </c>
      <c r="J801" s="135">
        <v>2.3629395940015799E-2</v>
      </c>
      <c r="K801" s="135">
        <v>2.4118169501963799E-2</v>
      </c>
      <c r="L801" s="135">
        <v>2.48817253394551E-2</v>
      </c>
      <c r="M801" s="135">
        <v>3.0116465792275199E-2</v>
      </c>
      <c r="N801" s="135">
        <v>3.8794095671866098E-2</v>
      </c>
      <c r="O801" s="135">
        <v>3.8625300418055099E-2</v>
      </c>
      <c r="P801" s="135">
        <v>4.1162625827875297E-2</v>
      </c>
      <c r="Q801" s="135">
        <v>4.6107833916895297E-2</v>
      </c>
      <c r="R801" s="135">
        <v>4.87624049833413E-2</v>
      </c>
      <c r="S801" s="135">
        <v>4.8358101764359597E-2</v>
      </c>
      <c r="T801" s="135">
        <v>4.9789836051873503E-2</v>
      </c>
      <c r="U801" s="135">
        <v>5.1432357045753899E-2</v>
      </c>
      <c r="V801" s="135">
        <v>5.1122607077058103E-2</v>
      </c>
      <c r="W801" s="135">
        <v>4.97430910899977E-2</v>
      </c>
      <c r="X801" s="135">
        <v>5.1757286160907003E-2</v>
      </c>
      <c r="Y801" s="135">
        <v>5.7811372164669902E-2</v>
      </c>
      <c r="Z801" s="135">
        <v>6.3341387776554597E-2</v>
      </c>
      <c r="AA801" s="135">
        <v>6.23430570424564E-2</v>
      </c>
      <c r="AB801" s="135">
        <v>5.3189571453664299E-2</v>
      </c>
      <c r="AC801" s="135">
        <v>4.0728742355680102E-2</v>
      </c>
      <c r="AD801" s="135">
        <v>3.3094900847490102E-2</v>
      </c>
      <c r="AF801" s="243">
        <f t="shared" si="16"/>
        <v>0.3453162319292794</v>
      </c>
      <c r="AG801" s="275">
        <f t="shared" si="17"/>
        <v>0.5068773521923039</v>
      </c>
      <c r="AH801" s="391">
        <f t="shared" si="18"/>
        <v>0.50189493541628527</v>
      </c>
      <c r="AI801" s="135">
        <f t="shared" si="19"/>
        <v>1.0087722876085892</v>
      </c>
    </row>
    <row r="802" spans="1:35" ht="12.6">
      <c r="A802" s="10" t="s">
        <v>63</v>
      </c>
      <c r="B802" s="10">
        <v>71</v>
      </c>
      <c r="C802" s="10" t="s">
        <v>1513</v>
      </c>
      <c r="D802" s="388">
        <v>44997</v>
      </c>
      <c r="E802" s="389">
        <v>44997</v>
      </c>
      <c r="F802" s="390" t="str">
        <f t="shared" si="15"/>
        <v>Other</v>
      </c>
      <c r="G802" s="135">
        <v>2.9581905760173301E-2</v>
      </c>
      <c r="H802" s="135">
        <v>2.5846863416031301E-2</v>
      </c>
      <c r="I802" s="135">
        <v>2.4433190210176502E-2</v>
      </c>
      <c r="J802" s="135">
        <v>2.3629395940015799E-2</v>
      </c>
      <c r="K802" s="135">
        <v>2.4118169501963799E-2</v>
      </c>
      <c r="L802" s="135">
        <v>2.48817253394551E-2</v>
      </c>
      <c r="M802" s="135">
        <v>3.0116465792275199E-2</v>
      </c>
      <c r="N802" s="135">
        <v>3.8794095671866098E-2</v>
      </c>
      <c r="O802" s="135">
        <v>3.8625300418055099E-2</v>
      </c>
      <c r="P802" s="135">
        <v>4.1162625827875297E-2</v>
      </c>
      <c r="Q802" s="135">
        <v>4.6107833916895297E-2</v>
      </c>
      <c r="R802" s="135">
        <v>4.87624049833413E-2</v>
      </c>
      <c r="S802" s="135">
        <v>4.8358101764359597E-2</v>
      </c>
      <c r="T802" s="135">
        <v>4.9789836051873503E-2</v>
      </c>
      <c r="U802" s="135">
        <v>5.1432357045753899E-2</v>
      </c>
      <c r="V802" s="135">
        <v>5.1122607077058103E-2</v>
      </c>
      <c r="W802" s="135">
        <v>4.97430910899977E-2</v>
      </c>
      <c r="X802" s="135">
        <v>5.1757286160907003E-2</v>
      </c>
      <c r="Y802" s="135">
        <v>5.7811372164669902E-2</v>
      </c>
      <c r="Z802" s="135">
        <v>6.3341387776554597E-2</v>
      </c>
      <c r="AA802" s="135">
        <v>6.23430570424564E-2</v>
      </c>
      <c r="AB802" s="135">
        <v>5.3189571453664299E-2</v>
      </c>
      <c r="AC802" s="135">
        <v>4.0728742355680102E-2</v>
      </c>
      <c r="AD802" s="135">
        <v>3.3094900847490102E-2</v>
      </c>
      <c r="AF802" s="243">
        <f t="shared" si="16"/>
        <v>0.3453162319292794</v>
      </c>
      <c r="AG802" s="275">
        <f t="shared" si="17"/>
        <v>0.5068773521923039</v>
      </c>
      <c r="AH802" s="391">
        <f t="shared" si="18"/>
        <v>0.50189493541628527</v>
      </c>
      <c r="AI802" s="135">
        <f t="shared" si="19"/>
        <v>1.0087722876085892</v>
      </c>
    </row>
    <row r="803" spans="1:35" ht="12.6">
      <c r="A803" s="10" t="s">
        <v>63</v>
      </c>
      <c r="B803" s="10">
        <v>72</v>
      </c>
      <c r="C803" s="10" t="s">
        <v>1513</v>
      </c>
      <c r="D803" s="388">
        <v>44998</v>
      </c>
      <c r="E803" s="389">
        <v>44998</v>
      </c>
      <c r="F803" s="390" t="str">
        <f t="shared" si="15"/>
        <v>Other</v>
      </c>
      <c r="G803" s="135">
        <v>2.6676256567957399E-2</v>
      </c>
      <c r="H803" s="135">
        <v>2.52631622165756E-2</v>
      </c>
      <c r="I803" s="135">
        <v>2.4586587658058701E-2</v>
      </c>
      <c r="J803" s="135">
        <v>2.41099676176709E-2</v>
      </c>
      <c r="K803" s="135">
        <v>2.4251081537013601E-2</v>
      </c>
      <c r="L803" s="135">
        <v>2.5707331168557002E-2</v>
      </c>
      <c r="M803" s="135">
        <v>3.5487783389631301E-2</v>
      </c>
      <c r="N803" s="135">
        <v>4.0154083659836699E-2</v>
      </c>
      <c r="O803" s="135">
        <v>3.8265874241609502E-2</v>
      </c>
      <c r="P803" s="135">
        <v>3.7832665130905503E-2</v>
      </c>
      <c r="Q803" s="135">
        <v>4.0430374424496499E-2</v>
      </c>
      <c r="R803" s="135">
        <v>4.1961541939891898E-2</v>
      </c>
      <c r="S803" s="135">
        <v>4.3805545698623098E-2</v>
      </c>
      <c r="T803" s="135">
        <v>4.4218763331982797E-2</v>
      </c>
      <c r="U803" s="135">
        <v>4.3891384413338903E-2</v>
      </c>
      <c r="V803" s="135">
        <v>4.1844945889229997E-2</v>
      </c>
      <c r="W803" s="135">
        <v>4.0612066058762303E-2</v>
      </c>
      <c r="X803" s="135">
        <v>4.6616937789524297E-2</v>
      </c>
      <c r="Y803" s="135">
        <v>5.51615909211998E-2</v>
      </c>
      <c r="Z803" s="135">
        <v>6.3725316407100496E-2</v>
      </c>
      <c r="AA803" s="135">
        <v>6.4115678608094695E-2</v>
      </c>
      <c r="AB803" s="135">
        <v>5.4868524985678097E-2</v>
      </c>
      <c r="AC803" s="135">
        <v>4.0999771236056602E-2</v>
      </c>
      <c r="AD803" s="135">
        <v>3.08821460605192E-2</v>
      </c>
      <c r="AF803" s="243">
        <f t="shared" si="16"/>
        <v>0.29676462175632545</v>
      </c>
      <c r="AG803" s="275">
        <f t="shared" si="17"/>
        <v>0.47233679284397745</v>
      </c>
      <c r="AH803" s="391">
        <f t="shared" si="18"/>
        <v>0.48313258810833748</v>
      </c>
      <c r="AI803" s="135">
        <f t="shared" si="19"/>
        <v>0.95546938095231493</v>
      </c>
    </row>
    <row r="804" spans="1:35" ht="12.6">
      <c r="A804" s="10" t="s">
        <v>63</v>
      </c>
      <c r="B804" s="10">
        <v>73</v>
      </c>
      <c r="C804" s="10" t="s">
        <v>1513</v>
      </c>
      <c r="D804" s="388">
        <v>44999</v>
      </c>
      <c r="E804" s="389">
        <v>44999</v>
      </c>
      <c r="F804" s="390" t="str">
        <f t="shared" si="15"/>
        <v>Other</v>
      </c>
      <c r="G804" s="135">
        <v>2.6676256567957399E-2</v>
      </c>
      <c r="H804" s="135">
        <v>2.52631622165756E-2</v>
      </c>
      <c r="I804" s="135">
        <v>2.4586587658058701E-2</v>
      </c>
      <c r="J804" s="135">
        <v>2.41099676176709E-2</v>
      </c>
      <c r="K804" s="135">
        <v>2.4251081537013601E-2</v>
      </c>
      <c r="L804" s="135">
        <v>2.5707331168557002E-2</v>
      </c>
      <c r="M804" s="135">
        <v>3.5487783389631301E-2</v>
      </c>
      <c r="N804" s="135">
        <v>4.0154083659836699E-2</v>
      </c>
      <c r="O804" s="135">
        <v>3.8265874241609502E-2</v>
      </c>
      <c r="P804" s="135">
        <v>3.7832665130905503E-2</v>
      </c>
      <c r="Q804" s="135">
        <v>4.0430374424496499E-2</v>
      </c>
      <c r="R804" s="135">
        <v>4.1961541939891898E-2</v>
      </c>
      <c r="S804" s="135">
        <v>4.3805545698623098E-2</v>
      </c>
      <c r="T804" s="135">
        <v>4.4218763331982797E-2</v>
      </c>
      <c r="U804" s="135">
        <v>4.3891384413338903E-2</v>
      </c>
      <c r="V804" s="135">
        <v>4.1844945889229997E-2</v>
      </c>
      <c r="W804" s="135">
        <v>4.0612066058762303E-2</v>
      </c>
      <c r="X804" s="135">
        <v>4.6616937789524297E-2</v>
      </c>
      <c r="Y804" s="135">
        <v>5.51615909211998E-2</v>
      </c>
      <c r="Z804" s="135">
        <v>6.3725316407100496E-2</v>
      </c>
      <c r="AA804" s="135">
        <v>6.4115678608094695E-2</v>
      </c>
      <c r="AB804" s="135">
        <v>5.4868524985678097E-2</v>
      </c>
      <c r="AC804" s="135">
        <v>4.0999771236056602E-2</v>
      </c>
      <c r="AD804" s="135">
        <v>3.08821460605192E-2</v>
      </c>
      <c r="AF804" s="243">
        <f t="shared" si="16"/>
        <v>0.29676462175632545</v>
      </c>
      <c r="AG804" s="275">
        <f t="shared" si="17"/>
        <v>0.47233679284397745</v>
      </c>
      <c r="AH804" s="391">
        <f t="shared" si="18"/>
        <v>0.48313258810833748</v>
      </c>
      <c r="AI804" s="135">
        <f t="shared" si="19"/>
        <v>0.95546938095231493</v>
      </c>
    </row>
    <row r="805" spans="1:35" ht="12.6">
      <c r="A805" s="10" t="s">
        <v>63</v>
      </c>
      <c r="B805" s="10">
        <v>74</v>
      </c>
      <c r="C805" s="10" t="s">
        <v>1513</v>
      </c>
      <c r="D805" s="388">
        <v>45000</v>
      </c>
      <c r="E805" s="389">
        <v>45000</v>
      </c>
      <c r="F805" s="390" t="str">
        <f t="shared" si="15"/>
        <v>Other</v>
      </c>
      <c r="G805" s="135">
        <v>2.6676256567957399E-2</v>
      </c>
      <c r="H805" s="135">
        <v>2.52631622165756E-2</v>
      </c>
      <c r="I805" s="135">
        <v>2.4586587658058701E-2</v>
      </c>
      <c r="J805" s="135">
        <v>2.41099676176709E-2</v>
      </c>
      <c r="K805" s="135">
        <v>2.4251081537013601E-2</v>
      </c>
      <c r="L805" s="135">
        <v>2.5707331168557002E-2</v>
      </c>
      <c r="M805" s="135">
        <v>3.5487783389631301E-2</v>
      </c>
      <c r="N805" s="135">
        <v>4.0154083659836699E-2</v>
      </c>
      <c r="O805" s="135">
        <v>3.8265874241609502E-2</v>
      </c>
      <c r="P805" s="135">
        <v>3.7832665130905503E-2</v>
      </c>
      <c r="Q805" s="135">
        <v>4.0430374424496499E-2</v>
      </c>
      <c r="R805" s="135">
        <v>4.1961541939891898E-2</v>
      </c>
      <c r="S805" s="135">
        <v>4.3805545698623098E-2</v>
      </c>
      <c r="T805" s="135">
        <v>4.4218763331982797E-2</v>
      </c>
      <c r="U805" s="135">
        <v>4.3891384413338903E-2</v>
      </c>
      <c r="V805" s="135">
        <v>4.1844945889229997E-2</v>
      </c>
      <c r="W805" s="135">
        <v>4.0612066058762303E-2</v>
      </c>
      <c r="X805" s="135">
        <v>4.6616937789524297E-2</v>
      </c>
      <c r="Y805" s="135">
        <v>5.51615909211998E-2</v>
      </c>
      <c r="Z805" s="135">
        <v>6.3725316407100496E-2</v>
      </c>
      <c r="AA805" s="135">
        <v>6.4115678608094695E-2</v>
      </c>
      <c r="AB805" s="135">
        <v>5.4868524985678097E-2</v>
      </c>
      <c r="AC805" s="135">
        <v>4.0999771236056602E-2</v>
      </c>
      <c r="AD805" s="135">
        <v>3.08821460605192E-2</v>
      </c>
      <c r="AF805" s="243">
        <f t="shared" si="16"/>
        <v>0.29676462175632545</v>
      </c>
      <c r="AG805" s="275">
        <f t="shared" si="17"/>
        <v>0.47233679284397745</v>
      </c>
      <c r="AH805" s="391">
        <f t="shared" si="18"/>
        <v>0.48313258810833748</v>
      </c>
      <c r="AI805" s="135">
        <f t="shared" si="19"/>
        <v>0.95546938095231493</v>
      </c>
    </row>
    <row r="806" spans="1:35" ht="12.6">
      <c r="A806" s="10" t="s">
        <v>63</v>
      </c>
      <c r="B806" s="10">
        <v>75</v>
      </c>
      <c r="C806" s="10" t="s">
        <v>1513</v>
      </c>
      <c r="D806" s="388">
        <v>45001</v>
      </c>
      <c r="E806" s="389">
        <v>45001</v>
      </c>
      <c r="F806" s="390" t="str">
        <f t="shared" si="15"/>
        <v>Other</v>
      </c>
      <c r="G806" s="135">
        <v>2.6676256567957399E-2</v>
      </c>
      <c r="H806" s="135">
        <v>2.52631622165756E-2</v>
      </c>
      <c r="I806" s="135">
        <v>2.4586587658058701E-2</v>
      </c>
      <c r="J806" s="135">
        <v>2.41099676176709E-2</v>
      </c>
      <c r="K806" s="135">
        <v>2.4251081537013601E-2</v>
      </c>
      <c r="L806" s="135">
        <v>2.5707331168557002E-2</v>
      </c>
      <c r="M806" s="135">
        <v>3.5487783389631301E-2</v>
      </c>
      <c r="N806" s="135">
        <v>4.0154083659836699E-2</v>
      </c>
      <c r="O806" s="135">
        <v>3.8265874241609502E-2</v>
      </c>
      <c r="P806" s="135">
        <v>3.7832665130905503E-2</v>
      </c>
      <c r="Q806" s="135">
        <v>4.0430374424496499E-2</v>
      </c>
      <c r="R806" s="135">
        <v>4.1961541939891898E-2</v>
      </c>
      <c r="S806" s="135">
        <v>4.3805545698623098E-2</v>
      </c>
      <c r="T806" s="135">
        <v>4.4218763331982797E-2</v>
      </c>
      <c r="U806" s="135">
        <v>4.3891384413338903E-2</v>
      </c>
      <c r="V806" s="135">
        <v>4.1844945889229997E-2</v>
      </c>
      <c r="W806" s="135">
        <v>4.0612066058762303E-2</v>
      </c>
      <c r="X806" s="135">
        <v>4.6616937789524297E-2</v>
      </c>
      <c r="Y806" s="135">
        <v>5.51615909211998E-2</v>
      </c>
      <c r="Z806" s="135">
        <v>6.3725316407100496E-2</v>
      </c>
      <c r="AA806" s="135">
        <v>6.4115678608094695E-2</v>
      </c>
      <c r="AB806" s="135">
        <v>5.4868524985678097E-2</v>
      </c>
      <c r="AC806" s="135">
        <v>4.0999771236056602E-2</v>
      </c>
      <c r="AD806" s="135">
        <v>3.08821460605192E-2</v>
      </c>
      <c r="AF806" s="243">
        <f t="shared" si="16"/>
        <v>0.29676462175632545</v>
      </c>
      <c r="AG806" s="275">
        <f t="shared" si="17"/>
        <v>0.47233679284397745</v>
      </c>
      <c r="AH806" s="391">
        <f t="shared" si="18"/>
        <v>0.48313258810833748</v>
      </c>
      <c r="AI806" s="135">
        <f t="shared" si="19"/>
        <v>0.95546938095231493</v>
      </c>
    </row>
    <row r="807" spans="1:35" ht="12.6">
      <c r="A807" s="10" t="s">
        <v>63</v>
      </c>
      <c r="B807" s="10">
        <v>76</v>
      </c>
      <c r="C807" s="10" t="s">
        <v>1513</v>
      </c>
      <c r="D807" s="388">
        <v>45002</v>
      </c>
      <c r="E807" s="389">
        <v>45002</v>
      </c>
      <c r="F807" s="390" t="str">
        <f t="shared" si="15"/>
        <v>Other</v>
      </c>
      <c r="G807" s="135">
        <v>2.6676256567957399E-2</v>
      </c>
      <c r="H807" s="135">
        <v>2.52631622165756E-2</v>
      </c>
      <c r="I807" s="135">
        <v>2.4586587658058701E-2</v>
      </c>
      <c r="J807" s="135">
        <v>2.41099676176709E-2</v>
      </c>
      <c r="K807" s="135">
        <v>2.4251081537013601E-2</v>
      </c>
      <c r="L807" s="135">
        <v>2.5707331168557002E-2</v>
      </c>
      <c r="M807" s="135">
        <v>3.5487783389631301E-2</v>
      </c>
      <c r="N807" s="135">
        <v>4.0154083659836699E-2</v>
      </c>
      <c r="O807" s="135">
        <v>3.8265874241609502E-2</v>
      </c>
      <c r="P807" s="135">
        <v>3.7832665130905503E-2</v>
      </c>
      <c r="Q807" s="135">
        <v>4.0430374424496499E-2</v>
      </c>
      <c r="R807" s="135">
        <v>4.1961541939891898E-2</v>
      </c>
      <c r="S807" s="135">
        <v>4.3805545698623098E-2</v>
      </c>
      <c r="T807" s="135">
        <v>4.4218763331982797E-2</v>
      </c>
      <c r="U807" s="135">
        <v>4.3891384413338903E-2</v>
      </c>
      <c r="V807" s="135">
        <v>4.1844945889229997E-2</v>
      </c>
      <c r="W807" s="135">
        <v>4.0612066058762303E-2</v>
      </c>
      <c r="X807" s="135">
        <v>4.6616937789524297E-2</v>
      </c>
      <c r="Y807" s="135">
        <v>5.51615909211998E-2</v>
      </c>
      <c r="Z807" s="135">
        <v>6.3725316407100496E-2</v>
      </c>
      <c r="AA807" s="135">
        <v>6.4115678608094695E-2</v>
      </c>
      <c r="AB807" s="135">
        <v>5.4868524985678097E-2</v>
      </c>
      <c r="AC807" s="135">
        <v>4.0999771236056602E-2</v>
      </c>
      <c r="AD807" s="135">
        <v>3.08821460605192E-2</v>
      </c>
      <c r="AF807" s="243">
        <f t="shared" si="16"/>
        <v>0.29676462175632545</v>
      </c>
      <c r="AG807" s="275">
        <f t="shared" si="17"/>
        <v>0.47233679284397745</v>
      </c>
      <c r="AH807" s="391">
        <f t="shared" si="18"/>
        <v>0.48313258810833748</v>
      </c>
      <c r="AI807" s="135">
        <f t="shared" si="19"/>
        <v>0.95546938095231493</v>
      </c>
    </row>
    <row r="808" spans="1:35" ht="12.6">
      <c r="A808" s="10" t="s">
        <v>63</v>
      </c>
      <c r="B808" s="10">
        <v>77</v>
      </c>
      <c r="C808" s="10" t="s">
        <v>1513</v>
      </c>
      <c r="D808" s="388">
        <v>45003</v>
      </c>
      <c r="E808" s="389">
        <v>45003</v>
      </c>
      <c r="F808" s="390" t="str">
        <f t="shared" si="15"/>
        <v>Other</v>
      </c>
      <c r="G808" s="135">
        <v>2.9581905760173301E-2</v>
      </c>
      <c r="H808" s="135">
        <v>2.5846863416031301E-2</v>
      </c>
      <c r="I808" s="135">
        <v>2.4433190210176502E-2</v>
      </c>
      <c r="J808" s="135">
        <v>2.3629395940015799E-2</v>
      </c>
      <c r="K808" s="135">
        <v>2.4118169501963799E-2</v>
      </c>
      <c r="L808" s="135">
        <v>2.48817253394551E-2</v>
      </c>
      <c r="M808" s="135">
        <v>3.0116465792275199E-2</v>
      </c>
      <c r="N808" s="135">
        <v>3.8794095671866098E-2</v>
      </c>
      <c r="O808" s="135">
        <v>3.8625300418055099E-2</v>
      </c>
      <c r="P808" s="135">
        <v>4.1162625827875297E-2</v>
      </c>
      <c r="Q808" s="135">
        <v>4.6107833916895297E-2</v>
      </c>
      <c r="R808" s="135">
        <v>4.87624049833413E-2</v>
      </c>
      <c r="S808" s="135">
        <v>4.8358101764359597E-2</v>
      </c>
      <c r="T808" s="135">
        <v>4.9789836051873503E-2</v>
      </c>
      <c r="U808" s="135">
        <v>5.1432357045753899E-2</v>
      </c>
      <c r="V808" s="135">
        <v>5.1122607077058103E-2</v>
      </c>
      <c r="W808" s="135">
        <v>4.97430910899977E-2</v>
      </c>
      <c r="X808" s="135">
        <v>5.1757286160907003E-2</v>
      </c>
      <c r="Y808" s="135">
        <v>5.7811372164669902E-2</v>
      </c>
      <c r="Z808" s="135">
        <v>6.3341387776554597E-2</v>
      </c>
      <c r="AA808" s="135">
        <v>6.23430570424564E-2</v>
      </c>
      <c r="AB808" s="135">
        <v>5.3189571453664299E-2</v>
      </c>
      <c r="AC808" s="135">
        <v>4.0728742355680102E-2</v>
      </c>
      <c r="AD808" s="135">
        <v>3.3094900847490102E-2</v>
      </c>
      <c r="AF808" s="243">
        <f t="shared" si="16"/>
        <v>0.3453162319292794</v>
      </c>
      <c r="AG808" s="275">
        <f t="shared" si="17"/>
        <v>0.5068773521923039</v>
      </c>
      <c r="AH808" s="391">
        <f t="shared" si="18"/>
        <v>0.50189493541628527</v>
      </c>
      <c r="AI808" s="135">
        <f t="shared" si="19"/>
        <v>1.0087722876085892</v>
      </c>
    </row>
    <row r="809" spans="1:35" ht="12.6">
      <c r="A809" s="10" t="s">
        <v>63</v>
      </c>
      <c r="B809" s="10">
        <v>78</v>
      </c>
      <c r="C809" s="10" t="s">
        <v>1513</v>
      </c>
      <c r="D809" s="388">
        <v>45004</v>
      </c>
      <c r="E809" s="389">
        <v>45004</v>
      </c>
      <c r="F809" s="390" t="str">
        <f t="shared" si="15"/>
        <v>Other</v>
      </c>
      <c r="G809" s="135">
        <v>2.9581905760173301E-2</v>
      </c>
      <c r="H809" s="135">
        <v>2.5846863416031301E-2</v>
      </c>
      <c r="I809" s="135">
        <v>2.4433190210176502E-2</v>
      </c>
      <c r="J809" s="135">
        <v>2.3629395940015799E-2</v>
      </c>
      <c r="K809" s="135">
        <v>2.4118169501963799E-2</v>
      </c>
      <c r="L809" s="135">
        <v>2.48817253394551E-2</v>
      </c>
      <c r="M809" s="135">
        <v>3.0116465792275199E-2</v>
      </c>
      <c r="N809" s="135">
        <v>3.8794095671866098E-2</v>
      </c>
      <c r="O809" s="135">
        <v>3.8625300418055099E-2</v>
      </c>
      <c r="P809" s="135">
        <v>4.1162625827875297E-2</v>
      </c>
      <c r="Q809" s="135">
        <v>4.6107833916895297E-2</v>
      </c>
      <c r="R809" s="135">
        <v>4.87624049833413E-2</v>
      </c>
      <c r="S809" s="135">
        <v>4.8358101764359597E-2</v>
      </c>
      <c r="T809" s="135">
        <v>4.9789836051873503E-2</v>
      </c>
      <c r="U809" s="135">
        <v>5.1432357045753899E-2</v>
      </c>
      <c r="V809" s="135">
        <v>5.1122607077058103E-2</v>
      </c>
      <c r="W809" s="135">
        <v>4.97430910899977E-2</v>
      </c>
      <c r="X809" s="135">
        <v>5.1757286160907003E-2</v>
      </c>
      <c r="Y809" s="135">
        <v>5.7811372164669902E-2</v>
      </c>
      <c r="Z809" s="135">
        <v>6.3341387776554597E-2</v>
      </c>
      <c r="AA809" s="135">
        <v>6.23430570424564E-2</v>
      </c>
      <c r="AB809" s="135">
        <v>5.3189571453664299E-2</v>
      </c>
      <c r="AC809" s="135">
        <v>4.0728742355680102E-2</v>
      </c>
      <c r="AD809" s="135">
        <v>3.3094900847490102E-2</v>
      </c>
      <c r="AF809" s="243">
        <f t="shared" si="16"/>
        <v>0.3453162319292794</v>
      </c>
      <c r="AG809" s="275">
        <f t="shared" si="17"/>
        <v>0.5068773521923039</v>
      </c>
      <c r="AH809" s="391">
        <f t="shared" si="18"/>
        <v>0.50189493541628527</v>
      </c>
      <c r="AI809" s="135">
        <f t="shared" si="19"/>
        <v>1.0087722876085892</v>
      </c>
    </row>
    <row r="810" spans="1:35" ht="12.6">
      <c r="A810" s="10" t="s">
        <v>63</v>
      </c>
      <c r="B810" s="10">
        <v>79</v>
      </c>
      <c r="C810" s="10" t="s">
        <v>1513</v>
      </c>
      <c r="D810" s="388">
        <v>45005</v>
      </c>
      <c r="E810" s="389">
        <v>45005</v>
      </c>
      <c r="F810" s="390" t="str">
        <f t="shared" si="15"/>
        <v>Other</v>
      </c>
      <c r="G810" s="135">
        <v>2.6676256567957399E-2</v>
      </c>
      <c r="H810" s="135">
        <v>2.52631622165756E-2</v>
      </c>
      <c r="I810" s="135">
        <v>2.4586587658058701E-2</v>
      </c>
      <c r="J810" s="135">
        <v>2.41099676176709E-2</v>
      </c>
      <c r="K810" s="135">
        <v>2.4251081537013601E-2</v>
      </c>
      <c r="L810" s="135">
        <v>2.5707331168557002E-2</v>
      </c>
      <c r="M810" s="135">
        <v>3.5487783389631301E-2</v>
      </c>
      <c r="N810" s="135">
        <v>4.0154083659836699E-2</v>
      </c>
      <c r="O810" s="135">
        <v>3.8265874241609502E-2</v>
      </c>
      <c r="P810" s="135">
        <v>3.7832665130905503E-2</v>
      </c>
      <c r="Q810" s="135">
        <v>4.0430374424496499E-2</v>
      </c>
      <c r="R810" s="135">
        <v>4.1961541939891898E-2</v>
      </c>
      <c r="S810" s="135">
        <v>4.3805545698623098E-2</v>
      </c>
      <c r="T810" s="135">
        <v>4.4218763331982797E-2</v>
      </c>
      <c r="U810" s="135">
        <v>4.3891384413338903E-2</v>
      </c>
      <c r="V810" s="135">
        <v>4.1844945889229997E-2</v>
      </c>
      <c r="W810" s="135">
        <v>4.0612066058762303E-2</v>
      </c>
      <c r="X810" s="135">
        <v>4.6616937789524297E-2</v>
      </c>
      <c r="Y810" s="135">
        <v>5.51615909211998E-2</v>
      </c>
      <c r="Z810" s="135">
        <v>6.3725316407100496E-2</v>
      </c>
      <c r="AA810" s="135">
        <v>6.4115678608094695E-2</v>
      </c>
      <c r="AB810" s="135">
        <v>5.4868524985678097E-2</v>
      </c>
      <c r="AC810" s="135">
        <v>4.0999771236056602E-2</v>
      </c>
      <c r="AD810" s="135">
        <v>3.08821460605192E-2</v>
      </c>
      <c r="AF810" s="243">
        <f t="shared" si="16"/>
        <v>0.29676462175632545</v>
      </c>
      <c r="AG810" s="275">
        <f t="shared" si="17"/>
        <v>0.47233679284397745</v>
      </c>
      <c r="AH810" s="391">
        <f t="shared" si="18"/>
        <v>0.48313258810833748</v>
      </c>
      <c r="AI810" s="135">
        <f t="shared" si="19"/>
        <v>0.95546938095231493</v>
      </c>
    </row>
    <row r="811" spans="1:35" ht="12.6">
      <c r="A811" s="10" t="s">
        <v>63</v>
      </c>
      <c r="B811" s="10">
        <v>80</v>
      </c>
      <c r="C811" s="10" t="s">
        <v>1513</v>
      </c>
      <c r="D811" s="388">
        <v>45006</v>
      </c>
      <c r="E811" s="389">
        <v>45006</v>
      </c>
      <c r="F811" s="390" t="str">
        <f t="shared" si="15"/>
        <v>Other</v>
      </c>
      <c r="G811" s="135">
        <v>2.6676256567957399E-2</v>
      </c>
      <c r="H811" s="135">
        <v>2.52631622165756E-2</v>
      </c>
      <c r="I811" s="135">
        <v>2.4586587658058701E-2</v>
      </c>
      <c r="J811" s="135">
        <v>2.41099676176709E-2</v>
      </c>
      <c r="K811" s="135">
        <v>2.4251081537013601E-2</v>
      </c>
      <c r="L811" s="135">
        <v>2.5707331168557002E-2</v>
      </c>
      <c r="M811" s="135">
        <v>3.5487783389631301E-2</v>
      </c>
      <c r="N811" s="135">
        <v>4.0154083659836699E-2</v>
      </c>
      <c r="O811" s="135">
        <v>3.8265874241609502E-2</v>
      </c>
      <c r="P811" s="135">
        <v>3.7832665130905503E-2</v>
      </c>
      <c r="Q811" s="135">
        <v>4.0430374424496499E-2</v>
      </c>
      <c r="R811" s="135">
        <v>4.1961541939891898E-2</v>
      </c>
      <c r="S811" s="135">
        <v>4.3805545698623098E-2</v>
      </c>
      <c r="T811" s="135">
        <v>4.4218763331982797E-2</v>
      </c>
      <c r="U811" s="135">
        <v>4.3891384413338903E-2</v>
      </c>
      <c r="V811" s="135">
        <v>4.1844945889229997E-2</v>
      </c>
      <c r="W811" s="135">
        <v>4.0612066058762303E-2</v>
      </c>
      <c r="X811" s="135">
        <v>4.6616937789524297E-2</v>
      </c>
      <c r="Y811" s="135">
        <v>5.51615909211998E-2</v>
      </c>
      <c r="Z811" s="135">
        <v>6.3725316407100496E-2</v>
      </c>
      <c r="AA811" s="135">
        <v>6.4115678608094695E-2</v>
      </c>
      <c r="AB811" s="135">
        <v>5.4868524985678097E-2</v>
      </c>
      <c r="AC811" s="135">
        <v>4.0999771236056602E-2</v>
      </c>
      <c r="AD811" s="135">
        <v>3.08821460605192E-2</v>
      </c>
      <c r="AF811" s="243">
        <f t="shared" si="16"/>
        <v>0.29676462175632545</v>
      </c>
      <c r="AG811" s="275">
        <f t="shared" si="17"/>
        <v>0.47233679284397745</v>
      </c>
      <c r="AH811" s="391">
        <f t="shared" si="18"/>
        <v>0.48313258810833748</v>
      </c>
      <c r="AI811" s="135">
        <f t="shared" si="19"/>
        <v>0.95546938095231493</v>
      </c>
    </row>
    <row r="812" spans="1:35" ht="12.6">
      <c r="A812" s="10" t="s">
        <v>63</v>
      </c>
      <c r="B812" s="10">
        <v>81</v>
      </c>
      <c r="C812" s="10" t="s">
        <v>1513</v>
      </c>
      <c r="D812" s="388">
        <v>45007</v>
      </c>
      <c r="E812" s="389">
        <v>45007</v>
      </c>
      <c r="F812" s="390" t="str">
        <f t="shared" si="15"/>
        <v>Other</v>
      </c>
      <c r="G812" s="135">
        <v>2.6676256567957399E-2</v>
      </c>
      <c r="H812" s="135">
        <v>2.52631622165756E-2</v>
      </c>
      <c r="I812" s="135">
        <v>2.4586587658058701E-2</v>
      </c>
      <c r="J812" s="135">
        <v>2.41099676176709E-2</v>
      </c>
      <c r="K812" s="135">
        <v>2.4251081537013601E-2</v>
      </c>
      <c r="L812" s="135">
        <v>2.5707331168557002E-2</v>
      </c>
      <c r="M812" s="135">
        <v>3.5487783389631301E-2</v>
      </c>
      <c r="N812" s="135">
        <v>4.0154083659836699E-2</v>
      </c>
      <c r="O812" s="135">
        <v>3.8265874241609502E-2</v>
      </c>
      <c r="P812" s="135">
        <v>3.7832665130905503E-2</v>
      </c>
      <c r="Q812" s="135">
        <v>4.0430374424496499E-2</v>
      </c>
      <c r="R812" s="135">
        <v>4.1961541939891898E-2</v>
      </c>
      <c r="S812" s="135">
        <v>4.3805545698623098E-2</v>
      </c>
      <c r="T812" s="135">
        <v>4.4218763331982797E-2</v>
      </c>
      <c r="U812" s="135">
        <v>4.3891384413338903E-2</v>
      </c>
      <c r="V812" s="135">
        <v>4.1844945889229997E-2</v>
      </c>
      <c r="W812" s="135">
        <v>4.0612066058762303E-2</v>
      </c>
      <c r="X812" s="135">
        <v>4.6616937789524297E-2</v>
      </c>
      <c r="Y812" s="135">
        <v>5.51615909211998E-2</v>
      </c>
      <c r="Z812" s="135">
        <v>6.3725316407100496E-2</v>
      </c>
      <c r="AA812" s="135">
        <v>6.4115678608094695E-2</v>
      </c>
      <c r="AB812" s="135">
        <v>5.4868524985678097E-2</v>
      </c>
      <c r="AC812" s="135">
        <v>4.0999771236056602E-2</v>
      </c>
      <c r="AD812" s="135">
        <v>3.08821460605192E-2</v>
      </c>
      <c r="AF812" s="243">
        <f t="shared" si="16"/>
        <v>0.29676462175632545</v>
      </c>
      <c r="AG812" s="275">
        <f t="shared" si="17"/>
        <v>0.47233679284397745</v>
      </c>
      <c r="AH812" s="391">
        <f t="shared" si="18"/>
        <v>0.48313258810833748</v>
      </c>
      <c r="AI812" s="135">
        <f t="shared" si="19"/>
        <v>0.95546938095231493</v>
      </c>
    </row>
    <row r="813" spans="1:35" ht="12.6">
      <c r="A813" s="10" t="s">
        <v>63</v>
      </c>
      <c r="B813" s="10">
        <v>82</v>
      </c>
      <c r="C813" s="10" t="s">
        <v>1513</v>
      </c>
      <c r="D813" s="388">
        <v>45008</v>
      </c>
      <c r="E813" s="389">
        <v>45008</v>
      </c>
      <c r="F813" s="390" t="str">
        <f t="shared" si="15"/>
        <v>Other</v>
      </c>
      <c r="G813" s="135">
        <v>2.6676256567957399E-2</v>
      </c>
      <c r="H813" s="135">
        <v>2.52631622165756E-2</v>
      </c>
      <c r="I813" s="135">
        <v>2.4586587658058701E-2</v>
      </c>
      <c r="J813" s="135">
        <v>2.41099676176709E-2</v>
      </c>
      <c r="K813" s="135">
        <v>2.4251081537013601E-2</v>
      </c>
      <c r="L813" s="135">
        <v>2.5707331168557002E-2</v>
      </c>
      <c r="M813" s="135">
        <v>3.5487783389631301E-2</v>
      </c>
      <c r="N813" s="135">
        <v>4.0154083659836699E-2</v>
      </c>
      <c r="O813" s="135">
        <v>3.8265874241609502E-2</v>
      </c>
      <c r="P813" s="135">
        <v>3.7832665130905503E-2</v>
      </c>
      <c r="Q813" s="135">
        <v>4.0430374424496499E-2</v>
      </c>
      <c r="R813" s="135">
        <v>4.1961541939891898E-2</v>
      </c>
      <c r="S813" s="135">
        <v>4.3805545698623098E-2</v>
      </c>
      <c r="T813" s="135">
        <v>4.4218763331982797E-2</v>
      </c>
      <c r="U813" s="135">
        <v>4.3891384413338903E-2</v>
      </c>
      <c r="V813" s="135">
        <v>4.1844945889229997E-2</v>
      </c>
      <c r="W813" s="135">
        <v>4.0612066058762303E-2</v>
      </c>
      <c r="X813" s="135">
        <v>4.6616937789524297E-2</v>
      </c>
      <c r="Y813" s="135">
        <v>5.51615909211998E-2</v>
      </c>
      <c r="Z813" s="135">
        <v>6.3725316407100496E-2</v>
      </c>
      <c r="AA813" s="135">
        <v>6.4115678608094695E-2</v>
      </c>
      <c r="AB813" s="135">
        <v>5.4868524985678097E-2</v>
      </c>
      <c r="AC813" s="135">
        <v>4.0999771236056602E-2</v>
      </c>
      <c r="AD813" s="135">
        <v>3.08821460605192E-2</v>
      </c>
      <c r="AF813" s="243">
        <f t="shared" si="16"/>
        <v>0.29676462175632545</v>
      </c>
      <c r="AG813" s="275">
        <f t="shared" si="17"/>
        <v>0.47233679284397745</v>
      </c>
      <c r="AH813" s="391">
        <f t="shared" si="18"/>
        <v>0.48313258810833748</v>
      </c>
      <c r="AI813" s="135">
        <f t="shared" si="19"/>
        <v>0.95546938095231493</v>
      </c>
    </row>
    <row r="814" spans="1:35" ht="12.6">
      <c r="A814" s="10" t="s">
        <v>63</v>
      </c>
      <c r="B814" s="10">
        <v>83</v>
      </c>
      <c r="C814" s="10" t="s">
        <v>1513</v>
      </c>
      <c r="D814" s="388">
        <v>45009</v>
      </c>
      <c r="E814" s="389">
        <v>45009</v>
      </c>
      <c r="F814" s="390" t="str">
        <f t="shared" si="15"/>
        <v>Other</v>
      </c>
      <c r="G814" s="135">
        <v>2.6676256567957399E-2</v>
      </c>
      <c r="H814" s="135">
        <v>2.52631622165756E-2</v>
      </c>
      <c r="I814" s="135">
        <v>2.4586587658058701E-2</v>
      </c>
      <c r="J814" s="135">
        <v>2.41099676176709E-2</v>
      </c>
      <c r="K814" s="135">
        <v>2.4251081537013601E-2</v>
      </c>
      <c r="L814" s="135">
        <v>2.5707331168557002E-2</v>
      </c>
      <c r="M814" s="135">
        <v>3.5487783389631301E-2</v>
      </c>
      <c r="N814" s="135">
        <v>4.0154083659836699E-2</v>
      </c>
      <c r="O814" s="135">
        <v>3.8265874241609502E-2</v>
      </c>
      <c r="P814" s="135">
        <v>3.7832665130905503E-2</v>
      </c>
      <c r="Q814" s="135">
        <v>4.0430374424496499E-2</v>
      </c>
      <c r="R814" s="135">
        <v>4.1961541939891898E-2</v>
      </c>
      <c r="S814" s="135">
        <v>4.3805545698623098E-2</v>
      </c>
      <c r="T814" s="135">
        <v>4.4218763331982797E-2</v>
      </c>
      <c r="U814" s="135">
        <v>4.3891384413338903E-2</v>
      </c>
      <c r="V814" s="135">
        <v>4.1844945889229997E-2</v>
      </c>
      <c r="W814" s="135">
        <v>4.0612066058762303E-2</v>
      </c>
      <c r="X814" s="135">
        <v>4.6616937789524297E-2</v>
      </c>
      <c r="Y814" s="135">
        <v>5.51615909211998E-2</v>
      </c>
      <c r="Z814" s="135">
        <v>6.3725316407100496E-2</v>
      </c>
      <c r="AA814" s="135">
        <v>6.4115678608094695E-2</v>
      </c>
      <c r="AB814" s="135">
        <v>5.4868524985678097E-2</v>
      </c>
      <c r="AC814" s="135">
        <v>4.0999771236056602E-2</v>
      </c>
      <c r="AD814" s="135">
        <v>3.08821460605192E-2</v>
      </c>
      <c r="AF814" s="243">
        <f t="shared" si="16"/>
        <v>0.29676462175632545</v>
      </c>
      <c r="AG814" s="275">
        <f t="shared" si="17"/>
        <v>0.47233679284397745</v>
      </c>
      <c r="AH814" s="391">
        <f t="shared" si="18"/>
        <v>0.48313258810833748</v>
      </c>
      <c r="AI814" s="135">
        <f t="shared" si="19"/>
        <v>0.95546938095231493</v>
      </c>
    </row>
    <row r="815" spans="1:35" ht="12.6">
      <c r="A815" s="10" t="s">
        <v>63</v>
      </c>
      <c r="B815" s="10">
        <v>84</v>
      </c>
      <c r="C815" s="10" t="s">
        <v>1513</v>
      </c>
      <c r="D815" s="388">
        <v>45010</v>
      </c>
      <c r="E815" s="389">
        <v>45010</v>
      </c>
      <c r="F815" s="390" t="str">
        <f t="shared" si="15"/>
        <v>Other</v>
      </c>
      <c r="G815" s="135">
        <v>2.9581905760173301E-2</v>
      </c>
      <c r="H815" s="135">
        <v>2.5846863416031301E-2</v>
      </c>
      <c r="I815" s="135">
        <v>2.4433190210176502E-2</v>
      </c>
      <c r="J815" s="135">
        <v>2.3629395940015799E-2</v>
      </c>
      <c r="K815" s="135">
        <v>2.4118169501963799E-2</v>
      </c>
      <c r="L815" s="135">
        <v>2.48817253394551E-2</v>
      </c>
      <c r="M815" s="135">
        <v>3.0116465792275199E-2</v>
      </c>
      <c r="N815" s="135">
        <v>3.8794095671866098E-2</v>
      </c>
      <c r="O815" s="135">
        <v>3.8625300418055099E-2</v>
      </c>
      <c r="P815" s="135">
        <v>4.1162625827875297E-2</v>
      </c>
      <c r="Q815" s="135">
        <v>4.6107833916895297E-2</v>
      </c>
      <c r="R815" s="135">
        <v>4.87624049833413E-2</v>
      </c>
      <c r="S815" s="135">
        <v>4.8358101764359597E-2</v>
      </c>
      <c r="T815" s="135">
        <v>4.9789836051873503E-2</v>
      </c>
      <c r="U815" s="135">
        <v>5.1432357045753899E-2</v>
      </c>
      <c r="V815" s="135">
        <v>5.1122607077058103E-2</v>
      </c>
      <c r="W815" s="135">
        <v>4.97430910899977E-2</v>
      </c>
      <c r="X815" s="135">
        <v>5.1757286160907003E-2</v>
      </c>
      <c r="Y815" s="135">
        <v>5.7811372164669902E-2</v>
      </c>
      <c r="Z815" s="135">
        <v>6.3341387776554597E-2</v>
      </c>
      <c r="AA815" s="135">
        <v>6.23430570424564E-2</v>
      </c>
      <c r="AB815" s="135">
        <v>5.3189571453664299E-2</v>
      </c>
      <c r="AC815" s="135">
        <v>4.0728742355680102E-2</v>
      </c>
      <c r="AD815" s="135">
        <v>3.3094900847490102E-2</v>
      </c>
      <c r="AF815" s="243">
        <f t="shared" si="16"/>
        <v>0.3453162319292794</v>
      </c>
      <c r="AG815" s="275">
        <f t="shared" si="17"/>
        <v>0.5068773521923039</v>
      </c>
      <c r="AH815" s="391">
        <f t="shared" si="18"/>
        <v>0.50189493541628527</v>
      </c>
      <c r="AI815" s="135">
        <f t="shared" si="19"/>
        <v>1.0087722876085892</v>
      </c>
    </row>
    <row r="816" spans="1:35" ht="12.6">
      <c r="A816" s="10" t="s">
        <v>63</v>
      </c>
      <c r="B816" s="10">
        <v>85</v>
      </c>
      <c r="C816" s="10" t="s">
        <v>1513</v>
      </c>
      <c r="D816" s="388">
        <v>45011</v>
      </c>
      <c r="E816" s="389">
        <v>45011</v>
      </c>
      <c r="F816" s="390" t="str">
        <f t="shared" si="15"/>
        <v>Other</v>
      </c>
      <c r="G816" s="135">
        <v>2.9581905760173301E-2</v>
      </c>
      <c r="H816" s="135">
        <v>2.5846863416031301E-2</v>
      </c>
      <c r="I816" s="135">
        <v>2.4433190210176502E-2</v>
      </c>
      <c r="J816" s="135">
        <v>2.3629395940015799E-2</v>
      </c>
      <c r="K816" s="135">
        <v>2.4118169501963799E-2</v>
      </c>
      <c r="L816" s="135">
        <v>2.48817253394551E-2</v>
      </c>
      <c r="M816" s="135">
        <v>3.0116465792275199E-2</v>
      </c>
      <c r="N816" s="135">
        <v>3.8794095671866098E-2</v>
      </c>
      <c r="O816" s="135">
        <v>3.8625300418055099E-2</v>
      </c>
      <c r="P816" s="135">
        <v>4.1162625827875297E-2</v>
      </c>
      <c r="Q816" s="135">
        <v>4.6107833916895297E-2</v>
      </c>
      <c r="R816" s="135">
        <v>4.87624049833413E-2</v>
      </c>
      <c r="S816" s="135">
        <v>4.8358101764359597E-2</v>
      </c>
      <c r="T816" s="135">
        <v>4.9789836051873503E-2</v>
      </c>
      <c r="U816" s="135">
        <v>5.1432357045753899E-2</v>
      </c>
      <c r="V816" s="135">
        <v>5.1122607077058103E-2</v>
      </c>
      <c r="W816" s="135">
        <v>4.97430910899977E-2</v>
      </c>
      <c r="X816" s="135">
        <v>5.1757286160907003E-2</v>
      </c>
      <c r="Y816" s="135">
        <v>5.7811372164669902E-2</v>
      </c>
      <c r="Z816" s="135">
        <v>6.3341387776554597E-2</v>
      </c>
      <c r="AA816" s="135">
        <v>6.23430570424564E-2</v>
      </c>
      <c r="AB816" s="135">
        <v>5.3189571453664299E-2</v>
      </c>
      <c r="AC816" s="135">
        <v>4.0728742355680102E-2</v>
      </c>
      <c r="AD816" s="135">
        <v>3.3094900847490102E-2</v>
      </c>
      <c r="AF816" s="243">
        <f t="shared" si="16"/>
        <v>0.3453162319292794</v>
      </c>
      <c r="AG816" s="275">
        <f t="shared" si="17"/>
        <v>0.5068773521923039</v>
      </c>
      <c r="AH816" s="391">
        <f t="shared" si="18"/>
        <v>0.50189493541628527</v>
      </c>
      <c r="AI816" s="135">
        <f t="shared" si="19"/>
        <v>1.0087722876085892</v>
      </c>
    </row>
    <row r="817" spans="1:35" ht="12.6">
      <c r="A817" s="10" t="s">
        <v>63</v>
      </c>
      <c r="B817" s="10">
        <v>86</v>
      </c>
      <c r="C817" s="10" t="s">
        <v>1513</v>
      </c>
      <c r="D817" s="388">
        <v>45012</v>
      </c>
      <c r="E817" s="389">
        <v>45012</v>
      </c>
      <c r="F817" s="390" t="str">
        <f t="shared" si="15"/>
        <v>Other</v>
      </c>
      <c r="G817" s="135">
        <v>2.6676256567957399E-2</v>
      </c>
      <c r="H817" s="135">
        <v>2.52631622165756E-2</v>
      </c>
      <c r="I817" s="135">
        <v>2.4586587658058701E-2</v>
      </c>
      <c r="J817" s="135">
        <v>2.41099676176709E-2</v>
      </c>
      <c r="K817" s="135">
        <v>2.4251081537013601E-2</v>
      </c>
      <c r="L817" s="135">
        <v>2.5707331168557002E-2</v>
      </c>
      <c r="M817" s="135">
        <v>3.5487783389631301E-2</v>
      </c>
      <c r="N817" s="135">
        <v>4.0154083659836699E-2</v>
      </c>
      <c r="O817" s="135">
        <v>3.8265874241609502E-2</v>
      </c>
      <c r="P817" s="135">
        <v>3.7832665130905503E-2</v>
      </c>
      <c r="Q817" s="135">
        <v>4.0430374424496499E-2</v>
      </c>
      <c r="R817" s="135">
        <v>4.1961541939891898E-2</v>
      </c>
      <c r="S817" s="135">
        <v>4.3805545698623098E-2</v>
      </c>
      <c r="T817" s="135">
        <v>4.4218763331982797E-2</v>
      </c>
      <c r="U817" s="135">
        <v>4.3891384413338903E-2</v>
      </c>
      <c r="V817" s="135">
        <v>4.1844945889229997E-2</v>
      </c>
      <c r="W817" s="135">
        <v>4.0612066058762303E-2</v>
      </c>
      <c r="X817" s="135">
        <v>4.6616937789524297E-2</v>
      </c>
      <c r="Y817" s="135">
        <v>5.51615909211998E-2</v>
      </c>
      <c r="Z817" s="135">
        <v>6.3725316407100496E-2</v>
      </c>
      <c r="AA817" s="135">
        <v>6.4115678608094695E-2</v>
      </c>
      <c r="AB817" s="135">
        <v>5.4868524985678097E-2</v>
      </c>
      <c r="AC817" s="135">
        <v>4.0999771236056602E-2</v>
      </c>
      <c r="AD817" s="135">
        <v>3.08821460605192E-2</v>
      </c>
      <c r="AF817" s="243">
        <f t="shared" si="16"/>
        <v>0.29676462175632545</v>
      </c>
      <c r="AG817" s="275">
        <f t="shared" si="17"/>
        <v>0.47233679284397745</v>
      </c>
      <c r="AH817" s="391">
        <f t="shared" si="18"/>
        <v>0.48313258810833748</v>
      </c>
      <c r="AI817" s="135">
        <f t="shared" si="19"/>
        <v>0.95546938095231493</v>
      </c>
    </row>
    <row r="818" spans="1:35" ht="12.6">
      <c r="A818" s="10" t="s">
        <v>63</v>
      </c>
      <c r="B818" s="10">
        <v>87</v>
      </c>
      <c r="C818" s="10" t="s">
        <v>1513</v>
      </c>
      <c r="D818" s="388">
        <v>45013</v>
      </c>
      <c r="E818" s="389">
        <v>45013</v>
      </c>
      <c r="F818" s="390" t="str">
        <f t="shared" si="15"/>
        <v>Other</v>
      </c>
      <c r="G818" s="135">
        <v>2.6676256567957399E-2</v>
      </c>
      <c r="H818" s="135">
        <v>2.52631622165756E-2</v>
      </c>
      <c r="I818" s="135">
        <v>2.4586587658058701E-2</v>
      </c>
      <c r="J818" s="135">
        <v>2.41099676176709E-2</v>
      </c>
      <c r="K818" s="135">
        <v>2.4251081537013601E-2</v>
      </c>
      <c r="L818" s="135">
        <v>2.5707331168557002E-2</v>
      </c>
      <c r="M818" s="135">
        <v>3.5487783389631301E-2</v>
      </c>
      <c r="N818" s="135">
        <v>4.0154083659836699E-2</v>
      </c>
      <c r="O818" s="135">
        <v>3.8265874241609502E-2</v>
      </c>
      <c r="P818" s="135">
        <v>3.7832665130905503E-2</v>
      </c>
      <c r="Q818" s="135">
        <v>4.0430374424496499E-2</v>
      </c>
      <c r="R818" s="135">
        <v>4.1961541939891898E-2</v>
      </c>
      <c r="S818" s="135">
        <v>4.3805545698623098E-2</v>
      </c>
      <c r="T818" s="135">
        <v>4.4218763331982797E-2</v>
      </c>
      <c r="U818" s="135">
        <v>4.3891384413338903E-2</v>
      </c>
      <c r="V818" s="135">
        <v>4.1844945889229997E-2</v>
      </c>
      <c r="W818" s="135">
        <v>4.0612066058762303E-2</v>
      </c>
      <c r="X818" s="135">
        <v>4.6616937789524297E-2</v>
      </c>
      <c r="Y818" s="135">
        <v>5.51615909211998E-2</v>
      </c>
      <c r="Z818" s="135">
        <v>6.3725316407100496E-2</v>
      </c>
      <c r="AA818" s="135">
        <v>6.4115678608094695E-2</v>
      </c>
      <c r="AB818" s="135">
        <v>5.4868524985678097E-2</v>
      </c>
      <c r="AC818" s="135">
        <v>4.0999771236056602E-2</v>
      </c>
      <c r="AD818" s="135">
        <v>3.08821460605192E-2</v>
      </c>
      <c r="AF818" s="243">
        <f t="shared" si="16"/>
        <v>0.29676462175632545</v>
      </c>
      <c r="AG818" s="275">
        <f t="shared" si="17"/>
        <v>0.47233679284397745</v>
      </c>
      <c r="AH818" s="391">
        <f t="shared" si="18"/>
        <v>0.48313258810833748</v>
      </c>
      <c r="AI818" s="135">
        <f t="shared" si="19"/>
        <v>0.95546938095231493</v>
      </c>
    </row>
    <row r="819" spans="1:35" ht="12.6">
      <c r="A819" s="10" t="s">
        <v>63</v>
      </c>
      <c r="B819" s="10">
        <v>88</v>
      </c>
      <c r="C819" s="10" t="s">
        <v>1513</v>
      </c>
      <c r="D819" s="388">
        <v>45014</v>
      </c>
      <c r="E819" s="389">
        <v>45014</v>
      </c>
      <c r="F819" s="390" t="str">
        <f t="shared" si="15"/>
        <v>Other</v>
      </c>
      <c r="G819" s="135">
        <v>2.6676256567957399E-2</v>
      </c>
      <c r="H819" s="135">
        <v>2.52631622165756E-2</v>
      </c>
      <c r="I819" s="135">
        <v>2.4586587658058701E-2</v>
      </c>
      <c r="J819" s="135">
        <v>2.41099676176709E-2</v>
      </c>
      <c r="K819" s="135">
        <v>2.4251081537013601E-2</v>
      </c>
      <c r="L819" s="135">
        <v>2.5707331168557002E-2</v>
      </c>
      <c r="M819" s="135">
        <v>3.5487783389631301E-2</v>
      </c>
      <c r="N819" s="135">
        <v>4.0154083659836699E-2</v>
      </c>
      <c r="O819" s="135">
        <v>3.8265874241609502E-2</v>
      </c>
      <c r="P819" s="135">
        <v>3.7832665130905503E-2</v>
      </c>
      <c r="Q819" s="135">
        <v>4.0430374424496499E-2</v>
      </c>
      <c r="R819" s="135">
        <v>4.1961541939891898E-2</v>
      </c>
      <c r="S819" s="135">
        <v>4.3805545698623098E-2</v>
      </c>
      <c r="T819" s="135">
        <v>4.4218763331982797E-2</v>
      </c>
      <c r="U819" s="135">
        <v>4.3891384413338903E-2</v>
      </c>
      <c r="V819" s="135">
        <v>4.1844945889229997E-2</v>
      </c>
      <c r="W819" s="135">
        <v>4.0612066058762303E-2</v>
      </c>
      <c r="X819" s="135">
        <v>4.6616937789524297E-2</v>
      </c>
      <c r="Y819" s="135">
        <v>5.51615909211998E-2</v>
      </c>
      <c r="Z819" s="135">
        <v>6.3725316407100496E-2</v>
      </c>
      <c r="AA819" s="135">
        <v>6.4115678608094695E-2</v>
      </c>
      <c r="AB819" s="135">
        <v>5.4868524985678097E-2</v>
      </c>
      <c r="AC819" s="135">
        <v>4.0999771236056602E-2</v>
      </c>
      <c r="AD819" s="135">
        <v>3.08821460605192E-2</v>
      </c>
      <c r="AF819" s="243">
        <f t="shared" si="16"/>
        <v>0.29676462175632545</v>
      </c>
      <c r="AG819" s="275">
        <f t="shared" si="17"/>
        <v>0.47233679284397745</v>
      </c>
      <c r="AH819" s="391">
        <f t="shared" si="18"/>
        <v>0.48313258810833748</v>
      </c>
      <c r="AI819" s="135">
        <f t="shared" si="19"/>
        <v>0.95546938095231493</v>
      </c>
    </row>
    <row r="820" spans="1:35" ht="12.6">
      <c r="A820" s="10" t="s">
        <v>63</v>
      </c>
      <c r="B820" s="10">
        <v>89</v>
      </c>
      <c r="C820" s="10" t="s">
        <v>1513</v>
      </c>
      <c r="D820" s="388">
        <v>45015</v>
      </c>
      <c r="E820" s="389">
        <v>45015</v>
      </c>
      <c r="F820" s="390" t="str">
        <f t="shared" si="15"/>
        <v>Other</v>
      </c>
      <c r="G820" s="135">
        <v>2.6676256567957399E-2</v>
      </c>
      <c r="H820" s="135">
        <v>2.52631622165756E-2</v>
      </c>
      <c r="I820" s="135">
        <v>2.4586587658058701E-2</v>
      </c>
      <c r="J820" s="135">
        <v>2.41099676176709E-2</v>
      </c>
      <c r="K820" s="135">
        <v>2.4251081537013601E-2</v>
      </c>
      <c r="L820" s="135">
        <v>2.5707331168557002E-2</v>
      </c>
      <c r="M820" s="135">
        <v>3.5487783389631301E-2</v>
      </c>
      <c r="N820" s="135">
        <v>4.0154083659836699E-2</v>
      </c>
      <c r="O820" s="135">
        <v>3.8265874241609502E-2</v>
      </c>
      <c r="P820" s="135">
        <v>3.7832665130905503E-2</v>
      </c>
      <c r="Q820" s="135">
        <v>4.0430374424496499E-2</v>
      </c>
      <c r="R820" s="135">
        <v>4.1961541939891898E-2</v>
      </c>
      <c r="S820" s="135">
        <v>4.3805545698623098E-2</v>
      </c>
      <c r="T820" s="135">
        <v>4.4218763331982797E-2</v>
      </c>
      <c r="U820" s="135">
        <v>4.3891384413338903E-2</v>
      </c>
      <c r="V820" s="135">
        <v>4.1844945889229997E-2</v>
      </c>
      <c r="W820" s="135">
        <v>4.0612066058762303E-2</v>
      </c>
      <c r="X820" s="135">
        <v>4.6616937789524297E-2</v>
      </c>
      <c r="Y820" s="135">
        <v>5.51615909211998E-2</v>
      </c>
      <c r="Z820" s="135">
        <v>6.3725316407100496E-2</v>
      </c>
      <c r="AA820" s="135">
        <v>6.4115678608094695E-2</v>
      </c>
      <c r="AB820" s="135">
        <v>5.4868524985678097E-2</v>
      </c>
      <c r="AC820" s="135">
        <v>4.0999771236056602E-2</v>
      </c>
      <c r="AD820" s="135">
        <v>3.08821460605192E-2</v>
      </c>
      <c r="AF820" s="243">
        <f t="shared" si="16"/>
        <v>0.29676462175632545</v>
      </c>
      <c r="AG820" s="275">
        <f t="shared" si="17"/>
        <v>0.47233679284397745</v>
      </c>
      <c r="AH820" s="391">
        <f t="shared" si="18"/>
        <v>0.48313258810833748</v>
      </c>
      <c r="AI820" s="135">
        <f t="shared" si="19"/>
        <v>0.95546938095231493</v>
      </c>
    </row>
    <row r="821" spans="1:35" ht="12.6">
      <c r="A821" s="10" t="s">
        <v>63</v>
      </c>
      <c r="B821" s="10">
        <v>90</v>
      </c>
      <c r="C821" s="10" t="s">
        <v>1513</v>
      </c>
      <c r="D821" s="388">
        <v>45016</v>
      </c>
      <c r="E821" s="389">
        <v>45016</v>
      </c>
      <c r="F821" s="390" t="str">
        <f t="shared" si="15"/>
        <v>Other</v>
      </c>
      <c r="G821" s="135">
        <v>2.6676256567957399E-2</v>
      </c>
      <c r="H821" s="135">
        <v>2.52631622165756E-2</v>
      </c>
      <c r="I821" s="135">
        <v>2.4586587658058701E-2</v>
      </c>
      <c r="J821" s="135">
        <v>2.41099676176709E-2</v>
      </c>
      <c r="K821" s="135">
        <v>2.4251081537013601E-2</v>
      </c>
      <c r="L821" s="135">
        <v>2.5707331168557002E-2</v>
      </c>
      <c r="M821" s="135">
        <v>3.5487783389631301E-2</v>
      </c>
      <c r="N821" s="135">
        <v>4.0154083659836699E-2</v>
      </c>
      <c r="O821" s="135">
        <v>3.8265874241609502E-2</v>
      </c>
      <c r="P821" s="135">
        <v>3.7832665130905503E-2</v>
      </c>
      <c r="Q821" s="135">
        <v>4.0430374424496499E-2</v>
      </c>
      <c r="R821" s="135">
        <v>4.1961541939891898E-2</v>
      </c>
      <c r="S821" s="135">
        <v>4.3805545698623098E-2</v>
      </c>
      <c r="T821" s="135">
        <v>4.4218763331982797E-2</v>
      </c>
      <c r="U821" s="135">
        <v>4.3891384413338903E-2</v>
      </c>
      <c r="V821" s="135">
        <v>4.1844945889229997E-2</v>
      </c>
      <c r="W821" s="135">
        <v>4.0612066058762303E-2</v>
      </c>
      <c r="X821" s="135">
        <v>4.6616937789524297E-2</v>
      </c>
      <c r="Y821" s="135">
        <v>5.51615909211998E-2</v>
      </c>
      <c r="Z821" s="135">
        <v>6.3725316407100496E-2</v>
      </c>
      <c r="AA821" s="135">
        <v>6.4115678608094695E-2</v>
      </c>
      <c r="AB821" s="135">
        <v>5.4868524985678097E-2</v>
      </c>
      <c r="AC821" s="135">
        <v>4.0999771236056602E-2</v>
      </c>
      <c r="AD821" s="135">
        <v>3.08821460605192E-2</v>
      </c>
      <c r="AF821" s="243">
        <f t="shared" si="16"/>
        <v>0.29676462175632545</v>
      </c>
      <c r="AG821" s="275">
        <f t="shared" si="17"/>
        <v>0.47233679284397745</v>
      </c>
      <c r="AH821" s="391">
        <f t="shared" si="18"/>
        <v>0.48313258810833748</v>
      </c>
      <c r="AI821" s="135">
        <f t="shared" si="19"/>
        <v>0.95546938095231493</v>
      </c>
    </row>
    <row r="822" spans="1:35" ht="12.6">
      <c r="A822" s="10" t="s">
        <v>63</v>
      </c>
      <c r="B822" s="10">
        <v>91</v>
      </c>
      <c r="C822" s="10" t="s">
        <v>1513</v>
      </c>
      <c r="D822" s="388">
        <v>45017</v>
      </c>
      <c r="E822" s="389">
        <v>45017</v>
      </c>
      <c r="F822" s="390" t="str">
        <f t="shared" si="15"/>
        <v>Other</v>
      </c>
      <c r="G822" s="135">
        <v>2.9581905760173301E-2</v>
      </c>
      <c r="H822" s="135">
        <v>2.5846863416031301E-2</v>
      </c>
      <c r="I822" s="135">
        <v>2.4433190210176502E-2</v>
      </c>
      <c r="J822" s="135">
        <v>2.3629395940015799E-2</v>
      </c>
      <c r="K822" s="135">
        <v>2.4118169501963799E-2</v>
      </c>
      <c r="L822" s="135">
        <v>2.48817253394551E-2</v>
      </c>
      <c r="M822" s="135">
        <v>3.0116465792275199E-2</v>
      </c>
      <c r="N822" s="135">
        <v>3.8794095671866098E-2</v>
      </c>
      <c r="O822" s="135">
        <v>3.8625300418055099E-2</v>
      </c>
      <c r="P822" s="135">
        <v>4.1162625827875297E-2</v>
      </c>
      <c r="Q822" s="135">
        <v>4.6107833916895297E-2</v>
      </c>
      <c r="R822" s="135">
        <v>4.87624049833413E-2</v>
      </c>
      <c r="S822" s="135">
        <v>4.8358101764359597E-2</v>
      </c>
      <c r="T822" s="135">
        <v>4.9789836051873503E-2</v>
      </c>
      <c r="U822" s="135">
        <v>5.1432357045753899E-2</v>
      </c>
      <c r="V822" s="135">
        <v>5.1122607077058103E-2</v>
      </c>
      <c r="W822" s="135">
        <v>4.97430910899977E-2</v>
      </c>
      <c r="X822" s="135">
        <v>5.1757286160907003E-2</v>
      </c>
      <c r="Y822" s="135">
        <v>5.7811372164669902E-2</v>
      </c>
      <c r="Z822" s="135">
        <v>6.3341387776554597E-2</v>
      </c>
      <c r="AA822" s="135">
        <v>6.23430570424564E-2</v>
      </c>
      <c r="AB822" s="135">
        <v>5.3189571453664299E-2</v>
      </c>
      <c r="AC822" s="135">
        <v>4.0728742355680102E-2</v>
      </c>
      <c r="AD822" s="135">
        <v>3.3094900847490102E-2</v>
      </c>
      <c r="AF822" s="243">
        <f t="shared" si="16"/>
        <v>0.3453162319292794</v>
      </c>
      <c r="AG822" s="275">
        <f t="shared" si="17"/>
        <v>0.5068773521923039</v>
      </c>
      <c r="AH822" s="391">
        <f t="shared" si="18"/>
        <v>0.50189493541628527</v>
      </c>
      <c r="AI822" s="135">
        <f t="shared" si="19"/>
        <v>1.0087722876085892</v>
      </c>
    </row>
    <row r="823" spans="1:35" ht="12.6">
      <c r="A823" s="10" t="s">
        <v>63</v>
      </c>
      <c r="B823" s="10">
        <v>92</v>
      </c>
      <c r="C823" s="10" t="s">
        <v>1513</v>
      </c>
      <c r="D823" s="388">
        <v>45018</v>
      </c>
      <c r="E823" s="389">
        <v>45018</v>
      </c>
      <c r="F823" s="390" t="str">
        <f t="shared" si="15"/>
        <v>Other</v>
      </c>
      <c r="G823" s="135">
        <v>2.9581905760173301E-2</v>
      </c>
      <c r="H823" s="135">
        <v>2.5846863416031301E-2</v>
      </c>
      <c r="I823" s="135">
        <v>2.4433190210176502E-2</v>
      </c>
      <c r="J823" s="135">
        <v>2.3629395940015799E-2</v>
      </c>
      <c r="K823" s="135">
        <v>2.4118169501963799E-2</v>
      </c>
      <c r="L823" s="135">
        <v>2.48817253394551E-2</v>
      </c>
      <c r="M823" s="135">
        <v>3.0116465792275199E-2</v>
      </c>
      <c r="N823" s="135">
        <v>3.8794095671866098E-2</v>
      </c>
      <c r="O823" s="135">
        <v>3.8625300418055099E-2</v>
      </c>
      <c r="P823" s="135">
        <v>4.1162625827875297E-2</v>
      </c>
      <c r="Q823" s="135">
        <v>4.6107833916895297E-2</v>
      </c>
      <c r="R823" s="135">
        <v>4.87624049833413E-2</v>
      </c>
      <c r="S823" s="135">
        <v>4.8358101764359597E-2</v>
      </c>
      <c r="T823" s="135">
        <v>4.9789836051873503E-2</v>
      </c>
      <c r="U823" s="135">
        <v>5.1432357045753899E-2</v>
      </c>
      <c r="V823" s="135">
        <v>5.1122607077058103E-2</v>
      </c>
      <c r="W823" s="135">
        <v>4.97430910899977E-2</v>
      </c>
      <c r="X823" s="135">
        <v>5.1757286160907003E-2</v>
      </c>
      <c r="Y823" s="135">
        <v>5.7811372164669902E-2</v>
      </c>
      <c r="Z823" s="135">
        <v>6.3341387776554597E-2</v>
      </c>
      <c r="AA823" s="135">
        <v>6.23430570424564E-2</v>
      </c>
      <c r="AB823" s="135">
        <v>5.3189571453664299E-2</v>
      </c>
      <c r="AC823" s="135">
        <v>4.0728742355680102E-2</v>
      </c>
      <c r="AD823" s="135">
        <v>3.3094900847490102E-2</v>
      </c>
      <c r="AF823" s="243">
        <f t="shared" si="16"/>
        <v>0.3453162319292794</v>
      </c>
      <c r="AG823" s="275">
        <f t="shared" si="17"/>
        <v>0.5068773521923039</v>
      </c>
      <c r="AH823" s="391">
        <f t="shared" si="18"/>
        <v>0.50189493541628527</v>
      </c>
      <c r="AI823" s="135">
        <f t="shared" si="19"/>
        <v>1.0087722876085892</v>
      </c>
    </row>
    <row r="824" spans="1:35" ht="12.6">
      <c r="A824" s="10" t="s">
        <v>63</v>
      </c>
      <c r="B824" s="10">
        <v>93</v>
      </c>
      <c r="C824" s="10" t="s">
        <v>1513</v>
      </c>
      <c r="D824" s="388">
        <v>45019</v>
      </c>
      <c r="E824" s="389">
        <v>45019</v>
      </c>
      <c r="F824" s="390" t="str">
        <f t="shared" si="15"/>
        <v>Other</v>
      </c>
      <c r="G824" s="135">
        <v>2.6676256567957399E-2</v>
      </c>
      <c r="H824" s="135">
        <v>2.52631622165756E-2</v>
      </c>
      <c r="I824" s="135">
        <v>2.4586587658058701E-2</v>
      </c>
      <c r="J824" s="135">
        <v>2.41099676176709E-2</v>
      </c>
      <c r="K824" s="135">
        <v>2.4251081537013601E-2</v>
      </c>
      <c r="L824" s="135">
        <v>2.5707331168557002E-2</v>
      </c>
      <c r="M824" s="135">
        <v>3.5487783389631301E-2</v>
      </c>
      <c r="N824" s="135">
        <v>4.0154083659836699E-2</v>
      </c>
      <c r="O824" s="135">
        <v>3.8265874241609502E-2</v>
      </c>
      <c r="P824" s="135">
        <v>3.7832665130905503E-2</v>
      </c>
      <c r="Q824" s="135">
        <v>4.0430374424496499E-2</v>
      </c>
      <c r="R824" s="135">
        <v>4.1961541939891898E-2</v>
      </c>
      <c r="S824" s="135">
        <v>4.3805545698623098E-2</v>
      </c>
      <c r="T824" s="135">
        <v>4.4218763331982797E-2</v>
      </c>
      <c r="U824" s="135">
        <v>4.3891384413338903E-2</v>
      </c>
      <c r="V824" s="135">
        <v>4.1844945889229997E-2</v>
      </c>
      <c r="W824" s="135">
        <v>4.0612066058762303E-2</v>
      </c>
      <c r="X824" s="135">
        <v>4.6616937789524297E-2</v>
      </c>
      <c r="Y824" s="135">
        <v>5.51615909211998E-2</v>
      </c>
      <c r="Z824" s="135">
        <v>6.3725316407100496E-2</v>
      </c>
      <c r="AA824" s="135">
        <v>6.4115678608094695E-2</v>
      </c>
      <c r="AB824" s="135">
        <v>5.4868524985678097E-2</v>
      </c>
      <c r="AC824" s="135">
        <v>4.0999771236056602E-2</v>
      </c>
      <c r="AD824" s="135">
        <v>3.08821460605192E-2</v>
      </c>
      <c r="AF824" s="243">
        <f t="shared" si="16"/>
        <v>0.29676462175632545</v>
      </c>
      <c r="AG824" s="275">
        <f t="shared" si="17"/>
        <v>0.47233679284397745</v>
      </c>
      <c r="AH824" s="391">
        <f t="shared" si="18"/>
        <v>0.48313258810833748</v>
      </c>
      <c r="AI824" s="135">
        <f t="shared" si="19"/>
        <v>0.95546938095231493</v>
      </c>
    </row>
    <row r="825" spans="1:35" ht="12.6">
      <c r="A825" s="10" t="s">
        <v>63</v>
      </c>
      <c r="B825" s="10">
        <v>94</v>
      </c>
      <c r="C825" s="10" t="s">
        <v>1513</v>
      </c>
      <c r="D825" s="388">
        <v>45020</v>
      </c>
      <c r="E825" s="389">
        <v>45020</v>
      </c>
      <c r="F825" s="390" t="str">
        <f t="shared" si="15"/>
        <v>Other</v>
      </c>
      <c r="G825" s="135">
        <v>2.6676256567957399E-2</v>
      </c>
      <c r="H825" s="135">
        <v>2.52631622165756E-2</v>
      </c>
      <c r="I825" s="135">
        <v>2.4586587658058701E-2</v>
      </c>
      <c r="J825" s="135">
        <v>2.41099676176709E-2</v>
      </c>
      <c r="K825" s="135">
        <v>2.4251081537013601E-2</v>
      </c>
      <c r="L825" s="135">
        <v>2.5707331168557002E-2</v>
      </c>
      <c r="M825" s="135">
        <v>3.5487783389631301E-2</v>
      </c>
      <c r="N825" s="135">
        <v>4.0154083659836699E-2</v>
      </c>
      <c r="O825" s="135">
        <v>3.8265874241609502E-2</v>
      </c>
      <c r="P825" s="135">
        <v>3.7832665130905503E-2</v>
      </c>
      <c r="Q825" s="135">
        <v>4.0430374424496499E-2</v>
      </c>
      <c r="R825" s="135">
        <v>4.1961541939891898E-2</v>
      </c>
      <c r="S825" s="135">
        <v>4.3805545698623098E-2</v>
      </c>
      <c r="T825" s="135">
        <v>4.4218763331982797E-2</v>
      </c>
      <c r="U825" s="135">
        <v>4.3891384413338903E-2</v>
      </c>
      <c r="V825" s="135">
        <v>4.1844945889229997E-2</v>
      </c>
      <c r="W825" s="135">
        <v>4.0612066058762303E-2</v>
      </c>
      <c r="X825" s="135">
        <v>4.6616937789524297E-2</v>
      </c>
      <c r="Y825" s="135">
        <v>5.51615909211998E-2</v>
      </c>
      <c r="Z825" s="135">
        <v>6.3725316407100496E-2</v>
      </c>
      <c r="AA825" s="135">
        <v>6.4115678608094695E-2</v>
      </c>
      <c r="AB825" s="135">
        <v>5.4868524985678097E-2</v>
      </c>
      <c r="AC825" s="135">
        <v>4.0999771236056602E-2</v>
      </c>
      <c r="AD825" s="135">
        <v>3.08821460605192E-2</v>
      </c>
      <c r="AF825" s="243">
        <f t="shared" si="16"/>
        <v>0.29676462175632545</v>
      </c>
      <c r="AG825" s="275">
        <f t="shared" si="17"/>
        <v>0.47233679284397745</v>
      </c>
      <c r="AH825" s="391">
        <f t="shared" si="18"/>
        <v>0.48313258810833748</v>
      </c>
      <c r="AI825" s="135">
        <f t="shared" si="19"/>
        <v>0.95546938095231493</v>
      </c>
    </row>
    <row r="826" spans="1:35" ht="12.6">
      <c r="A826" s="10" t="s">
        <v>63</v>
      </c>
      <c r="B826" s="10">
        <v>95</v>
      </c>
      <c r="C826" s="10" t="s">
        <v>1513</v>
      </c>
      <c r="D826" s="388">
        <v>45021</v>
      </c>
      <c r="E826" s="389">
        <v>45021</v>
      </c>
      <c r="F826" s="390" t="str">
        <f t="shared" si="15"/>
        <v>Other</v>
      </c>
      <c r="G826" s="135">
        <v>2.6676256567957399E-2</v>
      </c>
      <c r="H826" s="135">
        <v>2.52631622165756E-2</v>
      </c>
      <c r="I826" s="135">
        <v>2.4586587658058701E-2</v>
      </c>
      <c r="J826" s="135">
        <v>2.41099676176709E-2</v>
      </c>
      <c r="K826" s="135">
        <v>2.4251081537013601E-2</v>
      </c>
      <c r="L826" s="135">
        <v>2.5707331168557002E-2</v>
      </c>
      <c r="M826" s="135">
        <v>3.5487783389631301E-2</v>
      </c>
      <c r="N826" s="135">
        <v>4.0154083659836699E-2</v>
      </c>
      <c r="O826" s="135">
        <v>3.8265874241609502E-2</v>
      </c>
      <c r="P826" s="135">
        <v>3.7832665130905503E-2</v>
      </c>
      <c r="Q826" s="135">
        <v>4.0430374424496499E-2</v>
      </c>
      <c r="R826" s="135">
        <v>4.1961541939891898E-2</v>
      </c>
      <c r="S826" s="135">
        <v>4.3805545698623098E-2</v>
      </c>
      <c r="T826" s="135">
        <v>4.4218763331982797E-2</v>
      </c>
      <c r="U826" s="135">
        <v>4.3891384413338903E-2</v>
      </c>
      <c r="V826" s="135">
        <v>4.1844945889229997E-2</v>
      </c>
      <c r="W826" s="135">
        <v>4.0612066058762303E-2</v>
      </c>
      <c r="X826" s="135">
        <v>4.6616937789524297E-2</v>
      </c>
      <c r="Y826" s="135">
        <v>5.51615909211998E-2</v>
      </c>
      <c r="Z826" s="135">
        <v>6.3725316407100496E-2</v>
      </c>
      <c r="AA826" s="135">
        <v>6.4115678608094695E-2</v>
      </c>
      <c r="AB826" s="135">
        <v>5.4868524985678097E-2</v>
      </c>
      <c r="AC826" s="135">
        <v>4.0999771236056602E-2</v>
      </c>
      <c r="AD826" s="135">
        <v>3.08821460605192E-2</v>
      </c>
      <c r="AF826" s="243">
        <f t="shared" si="16"/>
        <v>0.29676462175632545</v>
      </c>
      <c r="AG826" s="275">
        <f t="shared" si="17"/>
        <v>0.47233679284397745</v>
      </c>
      <c r="AH826" s="391">
        <f t="shared" si="18"/>
        <v>0.48313258810833748</v>
      </c>
      <c r="AI826" s="135">
        <f t="shared" si="19"/>
        <v>0.95546938095231493</v>
      </c>
    </row>
    <row r="827" spans="1:35" ht="12.6">
      <c r="A827" s="10" t="s">
        <v>63</v>
      </c>
      <c r="B827" s="10">
        <v>96</v>
      </c>
      <c r="C827" s="10" t="s">
        <v>1513</v>
      </c>
      <c r="D827" s="388">
        <v>45022</v>
      </c>
      <c r="E827" s="389">
        <v>45022</v>
      </c>
      <c r="F827" s="390" t="str">
        <f t="shared" si="15"/>
        <v>Other</v>
      </c>
      <c r="G827" s="135">
        <v>2.6676256567957399E-2</v>
      </c>
      <c r="H827" s="135">
        <v>2.52631622165756E-2</v>
      </c>
      <c r="I827" s="135">
        <v>2.4586587658058701E-2</v>
      </c>
      <c r="J827" s="135">
        <v>2.41099676176709E-2</v>
      </c>
      <c r="K827" s="135">
        <v>2.4251081537013601E-2</v>
      </c>
      <c r="L827" s="135">
        <v>2.5707331168557002E-2</v>
      </c>
      <c r="M827" s="135">
        <v>3.5487783389631301E-2</v>
      </c>
      <c r="N827" s="135">
        <v>4.0154083659836699E-2</v>
      </c>
      <c r="O827" s="135">
        <v>3.8265874241609502E-2</v>
      </c>
      <c r="P827" s="135">
        <v>3.7832665130905503E-2</v>
      </c>
      <c r="Q827" s="135">
        <v>4.0430374424496499E-2</v>
      </c>
      <c r="R827" s="135">
        <v>4.1961541939891898E-2</v>
      </c>
      <c r="S827" s="135">
        <v>4.3805545698623098E-2</v>
      </c>
      <c r="T827" s="135">
        <v>4.4218763331982797E-2</v>
      </c>
      <c r="U827" s="135">
        <v>4.3891384413338903E-2</v>
      </c>
      <c r="V827" s="135">
        <v>4.1844945889229997E-2</v>
      </c>
      <c r="W827" s="135">
        <v>4.0612066058762303E-2</v>
      </c>
      <c r="X827" s="135">
        <v>4.6616937789524297E-2</v>
      </c>
      <c r="Y827" s="135">
        <v>5.51615909211998E-2</v>
      </c>
      <c r="Z827" s="135">
        <v>6.3725316407100496E-2</v>
      </c>
      <c r="AA827" s="135">
        <v>6.4115678608094695E-2</v>
      </c>
      <c r="AB827" s="135">
        <v>5.4868524985678097E-2</v>
      </c>
      <c r="AC827" s="135">
        <v>4.0999771236056602E-2</v>
      </c>
      <c r="AD827" s="135">
        <v>3.08821460605192E-2</v>
      </c>
      <c r="AF827" s="243">
        <f t="shared" si="16"/>
        <v>0.29676462175632545</v>
      </c>
      <c r="AG827" s="275">
        <f t="shared" si="17"/>
        <v>0.47233679284397745</v>
      </c>
      <c r="AH827" s="391">
        <f t="shared" si="18"/>
        <v>0.48313258810833748</v>
      </c>
      <c r="AI827" s="135">
        <f t="shared" si="19"/>
        <v>0.95546938095231493</v>
      </c>
    </row>
    <row r="828" spans="1:35" ht="12.6">
      <c r="A828" s="10" t="s">
        <v>63</v>
      </c>
      <c r="B828" s="10">
        <v>97</v>
      </c>
      <c r="C828" s="10" t="s">
        <v>1513</v>
      </c>
      <c r="D828" s="388">
        <v>45023</v>
      </c>
      <c r="E828" s="389">
        <v>45023</v>
      </c>
      <c r="F828" s="390" t="str">
        <f t="shared" si="15"/>
        <v>Other</v>
      </c>
      <c r="G828" s="135">
        <v>2.6676256567957399E-2</v>
      </c>
      <c r="H828" s="135">
        <v>2.52631622165756E-2</v>
      </c>
      <c r="I828" s="135">
        <v>2.4586587658058701E-2</v>
      </c>
      <c r="J828" s="135">
        <v>2.41099676176709E-2</v>
      </c>
      <c r="K828" s="135">
        <v>2.4251081537013601E-2</v>
      </c>
      <c r="L828" s="135">
        <v>2.5707331168557002E-2</v>
      </c>
      <c r="M828" s="135">
        <v>3.5487783389631301E-2</v>
      </c>
      <c r="N828" s="135">
        <v>4.0154083659836699E-2</v>
      </c>
      <c r="O828" s="135">
        <v>3.8265874241609502E-2</v>
      </c>
      <c r="P828" s="135">
        <v>3.7832665130905503E-2</v>
      </c>
      <c r="Q828" s="135">
        <v>4.0430374424496499E-2</v>
      </c>
      <c r="R828" s="135">
        <v>4.1961541939891898E-2</v>
      </c>
      <c r="S828" s="135">
        <v>4.3805545698623098E-2</v>
      </c>
      <c r="T828" s="135">
        <v>4.4218763331982797E-2</v>
      </c>
      <c r="U828" s="135">
        <v>4.3891384413338903E-2</v>
      </c>
      <c r="V828" s="135">
        <v>4.1844945889229997E-2</v>
      </c>
      <c r="W828" s="135">
        <v>4.0612066058762303E-2</v>
      </c>
      <c r="X828" s="135">
        <v>4.6616937789524297E-2</v>
      </c>
      <c r="Y828" s="135">
        <v>5.51615909211998E-2</v>
      </c>
      <c r="Z828" s="135">
        <v>6.3725316407100496E-2</v>
      </c>
      <c r="AA828" s="135">
        <v>6.4115678608094695E-2</v>
      </c>
      <c r="AB828" s="135">
        <v>5.4868524985678097E-2</v>
      </c>
      <c r="AC828" s="135">
        <v>4.0999771236056602E-2</v>
      </c>
      <c r="AD828" s="135">
        <v>3.08821460605192E-2</v>
      </c>
      <c r="AF828" s="243">
        <f t="shared" si="16"/>
        <v>0.29676462175632545</v>
      </c>
      <c r="AG828" s="275">
        <f t="shared" si="17"/>
        <v>0.47233679284397745</v>
      </c>
      <c r="AH828" s="391">
        <f t="shared" si="18"/>
        <v>0.48313258810833748</v>
      </c>
      <c r="AI828" s="135">
        <f t="shared" si="19"/>
        <v>0.95546938095231493</v>
      </c>
    </row>
    <row r="829" spans="1:35" ht="12.6">
      <c r="A829" s="10" t="s">
        <v>63</v>
      </c>
      <c r="B829" s="10">
        <v>98</v>
      </c>
      <c r="C829" s="10" t="s">
        <v>1513</v>
      </c>
      <c r="D829" s="388">
        <v>45024</v>
      </c>
      <c r="E829" s="389">
        <v>45024</v>
      </c>
      <c r="F829" s="390" t="str">
        <f t="shared" si="15"/>
        <v>Other</v>
      </c>
      <c r="G829" s="135">
        <v>2.9581905760173301E-2</v>
      </c>
      <c r="H829" s="135">
        <v>2.5846863416031301E-2</v>
      </c>
      <c r="I829" s="135">
        <v>2.4433190210176502E-2</v>
      </c>
      <c r="J829" s="135">
        <v>2.3629395940015799E-2</v>
      </c>
      <c r="K829" s="135">
        <v>2.4118169501963799E-2</v>
      </c>
      <c r="L829" s="135">
        <v>2.48817253394551E-2</v>
      </c>
      <c r="M829" s="135">
        <v>3.0116465792275199E-2</v>
      </c>
      <c r="N829" s="135">
        <v>3.8794095671866098E-2</v>
      </c>
      <c r="O829" s="135">
        <v>3.8625300418055099E-2</v>
      </c>
      <c r="P829" s="135">
        <v>4.1162625827875297E-2</v>
      </c>
      <c r="Q829" s="135">
        <v>4.6107833916895297E-2</v>
      </c>
      <c r="R829" s="135">
        <v>4.87624049833413E-2</v>
      </c>
      <c r="S829" s="135">
        <v>4.8358101764359597E-2</v>
      </c>
      <c r="T829" s="135">
        <v>4.9789836051873503E-2</v>
      </c>
      <c r="U829" s="135">
        <v>5.1432357045753899E-2</v>
      </c>
      <c r="V829" s="135">
        <v>5.1122607077058103E-2</v>
      </c>
      <c r="W829" s="135">
        <v>4.97430910899977E-2</v>
      </c>
      <c r="X829" s="135">
        <v>5.1757286160907003E-2</v>
      </c>
      <c r="Y829" s="135">
        <v>5.7811372164669902E-2</v>
      </c>
      <c r="Z829" s="135">
        <v>6.3341387776554597E-2</v>
      </c>
      <c r="AA829" s="135">
        <v>6.23430570424564E-2</v>
      </c>
      <c r="AB829" s="135">
        <v>5.3189571453664299E-2</v>
      </c>
      <c r="AC829" s="135">
        <v>4.0728742355680102E-2</v>
      </c>
      <c r="AD829" s="135">
        <v>3.3094900847490102E-2</v>
      </c>
      <c r="AF829" s="243">
        <f t="shared" si="16"/>
        <v>0.3453162319292794</v>
      </c>
      <c r="AG829" s="275">
        <f t="shared" si="17"/>
        <v>0.5068773521923039</v>
      </c>
      <c r="AH829" s="391">
        <f t="shared" si="18"/>
        <v>0.50189493541628527</v>
      </c>
      <c r="AI829" s="135">
        <f t="shared" si="19"/>
        <v>1.0087722876085892</v>
      </c>
    </row>
    <row r="830" spans="1:35" ht="12.6">
      <c r="A830" s="10" t="s">
        <v>63</v>
      </c>
      <c r="B830" s="10">
        <v>99</v>
      </c>
      <c r="C830" s="10" t="s">
        <v>1513</v>
      </c>
      <c r="D830" s="388">
        <v>45025</v>
      </c>
      <c r="E830" s="389">
        <v>45025</v>
      </c>
      <c r="F830" s="390" t="str">
        <f t="shared" si="15"/>
        <v>Other</v>
      </c>
      <c r="G830" s="135">
        <v>2.9581905760173301E-2</v>
      </c>
      <c r="H830" s="135">
        <v>2.5846863416031301E-2</v>
      </c>
      <c r="I830" s="135">
        <v>2.4433190210176502E-2</v>
      </c>
      <c r="J830" s="135">
        <v>2.3629395940015799E-2</v>
      </c>
      <c r="K830" s="135">
        <v>2.4118169501963799E-2</v>
      </c>
      <c r="L830" s="135">
        <v>2.48817253394551E-2</v>
      </c>
      <c r="M830" s="135">
        <v>3.0116465792275199E-2</v>
      </c>
      <c r="N830" s="135">
        <v>3.8794095671866098E-2</v>
      </c>
      <c r="O830" s="135">
        <v>3.8625300418055099E-2</v>
      </c>
      <c r="P830" s="135">
        <v>4.1162625827875297E-2</v>
      </c>
      <c r="Q830" s="135">
        <v>4.6107833916895297E-2</v>
      </c>
      <c r="R830" s="135">
        <v>4.87624049833413E-2</v>
      </c>
      <c r="S830" s="135">
        <v>4.8358101764359597E-2</v>
      </c>
      <c r="T830" s="135">
        <v>4.9789836051873503E-2</v>
      </c>
      <c r="U830" s="135">
        <v>5.1432357045753899E-2</v>
      </c>
      <c r="V830" s="135">
        <v>5.1122607077058103E-2</v>
      </c>
      <c r="W830" s="135">
        <v>4.97430910899977E-2</v>
      </c>
      <c r="X830" s="135">
        <v>5.1757286160907003E-2</v>
      </c>
      <c r="Y830" s="135">
        <v>5.7811372164669902E-2</v>
      </c>
      <c r="Z830" s="135">
        <v>6.3341387776554597E-2</v>
      </c>
      <c r="AA830" s="135">
        <v>6.23430570424564E-2</v>
      </c>
      <c r="AB830" s="135">
        <v>5.3189571453664299E-2</v>
      </c>
      <c r="AC830" s="135">
        <v>4.0728742355680102E-2</v>
      </c>
      <c r="AD830" s="135">
        <v>3.3094900847490102E-2</v>
      </c>
      <c r="AF830" s="243">
        <f t="shared" si="16"/>
        <v>0.3453162319292794</v>
      </c>
      <c r="AG830" s="275">
        <f t="shared" si="17"/>
        <v>0.5068773521923039</v>
      </c>
      <c r="AH830" s="391">
        <f t="shared" si="18"/>
        <v>0.50189493541628527</v>
      </c>
      <c r="AI830" s="135">
        <f t="shared" si="19"/>
        <v>1.0087722876085892</v>
      </c>
    </row>
    <row r="831" spans="1:35" ht="12.6">
      <c r="A831" s="10" t="s">
        <v>63</v>
      </c>
      <c r="B831" s="10">
        <v>100</v>
      </c>
      <c r="C831" s="10" t="s">
        <v>1513</v>
      </c>
      <c r="D831" s="388">
        <v>45026</v>
      </c>
      <c r="E831" s="389">
        <v>45026</v>
      </c>
      <c r="F831" s="390" t="str">
        <f t="shared" si="15"/>
        <v>Other</v>
      </c>
      <c r="G831" s="135">
        <v>2.6676256567957399E-2</v>
      </c>
      <c r="H831" s="135">
        <v>2.52631622165756E-2</v>
      </c>
      <c r="I831" s="135">
        <v>2.4586587658058701E-2</v>
      </c>
      <c r="J831" s="135">
        <v>2.41099676176709E-2</v>
      </c>
      <c r="K831" s="135">
        <v>2.4251081537013601E-2</v>
      </c>
      <c r="L831" s="135">
        <v>2.5707331168557002E-2</v>
      </c>
      <c r="M831" s="135">
        <v>3.5487783389631301E-2</v>
      </c>
      <c r="N831" s="135">
        <v>4.0154083659836699E-2</v>
      </c>
      <c r="O831" s="135">
        <v>3.8265874241609502E-2</v>
      </c>
      <c r="P831" s="135">
        <v>3.7832665130905503E-2</v>
      </c>
      <c r="Q831" s="135">
        <v>4.0430374424496499E-2</v>
      </c>
      <c r="R831" s="135">
        <v>4.1961541939891898E-2</v>
      </c>
      <c r="S831" s="135">
        <v>4.3805545698623098E-2</v>
      </c>
      <c r="T831" s="135">
        <v>4.4218763331982797E-2</v>
      </c>
      <c r="U831" s="135">
        <v>4.3891384413338903E-2</v>
      </c>
      <c r="V831" s="135">
        <v>4.1844945889229997E-2</v>
      </c>
      <c r="W831" s="135">
        <v>4.0612066058762303E-2</v>
      </c>
      <c r="X831" s="135">
        <v>4.6616937789524297E-2</v>
      </c>
      <c r="Y831" s="135">
        <v>5.51615909211998E-2</v>
      </c>
      <c r="Z831" s="135">
        <v>6.3725316407100496E-2</v>
      </c>
      <c r="AA831" s="135">
        <v>6.4115678608094695E-2</v>
      </c>
      <c r="AB831" s="135">
        <v>5.4868524985678097E-2</v>
      </c>
      <c r="AC831" s="135">
        <v>4.0999771236056602E-2</v>
      </c>
      <c r="AD831" s="135">
        <v>3.08821460605192E-2</v>
      </c>
      <c r="AF831" s="243">
        <f t="shared" si="16"/>
        <v>0.29676462175632545</v>
      </c>
      <c r="AG831" s="275">
        <f t="shared" si="17"/>
        <v>0.47233679284397745</v>
      </c>
      <c r="AH831" s="391">
        <f t="shared" si="18"/>
        <v>0.48313258810833748</v>
      </c>
      <c r="AI831" s="135">
        <f t="shared" si="19"/>
        <v>0.95546938095231493</v>
      </c>
    </row>
    <row r="832" spans="1:35" ht="12.6">
      <c r="A832" s="10" t="s">
        <v>63</v>
      </c>
      <c r="B832" s="10">
        <v>101</v>
      </c>
      <c r="C832" s="10" t="s">
        <v>1513</v>
      </c>
      <c r="D832" s="388">
        <v>45027</v>
      </c>
      <c r="E832" s="389">
        <v>45027</v>
      </c>
      <c r="F832" s="390" t="str">
        <f t="shared" si="15"/>
        <v>Other</v>
      </c>
      <c r="G832" s="135">
        <v>2.6676256567957399E-2</v>
      </c>
      <c r="H832" s="135">
        <v>2.52631622165756E-2</v>
      </c>
      <c r="I832" s="135">
        <v>2.4586587658058701E-2</v>
      </c>
      <c r="J832" s="135">
        <v>2.41099676176709E-2</v>
      </c>
      <c r="K832" s="135">
        <v>2.4251081537013601E-2</v>
      </c>
      <c r="L832" s="135">
        <v>2.5707331168557002E-2</v>
      </c>
      <c r="M832" s="135">
        <v>3.5487783389631301E-2</v>
      </c>
      <c r="N832" s="135">
        <v>4.0154083659836699E-2</v>
      </c>
      <c r="O832" s="135">
        <v>3.8265874241609502E-2</v>
      </c>
      <c r="P832" s="135">
        <v>3.7832665130905503E-2</v>
      </c>
      <c r="Q832" s="135">
        <v>4.0430374424496499E-2</v>
      </c>
      <c r="R832" s="135">
        <v>4.1961541939891898E-2</v>
      </c>
      <c r="S832" s="135">
        <v>4.3805545698623098E-2</v>
      </c>
      <c r="T832" s="135">
        <v>4.4218763331982797E-2</v>
      </c>
      <c r="U832" s="135">
        <v>4.3891384413338903E-2</v>
      </c>
      <c r="V832" s="135">
        <v>4.1844945889229997E-2</v>
      </c>
      <c r="W832" s="135">
        <v>4.0612066058762303E-2</v>
      </c>
      <c r="X832" s="135">
        <v>4.6616937789524297E-2</v>
      </c>
      <c r="Y832" s="135">
        <v>5.51615909211998E-2</v>
      </c>
      <c r="Z832" s="135">
        <v>6.3725316407100496E-2</v>
      </c>
      <c r="AA832" s="135">
        <v>6.4115678608094695E-2</v>
      </c>
      <c r="AB832" s="135">
        <v>5.4868524985678097E-2</v>
      </c>
      <c r="AC832" s="135">
        <v>4.0999771236056602E-2</v>
      </c>
      <c r="AD832" s="135">
        <v>3.08821460605192E-2</v>
      </c>
      <c r="AF832" s="243">
        <f t="shared" si="16"/>
        <v>0.29676462175632545</v>
      </c>
      <c r="AG832" s="275">
        <f t="shared" si="17"/>
        <v>0.47233679284397745</v>
      </c>
      <c r="AH832" s="391">
        <f t="shared" si="18"/>
        <v>0.48313258810833748</v>
      </c>
      <c r="AI832" s="135">
        <f t="shared" si="19"/>
        <v>0.95546938095231493</v>
      </c>
    </row>
    <row r="833" spans="1:35" ht="12.6">
      <c r="A833" s="10" t="s">
        <v>63</v>
      </c>
      <c r="B833" s="10">
        <v>102</v>
      </c>
      <c r="C833" s="10" t="s">
        <v>1513</v>
      </c>
      <c r="D833" s="388">
        <v>45028</v>
      </c>
      <c r="E833" s="389">
        <v>45028</v>
      </c>
      <c r="F833" s="390" t="str">
        <f t="shared" si="15"/>
        <v>Other</v>
      </c>
      <c r="G833" s="135">
        <v>2.6676256567957399E-2</v>
      </c>
      <c r="H833" s="135">
        <v>2.52631622165756E-2</v>
      </c>
      <c r="I833" s="135">
        <v>2.4586587658058701E-2</v>
      </c>
      <c r="J833" s="135">
        <v>2.41099676176709E-2</v>
      </c>
      <c r="K833" s="135">
        <v>2.4251081537013601E-2</v>
      </c>
      <c r="L833" s="135">
        <v>2.5707331168557002E-2</v>
      </c>
      <c r="M833" s="135">
        <v>3.5487783389631301E-2</v>
      </c>
      <c r="N833" s="135">
        <v>4.0154083659836699E-2</v>
      </c>
      <c r="O833" s="135">
        <v>3.8265874241609502E-2</v>
      </c>
      <c r="P833" s="135">
        <v>3.7832665130905503E-2</v>
      </c>
      <c r="Q833" s="135">
        <v>4.0430374424496499E-2</v>
      </c>
      <c r="R833" s="135">
        <v>4.1961541939891898E-2</v>
      </c>
      <c r="S833" s="135">
        <v>4.3805545698623098E-2</v>
      </c>
      <c r="T833" s="135">
        <v>4.4218763331982797E-2</v>
      </c>
      <c r="U833" s="135">
        <v>4.3891384413338903E-2</v>
      </c>
      <c r="V833" s="135">
        <v>4.1844945889229997E-2</v>
      </c>
      <c r="W833" s="135">
        <v>4.0612066058762303E-2</v>
      </c>
      <c r="X833" s="135">
        <v>4.6616937789524297E-2</v>
      </c>
      <c r="Y833" s="135">
        <v>5.51615909211998E-2</v>
      </c>
      <c r="Z833" s="135">
        <v>6.3725316407100496E-2</v>
      </c>
      <c r="AA833" s="135">
        <v>6.4115678608094695E-2</v>
      </c>
      <c r="AB833" s="135">
        <v>5.4868524985678097E-2</v>
      </c>
      <c r="AC833" s="135">
        <v>4.0999771236056602E-2</v>
      </c>
      <c r="AD833" s="135">
        <v>3.08821460605192E-2</v>
      </c>
      <c r="AF833" s="243">
        <f t="shared" si="16"/>
        <v>0.29676462175632545</v>
      </c>
      <c r="AG833" s="275">
        <f t="shared" si="17"/>
        <v>0.47233679284397745</v>
      </c>
      <c r="AH833" s="391">
        <f t="shared" si="18"/>
        <v>0.48313258810833748</v>
      </c>
      <c r="AI833" s="135">
        <f t="shared" si="19"/>
        <v>0.95546938095231493</v>
      </c>
    </row>
    <row r="834" spans="1:35" ht="12.6">
      <c r="A834" s="10" t="s">
        <v>63</v>
      </c>
      <c r="B834" s="10">
        <v>103</v>
      </c>
      <c r="C834" s="10" t="s">
        <v>1513</v>
      </c>
      <c r="D834" s="388">
        <v>45029</v>
      </c>
      <c r="E834" s="389">
        <v>45029</v>
      </c>
      <c r="F834" s="390" t="str">
        <f t="shared" si="15"/>
        <v>Other</v>
      </c>
      <c r="G834" s="135">
        <v>2.6676256567957399E-2</v>
      </c>
      <c r="H834" s="135">
        <v>2.52631622165756E-2</v>
      </c>
      <c r="I834" s="135">
        <v>2.4586587658058701E-2</v>
      </c>
      <c r="J834" s="135">
        <v>2.41099676176709E-2</v>
      </c>
      <c r="K834" s="135">
        <v>2.4251081537013601E-2</v>
      </c>
      <c r="L834" s="135">
        <v>2.5707331168557002E-2</v>
      </c>
      <c r="M834" s="135">
        <v>3.5487783389631301E-2</v>
      </c>
      <c r="N834" s="135">
        <v>4.0154083659836699E-2</v>
      </c>
      <c r="O834" s="135">
        <v>3.8265874241609502E-2</v>
      </c>
      <c r="P834" s="135">
        <v>3.7832665130905503E-2</v>
      </c>
      <c r="Q834" s="135">
        <v>4.0430374424496499E-2</v>
      </c>
      <c r="R834" s="135">
        <v>4.1961541939891898E-2</v>
      </c>
      <c r="S834" s="135">
        <v>4.3805545698623098E-2</v>
      </c>
      <c r="T834" s="135">
        <v>4.4218763331982797E-2</v>
      </c>
      <c r="U834" s="135">
        <v>4.3891384413338903E-2</v>
      </c>
      <c r="V834" s="135">
        <v>4.1844945889229997E-2</v>
      </c>
      <c r="W834" s="135">
        <v>4.0612066058762303E-2</v>
      </c>
      <c r="X834" s="135">
        <v>4.6616937789524297E-2</v>
      </c>
      <c r="Y834" s="135">
        <v>5.51615909211998E-2</v>
      </c>
      <c r="Z834" s="135">
        <v>6.3725316407100496E-2</v>
      </c>
      <c r="AA834" s="135">
        <v>6.4115678608094695E-2</v>
      </c>
      <c r="AB834" s="135">
        <v>5.4868524985678097E-2</v>
      </c>
      <c r="AC834" s="135">
        <v>4.0999771236056602E-2</v>
      </c>
      <c r="AD834" s="135">
        <v>3.08821460605192E-2</v>
      </c>
      <c r="AF834" s="243">
        <f t="shared" si="16"/>
        <v>0.29676462175632545</v>
      </c>
      <c r="AG834" s="275">
        <f t="shared" si="17"/>
        <v>0.47233679284397745</v>
      </c>
      <c r="AH834" s="391">
        <f t="shared" si="18"/>
        <v>0.48313258810833748</v>
      </c>
      <c r="AI834" s="135">
        <f t="shared" si="19"/>
        <v>0.95546938095231493</v>
      </c>
    </row>
    <row r="835" spans="1:35" ht="12.6">
      <c r="A835" s="10" t="s">
        <v>63</v>
      </c>
      <c r="B835" s="10">
        <v>104</v>
      </c>
      <c r="C835" s="10" t="s">
        <v>1513</v>
      </c>
      <c r="D835" s="388">
        <v>45030</v>
      </c>
      <c r="E835" s="389">
        <v>45030</v>
      </c>
      <c r="F835" s="390" t="str">
        <f t="shared" si="15"/>
        <v>Other</v>
      </c>
      <c r="G835" s="135">
        <v>2.6676256567957399E-2</v>
      </c>
      <c r="H835" s="135">
        <v>2.52631622165756E-2</v>
      </c>
      <c r="I835" s="135">
        <v>2.4586587658058701E-2</v>
      </c>
      <c r="J835" s="135">
        <v>2.41099676176709E-2</v>
      </c>
      <c r="K835" s="135">
        <v>2.4251081537013601E-2</v>
      </c>
      <c r="L835" s="135">
        <v>2.5707331168557002E-2</v>
      </c>
      <c r="M835" s="135">
        <v>3.5487783389631301E-2</v>
      </c>
      <c r="N835" s="135">
        <v>4.0154083659836699E-2</v>
      </c>
      <c r="O835" s="135">
        <v>3.8265874241609502E-2</v>
      </c>
      <c r="P835" s="135">
        <v>3.7832665130905503E-2</v>
      </c>
      <c r="Q835" s="135">
        <v>4.0430374424496499E-2</v>
      </c>
      <c r="R835" s="135">
        <v>4.1961541939891898E-2</v>
      </c>
      <c r="S835" s="135">
        <v>4.3805545698623098E-2</v>
      </c>
      <c r="T835" s="135">
        <v>4.4218763331982797E-2</v>
      </c>
      <c r="U835" s="135">
        <v>4.3891384413338903E-2</v>
      </c>
      <c r="V835" s="135">
        <v>4.1844945889229997E-2</v>
      </c>
      <c r="W835" s="135">
        <v>4.0612066058762303E-2</v>
      </c>
      <c r="X835" s="135">
        <v>4.6616937789524297E-2</v>
      </c>
      <c r="Y835" s="135">
        <v>5.51615909211998E-2</v>
      </c>
      <c r="Z835" s="135">
        <v>6.3725316407100496E-2</v>
      </c>
      <c r="AA835" s="135">
        <v>6.4115678608094695E-2</v>
      </c>
      <c r="AB835" s="135">
        <v>5.4868524985678097E-2</v>
      </c>
      <c r="AC835" s="135">
        <v>4.0999771236056602E-2</v>
      </c>
      <c r="AD835" s="135">
        <v>3.08821460605192E-2</v>
      </c>
      <c r="AF835" s="243">
        <f t="shared" si="16"/>
        <v>0.29676462175632545</v>
      </c>
      <c r="AG835" s="275">
        <f t="shared" si="17"/>
        <v>0.47233679284397745</v>
      </c>
      <c r="AH835" s="391">
        <f t="shared" si="18"/>
        <v>0.48313258810833748</v>
      </c>
      <c r="AI835" s="135">
        <f t="shared" si="19"/>
        <v>0.95546938095231493</v>
      </c>
    </row>
    <row r="836" spans="1:35" ht="12.6">
      <c r="A836" s="10" t="s">
        <v>63</v>
      </c>
      <c r="B836" s="10">
        <v>105</v>
      </c>
      <c r="C836" s="10" t="s">
        <v>1513</v>
      </c>
      <c r="D836" s="388">
        <v>45031</v>
      </c>
      <c r="E836" s="389">
        <v>45031</v>
      </c>
      <c r="F836" s="390" t="str">
        <f t="shared" si="15"/>
        <v>Other</v>
      </c>
      <c r="G836" s="135">
        <v>2.9581905760173301E-2</v>
      </c>
      <c r="H836" s="135">
        <v>2.5846863416031301E-2</v>
      </c>
      <c r="I836" s="135">
        <v>2.4433190210176502E-2</v>
      </c>
      <c r="J836" s="135">
        <v>2.3629395940015799E-2</v>
      </c>
      <c r="K836" s="135">
        <v>2.4118169501963799E-2</v>
      </c>
      <c r="L836" s="135">
        <v>2.48817253394551E-2</v>
      </c>
      <c r="M836" s="135">
        <v>3.0116465792275199E-2</v>
      </c>
      <c r="N836" s="135">
        <v>3.8794095671866098E-2</v>
      </c>
      <c r="O836" s="135">
        <v>3.8625300418055099E-2</v>
      </c>
      <c r="P836" s="135">
        <v>4.1162625827875297E-2</v>
      </c>
      <c r="Q836" s="135">
        <v>4.6107833916895297E-2</v>
      </c>
      <c r="R836" s="135">
        <v>4.87624049833413E-2</v>
      </c>
      <c r="S836" s="135">
        <v>4.8358101764359597E-2</v>
      </c>
      <c r="T836" s="135">
        <v>4.9789836051873503E-2</v>
      </c>
      <c r="U836" s="135">
        <v>5.1432357045753899E-2</v>
      </c>
      <c r="V836" s="135">
        <v>5.1122607077058103E-2</v>
      </c>
      <c r="W836" s="135">
        <v>4.97430910899977E-2</v>
      </c>
      <c r="X836" s="135">
        <v>5.1757286160907003E-2</v>
      </c>
      <c r="Y836" s="135">
        <v>5.7811372164669902E-2</v>
      </c>
      <c r="Z836" s="135">
        <v>6.3341387776554597E-2</v>
      </c>
      <c r="AA836" s="135">
        <v>6.23430570424564E-2</v>
      </c>
      <c r="AB836" s="135">
        <v>5.3189571453664299E-2</v>
      </c>
      <c r="AC836" s="135">
        <v>4.0728742355680102E-2</v>
      </c>
      <c r="AD836" s="135">
        <v>3.3094900847490102E-2</v>
      </c>
      <c r="AF836" s="243">
        <f t="shared" si="16"/>
        <v>0.3453162319292794</v>
      </c>
      <c r="AG836" s="275">
        <f t="shared" si="17"/>
        <v>0.5068773521923039</v>
      </c>
      <c r="AH836" s="391">
        <f t="shared" si="18"/>
        <v>0.50189493541628527</v>
      </c>
      <c r="AI836" s="135">
        <f t="shared" si="19"/>
        <v>1.0087722876085892</v>
      </c>
    </row>
    <row r="837" spans="1:35" ht="12.6">
      <c r="A837" s="10" t="s">
        <v>63</v>
      </c>
      <c r="B837" s="10">
        <v>106</v>
      </c>
      <c r="C837" s="10" t="s">
        <v>1513</v>
      </c>
      <c r="D837" s="388">
        <v>45032</v>
      </c>
      <c r="E837" s="389">
        <v>45032</v>
      </c>
      <c r="F837" s="390" t="str">
        <f t="shared" si="15"/>
        <v>Other</v>
      </c>
      <c r="G837" s="135">
        <v>2.9581905760173301E-2</v>
      </c>
      <c r="H837" s="135">
        <v>2.5846863416031301E-2</v>
      </c>
      <c r="I837" s="135">
        <v>2.4433190210176502E-2</v>
      </c>
      <c r="J837" s="135">
        <v>2.3629395940015799E-2</v>
      </c>
      <c r="K837" s="135">
        <v>2.4118169501963799E-2</v>
      </c>
      <c r="L837" s="135">
        <v>2.48817253394551E-2</v>
      </c>
      <c r="M837" s="135">
        <v>3.0116465792275199E-2</v>
      </c>
      <c r="N837" s="135">
        <v>3.8794095671866098E-2</v>
      </c>
      <c r="O837" s="135">
        <v>3.8625300418055099E-2</v>
      </c>
      <c r="P837" s="135">
        <v>4.1162625827875297E-2</v>
      </c>
      <c r="Q837" s="135">
        <v>4.6107833916895297E-2</v>
      </c>
      <c r="R837" s="135">
        <v>4.87624049833413E-2</v>
      </c>
      <c r="S837" s="135">
        <v>4.8358101764359597E-2</v>
      </c>
      <c r="T837" s="135">
        <v>4.9789836051873503E-2</v>
      </c>
      <c r="U837" s="135">
        <v>5.1432357045753899E-2</v>
      </c>
      <c r="V837" s="135">
        <v>5.1122607077058103E-2</v>
      </c>
      <c r="W837" s="135">
        <v>4.97430910899977E-2</v>
      </c>
      <c r="X837" s="135">
        <v>5.1757286160907003E-2</v>
      </c>
      <c r="Y837" s="135">
        <v>5.7811372164669902E-2</v>
      </c>
      <c r="Z837" s="135">
        <v>6.3341387776554597E-2</v>
      </c>
      <c r="AA837" s="135">
        <v>6.23430570424564E-2</v>
      </c>
      <c r="AB837" s="135">
        <v>5.3189571453664299E-2</v>
      </c>
      <c r="AC837" s="135">
        <v>4.0728742355680102E-2</v>
      </c>
      <c r="AD837" s="135">
        <v>3.3094900847490102E-2</v>
      </c>
      <c r="AF837" s="243">
        <f t="shared" si="16"/>
        <v>0.3453162319292794</v>
      </c>
      <c r="AG837" s="275">
        <f t="shared" si="17"/>
        <v>0.5068773521923039</v>
      </c>
      <c r="AH837" s="391">
        <f t="shared" si="18"/>
        <v>0.50189493541628527</v>
      </c>
      <c r="AI837" s="135">
        <f t="shared" si="19"/>
        <v>1.0087722876085892</v>
      </c>
    </row>
    <row r="838" spans="1:35" ht="12.6">
      <c r="A838" s="10" t="s">
        <v>63</v>
      </c>
      <c r="B838" s="10">
        <v>107</v>
      </c>
      <c r="C838" s="10" t="s">
        <v>1513</v>
      </c>
      <c r="D838" s="388">
        <v>45033</v>
      </c>
      <c r="E838" s="389">
        <v>45033</v>
      </c>
      <c r="F838" s="390" t="str">
        <f t="shared" si="15"/>
        <v>Other</v>
      </c>
      <c r="G838" s="135">
        <v>2.6676256567957399E-2</v>
      </c>
      <c r="H838" s="135">
        <v>2.52631622165756E-2</v>
      </c>
      <c r="I838" s="135">
        <v>2.4586587658058701E-2</v>
      </c>
      <c r="J838" s="135">
        <v>2.41099676176709E-2</v>
      </c>
      <c r="K838" s="135">
        <v>2.4251081537013601E-2</v>
      </c>
      <c r="L838" s="135">
        <v>2.5707331168557002E-2</v>
      </c>
      <c r="M838" s="135">
        <v>3.5487783389631301E-2</v>
      </c>
      <c r="N838" s="135">
        <v>4.0154083659836699E-2</v>
      </c>
      <c r="O838" s="135">
        <v>3.8265874241609502E-2</v>
      </c>
      <c r="P838" s="135">
        <v>3.7832665130905503E-2</v>
      </c>
      <c r="Q838" s="135">
        <v>4.0430374424496499E-2</v>
      </c>
      <c r="R838" s="135">
        <v>4.1961541939891898E-2</v>
      </c>
      <c r="S838" s="135">
        <v>4.3805545698623098E-2</v>
      </c>
      <c r="T838" s="135">
        <v>4.4218763331982797E-2</v>
      </c>
      <c r="U838" s="135">
        <v>4.3891384413338903E-2</v>
      </c>
      <c r="V838" s="135">
        <v>4.1844945889229997E-2</v>
      </c>
      <c r="W838" s="135">
        <v>4.0612066058762303E-2</v>
      </c>
      <c r="X838" s="135">
        <v>4.6616937789524297E-2</v>
      </c>
      <c r="Y838" s="135">
        <v>5.51615909211998E-2</v>
      </c>
      <c r="Z838" s="135">
        <v>6.3725316407100496E-2</v>
      </c>
      <c r="AA838" s="135">
        <v>6.4115678608094695E-2</v>
      </c>
      <c r="AB838" s="135">
        <v>5.4868524985678097E-2</v>
      </c>
      <c r="AC838" s="135">
        <v>4.0999771236056602E-2</v>
      </c>
      <c r="AD838" s="135">
        <v>3.08821460605192E-2</v>
      </c>
      <c r="AF838" s="243">
        <f t="shared" si="16"/>
        <v>0.29676462175632545</v>
      </c>
      <c r="AG838" s="275">
        <f t="shared" si="17"/>
        <v>0.47233679284397745</v>
      </c>
      <c r="AH838" s="391">
        <f t="shared" si="18"/>
        <v>0.48313258810833748</v>
      </c>
      <c r="AI838" s="135">
        <f t="shared" si="19"/>
        <v>0.95546938095231493</v>
      </c>
    </row>
    <row r="839" spans="1:35" ht="12.6">
      <c r="A839" s="10" t="s">
        <v>63</v>
      </c>
      <c r="B839" s="10">
        <v>108</v>
      </c>
      <c r="C839" s="10" t="s">
        <v>1513</v>
      </c>
      <c r="D839" s="388">
        <v>45034</v>
      </c>
      <c r="E839" s="389">
        <v>45034</v>
      </c>
      <c r="F839" s="390" t="str">
        <f t="shared" si="15"/>
        <v>Other</v>
      </c>
      <c r="G839" s="135">
        <v>2.6676256567957399E-2</v>
      </c>
      <c r="H839" s="135">
        <v>2.52631622165756E-2</v>
      </c>
      <c r="I839" s="135">
        <v>2.4586587658058701E-2</v>
      </c>
      <c r="J839" s="135">
        <v>2.41099676176709E-2</v>
      </c>
      <c r="K839" s="135">
        <v>2.4251081537013601E-2</v>
      </c>
      <c r="L839" s="135">
        <v>2.5707331168557002E-2</v>
      </c>
      <c r="M839" s="135">
        <v>3.5487783389631301E-2</v>
      </c>
      <c r="N839" s="135">
        <v>4.0154083659836699E-2</v>
      </c>
      <c r="O839" s="135">
        <v>3.8265874241609502E-2</v>
      </c>
      <c r="P839" s="135">
        <v>3.7832665130905503E-2</v>
      </c>
      <c r="Q839" s="135">
        <v>4.0430374424496499E-2</v>
      </c>
      <c r="R839" s="135">
        <v>4.1961541939891898E-2</v>
      </c>
      <c r="S839" s="135">
        <v>4.3805545698623098E-2</v>
      </c>
      <c r="T839" s="135">
        <v>4.4218763331982797E-2</v>
      </c>
      <c r="U839" s="135">
        <v>4.3891384413338903E-2</v>
      </c>
      <c r="V839" s="135">
        <v>4.1844945889229997E-2</v>
      </c>
      <c r="W839" s="135">
        <v>4.0612066058762303E-2</v>
      </c>
      <c r="X839" s="135">
        <v>4.6616937789524297E-2</v>
      </c>
      <c r="Y839" s="135">
        <v>5.51615909211998E-2</v>
      </c>
      <c r="Z839" s="135">
        <v>6.3725316407100496E-2</v>
      </c>
      <c r="AA839" s="135">
        <v>6.4115678608094695E-2</v>
      </c>
      <c r="AB839" s="135">
        <v>5.4868524985678097E-2</v>
      </c>
      <c r="AC839" s="135">
        <v>4.0999771236056602E-2</v>
      </c>
      <c r="AD839" s="135">
        <v>3.08821460605192E-2</v>
      </c>
      <c r="AF839" s="243">
        <f t="shared" si="16"/>
        <v>0.29676462175632545</v>
      </c>
      <c r="AG839" s="275">
        <f t="shared" si="17"/>
        <v>0.47233679284397745</v>
      </c>
      <c r="AH839" s="391">
        <f t="shared" si="18"/>
        <v>0.48313258810833748</v>
      </c>
      <c r="AI839" s="135">
        <f t="shared" si="19"/>
        <v>0.95546938095231493</v>
      </c>
    </row>
    <row r="840" spans="1:35" ht="12.6">
      <c r="A840" s="10" t="s">
        <v>63</v>
      </c>
      <c r="B840" s="10">
        <v>109</v>
      </c>
      <c r="C840" s="10" t="s">
        <v>1513</v>
      </c>
      <c r="D840" s="388">
        <v>45035</v>
      </c>
      <c r="E840" s="389">
        <v>45035</v>
      </c>
      <c r="F840" s="390" t="str">
        <f t="shared" si="15"/>
        <v>Other</v>
      </c>
      <c r="G840" s="135">
        <v>2.6676256567957399E-2</v>
      </c>
      <c r="H840" s="135">
        <v>2.52631622165756E-2</v>
      </c>
      <c r="I840" s="135">
        <v>2.4586587658058701E-2</v>
      </c>
      <c r="J840" s="135">
        <v>2.41099676176709E-2</v>
      </c>
      <c r="K840" s="135">
        <v>2.4251081537013601E-2</v>
      </c>
      <c r="L840" s="135">
        <v>2.5707331168557002E-2</v>
      </c>
      <c r="M840" s="135">
        <v>3.5487783389631301E-2</v>
      </c>
      <c r="N840" s="135">
        <v>4.0154083659836699E-2</v>
      </c>
      <c r="O840" s="135">
        <v>3.8265874241609502E-2</v>
      </c>
      <c r="P840" s="135">
        <v>3.7832665130905503E-2</v>
      </c>
      <c r="Q840" s="135">
        <v>4.0430374424496499E-2</v>
      </c>
      <c r="R840" s="135">
        <v>4.1961541939891898E-2</v>
      </c>
      <c r="S840" s="135">
        <v>4.3805545698623098E-2</v>
      </c>
      <c r="T840" s="135">
        <v>4.4218763331982797E-2</v>
      </c>
      <c r="U840" s="135">
        <v>4.3891384413338903E-2</v>
      </c>
      <c r="V840" s="135">
        <v>4.1844945889229997E-2</v>
      </c>
      <c r="W840" s="135">
        <v>4.0612066058762303E-2</v>
      </c>
      <c r="X840" s="135">
        <v>4.6616937789524297E-2</v>
      </c>
      <c r="Y840" s="135">
        <v>5.51615909211998E-2</v>
      </c>
      <c r="Z840" s="135">
        <v>6.3725316407100496E-2</v>
      </c>
      <c r="AA840" s="135">
        <v>6.4115678608094695E-2</v>
      </c>
      <c r="AB840" s="135">
        <v>5.4868524985678097E-2</v>
      </c>
      <c r="AC840" s="135">
        <v>4.0999771236056602E-2</v>
      </c>
      <c r="AD840" s="135">
        <v>3.08821460605192E-2</v>
      </c>
      <c r="AF840" s="243">
        <f t="shared" si="16"/>
        <v>0.29676462175632545</v>
      </c>
      <c r="AG840" s="275">
        <f t="shared" si="17"/>
        <v>0.47233679284397745</v>
      </c>
      <c r="AH840" s="391">
        <f t="shared" si="18"/>
        <v>0.48313258810833748</v>
      </c>
      <c r="AI840" s="135">
        <f t="shared" si="19"/>
        <v>0.95546938095231493</v>
      </c>
    </row>
    <row r="841" spans="1:35" ht="12.6">
      <c r="A841" s="10" t="s">
        <v>63</v>
      </c>
      <c r="B841" s="10">
        <v>110</v>
      </c>
      <c r="C841" s="10" t="s">
        <v>1513</v>
      </c>
      <c r="D841" s="388">
        <v>45036</v>
      </c>
      <c r="E841" s="389">
        <v>45036</v>
      </c>
      <c r="F841" s="390" t="str">
        <f t="shared" si="15"/>
        <v>Other</v>
      </c>
      <c r="G841" s="135">
        <v>2.6676256567957399E-2</v>
      </c>
      <c r="H841" s="135">
        <v>2.52631622165756E-2</v>
      </c>
      <c r="I841" s="135">
        <v>2.4586587658058701E-2</v>
      </c>
      <c r="J841" s="135">
        <v>2.41099676176709E-2</v>
      </c>
      <c r="K841" s="135">
        <v>2.4251081537013601E-2</v>
      </c>
      <c r="L841" s="135">
        <v>2.5707331168557002E-2</v>
      </c>
      <c r="M841" s="135">
        <v>3.5487783389631301E-2</v>
      </c>
      <c r="N841" s="135">
        <v>4.0154083659836699E-2</v>
      </c>
      <c r="O841" s="135">
        <v>3.8265874241609502E-2</v>
      </c>
      <c r="P841" s="135">
        <v>3.7832665130905503E-2</v>
      </c>
      <c r="Q841" s="135">
        <v>4.0430374424496499E-2</v>
      </c>
      <c r="R841" s="135">
        <v>4.1961541939891898E-2</v>
      </c>
      <c r="S841" s="135">
        <v>4.3805545698623098E-2</v>
      </c>
      <c r="T841" s="135">
        <v>4.4218763331982797E-2</v>
      </c>
      <c r="U841" s="135">
        <v>4.3891384413338903E-2</v>
      </c>
      <c r="V841" s="135">
        <v>4.1844945889229997E-2</v>
      </c>
      <c r="W841" s="135">
        <v>4.0612066058762303E-2</v>
      </c>
      <c r="X841" s="135">
        <v>4.6616937789524297E-2</v>
      </c>
      <c r="Y841" s="135">
        <v>5.51615909211998E-2</v>
      </c>
      <c r="Z841" s="135">
        <v>6.3725316407100496E-2</v>
      </c>
      <c r="AA841" s="135">
        <v>6.4115678608094695E-2</v>
      </c>
      <c r="AB841" s="135">
        <v>5.4868524985678097E-2</v>
      </c>
      <c r="AC841" s="135">
        <v>4.0999771236056602E-2</v>
      </c>
      <c r="AD841" s="135">
        <v>3.08821460605192E-2</v>
      </c>
      <c r="AF841" s="243">
        <f t="shared" si="16"/>
        <v>0.29676462175632545</v>
      </c>
      <c r="AG841" s="275">
        <f t="shared" si="17"/>
        <v>0.47233679284397745</v>
      </c>
      <c r="AH841" s="391">
        <f t="shared" si="18"/>
        <v>0.48313258810833748</v>
      </c>
      <c r="AI841" s="135">
        <f t="shared" si="19"/>
        <v>0.95546938095231493</v>
      </c>
    </row>
    <row r="842" spans="1:35" ht="12.6">
      <c r="A842" s="10" t="s">
        <v>63</v>
      </c>
      <c r="B842" s="10">
        <v>111</v>
      </c>
      <c r="C842" s="10" t="s">
        <v>1513</v>
      </c>
      <c r="D842" s="388">
        <v>45037</v>
      </c>
      <c r="E842" s="389">
        <v>45037</v>
      </c>
      <c r="F842" s="390" t="str">
        <f t="shared" si="15"/>
        <v>Other</v>
      </c>
      <c r="G842" s="135">
        <v>2.6676256567957399E-2</v>
      </c>
      <c r="H842" s="135">
        <v>2.52631622165756E-2</v>
      </c>
      <c r="I842" s="135">
        <v>2.4586587658058701E-2</v>
      </c>
      <c r="J842" s="135">
        <v>2.41099676176709E-2</v>
      </c>
      <c r="K842" s="135">
        <v>2.4251081537013601E-2</v>
      </c>
      <c r="L842" s="135">
        <v>2.5707331168557002E-2</v>
      </c>
      <c r="M842" s="135">
        <v>3.5487783389631301E-2</v>
      </c>
      <c r="N842" s="135">
        <v>4.0154083659836699E-2</v>
      </c>
      <c r="O842" s="135">
        <v>3.8265874241609502E-2</v>
      </c>
      <c r="P842" s="135">
        <v>3.7832665130905503E-2</v>
      </c>
      <c r="Q842" s="135">
        <v>4.0430374424496499E-2</v>
      </c>
      <c r="R842" s="135">
        <v>4.1961541939891898E-2</v>
      </c>
      <c r="S842" s="135">
        <v>4.3805545698623098E-2</v>
      </c>
      <c r="T842" s="135">
        <v>4.4218763331982797E-2</v>
      </c>
      <c r="U842" s="135">
        <v>4.3891384413338903E-2</v>
      </c>
      <c r="V842" s="135">
        <v>4.1844945889229997E-2</v>
      </c>
      <c r="W842" s="135">
        <v>4.0612066058762303E-2</v>
      </c>
      <c r="X842" s="135">
        <v>4.6616937789524297E-2</v>
      </c>
      <c r="Y842" s="135">
        <v>5.51615909211998E-2</v>
      </c>
      <c r="Z842" s="135">
        <v>6.3725316407100496E-2</v>
      </c>
      <c r="AA842" s="135">
        <v>6.4115678608094695E-2</v>
      </c>
      <c r="AB842" s="135">
        <v>5.4868524985678097E-2</v>
      </c>
      <c r="AC842" s="135">
        <v>4.0999771236056602E-2</v>
      </c>
      <c r="AD842" s="135">
        <v>3.08821460605192E-2</v>
      </c>
      <c r="AF842" s="243">
        <f t="shared" si="16"/>
        <v>0.29676462175632545</v>
      </c>
      <c r="AG842" s="275">
        <f t="shared" si="17"/>
        <v>0.47233679284397745</v>
      </c>
      <c r="AH842" s="391">
        <f t="shared" si="18"/>
        <v>0.48313258810833748</v>
      </c>
      <c r="AI842" s="135">
        <f t="shared" si="19"/>
        <v>0.95546938095231493</v>
      </c>
    </row>
    <row r="843" spans="1:35" ht="12.6">
      <c r="A843" s="10" t="s">
        <v>63</v>
      </c>
      <c r="B843" s="10">
        <v>112</v>
      </c>
      <c r="C843" s="10" t="s">
        <v>1513</v>
      </c>
      <c r="D843" s="388">
        <v>45038</v>
      </c>
      <c r="E843" s="389">
        <v>45038</v>
      </c>
      <c r="F843" s="390" t="str">
        <f t="shared" si="15"/>
        <v>Other</v>
      </c>
      <c r="G843" s="135">
        <v>2.9581905760173301E-2</v>
      </c>
      <c r="H843" s="135">
        <v>2.5846863416031301E-2</v>
      </c>
      <c r="I843" s="135">
        <v>2.4433190210176502E-2</v>
      </c>
      <c r="J843" s="135">
        <v>2.3629395940015799E-2</v>
      </c>
      <c r="K843" s="135">
        <v>2.4118169501963799E-2</v>
      </c>
      <c r="L843" s="135">
        <v>2.48817253394551E-2</v>
      </c>
      <c r="M843" s="135">
        <v>3.0116465792275199E-2</v>
      </c>
      <c r="N843" s="135">
        <v>3.8794095671866098E-2</v>
      </c>
      <c r="O843" s="135">
        <v>3.8625300418055099E-2</v>
      </c>
      <c r="P843" s="135">
        <v>4.1162625827875297E-2</v>
      </c>
      <c r="Q843" s="135">
        <v>4.6107833916895297E-2</v>
      </c>
      <c r="R843" s="135">
        <v>4.87624049833413E-2</v>
      </c>
      <c r="S843" s="135">
        <v>4.8358101764359597E-2</v>
      </c>
      <c r="T843" s="135">
        <v>4.9789836051873503E-2</v>
      </c>
      <c r="U843" s="135">
        <v>5.1432357045753899E-2</v>
      </c>
      <c r="V843" s="135">
        <v>5.1122607077058103E-2</v>
      </c>
      <c r="W843" s="135">
        <v>4.97430910899977E-2</v>
      </c>
      <c r="X843" s="135">
        <v>5.1757286160907003E-2</v>
      </c>
      <c r="Y843" s="135">
        <v>5.7811372164669902E-2</v>
      </c>
      <c r="Z843" s="135">
        <v>6.3341387776554597E-2</v>
      </c>
      <c r="AA843" s="135">
        <v>6.23430570424564E-2</v>
      </c>
      <c r="AB843" s="135">
        <v>5.3189571453664299E-2</v>
      </c>
      <c r="AC843" s="135">
        <v>4.0728742355680102E-2</v>
      </c>
      <c r="AD843" s="135">
        <v>3.3094900847490102E-2</v>
      </c>
      <c r="AF843" s="243">
        <f t="shared" si="16"/>
        <v>0.3453162319292794</v>
      </c>
      <c r="AG843" s="275">
        <f t="shared" si="17"/>
        <v>0.5068773521923039</v>
      </c>
      <c r="AH843" s="391">
        <f t="shared" si="18"/>
        <v>0.50189493541628527</v>
      </c>
      <c r="AI843" s="135">
        <f t="shared" si="19"/>
        <v>1.0087722876085892</v>
      </c>
    </row>
    <row r="844" spans="1:35" ht="12.6">
      <c r="A844" s="10" t="s">
        <v>63</v>
      </c>
      <c r="B844" s="10">
        <v>113</v>
      </c>
      <c r="C844" s="10" t="s">
        <v>1513</v>
      </c>
      <c r="D844" s="388">
        <v>45039</v>
      </c>
      <c r="E844" s="389">
        <v>45039</v>
      </c>
      <c r="F844" s="390" t="str">
        <f t="shared" si="15"/>
        <v>Other</v>
      </c>
      <c r="G844" s="135">
        <v>2.9581905760173301E-2</v>
      </c>
      <c r="H844" s="135">
        <v>2.5846863416031301E-2</v>
      </c>
      <c r="I844" s="135">
        <v>2.4433190210176502E-2</v>
      </c>
      <c r="J844" s="135">
        <v>2.3629395940015799E-2</v>
      </c>
      <c r="K844" s="135">
        <v>2.4118169501963799E-2</v>
      </c>
      <c r="L844" s="135">
        <v>2.48817253394551E-2</v>
      </c>
      <c r="M844" s="135">
        <v>3.0116465792275199E-2</v>
      </c>
      <c r="N844" s="135">
        <v>3.8794095671866098E-2</v>
      </c>
      <c r="O844" s="135">
        <v>3.8625300418055099E-2</v>
      </c>
      <c r="P844" s="135">
        <v>4.1162625827875297E-2</v>
      </c>
      <c r="Q844" s="135">
        <v>4.6107833916895297E-2</v>
      </c>
      <c r="R844" s="135">
        <v>4.87624049833413E-2</v>
      </c>
      <c r="S844" s="135">
        <v>4.8358101764359597E-2</v>
      </c>
      <c r="T844" s="135">
        <v>4.9789836051873503E-2</v>
      </c>
      <c r="U844" s="135">
        <v>5.1432357045753899E-2</v>
      </c>
      <c r="V844" s="135">
        <v>5.1122607077058103E-2</v>
      </c>
      <c r="W844" s="135">
        <v>4.97430910899977E-2</v>
      </c>
      <c r="X844" s="135">
        <v>5.1757286160907003E-2</v>
      </c>
      <c r="Y844" s="135">
        <v>5.7811372164669902E-2</v>
      </c>
      <c r="Z844" s="135">
        <v>6.3341387776554597E-2</v>
      </c>
      <c r="AA844" s="135">
        <v>6.23430570424564E-2</v>
      </c>
      <c r="AB844" s="135">
        <v>5.3189571453664299E-2</v>
      </c>
      <c r="AC844" s="135">
        <v>4.0728742355680102E-2</v>
      </c>
      <c r="AD844" s="135">
        <v>3.3094900847490102E-2</v>
      </c>
      <c r="AF844" s="243">
        <f t="shared" si="16"/>
        <v>0.3453162319292794</v>
      </c>
      <c r="AG844" s="275">
        <f t="shared" si="17"/>
        <v>0.5068773521923039</v>
      </c>
      <c r="AH844" s="391">
        <f t="shared" si="18"/>
        <v>0.50189493541628527</v>
      </c>
      <c r="AI844" s="135">
        <f t="shared" si="19"/>
        <v>1.0087722876085892</v>
      </c>
    </row>
    <row r="845" spans="1:35" ht="12.6">
      <c r="A845" s="10" t="s">
        <v>63</v>
      </c>
      <c r="B845" s="10">
        <v>114</v>
      </c>
      <c r="C845" s="10" t="s">
        <v>1513</v>
      </c>
      <c r="D845" s="388">
        <v>45040</v>
      </c>
      <c r="E845" s="389">
        <v>45040</v>
      </c>
      <c r="F845" s="390" t="str">
        <f t="shared" si="15"/>
        <v>Other</v>
      </c>
      <c r="G845" s="135">
        <v>2.6676256567957399E-2</v>
      </c>
      <c r="H845" s="135">
        <v>2.52631622165756E-2</v>
      </c>
      <c r="I845" s="135">
        <v>2.4586587658058701E-2</v>
      </c>
      <c r="J845" s="135">
        <v>2.41099676176709E-2</v>
      </c>
      <c r="K845" s="135">
        <v>2.4251081537013601E-2</v>
      </c>
      <c r="L845" s="135">
        <v>2.5707331168557002E-2</v>
      </c>
      <c r="M845" s="135">
        <v>3.5487783389631301E-2</v>
      </c>
      <c r="N845" s="135">
        <v>4.0154083659836699E-2</v>
      </c>
      <c r="O845" s="135">
        <v>3.8265874241609502E-2</v>
      </c>
      <c r="P845" s="135">
        <v>3.7832665130905503E-2</v>
      </c>
      <c r="Q845" s="135">
        <v>4.0430374424496499E-2</v>
      </c>
      <c r="R845" s="135">
        <v>4.1961541939891898E-2</v>
      </c>
      <c r="S845" s="135">
        <v>4.3805545698623098E-2</v>
      </c>
      <c r="T845" s="135">
        <v>4.4218763331982797E-2</v>
      </c>
      <c r="U845" s="135">
        <v>4.3891384413338903E-2</v>
      </c>
      <c r="V845" s="135">
        <v>4.1844945889229997E-2</v>
      </c>
      <c r="W845" s="135">
        <v>4.0612066058762303E-2</v>
      </c>
      <c r="X845" s="135">
        <v>4.6616937789524297E-2</v>
      </c>
      <c r="Y845" s="135">
        <v>5.51615909211998E-2</v>
      </c>
      <c r="Z845" s="135">
        <v>6.3725316407100496E-2</v>
      </c>
      <c r="AA845" s="135">
        <v>6.4115678608094695E-2</v>
      </c>
      <c r="AB845" s="135">
        <v>5.4868524985678097E-2</v>
      </c>
      <c r="AC845" s="135">
        <v>4.0999771236056602E-2</v>
      </c>
      <c r="AD845" s="135">
        <v>3.08821460605192E-2</v>
      </c>
      <c r="AF845" s="243">
        <f t="shared" si="16"/>
        <v>0.29676462175632545</v>
      </c>
      <c r="AG845" s="275">
        <f t="shared" si="17"/>
        <v>0.47233679284397745</v>
      </c>
      <c r="AH845" s="391">
        <f t="shared" si="18"/>
        <v>0.48313258810833748</v>
      </c>
      <c r="AI845" s="135">
        <f t="shared" si="19"/>
        <v>0.95546938095231493</v>
      </c>
    </row>
    <row r="846" spans="1:35" ht="12.6">
      <c r="A846" s="10" t="s">
        <v>63</v>
      </c>
      <c r="B846" s="10">
        <v>115</v>
      </c>
      <c r="C846" s="10" t="s">
        <v>1513</v>
      </c>
      <c r="D846" s="388">
        <v>45041</v>
      </c>
      <c r="E846" s="389">
        <v>45041</v>
      </c>
      <c r="F846" s="390" t="str">
        <f t="shared" si="15"/>
        <v>Other</v>
      </c>
      <c r="G846" s="135">
        <v>2.6676256567957399E-2</v>
      </c>
      <c r="H846" s="135">
        <v>2.52631622165756E-2</v>
      </c>
      <c r="I846" s="135">
        <v>2.4586587658058701E-2</v>
      </c>
      <c r="J846" s="135">
        <v>2.41099676176709E-2</v>
      </c>
      <c r="K846" s="135">
        <v>2.4251081537013601E-2</v>
      </c>
      <c r="L846" s="135">
        <v>2.5707331168557002E-2</v>
      </c>
      <c r="M846" s="135">
        <v>3.5487783389631301E-2</v>
      </c>
      <c r="N846" s="135">
        <v>4.0154083659836699E-2</v>
      </c>
      <c r="O846" s="135">
        <v>3.8265874241609502E-2</v>
      </c>
      <c r="P846" s="135">
        <v>3.7832665130905503E-2</v>
      </c>
      <c r="Q846" s="135">
        <v>4.0430374424496499E-2</v>
      </c>
      <c r="R846" s="135">
        <v>4.1961541939891898E-2</v>
      </c>
      <c r="S846" s="135">
        <v>4.3805545698623098E-2</v>
      </c>
      <c r="T846" s="135">
        <v>4.4218763331982797E-2</v>
      </c>
      <c r="U846" s="135">
        <v>4.3891384413338903E-2</v>
      </c>
      <c r="V846" s="135">
        <v>4.1844945889229997E-2</v>
      </c>
      <c r="W846" s="135">
        <v>4.0612066058762303E-2</v>
      </c>
      <c r="X846" s="135">
        <v>4.6616937789524297E-2</v>
      </c>
      <c r="Y846" s="135">
        <v>5.51615909211998E-2</v>
      </c>
      <c r="Z846" s="135">
        <v>6.3725316407100496E-2</v>
      </c>
      <c r="AA846" s="135">
        <v>6.4115678608094695E-2</v>
      </c>
      <c r="AB846" s="135">
        <v>5.4868524985678097E-2</v>
      </c>
      <c r="AC846" s="135">
        <v>4.0999771236056602E-2</v>
      </c>
      <c r="AD846" s="135">
        <v>3.08821460605192E-2</v>
      </c>
      <c r="AF846" s="243">
        <f t="shared" si="16"/>
        <v>0.29676462175632545</v>
      </c>
      <c r="AG846" s="275">
        <f t="shared" si="17"/>
        <v>0.47233679284397745</v>
      </c>
      <c r="AH846" s="391">
        <f t="shared" si="18"/>
        <v>0.48313258810833748</v>
      </c>
      <c r="AI846" s="135">
        <f t="shared" si="19"/>
        <v>0.95546938095231493</v>
      </c>
    </row>
    <row r="847" spans="1:35" ht="12.6">
      <c r="A847" s="10" t="s">
        <v>63</v>
      </c>
      <c r="B847" s="10">
        <v>116</v>
      </c>
      <c r="C847" s="10" t="s">
        <v>1513</v>
      </c>
      <c r="D847" s="388">
        <v>45042</v>
      </c>
      <c r="E847" s="389">
        <v>45042</v>
      </c>
      <c r="F847" s="390" t="str">
        <f t="shared" si="15"/>
        <v>Other</v>
      </c>
      <c r="G847" s="135">
        <v>2.6676256567957399E-2</v>
      </c>
      <c r="H847" s="135">
        <v>2.52631622165756E-2</v>
      </c>
      <c r="I847" s="135">
        <v>2.4586587658058701E-2</v>
      </c>
      <c r="J847" s="135">
        <v>2.41099676176709E-2</v>
      </c>
      <c r="K847" s="135">
        <v>2.4251081537013601E-2</v>
      </c>
      <c r="L847" s="135">
        <v>2.5707331168557002E-2</v>
      </c>
      <c r="M847" s="135">
        <v>3.5487783389631301E-2</v>
      </c>
      <c r="N847" s="135">
        <v>4.0154083659836699E-2</v>
      </c>
      <c r="O847" s="135">
        <v>3.8265874241609502E-2</v>
      </c>
      <c r="P847" s="135">
        <v>3.7832665130905503E-2</v>
      </c>
      <c r="Q847" s="135">
        <v>4.0430374424496499E-2</v>
      </c>
      <c r="R847" s="135">
        <v>4.1961541939891898E-2</v>
      </c>
      <c r="S847" s="135">
        <v>4.3805545698623098E-2</v>
      </c>
      <c r="T847" s="135">
        <v>4.4218763331982797E-2</v>
      </c>
      <c r="U847" s="135">
        <v>4.3891384413338903E-2</v>
      </c>
      <c r="V847" s="135">
        <v>4.1844945889229997E-2</v>
      </c>
      <c r="W847" s="135">
        <v>4.0612066058762303E-2</v>
      </c>
      <c r="X847" s="135">
        <v>4.6616937789524297E-2</v>
      </c>
      <c r="Y847" s="135">
        <v>5.51615909211998E-2</v>
      </c>
      <c r="Z847" s="135">
        <v>6.3725316407100496E-2</v>
      </c>
      <c r="AA847" s="135">
        <v>6.4115678608094695E-2</v>
      </c>
      <c r="AB847" s="135">
        <v>5.4868524985678097E-2</v>
      </c>
      <c r="AC847" s="135">
        <v>4.0999771236056602E-2</v>
      </c>
      <c r="AD847" s="135">
        <v>3.08821460605192E-2</v>
      </c>
      <c r="AF847" s="243">
        <f t="shared" si="16"/>
        <v>0.29676462175632545</v>
      </c>
      <c r="AG847" s="275">
        <f t="shared" si="17"/>
        <v>0.47233679284397745</v>
      </c>
      <c r="AH847" s="391">
        <f t="shared" si="18"/>
        <v>0.48313258810833748</v>
      </c>
      <c r="AI847" s="135">
        <f t="shared" si="19"/>
        <v>0.95546938095231493</v>
      </c>
    </row>
    <row r="848" spans="1:35" ht="12.6">
      <c r="A848" s="10" t="s">
        <v>63</v>
      </c>
      <c r="B848" s="10">
        <v>117</v>
      </c>
      <c r="C848" s="10" t="s">
        <v>1513</v>
      </c>
      <c r="D848" s="388">
        <v>45043</v>
      </c>
      <c r="E848" s="389">
        <v>45043</v>
      </c>
      <c r="F848" s="390" t="str">
        <f t="shared" si="15"/>
        <v>Other</v>
      </c>
      <c r="G848" s="135">
        <v>2.6676256567957399E-2</v>
      </c>
      <c r="H848" s="135">
        <v>2.52631622165756E-2</v>
      </c>
      <c r="I848" s="135">
        <v>2.4586587658058701E-2</v>
      </c>
      <c r="J848" s="135">
        <v>2.41099676176709E-2</v>
      </c>
      <c r="K848" s="135">
        <v>2.4251081537013601E-2</v>
      </c>
      <c r="L848" s="135">
        <v>2.5707331168557002E-2</v>
      </c>
      <c r="M848" s="135">
        <v>3.5487783389631301E-2</v>
      </c>
      <c r="N848" s="135">
        <v>4.0154083659836699E-2</v>
      </c>
      <c r="O848" s="135">
        <v>3.8265874241609502E-2</v>
      </c>
      <c r="P848" s="135">
        <v>3.7832665130905503E-2</v>
      </c>
      <c r="Q848" s="135">
        <v>4.0430374424496499E-2</v>
      </c>
      <c r="R848" s="135">
        <v>4.1961541939891898E-2</v>
      </c>
      <c r="S848" s="135">
        <v>4.3805545698623098E-2</v>
      </c>
      <c r="T848" s="135">
        <v>4.4218763331982797E-2</v>
      </c>
      <c r="U848" s="135">
        <v>4.3891384413338903E-2</v>
      </c>
      <c r="V848" s="135">
        <v>4.1844945889229997E-2</v>
      </c>
      <c r="W848" s="135">
        <v>4.0612066058762303E-2</v>
      </c>
      <c r="X848" s="135">
        <v>4.6616937789524297E-2</v>
      </c>
      <c r="Y848" s="135">
        <v>5.51615909211998E-2</v>
      </c>
      <c r="Z848" s="135">
        <v>6.3725316407100496E-2</v>
      </c>
      <c r="AA848" s="135">
        <v>6.4115678608094695E-2</v>
      </c>
      <c r="AB848" s="135">
        <v>5.4868524985678097E-2</v>
      </c>
      <c r="AC848" s="135">
        <v>4.0999771236056602E-2</v>
      </c>
      <c r="AD848" s="135">
        <v>3.08821460605192E-2</v>
      </c>
      <c r="AF848" s="243">
        <f t="shared" si="16"/>
        <v>0.29676462175632545</v>
      </c>
      <c r="AG848" s="275">
        <f t="shared" si="17"/>
        <v>0.47233679284397745</v>
      </c>
      <c r="AH848" s="391">
        <f t="shared" si="18"/>
        <v>0.48313258810833748</v>
      </c>
      <c r="AI848" s="135">
        <f t="shared" si="19"/>
        <v>0.95546938095231493</v>
      </c>
    </row>
    <row r="849" spans="1:35" ht="12.6">
      <c r="A849" s="10" t="s">
        <v>63</v>
      </c>
      <c r="B849" s="10">
        <v>118</v>
      </c>
      <c r="C849" s="10" t="s">
        <v>1513</v>
      </c>
      <c r="D849" s="388">
        <v>45044</v>
      </c>
      <c r="E849" s="389">
        <v>45044</v>
      </c>
      <c r="F849" s="390" t="str">
        <f t="shared" si="15"/>
        <v>Other</v>
      </c>
      <c r="G849" s="135">
        <v>2.6676256567957399E-2</v>
      </c>
      <c r="H849" s="135">
        <v>2.52631622165756E-2</v>
      </c>
      <c r="I849" s="135">
        <v>2.4586587658058701E-2</v>
      </c>
      <c r="J849" s="135">
        <v>2.41099676176709E-2</v>
      </c>
      <c r="K849" s="135">
        <v>2.4251081537013601E-2</v>
      </c>
      <c r="L849" s="135">
        <v>2.5707331168557002E-2</v>
      </c>
      <c r="M849" s="135">
        <v>3.5487783389631301E-2</v>
      </c>
      <c r="N849" s="135">
        <v>4.0154083659836699E-2</v>
      </c>
      <c r="O849" s="135">
        <v>3.8265874241609502E-2</v>
      </c>
      <c r="P849" s="135">
        <v>3.7832665130905503E-2</v>
      </c>
      <c r="Q849" s="135">
        <v>4.0430374424496499E-2</v>
      </c>
      <c r="R849" s="135">
        <v>4.1961541939891898E-2</v>
      </c>
      <c r="S849" s="135">
        <v>4.3805545698623098E-2</v>
      </c>
      <c r="T849" s="135">
        <v>4.4218763331982797E-2</v>
      </c>
      <c r="U849" s="135">
        <v>4.3891384413338903E-2</v>
      </c>
      <c r="V849" s="135">
        <v>4.1844945889229997E-2</v>
      </c>
      <c r="W849" s="135">
        <v>4.0612066058762303E-2</v>
      </c>
      <c r="X849" s="135">
        <v>4.6616937789524297E-2</v>
      </c>
      <c r="Y849" s="135">
        <v>5.51615909211998E-2</v>
      </c>
      <c r="Z849" s="135">
        <v>6.3725316407100496E-2</v>
      </c>
      <c r="AA849" s="135">
        <v>6.4115678608094695E-2</v>
      </c>
      <c r="AB849" s="135">
        <v>5.4868524985678097E-2</v>
      </c>
      <c r="AC849" s="135">
        <v>4.0999771236056602E-2</v>
      </c>
      <c r="AD849" s="135">
        <v>3.08821460605192E-2</v>
      </c>
      <c r="AF849" s="243">
        <f t="shared" si="16"/>
        <v>0.29676462175632545</v>
      </c>
      <c r="AG849" s="275">
        <f t="shared" si="17"/>
        <v>0.47233679284397745</v>
      </c>
      <c r="AH849" s="391">
        <f t="shared" si="18"/>
        <v>0.48313258810833748</v>
      </c>
      <c r="AI849" s="135">
        <f t="shared" si="19"/>
        <v>0.95546938095231493</v>
      </c>
    </row>
    <row r="850" spans="1:35" ht="12.6">
      <c r="A850" s="10" t="s">
        <v>63</v>
      </c>
      <c r="B850" s="10">
        <v>119</v>
      </c>
      <c r="C850" s="10" t="s">
        <v>1513</v>
      </c>
      <c r="D850" s="388">
        <v>45045</v>
      </c>
      <c r="E850" s="389">
        <v>45045</v>
      </c>
      <c r="F850" s="390" t="str">
        <f t="shared" si="15"/>
        <v>Other</v>
      </c>
      <c r="G850" s="135">
        <v>2.9581905760173301E-2</v>
      </c>
      <c r="H850" s="135">
        <v>2.5846863416031301E-2</v>
      </c>
      <c r="I850" s="135">
        <v>2.4433190210176502E-2</v>
      </c>
      <c r="J850" s="135">
        <v>2.3629395940015799E-2</v>
      </c>
      <c r="K850" s="135">
        <v>2.4118169501963799E-2</v>
      </c>
      <c r="L850" s="135">
        <v>2.48817253394551E-2</v>
      </c>
      <c r="M850" s="135">
        <v>3.0116465792275199E-2</v>
      </c>
      <c r="N850" s="135">
        <v>3.8794095671866098E-2</v>
      </c>
      <c r="O850" s="135">
        <v>3.8625300418055099E-2</v>
      </c>
      <c r="P850" s="135">
        <v>4.1162625827875297E-2</v>
      </c>
      <c r="Q850" s="135">
        <v>4.6107833916895297E-2</v>
      </c>
      <c r="R850" s="135">
        <v>4.87624049833413E-2</v>
      </c>
      <c r="S850" s="135">
        <v>4.8358101764359597E-2</v>
      </c>
      <c r="T850" s="135">
        <v>4.9789836051873503E-2</v>
      </c>
      <c r="U850" s="135">
        <v>5.1432357045753899E-2</v>
      </c>
      <c r="V850" s="135">
        <v>5.1122607077058103E-2</v>
      </c>
      <c r="W850" s="135">
        <v>4.97430910899977E-2</v>
      </c>
      <c r="X850" s="135">
        <v>5.1757286160907003E-2</v>
      </c>
      <c r="Y850" s="135">
        <v>5.7811372164669902E-2</v>
      </c>
      <c r="Z850" s="135">
        <v>6.3341387776554597E-2</v>
      </c>
      <c r="AA850" s="135">
        <v>6.23430570424564E-2</v>
      </c>
      <c r="AB850" s="135">
        <v>5.3189571453664299E-2</v>
      </c>
      <c r="AC850" s="135">
        <v>4.0728742355680102E-2</v>
      </c>
      <c r="AD850" s="135">
        <v>3.3094900847490102E-2</v>
      </c>
      <c r="AF850" s="243">
        <f t="shared" si="16"/>
        <v>0.3453162319292794</v>
      </c>
      <c r="AG850" s="275">
        <f t="shared" si="17"/>
        <v>0.5068773521923039</v>
      </c>
      <c r="AH850" s="391">
        <f t="shared" si="18"/>
        <v>0.50189493541628527</v>
      </c>
      <c r="AI850" s="135">
        <f t="shared" si="19"/>
        <v>1.0087722876085892</v>
      </c>
    </row>
    <row r="851" spans="1:35" ht="12.6">
      <c r="A851" s="10" t="s">
        <v>63</v>
      </c>
      <c r="B851" s="10">
        <v>120</v>
      </c>
      <c r="C851" s="10" t="s">
        <v>1513</v>
      </c>
      <c r="D851" s="388">
        <v>45046</v>
      </c>
      <c r="E851" s="389">
        <v>45046</v>
      </c>
      <c r="F851" s="390" t="str">
        <f t="shared" si="15"/>
        <v>Other</v>
      </c>
      <c r="G851" s="135">
        <v>2.9581905760173301E-2</v>
      </c>
      <c r="H851" s="135">
        <v>2.5846863416031301E-2</v>
      </c>
      <c r="I851" s="135">
        <v>2.4433190210176502E-2</v>
      </c>
      <c r="J851" s="135">
        <v>2.3629395940015799E-2</v>
      </c>
      <c r="K851" s="135">
        <v>2.4118169501963799E-2</v>
      </c>
      <c r="L851" s="135">
        <v>2.48817253394551E-2</v>
      </c>
      <c r="M851" s="135">
        <v>3.0116465792275199E-2</v>
      </c>
      <c r="N851" s="135">
        <v>3.8794095671866098E-2</v>
      </c>
      <c r="O851" s="135">
        <v>3.8625300418055099E-2</v>
      </c>
      <c r="P851" s="135">
        <v>4.1162625827875297E-2</v>
      </c>
      <c r="Q851" s="135">
        <v>4.6107833916895297E-2</v>
      </c>
      <c r="R851" s="135">
        <v>4.87624049833413E-2</v>
      </c>
      <c r="S851" s="135">
        <v>4.8358101764359597E-2</v>
      </c>
      <c r="T851" s="135">
        <v>4.9789836051873503E-2</v>
      </c>
      <c r="U851" s="135">
        <v>5.1432357045753899E-2</v>
      </c>
      <c r="V851" s="135">
        <v>5.1122607077058103E-2</v>
      </c>
      <c r="W851" s="135">
        <v>4.97430910899977E-2</v>
      </c>
      <c r="X851" s="135">
        <v>5.1757286160907003E-2</v>
      </c>
      <c r="Y851" s="135">
        <v>5.7811372164669902E-2</v>
      </c>
      <c r="Z851" s="135">
        <v>6.3341387776554597E-2</v>
      </c>
      <c r="AA851" s="135">
        <v>6.23430570424564E-2</v>
      </c>
      <c r="AB851" s="135">
        <v>5.3189571453664299E-2</v>
      </c>
      <c r="AC851" s="135">
        <v>4.0728742355680102E-2</v>
      </c>
      <c r="AD851" s="135">
        <v>3.3094900847490102E-2</v>
      </c>
      <c r="AF851" s="243">
        <f t="shared" si="16"/>
        <v>0.3453162319292794</v>
      </c>
      <c r="AG851" s="275">
        <f t="shared" si="17"/>
        <v>0.5068773521923039</v>
      </c>
      <c r="AH851" s="391">
        <f t="shared" si="18"/>
        <v>0.50189493541628527</v>
      </c>
      <c r="AI851" s="135">
        <f t="shared" si="19"/>
        <v>1.0087722876085892</v>
      </c>
    </row>
    <row r="852" spans="1:35" ht="12.6">
      <c r="A852" s="10" t="s">
        <v>63</v>
      </c>
      <c r="B852" s="10">
        <v>121</v>
      </c>
      <c r="C852" s="10" t="s">
        <v>1513</v>
      </c>
      <c r="D852" s="388">
        <v>45047</v>
      </c>
      <c r="E852" s="389">
        <v>45047</v>
      </c>
      <c r="F852" s="390" t="str">
        <f t="shared" si="15"/>
        <v>Other</v>
      </c>
      <c r="G852" s="135">
        <v>2.6676256567957399E-2</v>
      </c>
      <c r="H852" s="135">
        <v>2.52631622165756E-2</v>
      </c>
      <c r="I852" s="135">
        <v>2.4586587658058701E-2</v>
      </c>
      <c r="J852" s="135">
        <v>2.41099676176709E-2</v>
      </c>
      <c r="K852" s="135">
        <v>2.4251081537013601E-2</v>
      </c>
      <c r="L852" s="135">
        <v>2.5707331168557002E-2</v>
      </c>
      <c r="M852" s="135">
        <v>3.5487783389631301E-2</v>
      </c>
      <c r="N852" s="135">
        <v>4.0154083659836699E-2</v>
      </c>
      <c r="O852" s="135">
        <v>3.8265874241609502E-2</v>
      </c>
      <c r="P852" s="135">
        <v>3.7832665130905503E-2</v>
      </c>
      <c r="Q852" s="135">
        <v>4.0430374424496499E-2</v>
      </c>
      <c r="R852" s="135">
        <v>4.1961541939891898E-2</v>
      </c>
      <c r="S852" s="135">
        <v>4.3805545698623098E-2</v>
      </c>
      <c r="T852" s="135">
        <v>4.4218763331982797E-2</v>
      </c>
      <c r="U852" s="135">
        <v>4.3891384413338903E-2</v>
      </c>
      <c r="V852" s="135">
        <v>4.1844945889229997E-2</v>
      </c>
      <c r="W852" s="135">
        <v>4.0612066058762303E-2</v>
      </c>
      <c r="X852" s="135">
        <v>4.6616937789524297E-2</v>
      </c>
      <c r="Y852" s="135">
        <v>5.51615909211998E-2</v>
      </c>
      <c r="Z852" s="135">
        <v>6.3725316407100496E-2</v>
      </c>
      <c r="AA852" s="135">
        <v>6.4115678608094695E-2</v>
      </c>
      <c r="AB852" s="135">
        <v>5.4868524985678097E-2</v>
      </c>
      <c r="AC852" s="135">
        <v>4.0999771236056602E-2</v>
      </c>
      <c r="AD852" s="135">
        <v>3.08821460605192E-2</v>
      </c>
      <c r="AF852" s="243">
        <f t="shared" si="16"/>
        <v>0.29676462175632545</v>
      </c>
      <c r="AG852" s="275">
        <f t="shared" si="17"/>
        <v>0.47233679284397745</v>
      </c>
      <c r="AH852" s="391">
        <f t="shared" si="18"/>
        <v>0.48313258810833748</v>
      </c>
      <c r="AI852" s="135">
        <f t="shared" si="19"/>
        <v>0.95546938095231493</v>
      </c>
    </row>
    <row r="853" spans="1:35" ht="12.6">
      <c r="A853" s="10" t="s">
        <v>63</v>
      </c>
      <c r="B853" s="10">
        <v>122</v>
      </c>
      <c r="C853" s="10" t="s">
        <v>1513</v>
      </c>
      <c r="D853" s="388">
        <v>45048</v>
      </c>
      <c r="E853" s="389">
        <v>45048</v>
      </c>
      <c r="F853" s="390" t="str">
        <f t="shared" si="15"/>
        <v>Other</v>
      </c>
      <c r="G853" s="135">
        <v>2.6676256567957399E-2</v>
      </c>
      <c r="H853" s="135">
        <v>2.52631622165756E-2</v>
      </c>
      <c r="I853" s="135">
        <v>2.4586587658058701E-2</v>
      </c>
      <c r="J853" s="135">
        <v>2.41099676176709E-2</v>
      </c>
      <c r="K853" s="135">
        <v>2.4251081537013601E-2</v>
      </c>
      <c r="L853" s="135">
        <v>2.5707331168557002E-2</v>
      </c>
      <c r="M853" s="135">
        <v>3.5487783389631301E-2</v>
      </c>
      <c r="N853" s="135">
        <v>4.0154083659836699E-2</v>
      </c>
      <c r="O853" s="135">
        <v>3.8265874241609502E-2</v>
      </c>
      <c r="P853" s="135">
        <v>3.7832665130905503E-2</v>
      </c>
      <c r="Q853" s="135">
        <v>4.0430374424496499E-2</v>
      </c>
      <c r="R853" s="135">
        <v>4.1961541939891898E-2</v>
      </c>
      <c r="S853" s="135">
        <v>4.3805545698623098E-2</v>
      </c>
      <c r="T853" s="135">
        <v>4.4218763331982797E-2</v>
      </c>
      <c r="U853" s="135">
        <v>4.3891384413338903E-2</v>
      </c>
      <c r="V853" s="135">
        <v>4.1844945889229997E-2</v>
      </c>
      <c r="W853" s="135">
        <v>4.0612066058762303E-2</v>
      </c>
      <c r="X853" s="135">
        <v>4.6616937789524297E-2</v>
      </c>
      <c r="Y853" s="135">
        <v>5.51615909211998E-2</v>
      </c>
      <c r="Z853" s="135">
        <v>6.3725316407100496E-2</v>
      </c>
      <c r="AA853" s="135">
        <v>6.4115678608094695E-2</v>
      </c>
      <c r="AB853" s="135">
        <v>5.4868524985678097E-2</v>
      </c>
      <c r="AC853" s="135">
        <v>4.0999771236056602E-2</v>
      </c>
      <c r="AD853" s="135">
        <v>3.08821460605192E-2</v>
      </c>
      <c r="AF853" s="243">
        <f t="shared" si="16"/>
        <v>0.29676462175632545</v>
      </c>
      <c r="AG853" s="275">
        <f t="shared" si="17"/>
        <v>0.47233679284397745</v>
      </c>
      <c r="AH853" s="391">
        <f t="shared" si="18"/>
        <v>0.48313258810833748</v>
      </c>
      <c r="AI853" s="135">
        <f t="shared" si="19"/>
        <v>0.95546938095231493</v>
      </c>
    </row>
    <row r="854" spans="1:35" ht="12.6">
      <c r="A854" s="10" t="s">
        <v>63</v>
      </c>
      <c r="B854" s="10">
        <v>123</v>
      </c>
      <c r="C854" s="10" t="s">
        <v>1513</v>
      </c>
      <c r="D854" s="388">
        <v>45049</v>
      </c>
      <c r="E854" s="389">
        <v>45049</v>
      </c>
      <c r="F854" s="390" t="str">
        <f t="shared" si="15"/>
        <v>Other</v>
      </c>
      <c r="G854" s="135">
        <v>2.6676256567957399E-2</v>
      </c>
      <c r="H854" s="135">
        <v>2.52631622165756E-2</v>
      </c>
      <c r="I854" s="135">
        <v>2.4586587658058701E-2</v>
      </c>
      <c r="J854" s="135">
        <v>2.41099676176709E-2</v>
      </c>
      <c r="K854" s="135">
        <v>2.4251081537013601E-2</v>
      </c>
      <c r="L854" s="135">
        <v>2.5707331168557002E-2</v>
      </c>
      <c r="M854" s="135">
        <v>3.5487783389631301E-2</v>
      </c>
      <c r="N854" s="135">
        <v>4.0154083659836699E-2</v>
      </c>
      <c r="O854" s="135">
        <v>3.8265874241609502E-2</v>
      </c>
      <c r="P854" s="135">
        <v>3.7832665130905503E-2</v>
      </c>
      <c r="Q854" s="135">
        <v>4.0430374424496499E-2</v>
      </c>
      <c r="R854" s="135">
        <v>4.1961541939891898E-2</v>
      </c>
      <c r="S854" s="135">
        <v>4.3805545698623098E-2</v>
      </c>
      <c r="T854" s="135">
        <v>4.4218763331982797E-2</v>
      </c>
      <c r="U854" s="135">
        <v>4.3891384413338903E-2</v>
      </c>
      <c r="V854" s="135">
        <v>4.1844945889229997E-2</v>
      </c>
      <c r="W854" s="135">
        <v>4.0612066058762303E-2</v>
      </c>
      <c r="X854" s="135">
        <v>4.6616937789524297E-2</v>
      </c>
      <c r="Y854" s="135">
        <v>5.51615909211998E-2</v>
      </c>
      <c r="Z854" s="135">
        <v>6.3725316407100496E-2</v>
      </c>
      <c r="AA854" s="135">
        <v>6.4115678608094695E-2</v>
      </c>
      <c r="AB854" s="135">
        <v>5.4868524985678097E-2</v>
      </c>
      <c r="AC854" s="135">
        <v>4.0999771236056602E-2</v>
      </c>
      <c r="AD854" s="135">
        <v>3.08821460605192E-2</v>
      </c>
      <c r="AF854" s="243">
        <f t="shared" si="16"/>
        <v>0.29676462175632545</v>
      </c>
      <c r="AG854" s="275">
        <f t="shared" si="17"/>
        <v>0.47233679284397745</v>
      </c>
      <c r="AH854" s="391">
        <f t="shared" si="18"/>
        <v>0.48313258810833748</v>
      </c>
      <c r="AI854" s="135">
        <f t="shared" si="19"/>
        <v>0.95546938095231493</v>
      </c>
    </row>
    <row r="855" spans="1:35" ht="12.6">
      <c r="A855" s="10" t="s">
        <v>63</v>
      </c>
      <c r="B855" s="10">
        <v>124</v>
      </c>
      <c r="C855" s="10" t="s">
        <v>1513</v>
      </c>
      <c r="D855" s="388">
        <v>45050</v>
      </c>
      <c r="E855" s="389">
        <v>45050</v>
      </c>
      <c r="F855" s="390" t="str">
        <f t="shared" si="15"/>
        <v>Other</v>
      </c>
      <c r="G855" s="135">
        <v>2.6676256567957399E-2</v>
      </c>
      <c r="H855" s="135">
        <v>2.52631622165756E-2</v>
      </c>
      <c r="I855" s="135">
        <v>2.4586587658058701E-2</v>
      </c>
      <c r="J855" s="135">
        <v>2.41099676176709E-2</v>
      </c>
      <c r="K855" s="135">
        <v>2.4251081537013601E-2</v>
      </c>
      <c r="L855" s="135">
        <v>2.5707331168557002E-2</v>
      </c>
      <c r="M855" s="135">
        <v>3.5487783389631301E-2</v>
      </c>
      <c r="N855" s="135">
        <v>4.0154083659836699E-2</v>
      </c>
      <c r="O855" s="135">
        <v>3.8265874241609502E-2</v>
      </c>
      <c r="P855" s="135">
        <v>3.7832665130905503E-2</v>
      </c>
      <c r="Q855" s="135">
        <v>4.0430374424496499E-2</v>
      </c>
      <c r="R855" s="135">
        <v>4.1961541939891898E-2</v>
      </c>
      <c r="S855" s="135">
        <v>4.3805545698623098E-2</v>
      </c>
      <c r="T855" s="135">
        <v>4.4218763331982797E-2</v>
      </c>
      <c r="U855" s="135">
        <v>4.3891384413338903E-2</v>
      </c>
      <c r="V855" s="135">
        <v>4.1844945889229997E-2</v>
      </c>
      <c r="W855" s="135">
        <v>4.0612066058762303E-2</v>
      </c>
      <c r="X855" s="135">
        <v>4.6616937789524297E-2</v>
      </c>
      <c r="Y855" s="135">
        <v>5.51615909211998E-2</v>
      </c>
      <c r="Z855" s="135">
        <v>6.3725316407100496E-2</v>
      </c>
      <c r="AA855" s="135">
        <v>6.4115678608094695E-2</v>
      </c>
      <c r="AB855" s="135">
        <v>5.4868524985678097E-2</v>
      </c>
      <c r="AC855" s="135">
        <v>4.0999771236056602E-2</v>
      </c>
      <c r="AD855" s="135">
        <v>3.08821460605192E-2</v>
      </c>
      <c r="AF855" s="243">
        <f t="shared" si="16"/>
        <v>0.29676462175632545</v>
      </c>
      <c r="AG855" s="275">
        <f t="shared" si="17"/>
        <v>0.47233679284397745</v>
      </c>
      <c r="AH855" s="391">
        <f t="shared" si="18"/>
        <v>0.48313258810833748</v>
      </c>
      <c r="AI855" s="135">
        <f t="shared" si="19"/>
        <v>0.95546938095231493</v>
      </c>
    </row>
    <row r="856" spans="1:35" ht="12.6">
      <c r="A856" s="10" t="s">
        <v>63</v>
      </c>
      <c r="B856" s="10">
        <v>125</v>
      </c>
      <c r="C856" s="10" t="s">
        <v>1513</v>
      </c>
      <c r="D856" s="388">
        <v>45051</v>
      </c>
      <c r="E856" s="389">
        <v>45051</v>
      </c>
      <c r="F856" s="390" t="str">
        <f t="shared" si="15"/>
        <v>Other</v>
      </c>
      <c r="G856" s="135">
        <v>2.6676256567957399E-2</v>
      </c>
      <c r="H856" s="135">
        <v>2.52631622165756E-2</v>
      </c>
      <c r="I856" s="135">
        <v>2.4586587658058701E-2</v>
      </c>
      <c r="J856" s="135">
        <v>2.41099676176709E-2</v>
      </c>
      <c r="K856" s="135">
        <v>2.4251081537013601E-2</v>
      </c>
      <c r="L856" s="135">
        <v>2.5707331168557002E-2</v>
      </c>
      <c r="M856" s="135">
        <v>3.5487783389631301E-2</v>
      </c>
      <c r="N856" s="135">
        <v>4.0154083659836699E-2</v>
      </c>
      <c r="O856" s="135">
        <v>3.8265874241609502E-2</v>
      </c>
      <c r="P856" s="135">
        <v>3.7832665130905503E-2</v>
      </c>
      <c r="Q856" s="135">
        <v>4.0430374424496499E-2</v>
      </c>
      <c r="R856" s="135">
        <v>4.1961541939891898E-2</v>
      </c>
      <c r="S856" s="135">
        <v>4.3805545698623098E-2</v>
      </c>
      <c r="T856" s="135">
        <v>4.4218763331982797E-2</v>
      </c>
      <c r="U856" s="135">
        <v>4.3891384413338903E-2</v>
      </c>
      <c r="V856" s="135">
        <v>4.1844945889229997E-2</v>
      </c>
      <c r="W856" s="135">
        <v>4.0612066058762303E-2</v>
      </c>
      <c r="X856" s="135">
        <v>4.6616937789524297E-2</v>
      </c>
      <c r="Y856" s="135">
        <v>5.51615909211998E-2</v>
      </c>
      <c r="Z856" s="135">
        <v>6.3725316407100496E-2</v>
      </c>
      <c r="AA856" s="135">
        <v>6.4115678608094695E-2</v>
      </c>
      <c r="AB856" s="135">
        <v>5.4868524985678097E-2</v>
      </c>
      <c r="AC856" s="135">
        <v>4.0999771236056602E-2</v>
      </c>
      <c r="AD856" s="135">
        <v>3.08821460605192E-2</v>
      </c>
      <c r="AF856" s="243">
        <f t="shared" si="16"/>
        <v>0.29676462175632545</v>
      </c>
      <c r="AG856" s="275">
        <f t="shared" si="17"/>
        <v>0.47233679284397745</v>
      </c>
      <c r="AH856" s="391">
        <f t="shared" si="18"/>
        <v>0.48313258810833748</v>
      </c>
      <c r="AI856" s="135">
        <f t="shared" si="19"/>
        <v>0.95546938095231493</v>
      </c>
    </row>
    <row r="857" spans="1:35" ht="12.6">
      <c r="A857" s="10" t="s">
        <v>63</v>
      </c>
      <c r="B857" s="10">
        <v>126</v>
      </c>
      <c r="C857" s="10" t="s">
        <v>1513</v>
      </c>
      <c r="D857" s="388">
        <v>45052</v>
      </c>
      <c r="E857" s="389">
        <v>45052</v>
      </c>
      <c r="F857" s="390" t="str">
        <f t="shared" si="15"/>
        <v>Other</v>
      </c>
      <c r="G857" s="135">
        <v>2.9581905760173301E-2</v>
      </c>
      <c r="H857" s="135">
        <v>2.5846863416031301E-2</v>
      </c>
      <c r="I857" s="135">
        <v>2.4433190210176502E-2</v>
      </c>
      <c r="J857" s="135">
        <v>2.3629395940015799E-2</v>
      </c>
      <c r="K857" s="135">
        <v>2.4118169501963799E-2</v>
      </c>
      <c r="L857" s="135">
        <v>2.48817253394551E-2</v>
      </c>
      <c r="M857" s="135">
        <v>3.0116465792275199E-2</v>
      </c>
      <c r="N857" s="135">
        <v>3.8794095671866098E-2</v>
      </c>
      <c r="O857" s="135">
        <v>3.8625300418055099E-2</v>
      </c>
      <c r="P857" s="135">
        <v>4.1162625827875297E-2</v>
      </c>
      <c r="Q857" s="135">
        <v>4.6107833916895297E-2</v>
      </c>
      <c r="R857" s="135">
        <v>4.87624049833413E-2</v>
      </c>
      <c r="S857" s="135">
        <v>4.8358101764359597E-2</v>
      </c>
      <c r="T857" s="135">
        <v>4.9789836051873503E-2</v>
      </c>
      <c r="U857" s="135">
        <v>5.1432357045753899E-2</v>
      </c>
      <c r="V857" s="135">
        <v>5.1122607077058103E-2</v>
      </c>
      <c r="W857" s="135">
        <v>4.97430910899977E-2</v>
      </c>
      <c r="X857" s="135">
        <v>5.1757286160907003E-2</v>
      </c>
      <c r="Y857" s="135">
        <v>5.7811372164669902E-2</v>
      </c>
      <c r="Z857" s="135">
        <v>6.3341387776554597E-2</v>
      </c>
      <c r="AA857" s="135">
        <v>6.23430570424564E-2</v>
      </c>
      <c r="AB857" s="135">
        <v>5.3189571453664299E-2</v>
      </c>
      <c r="AC857" s="135">
        <v>4.0728742355680102E-2</v>
      </c>
      <c r="AD857" s="135">
        <v>3.3094900847490102E-2</v>
      </c>
      <c r="AF857" s="243">
        <f t="shared" si="16"/>
        <v>0.3453162319292794</v>
      </c>
      <c r="AG857" s="275">
        <f t="shared" si="17"/>
        <v>0.5068773521923039</v>
      </c>
      <c r="AH857" s="391">
        <f t="shared" si="18"/>
        <v>0.50189493541628527</v>
      </c>
      <c r="AI857" s="135">
        <f t="shared" si="19"/>
        <v>1.0087722876085892</v>
      </c>
    </row>
    <row r="858" spans="1:35" ht="12.6">
      <c r="A858" s="10" t="s">
        <v>63</v>
      </c>
      <c r="B858" s="10">
        <v>127</v>
      </c>
      <c r="C858" s="10" t="s">
        <v>1513</v>
      </c>
      <c r="D858" s="388">
        <v>45053</v>
      </c>
      <c r="E858" s="389">
        <v>45053</v>
      </c>
      <c r="F858" s="390" t="str">
        <f t="shared" si="15"/>
        <v>Other</v>
      </c>
      <c r="G858" s="135">
        <v>2.9581905760173301E-2</v>
      </c>
      <c r="H858" s="135">
        <v>2.5846863416031301E-2</v>
      </c>
      <c r="I858" s="135">
        <v>2.4433190210176502E-2</v>
      </c>
      <c r="J858" s="135">
        <v>2.3629395940015799E-2</v>
      </c>
      <c r="K858" s="135">
        <v>2.4118169501963799E-2</v>
      </c>
      <c r="L858" s="135">
        <v>2.48817253394551E-2</v>
      </c>
      <c r="M858" s="135">
        <v>3.0116465792275199E-2</v>
      </c>
      <c r="N858" s="135">
        <v>3.8794095671866098E-2</v>
      </c>
      <c r="O858" s="135">
        <v>3.8625300418055099E-2</v>
      </c>
      <c r="P858" s="135">
        <v>4.1162625827875297E-2</v>
      </c>
      <c r="Q858" s="135">
        <v>4.6107833916895297E-2</v>
      </c>
      <c r="R858" s="135">
        <v>4.87624049833413E-2</v>
      </c>
      <c r="S858" s="135">
        <v>4.8358101764359597E-2</v>
      </c>
      <c r="T858" s="135">
        <v>4.9789836051873503E-2</v>
      </c>
      <c r="U858" s="135">
        <v>5.1432357045753899E-2</v>
      </c>
      <c r="V858" s="135">
        <v>5.1122607077058103E-2</v>
      </c>
      <c r="W858" s="135">
        <v>4.97430910899977E-2</v>
      </c>
      <c r="X858" s="135">
        <v>5.1757286160907003E-2</v>
      </c>
      <c r="Y858" s="135">
        <v>5.7811372164669902E-2</v>
      </c>
      <c r="Z858" s="135">
        <v>6.3341387776554597E-2</v>
      </c>
      <c r="AA858" s="135">
        <v>6.23430570424564E-2</v>
      </c>
      <c r="AB858" s="135">
        <v>5.3189571453664299E-2</v>
      </c>
      <c r="AC858" s="135">
        <v>4.0728742355680102E-2</v>
      </c>
      <c r="AD858" s="135">
        <v>3.3094900847490102E-2</v>
      </c>
      <c r="AF858" s="243">
        <f t="shared" si="16"/>
        <v>0.3453162319292794</v>
      </c>
      <c r="AG858" s="275">
        <f t="shared" si="17"/>
        <v>0.5068773521923039</v>
      </c>
      <c r="AH858" s="391">
        <f t="shared" si="18"/>
        <v>0.50189493541628527</v>
      </c>
      <c r="AI858" s="135">
        <f t="shared" si="19"/>
        <v>1.0087722876085892</v>
      </c>
    </row>
    <row r="859" spans="1:35" ht="12.6">
      <c r="A859" s="10" t="s">
        <v>63</v>
      </c>
      <c r="B859" s="10">
        <v>128</v>
      </c>
      <c r="C859" s="10" t="s">
        <v>1513</v>
      </c>
      <c r="D859" s="388">
        <v>45054</v>
      </c>
      <c r="E859" s="389">
        <v>45054</v>
      </c>
      <c r="F859" s="390" t="str">
        <f t="shared" si="15"/>
        <v>Other</v>
      </c>
      <c r="G859" s="135">
        <v>2.6676256567957399E-2</v>
      </c>
      <c r="H859" s="135">
        <v>2.52631622165756E-2</v>
      </c>
      <c r="I859" s="135">
        <v>2.4586587658058701E-2</v>
      </c>
      <c r="J859" s="135">
        <v>2.41099676176709E-2</v>
      </c>
      <c r="K859" s="135">
        <v>2.4251081537013601E-2</v>
      </c>
      <c r="L859" s="135">
        <v>2.5707331168557002E-2</v>
      </c>
      <c r="M859" s="135">
        <v>3.5487783389631301E-2</v>
      </c>
      <c r="N859" s="135">
        <v>4.0154083659836699E-2</v>
      </c>
      <c r="O859" s="135">
        <v>3.8265874241609502E-2</v>
      </c>
      <c r="P859" s="135">
        <v>3.7832665130905503E-2</v>
      </c>
      <c r="Q859" s="135">
        <v>4.0430374424496499E-2</v>
      </c>
      <c r="R859" s="135">
        <v>4.1961541939891898E-2</v>
      </c>
      <c r="S859" s="135">
        <v>4.3805545698623098E-2</v>
      </c>
      <c r="T859" s="135">
        <v>4.4218763331982797E-2</v>
      </c>
      <c r="U859" s="135">
        <v>4.3891384413338903E-2</v>
      </c>
      <c r="V859" s="135">
        <v>4.1844945889229997E-2</v>
      </c>
      <c r="W859" s="135">
        <v>4.0612066058762303E-2</v>
      </c>
      <c r="X859" s="135">
        <v>4.6616937789524297E-2</v>
      </c>
      <c r="Y859" s="135">
        <v>5.51615909211998E-2</v>
      </c>
      <c r="Z859" s="135">
        <v>6.3725316407100496E-2</v>
      </c>
      <c r="AA859" s="135">
        <v>6.4115678608094695E-2</v>
      </c>
      <c r="AB859" s="135">
        <v>5.4868524985678097E-2</v>
      </c>
      <c r="AC859" s="135">
        <v>4.0999771236056602E-2</v>
      </c>
      <c r="AD859" s="135">
        <v>3.08821460605192E-2</v>
      </c>
      <c r="AF859" s="243">
        <f t="shared" si="16"/>
        <v>0.29676462175632545</v>
      </c>
      <c r="AG859" s="275">
        <f t="shared" si="17"/>
        <v>0.47233679284397745</v>
      </c>
      <c r="AH859" s="391">
        <f t="shared" si="18"/>
        <v>0.48313258810833748</v>
      </c>
      <c r="AI859" s="135">
        <f t="shared" si="19"/>
        <v>0.95546938095231493</v>
      </c>
    </row>
    <row r="860" spans="1:35" ht="12.6">
      <c r="A860" s="10" t="s">
        <v>63</v>
      </c>
      <c r="B860" s="10">
        <v>129</v>
      </c>
      <c r="C860" s="10" t="s">
        <v>1513</v>
      </c>
      <c r="D860" s="388">
        <v>45055</v>
      </c>
      <c r="E860" s="389">
        <v>45055</v>
      </c>
      <c r="F860" s="390" t="str">
        <f t="shared" si="15"/>
        <v>Other</v>
      </c>
      <c r="G860" s="135">
        <v>2.6676256567957399E-2</v>
      </c>
      <c r="H860" s="135">
        <v>2.52631622165756E-2</v>
      </c>
      <c r="I860" s="135">
        <v>2.4586587658058701E-2</v>
      </c>
      <c r="J860" s="135">
        <v>2.41099676176709E-2</v>
      </c>
      <c r="K860" s="135">
        <v>2.4251081537013601E-2</v>
      </c>
      <c r="L860" s="135">
        <v>2.5707331168557002E-2</v>
      </c>
      <c r="M860" s="135">
        <v>3.5487783389631301E-2</v>
      </c>
      <c r="N860" s="135">
        <v>4.0154083659836699E-2</v>
      </c>
      <c r="O860" s="135">
        <v>3.8265874241609502E-2</v>
      </c>
      <c r="P860" s="135">
        <v>3.7832665130905503E-2</v>
      </c>
      <c r="Q860" s="135">
        <v>4.0430374424496499E-2</v>
      </c>
      <c r="R860" s="135">
        <v>4.1961541939891898E-2</v>
      </c>
      <c r="S860" s="135">
        <v>4.3805545698623098E-2</v>
      </c>
      <c r="T860" s="135">
        <v>4.4218763331982797E-2</v>
      </c>
      <c r="U860" s="135">
        <v>4.3891384413338903E-2</v>
      </c>
      <c r="V860" s="135">
        <v>4.1844945889229997E-2</v>
      </c>
      <c r="W860" s="135">
        <v>4.0612066058762303E-2</v>
      </c>
      <c r="X860" s="135">
        <v>4.6616937789524297E-2</v>
      </c>
      <c r="Y860" s="135">
        <v>5.51615909211998E-2</v>
      </c>
      <c r="Z860" s="135">
        <v>6.3725316407100496E-2</v>
      </c>
      <c r="AA860" s="135">
        <v>6.4115678608094695E-2</v>
      </c>
      <c r="AB860" s="135">
        <v>5.4868524985678097E-2</v>
      </c>
      <c r="AC860" s="135">
        <v>4.0999771236056602E-2</v>
      </c>
      <c r="AD860" s="135">
        <v>3.08821460605192E-2</v>
      </c>
      <c r="AF860" s="243">
        <f t="shared" si="16"/>
        <v>0.29676462175632545</v>
      </c>
      <c r="AG860" s="275">
        <f t="shared" si="17"/>
        <v>0.47233679284397745</v>
      </c>
      <c r="AH860" s="391">
        <f t="shared" si="18"/>
        <v>0.48313258810833748</v>
      </c>
      <c r="AI860" s="135">
        <f t="shared" si="19"/>
        <v>0.95546938095231493</v>
      </c>
    </row>
    <row r="861" spans="1:35" ht="12.6">
      <c r="A861" s="10" t="s">
        <v>63</v>
      </c>
      <c r="B861" s="10">
        <v>130</v>
      </c>
      <c r="C861" s="10" t="s">
        <v>1513</v>
      </c>
      <c r="D861" s="388">
        <v>45056</v>
      </c>
      <c r="E861" s="389">
        <v>45056</v>
      </c>
      <c r="F861" s="390" t="str">
        <f t="shared" si="15"/>
        <v>Other</v>
      </c>
      <c r="G861" s="135">
        <v>2.6676256567957399E-2</v>
      </c>
      <c r="H861" s="135">
        <v>2.52631622165756E-2</v>
      </c>
      <c r="I861" s="135">
        <v>2.4586587658058701E-2</v>
      </c>
      <c r="J861" s="135">
        <v>2.41099676176709E-2</v>
      </c>
      <c r="K861" s="135">
        <v>2.4251081537013601E-2</v>
      </c>
      <c r="L861" s="135">
        <v>2.5707331168557002E-2</v>
      </c>
      <c r="M861" s="135">
        <v>3.5487783389631301E-2</v>
      </c>
      <c r="N861" s="135">
        <v>4.0154083659836699E-2</v>
      </c>
      <c r="O861" s="135">
        <v>3.8265874241609502E-2</v>
      </c>
      <c r="P861" s="135">
        <v>3.7832665130905503E-2</v>
      </c>
      <c r="Q861" s="135">
        <v>4.0430374424496499E-2</v>
      </c>
      <c r="R861" s="135">
        <v>4.1961541939891898E-2</v>
      </c>
      <c r="S861" s="135">
        <v>4.3805545698623098E-2</v>
      </c>
      <c r="T861" s="135">
        <v>4.4218763331982797E-2</v>
      </c>
      <c r="U861" s="135">
        <v>4.3891384413338903E-2</v>
      </c>
      <c r="V861" s="135">
        <v>4.1844945889229997E-2</v>
      </c>
      <c r="W861" s="135">
        <v>4.0612066058762303E-2</v>
      </c>
      <c r="X861" s="135">
        <v>4.6616937789524297E-2</v>
      </c>
      <c r="Y861" s="135">
        <v>5.51615909211998E-2</v>
      </c>
      <c r="Z861" s="135">
        <v>6.3725316407100496E-2</v>
      </c>
      <c r="AA861" s="135">
        <v>6.4115678608094695E-2</v>
      </c>
      <c r="AB861" s="135">
        <v>5.4868524985678097E-2</v>
      </c>
      <c r="AC861" s="135">
        <v>4.0999771236056602E-2</v>
      </c>
      <c r="AD861" s="135">
        <v>3.08821460605192E-2</v>
      </c>
      <c r="AF861" s="243">
        <f t="shared" si="16"/>
        <v>0.29676462175632545</v>
      </c>
      <c r="AG861" s="275">
        <f t="shared" si="17"/>
        <v>0.47233679284397745</v>
      </c>
      <c r="AH861" s="391">
        <f t="shared" si="18"/>
        <v>0.48313258810833748</v>
      </c>
      <c r="AI861" s="135">
        <f t="shared" si="19"/>
        <v>0.95546938095231493</v>
      </c>
    </row>
    <row r="862" spans="1:35" ht="12.6">
      <c r="A862" s="10" t="s">
        <v>63</v>
      </c>
      <c r="B862" s="10">
        <v>131</v>
      </c>
      <c r="C862" s="10" t="s">
        <v>1513</v>
      </c>
      <c r="D862" s="388">
        <v>45057</v>
      </c>
      <c r="E862" s="389">
        <v>45057</v>
      </c>
      <c r="F862" s="390" t="str">
        <f t="shared" si="15"/>
        <v>Other</v>
      </c>
      <c r="G862" s="135">
        <v>2.6676256567957399E-2</v>
      </c>
      <c r="H862" s="135">
        <v>2.52631622165756E-2</v>
      </c>
      <c r="I862" s="135">
        <v>2.4586587658058701E-2</v>
      </c>
      <c r="J862" s="135">
        <v>2.41099676176709E-2</v>
      </c>
      <c r="K862" s="135">
        <v>2.4251081537013601E-2</v>
      </c>
      <c r="L862" s="135">
        <v>2.5707331168557002E-2</v>
      </c>
      <c r="M862" s="135">
        <v>3.5487783389631301E-2</v>
      </c>
      <c r="N862" s="135">
        <v>4.0154083659836699E-2</v>
      </c>
      <c r="O862" s="135">
        <v>3.8265874241609502E-2</v>
      </c>
      <c r="P862" s="135">
        <v>3.7832665130905503E-2</v>
      </c>
      <c r="Q862" s="135">
        <v>4.0430374424496499E-2</v>
      </c>
      <c r="R862" s="135">
        <v>4.1961541939891898E-2</v>
      </c>
      <c r="S862" s="135">
        <v>4.3805545698623098E-2</v>
      </c>
      <c r="T862" s="135">
        <v>4.4218763331982797E-2</v>
      </c>
      <c r="U862" s="135">
        <v>4.3891384413338903E-2</v>
      </c>
      <c r="V862" s="135">
        <v>4.1844945889229997E-2</v>
      </c>
      <c r="W862" s="135">
        <v>4.0612066058762303E-2</v>
      </c>
      <c r="X862" s="135">
        <v>4.6616937789524297E-2</v>
      </c>
      <c r="Y862" s="135">
        <v>5.51615909211998E-2</v>
      </c>
      <c r="Z862" s="135">
        <v>6.3725316407100496E-2</v>
      </c>
      <c r="AA862" s="135">
        <v>6.4115678608094695E-2</v>
      </c>
      <c r="AB862" s="135">
        <v>5.4868524985678097E-2</v>
      </c>
      <c r="AC862" s="135">
        <v>4.0999771236056602E-2</v>
      </c>
      <c r="AD862" s="135">
        <v>3.08821460605192E-2</v>
      </c>
      <c r="AF862" s="243">
        <f t="shared" si="16"/>
        <v>0.29676462175632545</v>
      </c>
      <c r="AG862" s="275">
        <f t="shared" si="17"/>
        <v>0.47233679284397745</v>
      </c>
      <c r="AH862" s="391">
        <f t="shared" si="18"/>
        <v>0.48313258810833748</v>
      </c>
      <c r="AI862" s="135">
        <f t="shared" si="19"/>
        <v>0.95546938095231493</v>
      </c>
    </row>
    <row r="863" spans="1:35" ht="12.6">
      <c r="A863" s="10" t="s">
        <v>63</v>
      </c>
      <c r="B863" s="10">
        <v>132</v>
      </c>
      <c r="C863" s="10" t="s">
        <v>1513</v>
      </c>
      <c r="D863" s="388">
        <v>45058</v>
      </c>
      <c r="E863" s="389">
        <v>45058</v>
      </c>
      <c r="F863" s="390" t="str">
        <f t="shared" si="15"/>
        <v>Other</v>
      </c>
      <c r="G863" s="135">
        <v>2.6676256567957399E-2</v>
      </c>
      <c r="H863" s="135">
        <v>2.52631622165756E-2</v>
      </c>
      <c r="I863" s="135">
        <v>2.4586587658058701E-2</v>
      </c>
      <c r="J863" s="135">
        <v>2.41099676176709E-2</v>
      </c>
      <c r="K863" s="135">
        <v>2.4251081537013601E-2</v>
      </c>
      <c r="L863" s="135">
        <v>2.5707331168557002E-2</v>
      </c>
      <c r="M863" s="135">
        <v>3.5487783389631301E-2</v>
      </c>
      <c r="N863" s="135">
        <v>4.0154083659836699E-2</v>
      </c>
      <c r="O863" s="135">
        <v>3.8265874241609502E-2</v>
      </c>
      <c r="P863" s="135">
        <v>3.7832665130905503E-2</v>
      </c>
      <c r="Q863" s="135">
        <v>4.0430374424496499E-2</v>
      </c>
      <c r="R863" s="135">
        <v>4.1961541939891898E-2</v>
      </c>
      <c r="S863" s="135">
        <v>4.3805545698623098E-2</v>
      </c>
      <c r="T863" s="135">
        <v>4.4218763331982797E-2</v>
      </c>
      <c r="U863" s="135">
        <v>4.3891384413338903E-2</v>
      </c>
      <c r="V863" s="135">
        <v>4.1844945889229997E-2</v>
      </c>
      <c r="W863" s="135">
        <v>4.0612066058762303E-2</v>
      </c>
      <c r="X863" s="135">
        <v>4.6616937789524297E-2</v>
      </c>
      <c r="Y863" s="135">
        <v>5.51615909211998E-2</v>
      </c>
      <c r="Z863" s="135">
        <v>6.3725316407100496E-2</v>
      </c>
      <c r="AA863" s="135">
        <v>6.4115678608094695E-2</v>
      </c>
      <c r="AB863" s="135">
        <v>5.4868524985678097E-2</v>
      </c>
      <c r="AC863" s="135">
        <v>4.0999771236056602E-2</v>
      </c>
      <c r="AD863" s="135">
        <v>3.08821460605192E-2</v>
      </c>
      <c r="AF863" s="243">
        <f t="shared" si="16"/>
        <v>0.29676462175632545</v>
      </c>
      <c r="AG863" s="275">
        <f t="shared" si="17"/>
        <v>0.47233679284397745</v>
      </c>
      <c r="AH863" s="391">
        <f t="shared" si="18"/>
        <v>0.48313258810833748</v>
      </c>
      <c r="AI863" s="135">
        <f t="shared" si="19"/>
        <v>0.95546938095231493</v>
      </c>
    </row>
    <row r="864" spans="1:35" ht="12.6">
      <c r="A864" s="10" t="s">
        <v>63</v>
      </c>
      <c r="B864" s="10">
        <v>133</v>
      </c>
      <c r="C864" s="10" t="s">
        <v>1513</v>
      </c>
      <c r="D864" s="388">
        <v>45059</v>
      </c>
      <c r="E864" s="389">
        <v>45059</v>
      </c>
      <c r="F864" s="390" t="str">
        <f t="shared" si="15"/>
        <v>Other</v>
      </c>
      <c r="G864" s="135">
        <v>2.9581905760173301E-2</v>
      </c>
      <c r="H864" s="135">
        <v>2.5846863416031301E-2</v>
      </c>
      <c r="I864" s="135">
        <v>2.4433190210176502E-2</v>
      </c>
      <c r="J864" s="135">
        <v>2.3629395940015799E-2</v>
      </c>
      <c r="K864" s="135">
        <v>2.4118169501963799E-2</v>
      </c>
      <c r="L864" s="135">
        <v>2.48817253394551E-2</v>
      </c>
      <c r="M864" s="135">
        <v>3.0116465792275199E-2</v>
      </c>
      <c r="N864" s="135">
        <v>3.8794095671866098E-2</v>
      </c>
      <c r="O864" s="135">
        <v>3.8625300418055099E-2</v>
      </c>
      <c r="P864" s="135">
        <v>4.1162625827875297E-2</v>
      </c>
      <c r="Q864" s="135">
        <v>4.6107833916895297E-2</v>
      </c>
      <c r="R864" s="135">
        <v>4.87624049833413E-2</v>
      </c>
      <c r="S864" s="135">
        <v>4.8358101764359597E-2</v>
      </c>
      <c r="T864" s="135">
        <v>4.9789836051873503E-2</v>
      </c>
      <c r="U864" s="135">
        <v>5.1432357045753899E-2</v>
      </c>
      <c r="V864" s="135">
        <v>5.1122607077058103E-2</v>
      </c>
      <c r="W864" s="135">
        <v>4.97430910899977E-2</v>
      </c>
      <c r="X864" s="135">
        <v>5.1757286160907003E-2</v>
      </c>
      <c r="Y864" s="135">
        <v>5.7811372164669902E-2</v>
      </c>
      <c r="Z864" s="135">
        <v>6.3341387776554597E-2</v>
      </c>
      <c r="AA864" s="135">
        <v>6.23430570424564E-2</v>
      </c>
      <c r="AB864" s="135">
        <v>5.3189571453664299E-2</v>
      </c>
      <c r="AC864" s="135">
        <v>4.0728742355680102E-2</v>
      </c>
      <c r="AD864" s="135">
        <v>3.3094900847490102E-2</v>
      </c>
      <c r="AF864" s="243">
        <f t="shared" si="16"/>
        <v>0.3453162319292794</v>
      </c>
      <c r="AG864" s="275">
        <f t="shared" si="17"/>
        <v>0.5068773521923039</v>
      </c>
      <c r="AH864" s="391">
        <f t="shared" si="18"/>
        <v>0.50189493541628527</v>
      </c>
      <c r="AI864" s="135">
        <f t="shared" si="19"/>
        <v>1.0087722876085892</v>
      </c>
    </row>
    <row r="865" spans="1:35" ht="12.6">
      <c r="A865" s="10" t="s">
        <v>63</v>
      </c>
      <c r="B865" s="10">
        <v>134</v>
      </c>
      <c r="C865" s="10" t="s">
        <v>1513</v>
      </c>
      <c r="D865" s="388">
        <v>45060</v>
      </c>
      <c r="E865" s="389">
        <v>45060</v>
      </c>
      <c r="F865" s="390" t="str">
        <f t="shared" si="15"/>
        <v>Other</v>
      </c>
      <c r="G865" s="135">
        <v>2.9581905760173301E-2</v>
      </c>
      <c r="H865" s="135">
        <v>2.5846863416031301E-2</v>
      </c>
      <c r="I865" s="135">
        <v>2.4433190210176502E-2</v>
      </c>
      <c r="J865" s="135">
        <v>2.3629395940015799E-2</v>
      </c>
      <c r="K865" s="135">
        <v>2.4118169501963799E-2</v>
      </c>
      <c r="L865" s="135">
        <v>2.48817253394551E-2</v>
      </c>
      <c r="M865" s="135">
        <v>3.0116465792275199E-2</v>
      </c>
      <c r="N865" s="135">
        <v>3.8794095671866098E-2</v>
      </c>
      <c r="O865" s="135">
        <v>3.8625300418055099E-2</v>
      </c>
      <c r="P865" s="135">
        <v>4.1162625827875297E-2</v>
      </c>
      <c r="Q865" s="135">
        <v>4.6107833916895297E-2</v>
      </c>
      <c r="R865" s="135">
        <v>4.87624049833413E-2</v>
      </c>
      <c r="S865" s="135">
        <v>4.8358101764359597E-2</v>
      </c>
      <c r="T865" s="135">
        <v>4.9789836051873503E-2</v>
      </c>
      <c r="U865" s="135">
        <v>5.1432357045753899E-2</v>
      </c>
      <c r="V865" s="135">
        <v>5.1122607077058103E-2</v>
      </c>
      <c r="W865" s="135">
        <v>4.97430910899977E-2</v>
      </c>
      <c r="X865" s="135">
        <v>5.1757286160907003E-2</v>
      </c>
      <c r="Y865" s="135">
        <v>5.7811372164669902E-2</v>
      </c>
      <c r="Z865" s="135">
        <v>6.3341387776554597E-2</v>
      </c>
      <c r="AA865" s="135">
        <v>6.23430570424564E-2</v>
      </c>
      <c r="AB865" s="135">
        <v>5.3189571453664299E-2</v>
      </c>
      <c r="AC865" s="135">
        <v>4.0728742355680102E-2</v>
      </c>
      <c r="AD865" s="135">
        <v>3.3094900847490102E-2</v>
      </c>
      <c r="AF865" s="243">
        <f t="shared" si="16"/>
        <v>0.3453162319292794</v>
      </c>
      <c r="AG865" s="275">
        <f t="shared" si="17"/>
        <v>0.5068773521923039</v>
      </c>
      <c r="AH865" s="391">
        <f t="shared" si="18"/>
        <v>0.50189493541628527</v>
      </c>
      <c r="AI865" s="135">
        <f t="shared" si="19"/>
        <v>1.0087722876085892</v>
      </c>
    </row>
    <row r="866" spans="1:35" ht="12.6">
      <c r="A866" s="10" t="s">
        <v>63</v>
      </c>
      <c r="B866" s="10">
        <v>135</v>
      </c>
      <c r="C866" s="10" t="s">
        <v>1513</v>
      </c>
      <c r="D866" s="388">
        <v>45061</v>
      </c>
      <c r="E866" s="389">
        <v>45061</v>
      </c>
      <c r="F866" s="390" t="str">
        <f t="shared" si="15"/>
        <v>Other</v>
      </c>
      <c r="G866" s="135">
        <v>2.6676256567957399E-2</v>
      </c>
      <c r="H866" s="135">
        <v>2.52631622165756E-2</v>
      </c>
      <c r="I866" s="135">
        <v>2.4586587658058701E-2</v>
      </c>
      <c r="J866" s="135">
        <v>2.41099676176709E-2</v>
      </c>
      <c r="K866" s="135">
        <v>2.4251081537013601E-2</v>
      </c>
      <c r="L866" s="135">
        <v>2.5707331168557002E-2</v>
      </c>
      <c r="M866" s="135">
        <v>3.5487783389631301E-2</v>
      </c>
      <c r="N866" s="135">
        <v>4.0154083659836699E-2</v>
      </c>
      <c r="O866" s="135">
        <v>3.8265874241609502E-2</v>
      </c>
      <c r="P866" s="135">
        <v>3.7832665130905503E-2</v>
      </c>
      <c r="Q866" s="135">
        <v>4.0430374424496499E-2</v>
      </c>
      <c r="R866" s="135">
        <v>4.1961541939891898E-2</v>
      </c>
      <c r="S866" s="135">
        <v>4.3805545698623098E-2</v>
      </c>
      <c r="T866" s="135">
        <v>4.4218763331982797E-2</v>
      </c>
      <c r="U866" s="135">
        <v>4.3891384413338903E-2</v>
      </c>
      <c r="V866" s="135">
        <v>4.1844945889229997E-2</v>
      </c>
      <c r="W866" s="135">
        <v>4.0612066058762303E-2</v>
      </c>
      <c r="X866" s="135">
        <v>4.6616937789524297E-2</v>
      </c>
      <c r="Y866" s="135">
        <v>5.51615909211998E-2</v>
      </c>
      <c r="Z866" s="135">
        <v>6.3725316407100496E-2</v>
      </c>
      <c r="AA866" s="135">
        <v>6.4115678608094695E-2</v>
      </c>
      <c r="AB866" s="135">
        <v>5.4868524985678097E-2</v>
      </c>
      <c r="AC866" s="135">
        <v>4.0999771236056602E-2</v>
      </c>
      <c r="AD866" s="135">
        <v>3.08821460605192E-2</v>
      </c>
      <c r="AF866" s="243">
        <f t="shared" si="16"/>
        <v>0.29676462175632545</v>
      </c>
      <c r="AG866" s="275">
        <f t="shared" si="17"/>
        <v>0.47233679284397745</v>
      </c>
      <c r="AH866" s="391">
        <f t="shared" si="18"/>
        <v>0.48313258810833748</v>
      </c>
      <c r="AI866" s="135">
        <f t="shared" si="19"/>
        <v>0.95546938095231493</v>
      </c>
    </row>
    <row r="867" spans="1:35" ht="12.6">
      <c r="A867" s="10" t="s">
        <v>63</v>
      </c>
      <c r="B867" s="10">
        <v>136</v>
      </c>
      <c r="C867" s="10" t="s">
        <v>1513</v>
      </c>
      <c r="D867" s="388">
        <v>45062</v>
      </c>
      <c r="E867" s="389">
        <v>45062</v>
      </c>
      <c r="F867" s="390" t="str">
        <f t="shared" si="15"/>
        <v>Other</v>
      </c>
      <c r="G867" s="135">
        <v>2.6676256567957399E-2</v>
      </c>
      <c r="H867" s="135">
        <v>2.52631622165756E-2</v>
      </c>
      <c r="I867" s="135">
        <v>2.4586587658058701E-2</v>
      </c>
      <c r="J867" s="135">
        <v>2.41099676176709E-2</v>
      </c>
      <c r="K867" s="135">
        <v>2.4251081537013601E-2</v>
      </c>
      <c r="L867" s="135">
        <v>2.5707331168557002E-2</v>
      </c>
      <c r="M867" s="135">
        <v>3.5487783389631301E-2</v>
      </c>
      <c r="N867" s="135">
        <v>4.0154083659836699E-2</v>
      </c>
      <c r="O867" s="135">
        <v>3.8265874241609502E-2</v>
      </c>
      <c r="P867" s="135">
        <v>3.7832665130905503E-2</v>
      </c>
      <c r="Q867" s="135">
        <v>4.0430374424496499E-2</v>
      </c>
      <c r="R867" s="135">
        <v>4.1961541939891898E-2</v>
      </c>
      <c r="S867" s="135">
        <v>4.3805545698623098E-2</v>
      </c>
      <c r="T867" s="135">
        <v>4.4218763331982797E-2</v>
      </c>
      <c r="U867" s="135">
        <v>4.3891384413338903E-2</v>
      </c>
      <c r="V867" s="135">
        <v>4.1844945889229997E-2</v>
      </c>
      <c r="W867" s="135">
        <v>4.0612066058762303E-2</v>
      </c>
      <c r="X867" s="135">
        <v>4.6616937789524297E-2</v>
      </c>
      <c r="Y867" s="135">
        <v>5.51615909211998E-2</v>
      </c>
      <c r="Z867" s="135">
        <v>6.3725316407100496E-2</v>
      </c>
      <c r="AA867" s="135">
        <v>6.4115678608094695E-2</v>
      </c>
      <c r="AB867" s="135">
        <v>5.4868524985678097E-2</v>
      </c>
      <c r="AC867" s="135">
        <v>4.0999771236056602E-2</v>
      </c>
      <c r="AD867" s="135">
        <v>3.08821460605192E-2</v>
      </c>
      <c r="AF867" s="243">
        <f t="shared" si="16"/>
        <v>0.29676462175632545</v>
      </c>
      <c r="AG867" s="275">
        <f t="shared" si="17"/>
        <v>0.47233679284397745</v>
      </c>
      <c r="AH867" s="391">
        <f t="shared" si="18"/>
        <v>0.48313258810833748</v>
      </c>
      <c r="AI867" s="135">
        <f t="shared" si="19"/>
        <v>0.95546938095231493</v>
      </c>
    </row>
    <row r="868" spans="1:35" ht="12.6">
      <c r="A868" s="10" t="s">
        <v>63</v>
      </c>
      <c r="B868" s="10">
        <v>137</v>
      </c>
      <c r="C868" s="10" t="s">
        <v>1513</v>
      </c>
      <c r="D868" s="388">
        <v>45063</v>
      </c>
      <c r="E868" s="389">
        <v>45063</v>
      </c>
      <c r="F868" s="390" t="str">
        <f t="shared" si="15"/>
        <v>Other</v>
      </c>
      <c r="G868" s="135">
        <v>2.6676256567957399E-2</v>
      </c>
      <c r="H868" s="135">
        <v>2.52631622165756E-2</v>
      </c>
      <c r="I868" s="135">
        <v>2.4586587658058701E-2</v>
      </c>
      <c r="J868" s="135">
        <v>2.41099676176709E-2</v>
      </c>
      <c r="K868" s="135">
        <v>2.4251081537013601E-2</v>
      </c>
      <c r="L868" s="135">
        <v>2.5707331168557002E-2</v>
      </c>
      <c r="M868" s="135">
        <v>3.5487783389631301E-2</v>
      </c>
      <c r="N868" s="135">
        <v>4.0154083659836699E-2</v>
      </c>
      <c r="O868" s="135">
        <v>3.8265874241609502E-2</v>
      </c>
      <c r="P868" s="135">
        <v>3.7832665130905503E-2</v>
      </c>
      <c r="Q868" s="135">
        <v>4.0430374424496499E-2</v>
      </c>
      <c r="R868" s="135">
        <v>4.1961541939891898E-2</v>
      </c>
      <c r="S868" s="135">
        <v>4.3805545698623098E-2</v>
      </c>
      <c r="T868" s="135">
        <v>4.4218763331982797E-2</v>
      </c>
      <c r="U868" s="135">
        <v>4.3891384413338903E-2</v>
      </c>
      <c r="V868" s="135">
        <v>4.1844945889229997E-2</v>
      </c>
      <c r="W868" s="135">
        <v>4.0612066058762303E-2</v>
      </c>
      <c r="X868" s="135">
        <v>4.6616937789524297E-2</v>
      </c>
      <c r="Y868" s="135">
        <v>5.51615909211998E-2</v>
      </c>
      <c r="Z868" s="135">
        <v>6.3725316407100496E-2</v>
      </c>
      <c r="AA868" s="135">
        <v>6.4115678608094695E-2</v>
      </c>
      <c r="AB868" s="135">
        <v>5.4868524985678097E-2</v>
      </c>
      <c r="AC868" s="135">
        <v>4.0999771236056602E-2</v>
      </c>
      <c r="AD868" s="135">
        <v>3.08821460605192E-2</v>
      </c>
      <c r="AF868" s="243">
        <f t="shared" si="16"/>
        <v>0.29676462175632545</v>
      </c>
      <c r="AG868" s="275">
        <f t="shared" si="17"/>
        <v>0.47233679284397745</v>
      </c>
      <c r="AH868" s="391">
        <f t="shared" si="18"/>
        <v>0.48313258810833748</v>
      </c>
      <c r="AI868" s="135">
        <f t="shared" si="19"/>
        <v>0.95546938095231493</v>
      </c>
    </row>
    <row r="869" spans="1:35" ht="12.6">
      <c r="A869" s="10" t="s">
        <v>63</v>
      </c>
      <c r="B869" s="10">
        <v>138</v>
      </c>
      <c r="C869" s="10" t="s">
        <v>1513</v>
      </c>
      <c r="D869" s="388">
        <v>45064</v>
      </c>
      <c r="E869" s="389">
        <v>45064</v>
      </c>
      <c r="F869" s="390" t="str">
        <f t="shared" si="15"/>
        <v>Other</v>
      </c>
      <c r="G869" s="135">
        <v>2.6676256567957399E-2</v>
      </c>
      <c r="H869" s="135">
        <v>2.52631622165756E-2</v>
      </c>
      <c r="I869" s="135">
        <v>2.4586587658058701E-2</v>
      </c>
      <c r="J869" s="135">
        <v>2.41099676176709E-2</v>
      </c>
      <c r="K869" s="135">
        <v>2.4251081537013601E-2</v>
      </c>
      <c r="L869" s="135">
        <v>2.5707331168557002E-2</v>
      </c>
      <c r="M869" s="135">
        <v>3.5487783389631301E-2</v>
      </c>
      <c r="N869" s="135">
        <v>4.0154083659836699E-2</v>
      </c>
      <c r="O869" s="135">
        <v>3.8265874241609502E-2</v>
      </c>
      <c r="P869" s="135">
        <v>3.7832665130905503E-2</v>
      </c>
      <c r="Q869" s="135">
        <v>4.0430374424496499E-2</v>
      </c>
      <c r="R869" s="135">
        <v>4.1961541939891898E-2</v>
      </c>
      <c r="S869" s="135">
        <v>4.3805545698623098E-2</v>
      </c>
      <c r="T869" s="135">
        <v>4.4218763331982797E-2</v>
      </c>
      <c r="U869" s="135">
        <v>4.3891384413338903E-2</v>
      </c>
      <c r="V869" s="135">
        <v>4.1844945889229997E-2</v>
      </c>
      <c r="W869" s="135">
        <v>4.0612066058762303E-2</v>
      </c>
      <c r="X869" s="135">
        <v>4.6616937789524297E-2</v>
      </c>
      <c r="Y869" s="135">
        <v>5.51615909211998E-2</v>
      </c>
      <c r="Z869" s="135">
        <v>6.3725316407100496E-2</v>
      </c>
      <c r="AA869" s="135">
        <v>6.4115678608094695E-2</v>
      </c>
      <c r="AB869" s="135">
        <v>5.4868524985678097E-2</v>
      </c>
      <c r="AC869" s="135">
        <v>4.0999771236056602E-2</v>
      </c>
      <c r="AD869" s="135">
        <v>3.08821460605192E-2</v>
      </c>
      <c r="AF869" s="243">
        <f t="shared" si="16"/>
        <v>0.29676462175632545</v>
      </c>
      <c r="AG869" s="275">
        <f t="shared" si="17"/>
        <v>0.47233679284397745</v>
      </c>
      <c r="AH869" s="391">
        <f t="shared" si="18"/>
        <v>0.48313258810833748</v>
      </c>
      <c r="AI869" s="135">
        <f t="shared" si="19"/>
        <v>0.95546938095231493</v>
      </c>
    </row>
    <row r="870" spans="1:35" ht="12.6">
      <c r="A870" s="10" t="s">
        <v>63</v>
      </c>
      <c r="B870" s="10">
        <v>139</v>
      </c>
      <c r="C870" s="10" t="s">
        <v>1513</v>
      </c>
      <c r="D870" s="388">
        <v>45065</v>
      </c>
      <c r="E870" s="389">
        <v>45065</v>
      </c>
      <c r="F870" s="390" t="str">
        <f t="shared" si="15"/>
        <v>Other</v>
      </c>
      <c r="G870" s="135">
        <v>2.6676256567957399E-2</v>
      </c>
      <c r="H870" s="135">
        <v>2.52631622165756E-2</v>
      </c>
      <c r="I870" s="135">
        <v>2.4586587658058701E-2</v>
      </c>
      <c r="J870" s="135">
        <v>2.41099676176709E-2</v>
      </c>
      <c r="K870" s="135">
        <v>2.4251081537013601E-2</v>
      </c>
      <c r="L870" s="135">
        <v>2.5707331168557002E-2</v>
      </c>
      <c r="M870" s="135">
        <v>3.5487783389631301E-2</v>
      </c>
      <c r="N870" s="135">
        <v>4.0154083659836699E-2</v>
      </c>
      <c r="O870" s="135">
        <v>3.8265874241609502E-2</v>
      </c>
      <c r="P870" s="135">
        <v>3.7832665130905503E-2</v>
      </c>
      <c r="Q870" s="135">
        <v>4.0430374424496499E-2</v>
      </c>
      <c r="R870" s="135">
        <v>4.1961541939891898E-2</v>
      </c>
      <c r="S870" s="135">
        <v>4.3805545698623098E-2</v>
      </c>
      <c r="T870" s="135">
        <v>4.4218763331982797E-2</v>
      </c>
      <c r="U870" s="135">
        <v>4.3891384413338903E-2</v>
      </c>
      <c r="V870" s="135">
        <v>4.1844945889229997E-2</v>
      </c>
      <c r="W870" s="135">
        <v>4.0612066058762303E-2</v>
      </c>
      <c r="X870" s="135">
        <v>4.6616937789524297E-2</v>
      </c>
      <c r="Y870" s="135">
        <v>5.51615909211998E-2</v>
      </c>
      <c r="Z870" s="135">
        <v>6.3725316407100496E-2</v>
      </c>
      <c r="AA870" s="135">
        <v>6.4115678608094695E-2</v>
      </c>
      <c r="AB870" s="135">
        <v>5.4868524985678097E-2</v>
      </c>
      <c r="AC870" s="135">
        <v>4.0999771236056602E-2</v>
      </c>
      <c r="AD870" s="135">
        <v>3.08821460605192E-2</v>
      </c>
      <c r="AF870" s="243">
        <f t="shared" si="16"/>
        <v>0.29676462175632545</v>
      </c>
      <c r="AG870" s="275">
        <f t="shared" si="17"/>
        <v>0.47233679284397745</v>
      </c>
      <c r="AH870" s="391">
        <f t="shared" si="18"/>
        <v>0.48313258810833748</v>
      </c>
      <c r="AI870" s="135">
        <f t="shared" si="19"/>
        <v>0.95546938095231493</v>
      </c>
    </row>
    <row r="871" spans="1:35" ht="12.6">
      <c r="A871" s="10" t="s">
        <v>63</v>
      </c>
      <c r="B871" s="10">
        <v>140</v>
      </c>
      <c r="C871" s="10" t="s">
        <v>1513</v>
      </c>
      <c r="D871" s="388">
        <v>45066</v>
      </c>
      <c r="E871" s="389">
        <v>45066</v>
      </c>
      <c r="F871" s="390" t="str">
        <f t="shared" si="15"/>
        <v>Other</v>
      </c>
      <c r="G871" s="135">
        <v>2.9581905760173301E-2</v>
      </c>
      <c r="H871" s="135">
        <v>2.5846863416031301E-2</v>
      </c>
      <c r="I871" s="135">
        <v>2.4433190210176502E-2</v>
      </c>
      <c r="J871" s="135">
        <v>2.3629395940015799E-2</v>
      </c>
      <c r="K871" s="135">
        <v>2.4118169501963799E-2</v>
      </c>
      <c r="L871" s="135">
        <v>2.48817253394551E-2</v>
      </c>
      <c r="M871" s="135">
        <v>3.0116465792275199E-2</v>
      </c>
      <c r="N871" s="135">
        <v>3.8794095671866098E-2</v>
      </c>
      <c r="O871" s="135">
        <v>3.8625300418055099E-2</v>
      </c>
      <c r="P871" s="135">
        <v>4.1162625827875297E-2</v>
      </c>
      <c r="Q871" s="135">
        <v>4.6107833916895297E-2</v>
      </c>
      <c r="R871" s="135">
        <v>4.87624049833413E-2</v>
      </c>
      <c r="S871" s="135">
        <v>4.8358101764359597E-2</v>
      </c>
      <c r="T871" s="135">
        <v>4.9789836051873503E-2</v>
      </c>
      <c r="U871" s="135">
        <v>5.1432357045753899E-2</v>
      </c>
      <c r="V871" s="135">
        <v>5.1122607077058103E-2</v>
      </c>
      <c r="W871" s="135">
        <v>4.97430910899977E-2</v>
      </c>
      <c r="X871" s="135">
        <v>5.1757286160907003E-2</v>
      </c>
      <c r="Y871" s="135">
        <v>5.7811372164669902E-2</v>
      </c>
      <c r="Z871" s="135">
        <v>6.3341387776554597E-2</v>
      </c>
      <c r="AA871" s="135">
        <v>6.23430570424564E-2</v>
      </c>
      <c r="AB871" s="135">
        <v>5.3189571453664299E-2</v>
      </c>
      <c r="AC871" s="135">
        <v>4.0728742355680102E-2</v>
      </c>
      <c r="AD871" s="135">
        <v>3.3094900847490102E-2</v>
      </c>
      <c r="AF871" s="243">
        <f t="shared" si="16"/>
        <v>0.3453162319292794</v>
      </c>
      <c r="AG871" s="275">
        <f t="shared" si="17"/>
        <v>0.5068773521923039</v>
      </c>
      <c r="AH871" s="391">
        <f t="shared" si="18"/>
        <v>0.50189493541628527</v>
      </c>
      <c r="AI871" s="135">
        <f t="shared" si="19"/>
        <v>1.0087722876085892</v>
      </c>
    </row>
    <row r="872" spans="1:35" ht="12.6">
      <c r="A872" s="10" t="s">
        <v>63</v>
      </c>
      <c r="B872" s="10">
        <v>141</v>
      </c>
      <c r="C872" s="10" t="s">
        <v>1513</v>
      </c>
      <c r="D872" s="388">
        <v>45067</v>
      </c>
      <c r="E872" s="389">
        <v>45067</v>
      </c>
      <c r="F872" s="390" t="str">
        <f t="shared" si="15"/>
        <v>Other</v>
      </c>
      <c r="G872" s="135">
        <v>2.9581905760173301E-2</v>
      </c>
      <c r="H872" s="135">
        <v>2.5846863416031301E-2</v>
      </c>
      <c r="I872" s="135">
        <v>2.4433190210176502E-2</v>
      </c>
      <c r="J872" s="135">
        <v>2.3629395940015799E-2</v>
      </c>
      <c r="K872" s="135">
        <v>2.4118169501963799E-2</v>
      </c>
      <c r="L872" s="135">
        <v>2.48817253394551E-2</v>
      </c>
      <c r="M872" s="135">
        <v>3.0116465792275199E-2</v>
      </c>
      <c r="N872" s="135">
        <v>3.8794095671866098E-2</v>
      </c>
      <c r="O872" s="135">
        <v>3.8625300418055099E-2</v>
      </c>
      <c r="P872" s="135">
        <v>4.1162625827875297E-2</v>
      </c>
      <c r="Q872" s="135">
        <v>4.6107833916895297E-2</v>
      </c>
      <c r="R872" s="135">
        <v>4.87624049833413E-2</v>
      </c>
      <c r="S872" s="135">
        <v>4.8358101764359597E-2</v>
      </c>
      <c r="T872" s="135">
        <v>4.9789836051873503E-2</v>
      </c>
      <c r="U872" s="135">
        <v>5.1432357045753899E-2</v>
      </c>
      <c r="V872" s="135">
        <v>5.1122607077058103E-2</v>
      </c>
      <c r="W872" s="135">
        <v>4.97430910899977E-2</v>
      </c>
      <c r="X872" s="135">
        <v>5.1757286160907003E-2</v>
      </c>
      <c r="Y872" s="135">
        <v>5.7811372164669902E-2</v>
      </c>
      <c r="Z872" s="135">
        <v>6.3341387776554597E-2</v>
      </c>
      <c r="AA872" s="135">
        <v>6.23430570424564E-2</v>
      </c>
      <c r="AB872" s="135">
        <v>5.3189571453664299E-2</v>
      </c>
      <c r="AC872" s="135">
        <v>4.0728742355680102E-2</v>
      </c>
      <c r="AD872" s="135">
        <v>3.3094900847490102E-2</v>
      </c>
      <c r="AF872" s="243">
        <f t="shared" si="16"/>
        <v>0.3453162319292794</v>
      </c>
      <c r="AG872" s="275">
        <f t="shared" si="17"/>
        <v>0.5068773521923039</v>
      </c>
      <c r="AH872" s="391">
        <f t="shared" si="18"/>
        <v>0.50189493541628527</v>
      </c>
      <c r="AI872" s="135">
        <f t="shared" si="19"/>
        <v>1.0087722876085892</v>
      </c>
    </row>
    <row r="873" spans="1:35" ht="12.6">
      <c r="A873" s="10" t="s">
        <v>63</v>
      </c>
      <c r="B873" s="10">
        <v>142</v>
      </c>
      <c r="C873" s="10" t="s">
        <v>1513</v>
      </c>
      <c r="D873" s="388">
        <v>45068</v>
      </c>
      <c r="E873" s="389">
        <v>45068</v>
      </c>
      <c r="F873" s="390" t="str">
        <f t="shared" si="15"/>
        <v>Other</v>
      </c>
      <c r="G873" s="135">
        <v>2.6676256567957399E-2</v>
      </c>
      <c r="H873" s="135">
        <v>2.52631622165756E-2</v>
      </c>
      <c r="I873" s="135">
        <v>2.4586587658058701E-2</v>
      </c>
      <c r="J873" s="135">
        <v>2.41099676176709E-2</v>
      </c>
      <c r="K873" s="135">
        <v>2.4251081537013601E-2</v>
      </c>
      <c r="L873" s="135">
        <v>2.5707331168557002E-2</v>
      </c>
      <c r="M873" s="135">
        <v>3.5487783389631301E-2</v>
      </c>
      <c r="N873" s="135">
        <v>4.0154083659836699E-2</v>
      </c>
      <c r="O873" s="135">
        <v>3.8265874241609502E-2</v>
      </c>
      <c r="P873" s="135">
        <v>3.7832665130905503E-2</v>
      </c>
      <c r="Q873" s="135">
        <v>4.0430374424496499E-2</v>
      </c>
      <c r="R873" s="135">
        <v>4.1961541939891898E-2</v>
      </c>
      <c r="S873" s="135">
        <v>4.3805545698623098E-2</v>
      </c>
      <c r="T873" s="135">
        <v>4.4218763331982797E-2</v>
      </c>
      <c r="U873" s="135">
        <v>4.3891384413338903E-2</v>
      </c>
      <c r="V873" s="135">
        <v>4.1844945889229997E-2</v>
      </c>
      <c r="W873" s="135">
        <v>4.0612066058762303E-2</v>
      </c>
      <c r="X873" s="135">
        <v>4.6616937789524297E-2</v>
      </c>
      <c r="Y873" s="135">
        <v>5.51615909211998E-2</v>
      </c>
      <c r="Z873" s="135">
        <v>6.3725316407100496E-2</v>
      </c>
      <c r="AA873" s="135">
        <v>6.4115678608094695E-2</v>
      </c>
      <c r="AB873" s="135">
        <v>5.4868524985678097E-2</v>
      </c>
      <c r="AC873" s="135">
        <v>4.0999771236056602E-2</v>
      </c>
      <c r="AD873" s="135">
        <v>3.08821460605192E-2</v>
      </c>
      <c r="AF873" s="243">
        <f t="shared" si="16"/>
        <v>0.29676462175632545</v>
      </c>
      <c r="AG873" s="275">
        <f t="shared" si="17"/>
        <v>0.47233679284397745</v>
      </c>
      <c r="AH873" s="391">
        <f t="shared" si="18"/>
        <v>0.48313258810833748</v>
      </c>
      <c r="AI873" s="135">
        <f t="shared" si="19"/>
        <v>0.95546938095231493</v>
      </c>
    </row>
    <row r="874" spans="1:35" ht="12.6">
      <c r="A874" s="10" t="s">
        <v>63</v>
      </c>
      <c r="B874" s="10">
        <v>143</v>
      </c>
      <c r="C874" s="10" t="s">
        <v>1513</v>
      </c>
      <c r="D874" s="388">
        <v>45069</v>
      </c>
      <c r="E874" s="389">
        <v>45069</v>
      </c>
      <c r="F874" s="390" t="str">
        <f t="shared" si="15"/>
        <v>Other</v>
      </c>
      <c r="G874" s="135">
        <v>2.6676256567957399E-2</v>
      </c>
      <c r="H874" s="135">
        <v>2.52631622165756E-2</v>
      </c>
      <c r="I874" s="135">
        <v>2.4586587658058701E-2</v>
      </c>
      <c r="J874" s="135">
        <v>2.41099676176709E-2</v>
      </c>
      <c r="K874" s="135">
        <v>2.4251081537013601E-2</v>
      </c>
      <c r="L874" s="135">
        <v>2.5707331168557002E-2</v>
      </c>
      <c r="M874" s="135">
        <v>3.5487783389631301E-2</v>
      </c>
      <c r="N874" s="135">
        <v>4.0154083659836699E-2</v>
      </c>
      <c r="O874" s="135">
        <v>3.8265874241609502E-2</v>
      </c>
      <c r="P874" s="135">
        <v>3.7832665130905503E-2</v>
      </c>
      <c r="Q874" s="135">
        <v>4.0430374424496499E-2</v>
      </c>
      <c r="R874" s="135">
        <v>4.1961541939891898E-2</v>
      </c>
      <c r="S874" s="135">
        <v>4.3805545698623098E-2</v>
      </c>
      <c r="T874" s="135">
        <v>4.4218763331982797E-2</v>
      </c>
      <c r="U874" s="135">
        <v>4.3891384413338903E-2</v>
      </c>
      <c r="V874" s="135">
        <v>4.1844945889229997E-2</v>
      </c>
      <c r="W874" s="135">
        <v>4.0612066058762303E-2</v>
      </c>
      <c r="X874" s="135">
        <v>4.6616937789524297E-2</v>
      </c>
      <c r="Y874" s="135">
        <v>5.51615909211998E-2</v>
      </c>
      <c r="Z874" s="135">
        <v>6.3725316407100496E-2</v>
      </c>
      <c r="AA874" s="135">
        <v>6.4115678608094695E-2</v>
      </c>
      <c r="AB874" s="135">
        <v>5.4868524985678097E-2</v>
      </c>
      <c r="AC874" s="135">
        <v>4.0999771236056602E-2</v>
      </c>
      <c r="AD874" s="135">
        <v>3.08821460605192E-2</v>
      </c>
      <c r="AF874" s="243">
        <f t="shared" si="16"/>
        <v>0.29676462175632545</v>
      </c>
      <c r="AG874" s="275">
        <f t="shared" si="17"/>
        <v>0.47233679284397745</v>
      </c>
      <c r="AH874" s="391">
        <f t="shared" si="18"/>
        <v>0.48313258810833748</v>
      </c>
      <c r="AI874" s="135">
        <f t="shared" si="19"/>
        <v>0.95546938095231493</v>
      </c>
    </row>
    <row r="875" spans="1:35" ht="12.6">
      <c r="A875" s="10" t="s">
        <v>63</v>
      </c>
      <c r="B875" s="10">
        <v>144</v>
      </c>
      <c r="C875" s="10" t="s">
        <v>1513</v>
      </c>
      <c r="D875" s="388">
        <v>45070</v>
      </c>
      <c r="E875" s="389">
        <v>45070</v>
      </c>
      <c r="F875" s="390" t="str">
        <f t="shared" si="15"/>
        <v>Other</v>
      </c>
      <c r="G875" s="135">
        <v>2.6676256567957399E-2</v>
      </c>
      <c r="H875" s="135">
        <v>2.52631622165756E-2</v>
      </c>
      <c r="I875" s="135">
        <v>2.4586587658058701E-2</v>
      </c>
      <c r="J875" s="135">
        <v>2.41099676176709E-2</v>
      </c>
      <c r="K875" s="135">
        <v>2.4251081537013601E-2</v>
      </c>
      <c r="L875" s="135">
        <v>2.5707331168557002E-2</v>
      </c>
      <c r="M875" s="135">
        <v>3.5487783389631301E-2</v>
      </c>
      <c r="N875" s="135">
        <v>4.0154083659836699E-2</v>
      </c>
      <c r="O875" s="135">
        <v>3.8265874241609502E-2</v>
      </c>
      <c r="P875" s="135">
        <v>3.7832665130905503E-2</v>
      </c>
      <c r="Q875" s="135">
        <v>4.0430374424496499E-2</v>
      </c>
      <c r="R875" s="135">
        <v>4.1961541939891898E-2</v>
      </c>
      <c r="S875" s="135">
        <v>4.3805545698623098E-2</v>
      </c>
      <c r="T875" s="135">
        <v>4.4218763331982797E-2</v>
      </c>
      <c r="U875" s="135">
        <v>4.3891384413338903E-2</v>
      </c>
      <c r="V875" s="135">
        <v>4.1844945889229997E-2</v>
      </c>
      <c r="W875" s="135">
        <v>4.0612066058762303E-2</v>
      </c>
      <c r="X875" s="135">
        <v>4.6616937789524297E-2</v>
      </c>
      <c r="Y875" s="135">
        <v>5.51615909211998E-2</v>
      </c>
      <c r="Z875" s="135">
        <v>6.3725316407100496E-2</v>
      </c>
      <c r="AA875" s="135">
        <v>6.4115678608094695E-2</v>
      </c>
      <c r="AB875" s="135">
        <v>5.4868524985678097E-2</v>
      </c>
      <c r="AC875" s="135">
        <v>4.0999771236056602E-2</v>
      </c>
      <c r="AD875" s="135">
        <v>3.08821460605192E-2</v>
      </c>
      <c r="AF875" s="243">
        <f t="shared" si="16"/>
        <v>0.29676462175632545</v>
      </c>
      <c r="AG875" s="275">
        <f t="shared" si="17"/>
        <v>0.47233679284397745</v>
      </c>
      <c r="AH875" s="391">
        <f t="shared" si="18"/>
        <v>0.48313258810833748</v>
      </c>
      <c r="AI875" s="135">
        <f t="shared" si="19"/>
        <v>0.95546938095231493</v>
      </c>
    </row>
    <row r="876" spans="1:35" ht="12.6">
      <c r="A876" s="10" t="s">
        <v>63</v>
      </c>
      <c r="B876" s="10">
        <v>145</v>
      </c>
      <c r="C876" s="10" t="s">
        <v>1513</v>
      </c>
      <c r="D876" s="388">
        <v>45071</v>
      </c>
      <c r="E876" s="389">
        <v>45071</v>
      </c>
      <c r="F876" s="390" t="str">
        <f t="shared" si="15"/>
        <v>Other</v>
      </c>
      <c r="G876" s="135">
        <v>2.6676256567957399E-2</v>
      </c>
      <c r="H876" s="135">
        <v>2.52631622165756E-2</v>
      </c>
      <c r="I876" s="135">
        <v>2.4586587658058701E-2</v>
      </c>
      <c r="J876" s="135">
        <v>2.41099676176709E-2</v>
      </c>
      <c r="K876" s="135">
        <v>2.4251081537013601E-2</v>
      </c>
      <c r="L876" s="135">
        <v>2.5707331168557002E-2</v>
      </c>
      <c r="M876" s="135">
        <v>3.5487783389631301E-2</v>
      </c>
      <c r="N876" s="135">
        <v>4.0154083659836699E-2</v>
      </c>
      <c r="O876" s="135">
        <v>3.8265874241609502E-2</v>
      </c>
      <c r="P876" s="135">
        <v>3.7832665130905503E-2</v>
      </c>
      <c r="Q876" s="135">
        <v>4.0430374424496499E-2</v>
      </c>
      <c r="R876" s="135">
        <v>4.1961541939891898E-2</v>
      </c>
      <c r="S876" s="135">
        <v>4.3805545698623098E-2</v>
      </c>
      <c r="T876" s="135">
        <v>4.4218763331982797E-2</v>
      </c>
      <c r="U876" s="135">
        <v>4.3891384413338903E-2</v>
      </c>
      <c r="V876" s="135">
        <v>4.1844945889229997E-2</v>
      </c>
      <c r="W876" s="135">
        <v>4.0612066058762303E-2</v>
      </c>
      <c r="X876" s="135">
        <v>4.6616937789524297E-2</v>
      </c>
      <c r="Y876" s="135">
        <v>5.51615909211998E-2</v>
      </c>
      <c r="Z876" s="135">
        <v>6.3725316407100496E-2</v>
      </c>
      <c r="AA876" s="135">
        <v>6.4115678608094695E-2</v>
      </c>
      <c r="AB876" s="135">
        <v>5.4868524985678097E-2</v>
      </c>
      <c r="AC876" s="135">
        <v>4.0999771236056602E-2</v>
      </c>
      <c r="AD876" s="135">
        <v>3.08821460605192E-2</v>
      </c>
      <c r="AF876" s="243">
        <f t="shared" si="16"/>
        <v>0.29676462175632545</v>
      </c>
      <c r="AG876" s="275">
        <f t="shared" si="17"/>
        <v>0.47233679284397745</v>
      </c>
      <c r="AH876" s="391">
        <f t="shared" si="18"/>
        <v>0.48313258810833748</v>
      </c>
      <c r="AI876" s="135">
        <f t="shared" si="19"/>
        <v>0.95546938095231493</v>
      </c>
    </row>
    <row r="877" spans="1:35" ht="12.6">
      <c r="A877" s="10" t="s">
        <v>63</v>
      </c>
      <c r="B877" s="10">
        <v>146</v>
      </c>
      <c r="C877" s="10" t="s">
        <v>1513</v>
      </c>
      <c r="D877" s="388">
        <v>45072</v>
      </c>
      <c r="E877" s="389">
        <v>45072</v>
      </c>
      <c r="F877" s="390" t="str">
        <f t="shared" si="15"/>
        <v>Other</v>
      </c>
      <c r="G877" s="135">
        <v>2.6676256567957399E-2</v>
      </c>
      <c r="H877" s="135">
        <v>2.52631622165756E-2</v>
      </c>
      <c r="I877" s="135">
        <v>2.4586587658058701E-2</v>
      </c>
      <c r="J877" s="135">
        <v>2.41099676176709E-2</v>
      </c>
      <c r="K877" s="135">
        <v>2.4251081537013601E-2</v>
      </c>
      <c r="L877" s="135">
        <v>2.5707331168557002E-2</v>
      </c>
      <c r="M877" s="135">
        <v>3.5487783389631301E-2</v>
      </c>
      <c r="N877" s="135">
        <v>4.0154083659836699E-2</v>
      </c>
      <c r="O877" s="135">
        <v>3.8265874241609502E-2</v>
      </c>
      <c r="P877" s="135">
        <v>3.7832665130905503E-2</v>
      </c>
      <c r="Q877" s="135">
        <v>4.0430374424496499E-2</v>
      </c>
      <c r="R877" s="135">
        <v>4.1961541939891898E-2</v>
      </c>
      <c r="S877" s="135">
        <v>4.3805545698623098E-2</v>
      </c>
      <c r="T877" s="135">
        <v>4.4218763331982797E-2</v>
      </c>
      <c r="U877" s="135">
        <v>4.3891384413338903E-2</v>
      </c>
      <c r="V877" s="135">
        <v>4.1844945889229997E-2</v>
      </c>
      <c r="W877" s="135">
        <v>4.0612066058762303E-2</v>
      </c>
      <c r="X877" s="135">
        <v>4.6616937789524297E-2</v>
      </c>
      <c r="Y877" s="135">
        <v>5.51615909211998E-2</v>
      </c>
      <c r="Z877" s="135">
        <v>6.3725316407100496E-2</v>
      </c>
      <c r="AA877" s="135">
        <v>6.4115678608094695E-2</v>
      </c>
      <c r="AB877" s="135">
        <v>5.4868524985678097E-2</v>
      </c>
      <c r="AC877" s="135">
        <v>4.0999771236056602E-2</v>
      </c>
      <c r="AD877" s="135">
        <v>3.08821460605192E-2</v>
      </c>
      <c r="AF877" s="243">
        <f t="shared" si="16"/>
        <v>0.29676462175632545</v>
      </c>
      <c r="AG877" s="275">
        <f t="shared" si="17"/>
        <v>0.47233679284397745</v>
      </c>
      <c r="AH877" s="391">
        <f t="shared" si="18"/>
        <v>0.48313258810833748</v>
      </c>
      <c r="AI877" s="135">
        <f t="shared" si="19"/>
        <v>0.95546938095231493</v>
      </c>
    </row>
    <row r="878" spans="1:35" ht="12.6">
      <c r="A878" s="10" t="s">
        <v>63</v>
      </c>
      <c r="B878" s="10">
        <v>147</v>
      </c>
      <c r="C878" s="10" t="s">
        <v>1513</v>
      </c>
      <c r="D878" s="388">
        <v>45073</v>
      </c>
      <c r="E878" s="389">
        <v>45073</v>
      </c>
      <c r="F878" s="390" t="str">
        <f t="shared" si="15"/>
        <v>Other</v>
      </c>
      <c r="G878" s="135">
        <v>2.9581905760173301E-2</v>
      </c>
      <c r="H878" s="135">
        <v>2.5846863416031301E-2</v>
      </c>
      <c r="I878" s="135">
        <v>2.4433190210176502E-2</v>
      </c>
      <c r="J878" s="135">
        <v>2.3629395940015799E-2</v>
      </c>
      <c r="K878" s="135">
        <v>2.4118169501963799E-2</v>
      </c>
      <c r="L878" s="135">
        <v>2.48817253394551E-2</v>
      </c>
      <c r="M878" s="135">
        <v>3.0116465792275199E-2</v>
      </c>
      <c r="N878" s="135">
        <v>3.8794095671866098E-2</v>
      </c>
      <c r="O878" s="135">
        <v>3.8625300418055099E-2</v>
      </c>
      <c r="P878" s="135">
        <v>4.1162625827875297E-2</v>
      </c>
      <c r="Q878" s="135">
        <v>4.6107833916895297E-2</v>
      </c>
      <c r="R878" s="135">
        <v>4.87624049833413E-2</v>
      </c>
      <c r="S878" s="135">
        <v>4.8358101764359597E-2</v>
      </c>
      <c r="T878" s="135">
        <v>4.9789836051873503E-2</v>
      </c>
      <c r="U878" s="135">
        <v>5.1432357045753899E-2</v>
      </c>
      <c r="V878" s="135">
        <v>5.1122607077058103E-2</v>
      </c>
      <c r="W878" s="135">
        <v>4.97430910899977E-2</v>
      </c>
      <c r="X878" s="135">
        <v>5.1757286160907003E-2</v>
      </c>
      <c r="Y878" s="135">
        <v>5.7811372164669902E-2</v>
      </c>
      <c r="Z878" s="135">
        <v>6.3341387776554597E-2</v>
      </c>
      <c r="AA878" s="135">
        <v>6.23430570424564E-2</v>
      </c>
      <c r="AB878" s="135">
        <v>5.3189571453664299E-2</v>
      </c>
      <c r="AC878" s="135">
        <v>4.0728742355680102E-2</v>
      </c>
      <c r="AD878" s="135">
        <v>3.3094900847490102E-2</v>
      </c>
      <c r="AF878" s="243">
        <f t="shared" si="16"/>
        <v>0.3453162319292794</v>
      </c>
      <c r="AG878" s="275">
        <f t="shared" si="17"/>
        <v>0.5068773521923039</v>
      </c>
      <c r="AH878" s="391">
        <f t="shared" si="18"/>
        <v>0.50189493541628527</v>
      </c>
      <c r="AI878" s="135">
        <f t="shared" si="19"/>
        <v>1.0087722876085892</v>
      </c>
    </row>
    <row r="879" spans="1:35" ht="12.6">
      <c r="A879" s="10" t="s">
        <v>63</v>
      </c>
      <c r="B879" s="10">
        <v>148</v>
      </c>
      <c r="C879" s="10" t="s">
        <v>1513</v>
      </c>
      <c r="D879" s="388">
        <v>45074</v>
      </c>
      <c r="E879" s="389">
        <v>45074</v>
      </c>
      <c r="F879" s="390" t="str">
        <f t="shared" si="15"/>
        <v>Other</v>
      </c>
      <c r="G879" s="135">
        <v>2.9581905760173301E-2</v>
      </c>
      <c r="H879" s="135">
        <v>2.5846863416031301E-2</v>
      </c>
      <c r="I879" s="135">
        <v>2.4433190210176502E-2</v>
      </c>
      <c r="J879" s="135">
        <v>2.3629395940015799E-2</v>
      </c>
      <c r="K879" s="135">
        <v>2.4118169501963799E-2</v>
      </c>
      <c r="L879" s="135">
        <v>2.48817253394551E-2</v>
      </c>
      <c r="M879" s="135">
        <v>3.0116465792275199E-2</v>
      </c>
      <c r="N879" s="135">
        <v>3.8794095671866098E-2</v>
      </c>
      <c r="O879" s="135">
        <v>3.8625300418055099E-2</v>
      </c>
      <c r="P879" s="135">
        <v>4.1162625827875297E-2</v>
      </c>
      <c r="Q879" s="135">
        <v>4.6107833916895297E-2</v>
      </c>
      <c r="R879" s="135">
        <v>4.87624049833413E-2</v>
      </c>
      <c r="S879" s="135">
        <v>4.8358101764359597E-2</v>
      </c>
      <c r="T879" s="135">
        <v>4.9789836051873503E-2</v>
      </c>
      <c r="U879" s="135">
        <v>5.1432357045753899E-2</v>
      </c>
      <c r="V879" s="135">
        <v>5.1122607077058103E-2</v>
      </c>
      <c r="W879" s="135">
        <v>4.97430910899977E-2</v>
      </c>
      <c r="X879" s="135">
        <v>5.1757286160907003E-2</v>
      </c>
      <c r="Y879" s="135">
        <v>5.7811372164669902E-2</v>
      </c>
      <c r="Z879" s="135">
        <v>6.3341387776554597E-2</v>
      </c>
      <c r="AA879" s="135">
        <v>6.23430570424564E-2</v>
      </c>
      <c r="AB879" s="135">
        <v>5.3189571453664299E-2</v>
      </c>
      <c r="AC879" s="135">
        <v>4.0728742355680102E-2</v>
      </c>
      <c r="AD879" s="135">
        <v>3.3094900847490102E-2</v>
      </c>
      <c r="AF879" s="243">
        <f t="shared" si="16"/>
        <v>0.3453162319292794</v>
      </c>
      <c r="AG879" s="275">
        <f t="shared" si="17"/>
        <v>0.5068773521923039</v>
      </c>
      <c r="AH879" s="391">
        <f t="shared" si="18"/>
        <v>0.50189493541628527</v>
      </c>
      <c r="AI879" s="135">
        <f t="shared" si="19"/>
        <v>1.0087722876085892</v>
      </c>
    </row>
    <row r="880" spans="1:35" ht="12.6">
      <c r="A880" s="10" t="s">
        <v>63</v>
      </c>
      <c r="B880" s="10">
        <v>149</v>
      </c>
      <c r="C880" s="10" t="s">
        <v>1513</v>
      </c>
      <c r="D880" s="388">
        <v>45075</v>
      </c>
      <c r="E880" s="389">
        <v>45075</v>
      </c>
      <c r="F880" s="390" t="str">
        <f t="shared" si="15"/>
        <v>Other</v>
      </c>
      <c r="G880" s="135">
        <v>2.6676256567957399E-2</v>
      </c>
      <c r="H880" s="135">
        <v>2.52631622165756E-2</v>
      </c>
      <c r="I880" s="135">
        <v>2.4586587658058701E-2</v>
      </c>
      <c r="J880" s="135">
        <v>2.41099676176709E-2</v>
      </c>
      <c r="K880" s="135">
        <v>2.4251081537013601E-2</v>
      </c>
      <c r="L880" s="135">
        <v>2.5707331168557002E-2</v>
      </c>
      <c r="M880" s="135">
        <v>3.5487783389631301E-2</v>
      </c>
      <c r="N880" s="135">
        <v>4.0154083659836699E-2</v>
      </c>
      <c r="O880" s="135">
        <v>3.8265874241609502E-2</v>
      </c>
      <c r="P880" s="135">
        <v>3.7832665130905503E-2</v>
      </c>
      <c r="Q880" s="135">
        <v>4.0430374424496499E-2</v>
      </c>
      <c r="R880" s="135">
        <v>4.1961541939891898E-2</v>
      </c>
      <c r="S880" s="135">
        <v>4.3805545698623098E-2</v>
      </c>
      <c r="T880" s="135">
        <v>4.4218763331982797E-2</v>
      </c>
      <c r="U880" s="135">
        <v>4.3891384413338903E-2</v>
      </c>
      <c r="V880" s="135">
        <v>4.1844945889229997E-2</v>
      </c>
      <c r="W880" s="135">
        <v>4.0612066058762303E-2</v>
      </c>
      <c r="X880" s="135">
        <v>4.6616937789524297E-2</v>
      </c>
      <c r="Y880" s="135">
        <v>5.51615909211998E-2</v>
      </c>
      <c r="Z880" s="135">
        <v>6.3725316407100496E-2</v>
      </c>
      <c r="AA880" s="135">
        <v>6.4115678608094695E-2</v>
      </c>
      <c r="AB880" s="135">
        <v>5.4868524985678097E-2</v>
      </c>
      <c r="AC880" s="135">
        <v>4.0999771236056602E-2</v>
      </c>
      <c r="AD880" s="135">
        <v>3.08821460605192E-2</v>
      </c>
      <c r="AF880" s="243">
        <f t="shared" si="16"/>
        <v>0.29676462175632545</v>
      </c>
      <c r="AG880" s="275">
        <f t="shared" si="17"/>
        <v>0.47233679284397745</v>
      </c>
      <c r="AH880" s="391">
        <f t="shared" si="18"/>
        <v>0.48313258810833748</v>
      </c>
      <c r="AI880" s="135">
        <f t="shared" si="19"/>
        <v>0.95546938095231493</v>
      </c>
    </row>
    <row r="881" spans="1:35" ht="12.6">
      <c r="A881" s="10" t="s">
        <v>63</v>
      </c>
      <c r="B881" s="10">
        <v>150</v>
      </c>
      <c r="C881" s="10" t="s">
        <v>1513</v>
      </c>
      <c r="D881" s="388">
        <v>45076</v>
      </c>
      <c r="E881" s="389">
        <v>45076</v>
      </c>
      <c r="F881" s="390" t="str">
        <f t="shared" si="15"/>
        <v>Other</v>
      </c>
      <c r="G881" s="135">
        <v>2.6676256567957399E-2</v>
      </c>
      <c r="H881" s="135">
        <v>2.52631622165756E-2</v>
      </c>
      <c r="I881" s="135">
        <v>2.4586587658058701E-2</v>
      </c>
      <c r="J881" s="135">
        <v>2.41099676176709E-2</v>
      </c>
      <c r="K881" s="135">
        <v>2.4251081537013601E-2</v>
      </c>
      <c r="L881" s="135">
        <v>2.5707331168557002E-2</v>
      </c>
      <c r="M881" s="135">
        <v>3.5487783389631301E-2</v>
      </c>
      <c r="N881" s="135">
        <v>4.0154083659836699E-2</v>
      </c>
      <c r="O881" s="135">
        <v>3.8265874241609502E-2</v>
      </c>
      <c r="P881" s="135">
        <v>3.7832665130905503E-2</v>
      </c>
      <c r="Q881" s="135">
        <v>4.0430374424496499E-2</v>
      </c>
      <c r="R881" s="135">
        <v>4.1961541939891898E-2</v>
      </c>
      <c r="S881" s="135">
        <v>4.3805545698623098E-2</v>
      </c>
      <c r="T881" s="135">
        <v>4.4218763331982797E-2</v>
      </c>
      <c r="U881" s="135">
        <v>4.3891384413338903E-2</v>
      </c>
      <c r="V881" s="135">
        <v>4.1844945889229997E-2</v>
      </c>
      <c r="W881" s="135">
        <v>4.0612066058762303E-2</v>
      </c>
      <c r="X881" s="135">
        <v>4.6616937789524297E-2</v>
      </c>
      <c r="Y881" s="135">
        <v>5.51615909211998E-2</v>
      </c>
      <c r="Z881" s="135">
        <v>6.3725316407100496E-2</v>
      </c>
      <c r="AA881" s="135">
        <v>6.4115678608094695E-2</v>
      </c>
      <c r="AB881" s="135">
        <v>5.4868524985678097E-2</v>
      </c>
      <c r="AC881" s="135">
        <v>4.0999771236056602E-2</v>
      </c>
      <c r="AD881" s="135">
        <v>3.08821460605192E-2</v>
      </c>
      <c r="AF881" s="243">
        <f t="shared" si="16"/>
        <v>0.29676462175632545</v>
      </c>
      <c r="AG881" s="275">
        <f t="shared" si="17"/>
        <v>0.47233679284397745</v>
      </c>
      <c r="AH881" s="391">
        <f t="shared" si="18"/>
        <v>0.48313258810833748</v>
      </c>
      <c r="AI881" s="135">
        <f t="shared" si="19"/>
        <v>0.95546938095231493</v>
      </c>
    </row>
    <row r="882" spans="1:35" ht="12.6">
      <c r="A882" s="10" t="s">
        <v>63</v>
      </c>
      <c r="B882" s="10">
        <v>151</v>
      </c>
      <c r="C882" s="10" t="s">
        <v>1513</v>
      </c>
      <c r="D882" s="388">
        <v>45077</v>
      </c>
      <c r="E882" s="389">
        <v>45077</v>
      </c>
      <c r="F882" s="390" t="str">
        <f t="shared" si="15"/>
        <v>Other</v>
      </c>
      <c r="G882" s="135">
        <v>2.6676256567957399E-2</v>
      </c>
      <c r="H882" s="135">
        <v>2.52631622165756E-2</v>
      </c>
      <c r="I882" s="135">
        <v>2.4586587658058701E-2</v>
      </c>
      <c r="J882" s="135">
        <v>2.41099676176709E-2</v>
      </c>
      <c r="K882" s="135">
        <v>2.4251081537013601E-2</v>
      </c>
      <c r="L882" s="135">
        <v>2.5707331168557002E-2</v>
      </c>
      <c r="M882" s="135">
        <v>3.5487783389631301E-2</v>
      </c>
      <c r="N882" s="135">
        <v>4.0154083659836699E-2</v>
      </c>
      <c r="O882" s="135">
        <v>3.8265874241609502E-2</v>
      </c>
      <c r="P882" s="135">
        <v>3.7832665130905503E-2</v>
      </c>
      <c r="Q882" s="135">
        <v>4.0430374424496499E-2</v>
      </c>
      <c r="R882" s="135">
        <v>4.1961541939891898E-2</v>
      </c>
      <c r="S882" s="135">
        <v>4.3805545698623098E-2</v>
      </c>
      <c r="T882" s="135">
        <v>4.4218763331982797E-2</v>
      </c>
      <c r="U882" s="135">
        <v>4.3891384413338903E-2</v>
      </c>
      <c r="V882" s="135">
        <v>4.1844945889229997E-2</v>
      </c>
      <c r="W882" s="135">
        <v>4.0612066058762303E-2</v>
      </c>
      <c r="X882" s="135">
        <v>4.6616937789524297E-2</v>
      </c>
      <c r="Y882" s="135">
        <v>5.51615909211998E-2</v>
      </c>
      <c r="Z882" s="135">
        <v>6.3725316407100496E-2</v>
      </c>
      <c r="AA882" s="135">
        <v>6.4115678608094695E-2</v>
      </c>
      <c r="AB882" s="135">
        <v>5.4868524985678097E-2</v>
      </c>
      <c r="AC882" s="135">
        <v>4.0999771236056602E-2</v>
      </c>
      <c r="AD882" s="135">
        <v>3.08821460605192E-2</v>
      </c>
      <c r="AF882" s="243">
        <f t="shared" si="16"/>
        <v>0.29676462175632545</v>
      </c>
      <c r="AG882" s="275">
        <f t="shared" si="17"/>
        <v>0.47233679284397745</v>
      </c>
      <c r="AH882" s="391">
        <f t="shared" si="18"/>
        <v>0.48313258810833748</v>
      </c>
      <c r="AI882" s="135">
        <f t="shared" si="19"/>
        <v>0.95546938095231493</v>
      </c>
    </row>
    <row r="883" spans="1:35" ht="12.6">
      <c r="A883" s="10" t="s">
        <v>63</v>
      </c>
      <c r="B883" s="10">
        <v>152</v>
      </c>
      <c r="C883" s="10" t="s">
        <v>1514</v>
      </c>
      <c r="D883" s="388">
        <v>45078</v>
      </c>
      <c r="E883" s="389">
        <v>45078</v>
      </c>
      <c r="F883" s="390" t="str">
        <f t="shared" si="15"/>
        <v>Other</v>
      </c>
      <c r="G883" s="135">
        <v>2.8599683375536099E-2</v>
      </c>
      <c r="H883" s="135">
        <v>2.71474969669585E-2</v>
      </c>
      <c r="I883" s="135">
        <v>2.66530382811993E-2</v>
      </c>
      <c r="J883" s="135">
        <v>2.6203737095501198E-2</v>
      </c>
      <c r="K883" s="135">
        <v>2.6289971208701801E-2</v>
      </c>
      <c r="L883" s="135">
        <v>2.8310313333443301E-2</v>
      </c>
      <c r="M883" s="135">
        <v>3.7576662949869999E-2</v>
      </c>
      <c r="N883" s="135">
        <v>4.2380808722995898E-2</v>
      </c>
      <c r="O883" s="135">
        <v>4.1619508677004202E-2</v>
      </c>
      <c r="P883" s="135">
        <v>3.97765682501071E-2</v>
      </c>
      <c r="Q883" s="135">
        <v>4.24846244954033E-2</v>
      </c>
      <c r="R883" s="135">
        <v>4.3798206522598297E-2</v>
      </c>
      <c r="S883" s="135">
        <v>4.5829015386225101E-2</v>
      </c>
      <c r="T883" s="135">
        <v>4.5713375310567003E-2</v>
      </c>
      <c r="U883" s="135">
        <v>4.4219737029885797E-2</v>
      </c>
      <c r="V883" s="135">
        <v>4.22012248229326E-2</v>
      </c>
      <c r="W883" s="135">
        <v>4.1885245229385297E-2</v>
      </c>
      <c r="X883" s="135">
        <v>4.9398085336397002E-2</v>
      </c>
      <c r="Y883" s="135">
        <v>5.9300691622132903E-2</v>
      </c>
      <c r="Z883" s="135">
        <v>6.7911678231480893E-2</v>
      </c>
      <c r="AA883" s="135">
        <v>6.8780489327373504E-2</v>
      </c>
      <c r="AB883" s="135">
        <v>6.0246958971809199E-2</v>
      </c>
      <c r="AC883" s="135">
        <v>4.5248707402128802E-2</v>
      </c>
      <c r="AD883" s="135">
        <v>3.3184775447448099E-2</v>
      </c>
      <c r="AF883" s="243">
        <f t="shared" si="16"/>
        <v>0.3061314287969974</v>
      </c>
      <c r="AG883" s="275">
        <f t="shared" si="17"/>
        <v>0.49906298383978309</v>
      </c>
      <c r="AH883" s="391">
        <f t="shared" si="18"/>
        <v>0.51569762015730225</v>
      </c>
      <c r="AI883" s="135">
        <f t="shared" si="19"/>
        <v>1.0147606039970853</v>
      </c>
    </row>
    <row r="884" spans="1:35" ht="12.6">
      <c r="A884" s="10" t="s">
        <v>63</v>
      </c>
      <c r="B884" s="10">
        <v>153</v>
      </c>
      <c r="C884" s="10" t="s">
        <v>1514</v>
      </c>
      <c r="D884" s="388">
        <v>45079</v>
      </c>
      <c r="E884" s="389">
        <v>45079</v>
      </c>
      <c r="F884" s="390" t="str">
        <f t="shared" si="15"/>
        <v>Other</v>
      </c>
      <c r="G884" s="135">
        <v>2.8599683375536099E-2</v>
      </c>
      <c r="H884" s="135">
        <v>2.71474969669585E-2</v>
      </c>
      <c r="I884" s="135">
        <v>2.66530382811993E-2</v>
      </c>
      <c r="J884" s="135">
        <v>2.6203737095501198E-2</v>
      </c>
      <c r="K884" s="135">
        <v>2.6289971208701801E-2</v>
      </c>
      <c r="L884" s="135">
        <v>2.8310313333443301E-2</v>
      </c>
      <c r="M884" s="135">
        <v>3.7576662949869999E-2</v>
      </c>
      <c r="N884" s="135">
        <v>4.2380808722995898E-2</v>
      </c>
      <c r="O884" s="135">
        <v>4.1619508677004202E-2</v>
      </c>
      <c r="P884" s="135">
        <v>3.97765682501071E-2</v>
      </c>
      <c r="Q884" s="135">
        <v>4.24846244954033E-2</v>
      </c>
      <c r="R884" s="135">
        <v>4.3798206522598297E-2</v>
      </c>
      <c r="S884" s="135">
        <v>4.5829015386225101E-2</v>
      </c>
      <c r="T884" s="135">
        <v>4.5713375310567003E-2</v>
      </c>
      <c r="U884" s="135">
        <v>4.4219737029885797E-2</v>
      </c>
      <c r="V884" s="135">
        <v>4.22012248229326E-2</v>
      </c>
      <c r="W884" s="135">
        <v>4.1885245229385297E-2</v>
      </c>
      <c r="X884" s="135">
        <v>4.9398085336397002E-2</v>
      </c>
      <c r="Y884" s="135">
        <v>5.9300691622132903E-2</v>
      </c>
      <c r="Z884" s="135">
        <v>6.7911678231480893E-2</v>
      </c>
      <c r="AA884" s="135">
        <v>6.8780489327373504E-2</v>
      </c>
      <c r="AB884" s="135">
        <v>6.0246958971809199E-2</v>
      </c>
      <c r="AC884" s="135">
        <v>4.5248707402128802E-2</v>
      </c>
      <c r="AD884" s="135">
        <v>3.3184775447448099E-2</v>
      </c>
      <c r="AF884" s="243">
        <f t="shared" si="16"/>
        <v>0.3061314287969974</v>
      </c>
      <c r="AG884" s="275">
        <f t="shared" si="17"/>
        <v>0.49906298383978309</v>
      </c>
      <c r="AH884" s="391">
        <f t="shared" si="18"/>
        <v>0.51569762015730225</v>
      </c>
      <c r="AI884" s="135">
        <f t="shared" si="19"/>
        <v>1.0147606039970853</v>
      </c>
    </row>
    <row r="885" spans="1:35" ht="12.6">
      <c r="A885" s="10" t="s">
        <v>63</v>
      </c>
      <c r="B885" s="10">
        <v>154</v>
      </c>
      <c r="C885" s="10" t="s">
        <v>1514</v>
      </c>
      <c r="D885" s="388">
        <v>45080</v>
      </c>
      <c r="E885" s="389">
        <v>45080</v>
      </c>
      <c r="F885" s="390" t="str">
        <f t="shared" si="15"/>
        <v>Other</v>
      </c>
      <c r="G885" s="135">
        <v>3.1594034421343203E-2</v>
      </c>
      <c r="H885" s="135">
        <v>2.7553598463258701E-2</v>
      </c>
      <c r="I885" s="135">
        <v>2.6362704733174199E-2</v>
      </c>
      <c r="J885" s="135">
        <v>2.5645630892124599E-2</v>
      </c>
      <c r="K885" s="135">
        <v>2.59587228117635E-2</v>
      </c>
      <c r="L885" s="135">
        <v>2.73241143004576E-2</v>
      </c>
      <c r="M885" s="135">
        <v>3.23399748772027E-2</v>
      </c>
      <c r="N885" s="135">
        <v>4.0693458091161899E-2</v>
      </c>
      <c r="O885" s="135">
        <v>4.08091648323975E-2</v>
      </c>
      <c r="P885" s="135">
        <v>4.3230267850703497E-2</v>
      </c>
      <c r="Q885" s="135">
        <v>4.8875593210887101E-2</v>
      </c>
      <c r="R885" s="135">
        <v>5.1570984614236599E-2</v>
      </c>
      <c r="S885" s="135">
        <v>5.0273372806174499E-2</v>
      </c>
      <c r="T885" s="135">
        <v>5.1223902065420802E-2</v>
      </c>
      <c r="U885" s="135">
        <v>5.1460290626661999E-2</v>
      </c>
      <c r="V885" s="135">
        <v>5.2355412480044501E-2</v>
      </c>
      <c r="W885" s="135">
        <v>5.2386615081516097E-2</v>
      </c>
      <c r="X885" s="135">
        <v>5.6565789515246601E-2</v>
      </c>
      <c r="Y885" s="135">
        <v>6.2807268783048306E-2</v>
      </c>
      <c r="Z885" s="135">
        <v>6.7990705071235696E-2</v>
      </c>
      <c r="AA885" s="135">
        <v>6.7092398362343805E-2</v>
      </c>
      <c r="AB885" s="135">
        <v>5.8280263138641902E-2</v>
      </c>
      <c r="AC885" s="135">
        <v>4.5102682710545697E-2</v>
      </c>
      <c r="AD885" s="135">
        <v>3.5824086247574299E-2</v>
      </c>
      <c r="AF885" s="243">
        <f t="shared" si="16"/>
        <v>0.35814617088494161</v>
      </c>
      <c r="AG885" s="275">
        <f t="shared" si="17"/>
        <v>0.53540514251726234</v>
      </c>
      <c r="AH885" s="391">
        <f t="shared" si="18"/>
        <v>0.53791589346990287</v>
      </c>
      <c r="AI885" s="135">
        <f t="shared" si="19"/>
        <v>1.0733210359871652</v>
      </c>
    </row>
    <row r="886" spans="1:35" ht="12.6">
      <c r="A886" s="10" t="s">
        <v>63</v>
      </c>
      <c r="B886" s="10">
        <v>155</v>
      </c>
      <c r="C886" s="10" t="s">
        <v>1514</v>
      </c>
      <c r="D886" s="388">
        <v>45081</v>
      </c>
      <c r="E886" s="389">
        <v>45081</v>
      </c>
      <c r="F886" s="390" t="str">
        <f t="shared" si="15"/>
        <v>Other</v>
      </c>
      <c r="G886" s="135">
        <v>3.1594034421343203E-2</v>
      </c>
      <c r="H886" s="135">
        <v>2.7553598463258701E-2</v>
      </c>
      <c r="I886" s="135">
        <v>2.6362704733174199E-2</v>
      </c>
      <c r="J886" s="135">
        <v>2.5645630892124599E-2</v>
      </c>
      <c r="K886" s="135">
        <v>2.59587228117635E-2</v>
      </c>
      <c r="L886" s="135">
        <v>2.73241143004576E-2</v>
      </c>
      <c r="M886" s="135">
        <v>3.23399748772027E-2</v>
      </c>
      <c r="N886" s="135">
        <v>4.0693458091161899E-2</v>
      </c>
      <c r="O886" s="135">
        <v>4.08091648323975E-2</v>
      </c>
      <c r="P886" s="135">
        <v>4.3230267850703497E-2</v>
      </c>
      <c r="Q886" s="135">
        <v>4.8875593210887101E-2</v>
      </c>
      <c r="R886" s="135">
        <v>5.1570984614236599E-2</v>
      </c>
      <c r="S886" s="135">
        <v>5.0273372806174499E-2</v>
      </c>
      <c r="T886" s="135">
        <v>5.1223902065420802E-2</v>
      </c>
      <c r="U886" s="135">
        <v>5.1460290626661999E-2</v>
      </c>
      <c r="V886" s="135">
        <v>5.2355412480044501E-2</v>
      </c>
      <c r="W886" s="135">
        <v>5.2386615081516097E-2</v>
      </c>
      <c r="X886" s="135">
        <v>5.6565789515246601E-2</v>
      </c>
      <c r="Y886" s="135">
        <v>6.2807268783048306E-2</v>
      </c>
      <c r="Z886" s="135">
        <v>6.7990705071235696E-2</v>
      </c>
      <c r="AA886" s="135">
        <v>6.7092398362343805E-2</v>
      </c>
      <c r="AB886" s="135">
        <v>5.8280263138641902E-2</v>
      </c>
      <c r="AC886" s="135">
        <v>4.5102682710545697E-2</v>
      </c>
      <c r="AD886" s="135">
        <v>3.5824086247574299E-2</v>
      </c>
      <c r="AF886" s="243">
        <f t="shared" si="16"/>
        <v>0.35814617088494161</v>
      </c>
      <c r="AG886" s="275">
        <f t="shared" si="17"/>
        <v>0.53540514251726234</v>
      </c>
      <c r="AH886" s="391">
        <f t="shared" si="18"/>
        <v>0.53791589346990287</v>
      </c>
      <c r="AI886" s="135">
        <f t="shared" si="19"/>
        <v>1.0733210359871652</v>
      </c>
    </row>
    <row r="887" spans="1:35" ht="12.6">
      <c r="A887" s="10" t="s">
        <v>63</v>
      </c>
      <c r="B887" s="10">
        <v>156</v>
      </c>
      <c r="C887" s="10" t="s">
        <v>1514</v>
      </c>
      <c r="D887" s="388">
        <v>45082</v>
      </c>
      <c r="E887" s="389">
        <v>45082</v>
      </c>
      <c r="F887" s="390" t="str">
        <f t="shared" si="15"/>
        <v>Other</v>
      </c>
      <c r="G887" s="135">
        <v>2.8599683375536099E-2</v>
      </c>
      <c r="H887" s="135">
        <v>2.71474969669585E-2</v>
      </c>
      <c r="I887" s="135">
        <v>2.66530382811993E-2</v>
      </c>
      <c r="J887" s="135">
        <v>2.6203737095501198E-2</v>
      </c>
      <c r="K887" s="135">
        <v>2.6289971208701801E-2</v>
      </c>
      <c r="L887" s="135">
        <v>2.8310313333443301E-2</v>
      </c>
      <c r="M887" s="135">
        <v>3.7576662949869999E-2</v>
      </c>
      <c r="N887" s="135">
        <v>4.2380808722995898E-2</v>
      </c>
      <c r="O887" s="135">
        <v>4.1619508677004202E-2</v>
      </c>
      <c r="P887" s="135">
        <v>3.97765682501071E-2</v>
      </c>
      <c r="Q887" s="135">
        <v>4.24846244954033E-2</v>
      </c>
      <c r="R887" s="135">
        <v>4.3798206522598297E-2</v>
      </c>
      <c r="S887" s="135">
        <v>4.5829015386225101E-2</v>
      </c>
      <c r="T887" s="135">
        <v>4.5713375310567003E-2</v>
      </c>
      <c r="U887" s="135">
        <v>4.4219737029885797E-2</v>
      </c>
      <c r="V887" s="135">
        <v>4.22012248229326E-2</v>
      </c>
      <c r="W887" s="135">
        <v>4.1885245229385297E-2</v>
      </c>
      <c r="X887" s="135">
        <v>4.9398085336397002E-2</v>
      </c>
      <c r="Y887" s="135">
        <v>5.9300691622132903E-2</v>
      </c>
      <c r="Z887" s="135">
        <v>6.7911678231480893E-2</v>
      </c>
      <c r="AA887" s="135">
        <v>6.8780489327373504E-2</v>
      </c>
      <c r="AB887" s="135">
        <v>6.0246958971809199E-2</v>
      </c>
      <c r="AC887" s="135">
        <v>4.5248707402128802E-2</v>
      </c>
      <c r="AD887" s="135">
        <v>3.3184775447448099E-2</v>
      </c>
      <c r="AF887" s="243">
        <f t="shared" si="16"/>
        <v>0.3061314287969974</v>
      </c>
      <c r="AG887" s="275">
        <f t="shared" si="17"/>
        <v>0.49906298383978309</v>
      </c>
      <c r="AH887" s="391">
        <f t="shared" si="18"/>
        <v>0.51569762015730225</v>
      </c>
      <c r="AI887" s="135">
        <f t="shared" si="19"/>
        <v>1.0147606039970853</v>
      </c>
    </row>
    <row r="888" spans="1:35" ht="12.6">
      <c r="A888" s="10" t="s">
        <v>63</v>
      </c>
      <c r="B888" s="10">
        <v>157</v>
      </c>
      <c r="C888" s="10" t="s">
        <v>1514</v>
      </c>
      <c r="D888" s="388">
        <v>45083</v>
      </c>
      <c r="E888" s="389">
        <v>45083</v>
      </c>
      <c r="F888" s="390" t="str">
        <f t="shared" si="15"/>
        <v>Other</v>
      </c>
      <c r="G888" s="135">
        <v>2.8599683375536099E-2</v>
      </c>
      <c r="H888" s="135">
        <v>2.71474969669585E-2</v>
      </c>
      <c r="I888" s="135">
        <v>2.66530382811993E-2</v>
      </c>
      <c r="J888" s="135">
        <v>2.6203737095501198E-2</v>
      </c>
      <c r="K888" s="135">
        <v>2.6289971208701801E-2</v>
      </c>
      <c r="L888" s="135">
        <v>2.8310313333443301E-2</v>
      </c>
      <c r="M888" s="135">
        <v>3.7576662949869999E-2</v>
      </c>
      <c r="N888" s="135">
        <v>4.2380808722995898E-2</v>
      </c>
      <c r="O888" s="135">
        <v>4.1619508677004202E-2</v>
      </c>
      <c r="P888" s="135">
        <v>3.97765682501071E-2</v>
      </c>
      <c r="Q888" s="135">
        <v>4.24846244954033E-2</v>
      </c>
      <c r="R888" s="135">
        <v>4.3798206522598297E-2</v>
      </c>
      <c r="S888" s="135">
        <v>4.5829015386225101E-2</v>
      </c>
      <c r="T888" s="135">
        <v>4.5713375310567003E-2</v>
      </c>
      <c r="U888" s="135">
        <v>4.4219737029885797E-2</v>
      </c>
      <c r="V888" s="135">
        <v>4.22012248229326E-2</v>
      </c>
      <c r="W888" s="135">
        <v>4.1885245229385297E-2</v>
      </c>
      <c r="X888" s="135">
        <v>4.9398085336397002E-2</v>
      </c>
      <c r="Y888" s="135">
        <v>5.9300691622132903E-2</v>
      </c>
      <c r="Z888" s="135">
        <v>6.7911678231480893E-2</v>
      </c>
      <c r="AA888" s="135">
        <v>6.8780489327373504E-2</v>
      </c>
      <c r="AB888" s="135">
        <v>6.0246958971809199E-2</v>
      </c>
      <c r="AC888" s="135">
        <v>4.5248707402128802E-2</v>
      </c>
      <c r="AD888" s="135">
        <v>3.3184775447448099E-2</v>
      </c>
      <c r="AF888" s="243">
        <f t="shared" si="16"/>
        <v>0.3061314287969974</v>
      </c>
      <c r="AG888" s="275">
        <f t="shared" si="17"/>
        <v>0.49906298383978309</v>
      </c>
      <c r="AH888" s="391">
        <f t="shared" si="18"/>
        <v>0.51569762015730225</v>
      </c>
      <c r="AI888" s="135">
        <f t="shared" si="19"/>
        <v>1.0147606039970853</v>
      </c>
    </row>
    <row r="889" spans="1:35" ht="12.6">
      <c r="A889" s="10" t="s">
        <v>63</v>
      </c>
      <c r="B889" s="10">
        <v>158</v>
      </c>
      <c r="C889" s="10" t="s">
        <v>1514</v>
      </c>
      <c r="D889" s="388">
        <v>45084</v>
      </c>
      <c r="E889" s="389">
        <v>45084</v>
      </c>
      <c r="F889" s="390" t="str">
        <f t="shared" si="15"/>
        <v>Other</v>
      </c>
      <c r="G889" s="135">
        <v>2.8599683375536099E-2</v>
      </c>
      <c r="H889" s="135">
        <v>2.71474969669585E-2</v>
      </c>
      <c r="I889" s="135">
        <v>2.66530382811993E-2</v>
      </c>
      <c r="J889" s="135">
        <v>2.6203737095501198E-2</v>
      </c>
      <c r="K889" s="135">
        <v>2.6289971208701801E-2</v>
      </c>
      <c r="L889" s="135">
        <v>2.8310313333443301E-2</v>
      </c>
      <c r="M889" s="135">
        <v>3.7576662949869999E-2</v>
      </c>
      <c r="N889" s="135">
        <v>4.2380808722995898E-2</v>
      </c>
      <c r="O889" s="135">
        <v>4.1619508677004202E-2</v>
      </c>
      <c r="P889" s="135">
        <v>3.97765682501071E-2</v>
      </c>
      <c r="Q889" s="135">
        <v>4.24846244954033E-2</v>
      </c>
      <c r="R889" s="135">
        <v>4.3798206522598297E-2</v>
      </c>
      <c r="S889" s="135">
        <v>4.5829015386225101E-2</v>
      </c>
      <c r="T889" s="135">
        <v>4.5713375310567003E-2</v>
      </c>
      <c r="U889" s="135">
        <v>4.4219737029885797E-2</v>
      </c>
      <c r="V889" s="135">
        <v>4.22012248229326E-2</v>
      </c>
      <c r="W889" s="135">
        <v>4.1885245229385297E-2</v>
      </c>
      <c r="X889" s="135">
        <v>4.9398085336397002E-2</v>
      </c>
      <c r="Y889" s="135">
        <v>5.9300691622132903E-2</v>
      </c>
      <c r="Z889" s="135">
        <v>6.7911678231480893E-2</v>
      </c>
      <c r="AA889" s="135">
        <v>6.8780489327373504E-2</v>
      </c>
      <c r="AB889" s="135">
        <v>6.0246958971809199E-2</v>
      </c>
      <c r="AC889" s="135">
        <v>4.5248707402128802E-2</v>
      </c>
      <c r="AD889" s="135">
        <v>3.3184775447448099E-2</v>
      </c>
      <c r="AF889" s="243">
        <f t="shared" si="16"/>
        <v>0.3061314287969974</v>
      </c>
      <c r="AG889" s="275">
        <f t="shared" si="17"/>
        <v>0.49906298383978309</v>
      </c>
      <c r="AH889" s="391">
        <f t="shared" si="18"/>
        <v>0.51569762015730225</v>
      </c>
      <c r="AI889" s="135">
        <f t="shared" si="19"/>
        <v>1.0147606039970853</v>
      </c>
    </row>
    <row r="890" spans="1:35" ht="12.6">
      <c r="A890" s="10" t="s">
        <v>63</v>
      </c>
      <c r="B890" s="10">
        <v>159</v>
      </c>
      <c r="C890" s="10" t="s">
        <v>1514</v>
      </c>
      <c r="D890" s="388">
        <v>45085</v>
      </c>
      <c r="E890" s="389">
        <v>45085</v>
      </c>
      <c r="F890" s="390" t="str">
        <f t="shared" si="15"/>
        <v>Other</v>
      </c>
      <c r="G890" s="135">
        <v>2.8599683375536099E-2</v>
      </c>
      <c r="H890" s="135">
        <v>2.71474969669585E-2</v>
      </c>
      <c r="I890" s="135">
        <v>2.66530382811993E-2</v>
      </c>
      <c r="J890" s="135">
        <v>2.6203737095501198E-2</v>
      </c>
      <c r="K890" s="135">
        <v>2.6289971208701801E-2</v>
      </c>
      <c r="L890" s="135">
        <v>2.8310313333443301E-2</v>
      </c>
      <c r="M890" s="135">
        <v>3.7576662949869999E-2</v>
      </c>
      <c r="N890" s="135">
        <v>4.2380808722995898E-2</v>
      </c>
      <c r="O890" s="135">
        <v>4.1619508677004202E-2</v>
      </c>
      <c r="P890" s="135">
        <v>3.97765682501071E-2</v>
      </c>
      <c r="Q890" s="135">
        <v>4.24846244954033E-2</v>
      </c>
      <c r="R890" s="135">
        <v>4.3798206522598297E-2</v>
      </c>
      <c r="S890" s="135">
        <v>4.5829015386225101E-2</v>
      </c>
      <c r="T890" s="135">
        <v>4.5713375310567003E-2</v>
      </c>
      <c r="U890" s="135">
        <v>4.4219737029885797E-2</v>
      </c>
      <c r="V890" s="135">
        <v>4.22012248229326E-2</v>
      </c>
      <c r="W890" s="135">
        <v>4.1885245229385297E-2</v>
      </c>
      <c r="X890" s="135">
        <v>4.9398085336397002E-2</v>
      </c>
      <c r="Y890" s="135">
        <v>5.9300691622132903E-2</v>
      </c>
      <c r="Z890" s="135">
        <v>6.7911678231480893E-2</v>
      </c>
      <c r="AA890" s="135">
        <v>6.8780489327373504E-2</v>
      </c>
      <c r="AB890" s="135">
        <v>6.0246958971809199E-2</v>
      </c>
      <c r="AC890" s="135">
        <v>4.5248707402128802E-2</v>
      </c>
      <c r="AD890" s="135">
        <v>3.3184775447448099E-2</v>
      </c>
      <c r="AF890" s="243">
        <f t="shared" si="16"/>
        <v>0.3061314287969974</v>
      </c>
      <c r="AG890" s="275">
        <f t="shared" si="17"/>
        <v>0.49906298383978309</v>
      </c>
      <c r="AH890" s="391">
        <f t="shared" si="18"/>
        <v>0.51569762015730225</v>
      </c>
      <c r="AI890" s="135">
        <f t="shared" si="19"/>
        <v>1.0147606039970853</v>
      </c>
    </row>
    <row r="891" spans="1:35" ht="12.6">
      <c r="A891" s="10" t="s">
        <v>63</v>
      </c>
      <c r="B891" s="10">
        <v>160</v>
      </c>
      <c r="C891" s="10" t="s">
        <v>1514</v>
      </c>
      <c r="D891" s="388">
        <v>45086</v>
      </c>
      <c r="E891" s="389">
        <v>45086</v>
      </c>
      <c r="F891" s="390" t="str">
        <f t="shared" si="15"/>
        <v>Other</v>
      </c>
      <c r="G891" s="135">
        <v>2.8599683375536099E-2</v>
      </c>
      <c r="H891" s="135">
        <v>2.71474969669585E-2</v>
      </c>
      <c r="I891" s="135">
        <v>2.66530382811993E-2</v>
      </c>
      <c r="J891" s="135">
        <v>2.6203737095501198E-2</v>
      </c>
      <c r="K891" s="135">
        <v>2.6289971208701801E-2</v>
      </c>
      <c r="L891" s="135">
        <v>2.8310313333443301E-2</v>
      </c>
      <c r="M891" s="135">
        <v>3.7576662949869999E-2</v>
      </c>
      <c r="N891" s="135">
        <v>4.2380808722995898E-2</v>
      </c>
      <c r="O891" s="135">
        <v>4.1619508677004202E-2</v>
      </c>
      <c r="P891" s="135">
        <v>3.97765682501071E-2</v>
      </c>
      <c r="Q891" s="135">
        <v>4.24846244954033E-2</v>
      </c>
      <c r="R891" s="135">
        <v>4.3798206522598297E-2</v>
      </c>
      <c r="S891" s="135">
        <v>4.5829015386225101E-2</v>
      </c>
      <c r="T891" s="135">
        <v>4.5713375310567003E-2</v>
      </c>
      <c r="U891" s="135">
        <v>4.4219737029885797E-2</v>
      </c>
      <c r="V891" s="135">
        <v>4.22012248229326E-2</v>
      </c>
      <c r="W891" s="135">
        <v>4.1885245229385297E-2</v>
      </c>
      <c r="X891" s="135">
        <v>4.9398085336397002E-2</v>
      </c>
      <c r="Y891" s="135">
        <v>5.9300691622132903E-2</v>
      </c>
      <c r="Z891" s="135">
        <v>6.7911678231480893E-2</v>
      </c>
      <c r="AA891" s="135">
        <v>6.8780489327373504E-2</v>
      </c>
      <c r="AB891" s="135">
        <v>6.0246958971809199E-2</v>
      </c>
      <c r="AC891" s="135">
        <v>4.5248707402128802E-2</v>
      </c>
      <c r="AD891" s="135">
        <v>3.3184775447448099E-2</v>
      </c>
      <c r="AF891" s="243">
        <f t="shared" si="16"/>
        <v>0.3061314287969974</v>
      </c>
      <c r="AG891" s="275">
        <f t="shared" si="17"/>
        <v>0.49906298383978309</v>
      </c>
      <c r="AH891" s="391">
        <f t="shared" si="18"/>
        <v>0.51569762015730225</v>
      </c>
      <c r="AI891" s="135">
        <f t="shared" si="19"/>
        <v>1.0147606039970853</v>
      </c>
    </row>
    <row r="892" spans="1:35" ht="12.6">
      <c r="A892" s="10" t="s">
        <v>63</v>
      </c>
      <c r="B892" s="10">
        <v>161</v>
      </c>
      <c r="C892" s="10" t="s">
        <v>1514</v>
      </c>
      <c r="D892" s="388">
        <v>45087</v>
      </c>
      <c r="E892" s="389">
        <v>45087</v>
      </c>
      <c r="F892" s="390" t="str">
        <f t="shared" si="15"/>
        <v>Other</v>
      </c>
      <c r="G892" s="135">
        <v>3.1594034421343203E-2</v>
      </c>
      <c r="H892" s="135">
        <v>2.7553598463258701E-2</v>
      </c>
      <c r="I892" s="135">
        <v>2.6362704733174199E-2</v>
      </c>
      <c r="J892" s="135">
        <v>2.5645630892124599E-2</v>
      </c>
      <c r="K892" s="135">
        <v>2.59587228117635E-2</v>
      </c>
      <c r="L892" s="135">
        <v>2.73241143004576E-2</v>
      </c>
      <c r="M892" s="135">
        <v>3.23399748772027E-2</v>
      </c>
      <c r="N892" s="135">
        <v>4.0693458091161899E-2</v>
      </c>
      <c r="O892" s="135">
        <v>4.08091648323975E-2</v>
      </c>
      <c r="P892" s="135">
        <v>4.3230267850703497E-2</v>
      </c>
      <c r="Q892" s="135">
        <v>4.8875593210887101E-2</v>
      </c>
      <c r="R892" s="135">
        <v>5.1570984614236599E-2</v>
      </c>
      <c r="S892" s="135">
        <v>5.0273372806174499E-2</v>
      </c>
      <c r="T892" s="135">
        <v>5.1223902065420802E-2</v>
      </c>
      <c r="U892" s="135">
        <v>5.1460290626661999E-2</v>
      </c>
      <c r="V892" s="135">
        <v>5.2355412480044501E-2</v>
      </c>
      <c r="W892" s="135">
        <v>5.2386615081516097E-2</v>
      </c>
      <c r="X892" s="135">
        <v>5.6565789515246601E-2</v>
      </c>
      <c r="Y892" s="135">
        <v>6.2807268783048306E-2</v>
      </c>
      <c r="Z892" s="135">
        <v>6.7990705071235696E-2</v>
      </c>
      <c r="AA892" s="135">
        <v>6.7092398362343805E-2</v>
      </c>
      <c r="AB892" s="135">
        <v>5.8280263138641902E-2</v>
      </c>
      <c r="AC892" s="135">
        <v>4.5102682710545697E-2</v>
      </c>
      <c r="AD892" s="135">
        <v>3.5824086247574299E-2</v>
      </c>
      <c r="AF892" s="243">
        <f t="shared" si="16"/>
        <v>0.35814617088494161</v>
      </c>
      <c r="AG892" s="275">
        <f t="shared" si="17"/>
        <v>0.53540514251726234</v>
      </c>
      <c r="AH892" s="391">
        <f t="shared" si="18"/>
        <v>0.53791589346990287</v>
      </c>
      <c r="AI892" s="135">
        <f t="shared" si="19"/>
        <v>1.0733210359871652</v>
      </c>
    </row>
    <row r="893" spans="1:35" ht="12.6">
      <c r="A893" s="10" t="s">
        <v>63</v>
      </c>
      <c r="B893" s="10">
        <v>162</v>
      </c>
      <c r="C893" s="10" t="s">
        <v>1514</v>
      </c>
      <c r="D893" s="388">
        <v>45088</v>
      </c>
      <c r="E893" s="389">
        <v>45088</v>
      </c>
      <c r="F893" s="390" t="str">
        <f t="shared" si="15"/>
        <v>Other</v>
      </c>
      <c r="G893" s="135">
        <v>3.1594034421343203E-2</v>
      </c>
      <c r="H893" s="135">
        <v>2.7553598463258701E-2</v>
      </c>
      <c r="I893" s="135">
        <v>2.6362704733174199E-2</v>
      </c>
      <c r="J893" s="135">
        <v>2.5645630892124599E-2</v>
      </c>
      <c r="K893" s="135">
        <v>2.59587228117635E-2</v>
      </c>
      <c r="L893" s="135">
        <v>2.73241143004576E-2</v>
      </c>
      <c r="M893" s="135">
        <v>3.23399748772027E-2</v>
      </c>
      <c r="N893" s="135">
        <v>4.0693458091161899E-2</v>
      </c>
      <c r="O893" s="135">
        <v>4.08091648323975E-2</v>
      </c>
      <c r="P893" s="135">
        <v>4.3230267850703497E-2</v>
      </c>
      <c r="Q893" s="135">
        <v>4.8875593210887101E-2</v>
      </c>
      <c r="R893" s="135">
        <v>5.1570984614236599E-2</v>
      </c>
      <c r="S893" s="135">
        <v>5.0273372806174499E-2</v>
      </c>
      <c r="T893" s="135">
        <v>5.1223902065420802E-2</v>
      </c>
      <c r="U893" s="135">
        <v>5.1460290626661999E-2</v>
      </c>
      <c r="V893" s="135">
        <v>5.2355412480044501E-2</v>
      </c>
      <c r="W893" s="135">
        <v>5.2386615081516097E-2</v>
      </c>
      <c r="X893" s="135">
        <v>5.6565789515246601E-2</v>
      </c>
      <c r="Y893" s="135">
        <v>6.2807268783048306E-2</v>
      </c>
      <c r="Z893" s="135">
        <v>6.7990705071235696E-2</v>
      </c>
      <c r="AA893" s="135">
        <v>6.7092398362343805E-2</v>
      </c>
      <c r="AB893" s="135">
        <v>5.8280263138641902E-2</v>
      </c>
      <c r="AC893" s="135">
        <v>4.5102682710545697E-2</v>
      </c>
      <c r="AD893" s="135">
        <v>3.5824086247574299E-2</v>
      </c>
      <c r="AF893" s="243">
        <f t="shared" si="16"/>
        <v>0.35814617088494161</v>
      </c>
      <c r="AG893" s="275">
        <f t="shared" si="17"/>
        <v>0.53540514251726234</v>
      </c>
      <c r="AH893" s="391">
        <f t="shared" si="18"/>
        <v>0.53791589346990287</v>
      </c>
      <c r="AI893" s="135">
        <f t="shared" si="19"/>
        <v>1.0733210359871652</v>
      </c>
    </row>
    <row r="894" spans="1:35" ht="12.6">
      <c r="A894" s="10" t="s">
        <v>63</v>
      </c>
      <c r="B894" s="10">
        <v>163</v>
      </c>
      <c r="C894" s="10" t="s">
        <v>1514</v>
      </c>
      <c r="D894" s="388">
        <v>45089</v>
      </c>
      <c r="E894" s="389">
        <v>45089</v>
      </c>
      <c r="F894" s="390" t="str">
        <f t="shared" si="15"/>
        <v>Other</v>
      </c>
      <c r="G894" s="135">
        <v>2.8599683375536099E-2</v>
      </c>
      <c r="H894" s="135">
        <v>2.71474969669585E-2</v>
      </c>
      <c r="I894" s="135">
        <v>2.66530382811993E-2</v>
      </c>
      <c r="J894" s="135">
        <v>2.6203737095501198E-2</v>
      </c>
      <c r="K894" s="135">
        <v>2.6289971208701801E-2</v>
      </c>
      <c r="L894" s="135">
        <v>2.8310313333443301E-2</v>
      </c>
      <c r="M894" s="135">
        <v>3.7576662949869999E-2</v>
      </c>
      <c r="N894" s="135">
        <v>4.2380808722995898E-2</v>
      </c>
      <c r="O894" s="135">
        <v>4.1619508677004202E-2</v>
      </c>
      <c r="P894" s="135">
        <v>3.97765682501071E-2</v>
      </c>
      <c r="Q894" s="135">
        <v>4.24846244954033E-2</v>
      </c>
      <c r="R894" s="135">
        <v>4.3798206522598297E-2</v>
      </c>
      <c r="S894" s="135">
        <v>4.5829015386225101E-2</v>
      </c>
      <c r="T894" s="135">
        <v>4.5713375310567003E-2</v>
      </c>
      <c r="U894" s="135">
        <v>4.4219737029885797E-2</v>
      </c>
      <c r="V894" s="135">
        <v>4.22012248229326E-2</v>
      </c>
      <c r="W894" s="135">
        <v>4.1885245229385297E-2</v>
      </c>
      <c r="X894" s="135">
        <v>4.9398085336397002E-2</v>
      </c>
      <c r="Y894" s="135">
        <v>5.9300691622132903E-2</v>
      </c>
      <c r="Z894" s="135">
        <v>6.7911678231480893E-2</v>
      </c>
      <c r="AA894" s="135">
        <v>6.8780489327373504E-2</v>
      </c>
      <c r="AB894" s="135">
        <v>6.0246958971809199E-2</v>
      </c>
      <c r="AC894" s="135">
        <v>4.5248707402128802E-2</v>
      </c>
      <c r="AD894" s="135">
        <v>3.3184775447448099E-2</v>
      </c>
      <c r="AF894" s="243">
        <f t="shared" si="16"/>
        <v>0.3061314287969974</v>
      </c>
      <c r="AG894" s="275">
        <f t="shared" si="17"/>
        <v>0.49906298383978309</v>
      </c>
      <c r="AH894" s="391">
        <f t="shared" si="18"/>
        <v>0.51569762015730225</v>
      </c>
      <c r="AI894" s="135">
        <f t="shared" si="19"/>
        <v>1.0147606039970853</v>
      </c>
    </row>
    <row r="895" spans="1:35" ht="12.6">
      <c r="A895" s="10" t="s">
        <v>63</v>
      </c>
      <c r="B895" s="10">
        <v>164</v>
      </c>
      <c r="C895" s="10" t="s">
        <v>1514</v>
      </c>
      <c r="D895" s="388">
        <v>45090</v>
      </c>
      <c r="E895" s="389">
        <v>45090</v>
      </c>
      <c r="F895" s="390" t="str">
        <f t="shared" si="15"/>
        <v>Other</v>
      </c>
      <c r="G895" s="135">
        <v>2.8599683375536099E-2</v>
      </c>
      <c r="H895" s="135">
        <v>2.71474969669585E-2</v>
      </c>
      <c r="I895" s="135">
        <v>2.66530382811993E-2</v>
      </c>
      <c r="J895" s="135">
        <v>2.6203737095501198E-2</v>
      </c>
      <c r="K895" s="135">
        <v>2.6289971208701801E-2</v>
      </c>
      <c r="L895" s="135">
        <v>2.8310313333443301E-2</v>
      </c>
      <c r="M895" s="135">
        <v>3.7576662949869999E-2</v>
      </c>
      <c r="N895" s="135">
        <v>4.2380808722995898E-2</v>
      </c>
      <c r="O895" s="135">
        <v>4.1619508677004202E-2</v>
      </c>
      <c r="P895" s="135">
        <v>3.97765682501071E-2</v>
      </c>
      <c r="Q895" s="135">
        <v>4.24846244954033E-2</v>
      </c>
      <c r="R895" s="135">
        <v>4.3798206522598297E-2</v>
      </c>
      <c r="S895" s="135">
        <v>4.5829015386225101E-2</v>
      </c>
      <c r="T895" s="135">
        <v>4.5713375310567003E-2</v>
      </c>
      <c r="U895" s="135">
        <v>4.4219737029885797E-2</v>
      </c>
      <c r="V895" s="135">
        <v>4.22012248229326E-2</v>
      </c>
      <c r="W895" s="135">
        <v>4.1885245229385297E-2</v>
      </c>
      <c r="X895" s="135">
        <v>4.9398085336397002E-2</v>
      </c>
      <c r="Y895" s="135">
        <v>5.9300691622132903E-2</v>
      </c>
      <c r="Z895" s="135">
        <v>6.7911678231480893E-2</v>
      </c>
      <c r="AA895" s="135">
        <v>6.8780489327373504E-2</v>
      </c>
      <c r="AB895" s="135">
        <v>6.0246958971809199E-2</v>
      </c>
      <c r="AC895" s="135">
        <v>4.5248707402128802E-2</v>
      </c>
      <c r="AD895" s="135">
        <v>3.3184775447448099E-2</v>
      </c>
      <c r="AF895" s="243">
        <f t="shared" si="16"/>
        <v>0.3061314287969974</v>
      </c>
      <c r="AG895" s="275">
        <f t="shared" si="17"/>
        <v>0.49906298383978309</v>
      </c>
      <c r="AH895" s="391">
        <f t="shared" si="18"/>
        <v>0.51569762015730225</v>
      </c>
      <c r="AI895" s="135">
        <f t="shared" si="19"/>
        <v>1.0147606039970853</v>
      </c>
    </row>
    <row r="896" spans="1:35" ht="12.6">
      <c r="A896" s="10" t="s">
        <v>63</v>
      </c>
      <c r="B896" s="10">
        <v>165</v>
      </c>
      <c r="C896" s="10" t="s">
        <v>1514</v>
      </c>
      <c r="D896" s="388">
        <v>45091</v>
      </c>
      <c r="E896" s="389">
        <v>45091</v>
      </c>
      <c r="F896" s="390" t="str">
        <f t="shared" si="15"/>
        <v>Other</v>
      </c>
      <c r="G896" s="135">
        <v>2.8599683375536099E-2</v>
      </c>
      <c r="H896" s="135">
        <v>2.71474969669585E-2</v>
      </c>
      <c r="I896" s="135">
        <v>2.66530382811993E-2</v>
      </c>
      <c r="J896" s="135">
        <v>2.6203737095501198E-2</v>
      </c>
      <c r="K896" s="135">
        <v>2.6289971208701801E-2</v>
      </c>
      <c r="L896" s="135">
        <v>2.8310313333443301E-2</v>
      </c>
      <c r="M896" s="135">
        <v>3.7576662949869999E-2</v>
      </c>
      <c r="N896" s="135">
        <v>4.2380808722995898E-2</v>
      </c>
      <c r="O896" s="135">
        <v>4.1619508677004202E-2</v>
      </c>
      <c r="P896" s="135">
        <v>3.97765682501071E-2</v>
      </c>
      <c r="Q896" s="135">
        <v>4.24846244954033E-2</v>
      </c>
      <c r="R896" s="135">
        <v>4.3798206522598297E-2</v>
      </c>
      <c r="S896" s="135">
        <v>4.5829015386225101E-2</v>
      </c>
      <c r="T896" s="135">
        <v>4.5713375310567003E-2</v>
      </c>
      <c r="U896" s="135">
        <v>4.4219737029885797E-2</v>
      </c>
      <c r="V896" s="135">
        <v>4.22012248229326E-2</v>
      </c>
      <c r="W896" s="135">
        <v>4.1885245229385297E-2</v>
      </c>
      <c r="X896" s="135">
        <v>4.9398085336397002E-2</v>
      </c>
      <c r="Y896" s="135">
        <v>5.9300691622132903E-2</v>
      </c>
      <c r="Z896" s="135">
        <v>6.7911678231480893E-2</v>
      </c>
      <c r="AA896" s="135">
        <v>6.8780489327373504E-2</v>
      </c>
      <c r="AB896" s="135">
        <v>6.0246958971809199E-2</v>
      </c>
      <c r="AC896" s="135">
        <v>4.5248707402128802E-2</v>
      </c>
      <c r="AD896" s="135">
        <v>3.3184775447448099E-2</v>
      </c>
      <c r="AF896" s="243">
        <f t="shared" si="16"/>
        <v>0.3061314287969974</v>
      </c>
      <c r="AG896" s="275">
        <f t="shared" si="17"/>
        <v>0.49906298383978309</v>
      </c>
      <c r="AH896" s="391">
        <f t="shared" si="18"/>
        <v>0.51569762015730225</v>
      </c>
      <c r="AI896" s="135">
        <f t="shared" si="19"/>
        <v>1.0147606039970853</v>
      </c>
    </row>
    <row r="897" spans="1:35" ht="12.6">
      <c r="A897" s="10" t="s">
        <v>63</v>
      </c>
      <c r="B897" s="10">
        <v>166</v>
      </c>
      <c r="C897" s="10" t="s">
        <v>1514</v>
      </c>
      <c r="D897" s="388">
        <v>45092</v>
      </c>
      <c r="E897" s="389">
        <v>45092</v>
      </c>
      <c r="F897" s="390" t="str">
        <f t="shared" si="15"/>
        <v>Other</v>
      </c>
      <c r="G897" s="135">
        <v>2.8599683375536099E-2</v>
      </c>
      <c r="H897" s="135">
        <v>2.71474969669585E-2</v>
      </c>
      <c r="I897" s="135">
        <v>2.66530382811993E-2</v>
      </c>
      <c r="J897" s="135">
        <v>2.6203737095501198E-2</v>
      </c>
      <c r="K897" s="135">
        <v>2.6289971208701801E-2</v>
      </c>
      <c r="L897" s="135">
        <v>2.8310313333443301E-2</v>
      </c>
      <c r="M897" s="135">
        <v>3.7576662949869999E-2</v>
      </c>
      <c r="N897" s="135">
        <v>4.2380808722995898E-2</v>
      </c>
      <c r="O897" s="135">
        <v>4.1619508677004202E-2</v>
      </c>
      <c r="P897" s="135">
        <v>3.97765682501071E-2</v>
      </c>
      <c r="Q897" s="135">
        <v>4.24846244954033E-2</v>
      </c>
      <c r="R897" s="135">
        <v>4.3798206522598297E-2</v>
      </c>
      <c r="S897" s="135">
        <v>4.5829015386225101E-2</v>
      </c>
      <c r="T897" s="135">
        <v>4.5713375310567003E-2</v>
      </c>
      <c r="U897" s="135">
        <v>4.4219737029885797E-2</v>
      </c>
      <c r="V897" s="135">
        <v>4.22012248229326E-2</v>
      </c>
      <c r="W897" s="135">
        <v>4.1885245229385297E-2</v>
      </c>
      <c r="X897" s="135">
        <v>4.9398085336397002E-2</v>
      </c>
      <c r="Y897" s="135">
        <v>5.9300691622132903E-2</v>
      </c>
      <c r="Z897" s="135">
        <v>6.7911678231480893E-2</v>
      </c>
      <c r="AA897" s="135">
        <v>6.8780489327373504E-2</v>
      </c>
      <c r="AB897" s="135">
        <v>6.0246958971809199E-2</v>
      </c>
      <c r="AC897" s="135">
        <v>4.5248707402128802E-2</v>
      </c>
      <c r="AD897" s="135">
        <v>3.3184775447448099E-2</v>
      </c>
      <c r="AF897" s="243">
        <f t="shared" si="16"/>
        <v>0.3061314287969974</v>
      </c>
      <c r="AG897" s="275">
        <f t="shared" si="17"/>
        <v>0.49906298383978309</v>
      </c>
      <c r="AH897" s="391">
        <f t="shared" si="18"/>
        <v>0.51569762015730225</v>
      </c>
      <c r="AI897" s="135">
        <f t="shared" si="19"/>
        <v>1.0147606039970853</v>
      </c>
    </row>
    <row r="898" spans="1:35" ht="12.6">
      <c r="A898" s="10" t="s">
        <v>63</v>
      </c>
      <c r="B898" s="10">
        <v>167</v>
      </c>
      <c r="C898" s="10" t="s">
        <v>1514</v>
      </c>
      <c r="D898" s="388">
        <v>45093</v>
      </c>
      <c r="E898" s="389">
        <v>45093</v>
      </c>
      <c r="F898" s="390" t="str">
        <f t="shared" si="15"/>
        <v>Other</v>
      </c>
      <c r="G898" s="135">
        <v>2.8599683375536099E-2</v>
      </c>
      <c r="H898" s="135">
        <v>2.71474969669585E-2</v>
      </c>
      <c r="I898" s="135">
        <v>2.66530382811993E-2</v>
      </c>
      <c r="J898" s="135">
        <v>2.6203737095501198E-2</v>
      </c>
      <c r="K898" s="135">
        <v>2.6289971208701801E-2</v>
      </c>
      <c r="L898" s="135">
        <v>2.8310313333443301E-2</v>
      </c>
      <c r="M898" s="135">
        <v>3.7576662949869999E-2</v>
      </c>
      <c r="N898" s="135">
        <v>4.2380808722995898E-2</v>
      </c>
      <c r="O898" s="135">
        <v>4.1619508677004202E-2</v>
      </c>
      <c r="P898" s="135">
        <v>3.97765682501071E-2</v>
      </c>
      <c r="Q898" s="135">
        <v>4.24846244954033E-2</v>
      </c>
      <c r="R898" s="135">
        <v>4.3798206522598297E-2</v>
      </c>
      <c r="S898" s="135">
        <v>4.5829015386225101E-2</v>
      </c>
      <c r="T898" s="135">
        <v>4.5713375310567003E-2</v>
      </c>
      <c r="U898" s="135">
        <v>4.4219737029885797E-2</v>
      </c>
      <c r="V898" s="135">
        <v>4.22012248229326E-2</v>
      </c>
      <c r="W898" s="135">
        <v>4.1885245229385297E-2</v>
      </c>
      <c r="X898" s="135">
        <v>4.9398085336397002E-2</v>
      </c>
      <c r="Y898" s="135">
        <v>5.9300691622132903E-2</v>
      </c>
      <c r="Z898" s="135">
        <v>6.7911678231480893E-2</v>
      </c>
      <c r="AA898" s="135">
        <v>6.8780489327373504E-2</v>
      </c>
      <c r="AB898" s="135">
        <v>6.0246958971809199E-2</v>
      </c>
      <c r="AC898" s="135">
        <v>4.5248707402128802E-2</v>
      </c>
      <c r="AD898" s="135">
        <v>3.3184775447448099E-2</v>
      </c>
      <c r="AF898" s="243">
        <f t="shared" si="16"/>
        <v>0.3061314287969974</v>
      </c>
      <c r="AG898" s="275">
        <f t="shared" si="17"/>
        <v>0.49906298383978309</v>
      </c>
      <c r="AH898" s="391">
        <f t="shared" si="18"/>
        <v>0.51569762015730225</v>
      </c>
      <c r="AI898" s="135">
        <f t="shared" si="19"/>
        <v>1.0147606039970853</v>
      </c>
    </row>
    <row r="899" spans="1:35" ht="12.6">
      <c r="A899" s="10" t="s">
        <v>63</v>
      </c>
      <c r="B899" s="10">
        <v>168</v>
      </c>
      <c r="C899" s="10" t="s">
        <v>1514</v>
      </c>
      <c r="D899" s="388">
        <v>45094</v>
      </c>
      <c r="E899" s="389">
        <v>45094</v>
      </c>
      <c r="F899" s="390" t="str">
        <f t="shared" si="15"/>
        <v>Other</v>
      </c>
      <c r="G899" s="135">
        <v>3.1594034421343203E-2</v>
      </c>
      <c r="H899" s="135">
        <v>2.7553598463258701E-2</v>
      </c>
      <c r="I899" s="135">
        <v>2.6362704733174199E-2</v>
      </c>
      <c r="J899" s="135">
        <v>2.5645630892124599E-2</v>
      </c>
      <c r="K899" s="135">
        <v>2.59587228117635E-2</v>
      </c>
      <c r="L899" s="135">
        <v>2.73241143004576E-2</v>
      </c>
      <c r="M899" s="135">
        <v>3.23399748772027E-2</v>
      </c>
      <c r="N899" s="135">
        <v>4.0693458091161899E-2</v>
      </c>
      <c r="O899" s="135">
        <v>4.08091648323975E-2</v>
      </c>
      <c r="P899" s="135">
        <v>4.3230267850703497E-2</v>
      </c>
      <c r="Q899" s="135">
        <v>4.8875593210887101E-2</v>
      </c>
      <c r="R899" s="135">
        <v>5.1570984614236599E-2</v>
      </c>
      <c r="S899" s="135">
        <v>5.0273372806174499E-2</v>
      </c>
      <c r="T899" s="135">
        <v>5.1223902065420802E-2</v>
      </c>
      <c r="U899" s="135">
        <v>5.1460290626661999E-2</v>
      </c>
      <c r="V899" s="135">
        <v>5.2355412480044501E-2</v>
      </c>
      <c r="W899" s="135">
        <v>5.2386615081516097E-2</v>
      </c>
      <c r="X899" s="135">
        <v>5.6565789515246601E-2</v>
      </c>
      <c r="Y899" s="135">
        <v>6.2807268783048306E-2</v>
      </c>
      <c r="Z899" s="135">
        <v>6.7990705071235696E-2</v>
      </c>
      <c r="AA899" s="135">
        <v>6.7092398362343805E-2</v>
      </c>
      <c r="AB899" s="135">
        <v>5.8280263138641902E-2</v>
      </c>
      <c r="AC899" s="135">
        <v>4.5102682710545697E-2</v>
      </c>
      <c r="AD899" s="135">
        <v>3.5824086247574299E-2</v>
      </c>
      <c r="AF899" s="243">
        <f t="shared" si="16"/>
        <v>0.35814617088494161</v>
      </c>
      <c r="AG899" s="275">
        <f t="shared" si="17"/>
        <v>0.53540514251726234</v>
      </c>
      <c r="AH899" s="391">
        <f t="shared" si="18"/>
        <v>0.53791589346990287</v>
      </c>
      <c r="AI899" s="135">
        <f t="shared" si="19"/>
        <v>1.0733210359871652</v>
      </c>
    </row>
    <row r="900" spans="1:35" ht="12.6">
      <c r="A900" s="10" t="s">
        <v>63</v>
      </c>
      <c r="B900" s="10">
        <v>169</v>
      </c>
      <c r="C900" s="10" t="s">
        <v>1514</v>
      </c>
      <c r="D900" s="388">
        <v>45095</v>
      </c>
      <c r="E900" s="389">
        <v>45095</v>
      </c>
      <c r="F900" s="390" t="str">
        <f t="shared" si="15"/>
        <v>Other</v>
      </c>
      <c r="G900" s="135">
        <v>3.1594034421343203E-2</v>
      </c>
      <c r="H900" s="135">
        <v>2.7553598463258701E-2</v>
      </c>
      <c r="I900" s="135">
        <v>2.6362704733174199E-2</v>
      </c>
      <c r="J900" s="135">
        <v>2.5645630892124599E-2</v>
      </c>
      <c r="K900" s="135">
        <v>2.59587228117635E-2</v>
      </c>
      <c r="L900" s="135">
        <v>2.73241143004576E-2</v>
      </c>
      <c r="M900" s="135">
        <v>3.23399748772027E-2</v>
      </c>
      <c r="N900" s="135">
        <v>4.0693458091161899E-2</v>
      </c>
      <c r="O900" s="135">
        <v>4.08091648323975E-2</v>
      </c>
      <c r="P900" s="135">
        <v>4.3230267850703497E-2</v>
      </c>
      <c r="Q900" s="135">
        <v>4.8875593210887101E-2</v>
      </c>
      <c r="R900" s="135">
        <v>5.1570984614236599E-2</v>
      </c>
      <c r="S900" s="135">
        <v>5.0273372806174499E-2</v>
      </c>
      <c r="T900" s="135">
        <v>5.1223902065420802E-2</v>
      </c>
      <c r="U900" s="135">
        <v>5.1460290626661999E-2</v>
      </c>
      <c r="V900" s="135">
        <v>5.2355412480044501E-2</v>
      </c>
      <c r="W900" s="135">
        <v>5.2386615081516097E-2</v>
      </c>
      <c r="X900" s="135">
        <v>5.6565789515246601E-2</v>
      </c>
      <c r="Y900" s="135">
        <v>6.2807268783048306E-2</v>
      </c>
      <c r="Z900" s="135">
        <v>6.7990705071235696E-2</v>
      </c>
      <c r="AA900" s="135">
        <v>6.7092398362343805E-2</v>
      </c>
      <c r="AB900" s="135">
        <v>5.8280263138641902E-2</v>
      </c>
      <c r="AC900" s="135">
        <v>4.5102682710545697E-2</v>
      </c>
      <c r="AD900" s="135">
        <v>3.5824086247574299E-2</v>
      </c>
      <c r="AF900" s="243">
        <f t="shared" si="16"/>
        <v>0.35814617088494161</v>
      </c>
      <c r="AG900" s="275">
        <f t="shared" si="17"/>
        <v>0.53540514251726234</v>
      </c>
      <c r="AH900" s="391">
        <f t="shared" si="18"/>
        <v>0.53791589346990287</v>
      </c>
      <c r="AI900" s="135">
        <f t="shared" si="19"/>
        <v>1.0733210359871652</v>
      </c>
    </row>
    <row r="901" spans="1:35" ht="12.6">
      <c r="A901" s="10" t="s">
        <v>63</v>
      </c>
      <c r="B901" s="10">
        <v>170</v>
      </c>
      <c r="C901" s="10" t="s">
        <v>1514</v>
      </c>
      <c r="D901" s="388">
        <v>45096</v>
      </c>
      <c r="E901" s="389">
        <v>45096</v>
      </c>
      <c r="F901" s="390" t="str">
        <f t="shared" si="15"/>
        <v>Other</v>
      </c>
      <c r="G901" s="135">
        <v>2.8599683375536099E-2</v>
      </c>
      <c r="H901" s="135">
        <v>2.71474969669585E-2</v>
      </c>
      <c r="I901" s="135">
        <v>2.66530382811993E-2</v>
      </c>
      <c r="J901" s="135">
        <v>2.6203737095501198E-2</v>
      </c>
      <c r="K901" s="135">
        <v>2.6289971208701801E-2</v>
      </c>
      <c r="L901" s="135">
        <v>2.8310313333443301E-2</v>
      </c>
      <c r="M901" s="135">
        <v>3.7576662949869999E-2</v>
      </c>
      <c r="N901" s="135">
        <v>4.2380808722995898E-2</v>
      </c>
      <c r="O901" s="135">
        <v>4.1619508677004202E-2</v>
      </c>
      <c r="P901" s="135">
        <v>3.97765682501071E-2</v>
      </c>
      <c r="Q901" s="135">
        <v>4.24846244954033E-2</v>
      </c>
      <c r="R901" s="135">
        <v>4.3798206522598297E-2</v>
      </c>
      <c r="S901" s="135">
        <v>4.5829015386225101E-2</v>
      </c>
      <c r="T901" s="135">
        <v>4.5713375310567003E-2</v>
      </c>
      <c r="U901" s="135">
        <v>4.4219737029885797E-2</v>
      </c>
      <c r="V901" s="135">
        <v>4.22012248229326E-2</v>
      </c>
      <c r="W901" s="135">
        <v>4.1885245229385297E-2</v>
      </c>
      <c r="X901" s="135">
        <v>4.9398085336397002E-2</v>
      </c>
      <c r="Y901" s="135">
        <v>5.9300691622132903E-2</v>
      </c>
      <c r="Z901" s="135">
        <v>6.7911678231480893E-2</v>
      </c>
      <c r="AA901" s="135">
        <v>6.8780489327373504E-2</v>
      </c>
      <c r="AB901" s="135">
        <v>6.0246958971809199E-2</v>
      </c>
      <c r="AC901" s="135">
        <v>4.5248707402128802E-2</v>
      </c>
      <c r="AD901" s="135">
        <v>3.3184775447448099E-2</v>
      </c>
      <c r="AF901" s="243">
        <f t="shared" si="16"/>
        <v>0.3061314287969974</v>
      </c>
      <c r="AG901" s="275">
        <f t="shared" si="17"/>
        <v>0.49906298383978309</v>
      </c>
      <c r="AH901" s="391">
        <f t="shared" si="18"/>
        <v>0.51569762015730225</v>
      </c>
      <c r="AI901" s="135">
        <f t="shared" si="19"/>
        <v>1.0147606039970853</v>
      </c>
    </row>
    <row r="902" spans="1:35" ht="12.6">
      <c r="A902" s="10" t="s">
        <v>63</v>
      </c>
      <c r="B902" s="10">
        <v>171</v>
      </c>
      <c r="C902" s="10" t="s">
        <v>1514</v>
      </c>
      <c r="D902" s="388">
        <v>45097</v>
      </c>
      <c r="E902" s="389">
        <v>45097</v>
      </c>
      <c r="F902" s="390" t="str">
        <f t="shared" si="15"/>
        <v>Other</v>
      </c>
      <c r="G902" s="135">
        <v>2.8599683375536099E-2</v>
      </c>
      <c r="H902" s="135">
        <v>2.71474969669585E-2</v>
      </c>
      <c r="I902" s="135">
        <v>2.66530382811993E-2</v>
      </c>
      <c r="J902" s="135">
        <v>2.6203737095501198E-2</v>
      </c>
      <c r="K902" s="135">
        <v>2.6289971208701801E-2</v>
      </c>
      <c r="L902" s="135">
        <v>2.8310313333443301E-2</v>
      </c>
      <c r="M902" s="135">
        <v>3.7576662949869999E-2</v>
      </c>
      <c r="N902" s="135">
        <v>4.2380808722995898E-2</v>
      </c>
      <c r="O902" s="135">
        <v>4.1619508677004202E-2</v>
      </c>
      <c r="P902" s="135">
        <v>3.97765682501071E-2</v>
      </c>
      <c r="Q902" s="135">
        <v>4.24846244954033E-2</v>
      </c>
      <c r="R902" s="135">
        <v>4.3798206522598297E-2</v>
      </c>
      <c r="S902" s="135">
        <v>4.5829015386225101E-2</v>
      </c>
      <c r="T902" s="135">
        <v>4.5713375310567003E-2</v>
      </c>
      <c r="U902" s="135">
        <v>4.4219737029885797E-2</v>
      </c>
      <c r="V902" s="135">
        <v>4.22012248229326E-2</v>
      </c>
      <c r="W902" s="135">
        <v>4.1885245229385297E-2</v>
      </c>
      <c r="X902" s="135">
        <v>4.9398085336397002E-2</v>
      </c>
      <c r="Y902" s="135">
        <v>5.9300691622132903E-2</v>
      </c>
      <c r="Z902" s="135">
        <v>6.7911678231480893E-2</v>
      </c>
      <c r="AA902" s="135">
        <v>6.8780489327373504E-2</v>
      </c>
      <c r="AB902" s="135">
        <v>6.0246958971809199E-2</v>
      </c>
      <c r="AC902" s="135">
        <v>4.5248707402128802E-2</v>
      </c>
      <c r="AD902" s="135">
        <v>3.3184775447448099E-2</v>
      </c>
      <c r="AF902" s="243">
        <f t="shared" si="16"/>
        <v>0.3061314287969974</v>
      </c>
      <c r="AG902" s="275">
        <f t="shared" si="17"/>
        <v>0.49906298383978309</v>
      </c>
      <c r="AH902" s="391">
        <f t="shared" si="18"/>
        <v>0.51569762015730225</v>
      </c>
      <c r="AI902" s="135">
        <f t="shared" si="19"/>
        <v>1.0147606039970853</v>
      </c>
    </row>
    <row r="903" spans="1:35" ht="12.6">
      <c r="A903" s="10" t="s">
        <v>63</v>
      </c>
      <c r="B903" s="10">
        <v>172</v>
      </c>
      <c r="C903" s="10" t="s">
        <v>1514</v>
      </c>
      <c r="D903" s="388">
        <v>45098</v>
      </c>
      <c r="E903" s="389">
        <v>45098</v>
      </c>
      <c r="F903" s="390" t="str">
        <f t="shared" si="15"/>
        <v>Other</v>
      </c>
      <c r="G903" s="135">
        <v>2.8599683375536099E-2</v>
      </c>
      <c r="H903" s="135">
        <v>2.71474969669585E-2</v>
      </c>
      <c r="I903" s="135">
        <v>2.66530382811993E-2</v>
      </c>
      <c r="J903" s="135">
        <v>2.6203737095501198E-2</v>
      </c>
      <c r="K903" s="135">
        <v>2.6289971208701801E-2</v>
      </c>
      <c r="L903" s="135">
        <v>2.8310313333443301E-2</v>
      </c>
      <c r="M903" s="135">
        <v>3.7576662949869999E-2</v>
      </c>
      <c r="N903" s="135">
        <v>4.2380808722995898E-2</v>
      </c>
      <c r="O903" s="135">
        <v>4.1619508677004202E-2</v>
      </c>
      <c r="P903" s="135">
        <v>3.97765682501071E-2</v>
      </c>
      <c r="Q903" s="135">
        <v>4.24846244954033E-2</v>
      </c>
      <c r="R903" s="135">
        <v>4.3798206522598297E-2</v>
      </c>
      <c r="S903" s="135">
        <v>4.5829015386225101E-2</v>
      </c>
      <c r="T903" s="135">
        <v>4.5713375310567003E-2</v>
      </c>
      <c r="U903" s="135">
        <v>4.4219737029885797E-2</v>
      </c>
      <c r="V903" s="135">
        <v>4.22012248229326E-2</v>
      </c>
      <c r="W903" s="135">
        <v>4.1885245229385297E-2</v>
      </c>
      <c r="X903" s="135">
        <v>4.9398085336397002E-2</v>
      </c>
      <c r="Y903" s="135">
        <v>5.9300691622132903E-2</v>
      </c>
      <c r="Z903" s="135">
        <v>6.7911678231480893E-2</v>
      </c>
      <c r="AA903" s="135">
        <v>6.8780489327373504E-2</v>
      </c>
      <c r="AB903" s="135">
        <v>6.0246958971809199E-2</v>
      </c>
      <c r="AC903" s="135">
        <v>4.5248707402128802E-2</v>
      </c>
      <c r="AD903" s="135">
        <v>3.3184775447448099E-2</v>
      </c>
      <c r="AF903" s="243">
        <f t="shared" si="16"/>
        <v>0.3061314287969974</v>
      </c>
      <c r="AG903" s="275">
        <f t="shared" si="17"/>
        <v>0.49906298383978309</v>
      </c>
      <c r="AH903" s="391">
        <f t="shared" si="18"/>
        <v>0.51569762015730225</v>
      </c>
      <c r="AI903" s="135">
        <f t="shared" si="19"/>
        <v>1.0147606039970853</v>
      </c>
    </row>
    <row r="904" spans="1:35" ht="12.6">
      <c r="A904" s="10" t="s">
        <v>63</v>
      </c>
      <c r="B904" s="10">
        <v>173</v>
      </c>
      <c r="C904" s="10" t="s">
        <v>1514</v>
      </c>
      <c r="D904" s="388">
        <v>45099</v>
      </c>
      <c r="E904" s="389">
        <v>45099</v>
      </c>
      <c r="F904" s="390" t="str">
        <f t="shared" si="15"/>
        <v>Other</v>
      </c>
      <c r="G904" s="135">
        <v>2.8599683375536099E-2</v>
      </c>
      <c r="H904" s="135">
        <v>2.71474969669585E-2</v>
      </c>
      <c r="I904" s="135">
        <v>2.66530382811993E-2</v>
      </c>
      <c r="J904" s="135">
        <v>2.6203737095501198E-2</v>
      </c>
      <c r="K904" s="135">
        <v>2.6289971208701801E-2</v>
      </c>
      <c r="L904" s="135">
        <v>2.8310313333443301E-2</v>
      </c>
      <c r="M904" s="135">
        <v>3.7576662949869999E-2</v>
      </c>
      <c r="N904" s="135">
        <v>4.2380808722995898E-2</v>
      </c>
      <c r="O904" s="135">
        <v>4.1619508677004202E-2</v>
      </c>
      <c r="P904" s="135">
        <v>3.97765682501071E-2</v>
      </c>
      <c r="Q904" s="135">
        <v>4.24846244954033E-2</v>
      </c>
      <c r="R904" s="135">
        <v>4.3798206522598297E-2</v>
      </c>
      <c r="S904" s="135">
        <v>4.5829015386225101E-2</v>
      </c>
      <c r="T904" s="135">
        <v>4.5713375310567003E-2</v>
      </c>
      <c r="U904" s="135">
        <v>4.4219737029885797E-2</v>
      </c>
      <c r="V904" s="135">
        <v>4.22012248229326E-2</v>
      </c>
      <c r="W904" s="135">
        <v>4.1885245229385297E-2</v>
      </c>
      <c r="X904" s="135">
        <v>4.9398085336397002E-2</v>
      </c>
      <c r="Y904" s="135">
        <v>5.9300691622132903E-2</v>
      </c>
      <c r="Z904" s="135">
        <v>6.7911678231480893E-2</v>
      </c>
      <c r="AA904" s="135">
        <v>6.8780489327373504E-2</v>
      </c>
      <c r="AB904" s="135">
        <v>6.0246958971809199E-2</v>
      </c>
      <c r="AC904" s="135">
        <v>4.5248707402128802E-2</v>
      </c>
      <c r="AD904" s="135">
        <v>3.3184775447448099E-2</v>
      </c>
      <c r="AF904" s="243">
        <f t="shared" si="16"/>
        <v>0.3061314287969974</v>
      </c>
      <c r="AG904" s="275">
        <f t="shared" si="17"/>
        <v>0.49906298383978309</v>
      </c>
      <c r="AH904" s="391">
        <f t="shared" si="18"/>
        <v>0.51569762015730225</v>
      </c>
      <c r="AI904" s="135">
        <f t="shared" si="19"/>
        <v>1.0147606039970853</v>
      </c>
    </row>
    <row r="905" spans="1:35" ht="12.6">
      <c r="A905" s="10" t="s">
        <v>63</v>
      </c>
      <c r="B905" s="10">
        <v>174</v>
      </c>
      <c r="C905" s="10" t="s">
        <v>1514</v>
      </c>
      <c r="D905" s="388">
        <v>45100</v>
      </c>
      <c r="E905" s="389">
        <v>45100</v>
      </c>
      <c r="F905" s="390" t="str">
        <f t="shared" si="15"/>
        <v>Other</v>
      </c>
      <c r="G905" s="135">
        <v>2.8599683375536099E-2</v>
      </c>
      <c r="H905" s="135">
        <v>2.71474969669585E-2</v>
      </c>
      <c r="I905" s="135">
        <v>2.66530382811993E-2</v>
      </c>
      <c r="J905" s="135">
        <v>2.6203737095501198E-2</v>
      </c>
      <c r="K905" s="135">
        <v>2.6289971208701801E-2</v>
      </c>
      <c r="L905" s="135">
        <v>2.8310313333443301E-2</v>
      </c>
      <c r="M905" s="135">
        <v>3.7576662949869999E-2</v>
      </c>
      <c r="N905" s="135">
        <v>4.2380808722995898E-2</v>
      </c>
      <c r="O905" s="135">
        <v>4.1619508677004202E-2</v>
      </c>
      <c r="P905" s="135">
        <v>3.97765682501071E-2</v>
      </c>
      <c r="Q905" s="135">
        <v>4.24846244954033E-2</v>
      </c>
      <c r="R905" s="135">
        <v>4.3798206522598297E-2</v>
      </c>
      <c r="S905" s="135">
        <v>4.5829015386225101E-2</v>
      </c>
      <c r="T905" s="135">
        <v>4.5713375310567003E-2</v>
      </c>
      <c r="U905" s="135">
        <v>4.4219737029885797E-2</v>
      </c>
      <c r="V905" s="135">
        <v>4.22012248229326E-2</v>
      </c>
      <c r="W905" s="135">
        <v>4.1885245229385297E-2</v>
      </c>
      <c r="X905" s="135">
        <v>4.9398085336397002E-2</v>
      </c>
      <c r="Y905" s="135">
        <v>5.9300691622132903E-2</v>
      </c>
      <c r="Z905" s="135">
        <v>6.7911678231480893E-2</v>
      </c>
      <c r="AA905" s="135">
        <v>6.8780489327373504E-2</v>
      </c>
      <c r="AB905" s="135">
        <v>6.0246958971809199E-2</v>
      </c>
      <c r="AC905" s="135">
        <v>4.5248707402128802E-2</v>
      </c>
      <c r="AD905" s="135">
        <v>3.3184775447448099E-2</v>
      </c>
      <c r="AF905" s="243">
        <f t="shared" si="16"/>
        <v>0.3061314287969974</v>
      </c>
      <c r="AG905" s="275">
        <f t="shared" si="17"/>
        <v>0.49906298383978309</v>
      </c>
      <c r="AH905" s="391">
        <f t="shared" si="18"/>
        <v>0.51569762015730225</v>
      </c>
      <c r="AI905" s="135">
        <f t="shared" si="19"/>
        <v>1.0147606039970853</v>
      </c>
    </row>
    <row r="906" spans="1:35" ht="12.6">
      <c r="A906" s="10" t="s">
        <v>63</v>
      </c>
      <c r="B906" s="10">
        <v>175</v>
      </c>
      <c r="C906" s="10" t="s">
        <v>1514</v>
      </c>
      <c r="D906" s="388">
        <v>45101</v>
      </c>
      <c r="E906" s="389">
        <v>45101</v>
      </c>
      <c r="F906" s="390" t="str">
        <f t="shared" si="15"/>
        <v>Other</v>
      </c>
      <c r="G906" s="135">
        <v>3.1594034421343203E-2</v>
      </c>
      <c r="H906" s="135">
        <v>2.7553598463258701E-2</v>
      </c>
      <c r="I906" s="135">
        <v>2.6362704733174199E-2</v>
      </c>
      <c r="J906" s="135">
        <v>2.5645630892124599E-2</v>
      </c>
      <c r="K906" s="135">
        <v>2.59587228117635E-2</v>
      </c>
      <c r="L906" s="135">
        <v>2.73241143004576E-2</v>
      </c>
      <c r="M906" s="135">
        <v>3.23399748772027E-2</v>
      </c>
      <c r="N906" s="135">
        <v>4.0693458091161899E-2</v>
      </c>
      <c r="O906" s="135">
        <v>4.08091648323975E-2</v>
      </c>
      <c r="P906" s="135">
        <v>4.3230267850703497E-2</v>
      </c>
      <c r="Q906" s="135">
        <v>4.8875593210887101E-2</v>
      </c>
      <c r="R906" s="135">
        <v>5.1570984614236599E-2</v>
      </c>
      <c r="S906" s="135">
        <v>5.0273372806174499E-2</v>
      </c>
      <c r="T906" s="135">
        <v>5.1223902065420802E-2</v>
      </c>
      <c r="U906" s="135">
        <v>5.1460290626661999E-2</v>
      </c>
      <c r="V906" s="135">
        <v>5.2355412480044501E-2</v>
      </c>
      <c r="W906" s="135">
        <v>5.2386615081516097E-2</v>
      </c>
      <c r="X906" s="135">
        <v>5.6565789515246601E-2</v>
      </c>
      <c r="Y906" s="135">
        <v>6.2807268783048306E-2</v>
      </c>
      <c r="Z906" s="135">
        <v>6.7990705071235696E-2</v>
      </c>
      <c r="AA906" s="135">
        <v>6.7092398362343805E-2</v>
      </c>
      <c r="AB906" s="135">
        <v>5.8280263138641902E-2</v>
      </c>
      <c r="AC906" s="135">
        <v>4.5102682710545697E-2</v>
      </c>
      <c r="AD906" s="135">
        <v>3.5824086247574299E-2</v>
      </c>
      <c r="AF906" s="243">
        <f t="shared" si="16"/>
        <v>0.35814617088494161</v>
      </c>
      <c r="AG906" s="275">
        <f t="shared" si="17"/>
        <v>0.53540514251726234</v>
      </c>
      <c r="AH906" s="391">
        <f t="shared" si="18"/>
        <v>0.53791589346990287</v>
      </c>
      <c r="AI906" s="135">
        <f t="shared" si="19"/>
        <v>1.0733210359871652</v>
      </c>
    </row>
    <row r="907" spans="1:35" ht="12.6">
      <c r="A907" s="10" t="s">
        <v>63</v>
      </c>
      <c r="B907" s="10">
        <v>176</v>
      </c>
      <c r="C907" s="10" t="s">
        <v>1514</v>
      </c>
      <c r="D907" s="388">
        <v>45102</v>
      </c>
      <c r="E907" s="389">
        <v>45102</v>
      </c>
      <c r="F907" s="390" t="str">
        <f t="shared" si="15"/>
        <v>Other</v>
      </c>
      <c r="G907" s="135">
        <v>3.1594034421343203E-2</v>
      </c>
      <c r="H907" s="135">
        <v>2.7553598463258701E-2</v>
      </c>
      <c r="I907" s="135">
        <v>2.6362704733174199E-2</v>
      </c>
      <c r="J907" s="135">
        <v>2.5645630892124599E-2</v>
      </c>
      <c r="K907" s="135">
        <v>2.59587228117635E-2</v>
      </c>
      <c r="L907" s="135">
        <v>2.73241143004576E-2</v>
      </c>
      <c r="M907" s="135">
        <v>3.23399748772027E-2</v>
      </c>
      <c r="N907" s="135">
        <v>4.0693458091161899E-2</v>
      </c>
      <c r="O907" s="135">
        <v>4.08091648323975E-2</v>
      </c>
      <c r="P907" s="135">
        <v>4.3230267850703497E-2</v>
      </c>
      <c r="Q907" s="135">
        <v>4.8875593210887101E-2</v>
      </c>
      <c r="R907" s="135">
        <v>5.1570984614236599E-2</v>
      </c>
      <c r="S907" s="135">
        <v>5.0273372806174499E-2</v>
      </c>
      <c r="T907" s="135">
        <v>5.1223902065420802E-2</v>
      </c>
      <c r="U907" s="135">
        <v>5.1460290626661999E-2</v>
      </c>
      <c r="V907" s="135">
        <v>5.2355412480044501E-2</v>
      </c>
      <c r="W907" s="135">
        <v>5.2386615081516097E-2</v>
      </c>
      <c r="X907" s="135">
        <v>5.6565789515246601E-2</v>
      </c>
      <c r="Y907" s="135">
        <v>6.2807268783048306E-2</v>
      </c>
      <c r="Z907" s="135">
        <v>6.7990705071235696E-2</v>
      </c>
      <c r="AA907" s="135">
        <v>6.7092398362343805E-2</v>
      </c>
      <c r="AB907" s="135">
        <v>5.8280263138641902E-2</v>
      </c>
      <c r="AC907" s="135">
        <v>4.5102682710545697E-2</v>
      </c>
      <c r="AD907" s="135">
        <v>3.5824086247574299E-2</v>
      </c>
      <c r="AF907" s="243">
        <f t="shared" si="16"/>
        <v>0.35814617088494161</v>
      </c>
      <c r="AG907" s="275">
        <f t="shared" si="17"/>
        <v>0.53540514251726234</v>
      </c>
      <c r="AH907" s="391">
        <f t="shared" si="18"/>
        <v>0.53791589346990287</v>
      </c>
      <c r="AI907" s="135">
        <f t="shared" si="19"/>
        <v>1.0733210359871652</v>
      </c>
    </row>
    <row r="908" spans="1:35" ht="12.6">
      <c r="A908" s="10" t="s">
        <v>63</v>
      </c>
      <c r="B908" s="10">
        <v>177</v>
      </c>
      <c r="C908" s="10" t="s">
        <v>1514</v>
      </c>
      <c r="D908" s="388">
        <v>45103</v>
      </c>
      <c r="E908" s="389">
        <v>45103</v>
      </c>
      <c r="F908" s="390" t="str">
        <f t="shared" si="15"/>
        <v>Other</v>
      </c>
      <c r="G908" s="135">
        <v>2.8599683375536099E-2</v>
      </c>
      <c r="H908" s="135">
        <v>2.71474969669585E-2</v>
      </c>
      <c r="I908" s="135">
        <v>2.66530382811993E-2</v>
      </c>
      <c r="J908" s="135">
        <v>2.6203737095501198E-2</v>
      </c>
      <c r="K908" s="135">
        <v>2.6289971208701801E-2</v>
      </c>
      <c r="L908" s="135">
        <v>2.8310313333443301E-2</v>
      </c>
      <c r="M908" s="135">
        <v>3.7576662949869999E-2</v>
      </c>
      <c r="N908" s="135">
        <v>4.2380808722995898E-2</v>
      </c>
      <c r="O908" s="135">
        <v>4.1619508677004202E-2</v>
      </c>
      <c r="P908" s="135">
        <v>3.97765682501071E-2</v>
      </c>
      <c r="Q908" s="135">
        <v>4.24846244954033E-2</v>
      </c>
      <c r="R908" s="135">
        <v>4.3798206522598297E-2</v>
      </c>
      <c r="S908" s="135">
        <v>4.5829015386225101E-2</v>
      </c>
      <c r="T908" s="135">
        <v>4.5713375310567003E-2</v>
      </c>
      <c r="U908" s="135">
        <v>4.4219737029885797E-2</v>
      </c>
      <c r="V908" s="135">
        <v>4.22012248229326E-2</v>
      </c>
      <c r="W908" s="135">
        <v>4.1885245229385297E-2</v>
      </c>
      <c r="X908" s="135">
        <v>4.9398085336397002E-2</v>
      </c>
      <c r="Y908" s="135">
        <v>5.9300691622132903E-2</v>
      </c>
      <c r="Z908" s="135">
        <v>6.7911678231480893E-2</v>
      </c>
      <c r="AA908" s="135">
        <v>6.8780489327373504E-2</v>
      </c>
      <c r="AB908" s="135">
        <v>6.0246958971809199E-2</v>
      </c>
      <c r="AC908" s="135">
        <v>4.5248707402128802E-2</v>
      </c>
      <c r="AD908" s="135">
        <v>3.3184775447448099E-2</v>
      </c>
      <c r="AF908" s="243">
        <f t="shared" si="16"/>
        <v>0.3061314287969974</v>
      </c>
      <c r="AG908" s="275">
        <f t="shared" si="17"/>
        <v>0.49906298383978309</v>
      </c>
      <c r="AH908" s="391">
        <f t="shared" si="18"/>
        <v>0.51569762015730225</v>
      </c>
      <c r="AI908" s="135">
        <f t="shared" si="19"/>
        <v>1.0147606039970853</v>
      </c>
    </row>
    <row r="909" spans="1:35" ht="12.6">
      <c r="A909" s="10" t="s">
        <v>63</v>
      </c>
      <c r="B909" s="10">
        <v>178</v>
      </c>
      <c r="C909" s="10" t="s">
        <v>1514</v>
      </c>
      <c r="D909" s="388">
        <v>45104</v>
      </c>
      <c r="E909" s="389">
        <v>45104</v>
      </c>
      <c r="F909" s="390" t="str">
        <f t="shared" si="15"/>
        <v>Other</v>
      </c>
      <c r="G909" s="135">
        <v>2.8599683375536099E-2</v>
      </c>
      <c r="H909" s="135">
        <v>2.71474969669585E-2</v>
      </c>
      <c r="I909" s="135">
        <v>2.66530382811993E-2</v>
      </c>
      <c r="J909" s="135">
        <v>2.6203737095501198E-2</v>
      </c>
      <c r="K909" s="135">
        <v>2.6289971208701801E-2</v>
      </c>
      <c r="L909" s="135">
        <v>2.8310313333443301E-2</v>
      </c>
      <c r="M909" s="135">
        <v>3.7576662949869999E-2</v>
      </c>
      <c r="N909" s="135">
        <v>4.2380808722995898E-2</v>
      </c>
      <c r="O909" s="135">
        <v>4.1619508677004202E-2</v>
      </c>
      <c r="P909" s="135">
        <v>3.97765682501071E-2</v>
      </c>
      <c r="Q909" s="135">
        <v>4.24846244954033E-2</v>
      </c>
      <c r="R909" s="135">
        <v>4.3798206522598297E-2</v>
      </c>
      <c r="S909" s="135">
        <v>4.5829015386225101E-2</v>
      </c>
      <c r="T909" s="135">
        <v>4.5713375310567003E-2</v>
      </c>
      <c r="U909" s="135">
        <v>4.4219737029885797E-2</v>
      </c>
      <c r="V909" s="135">
        <v>4.22012248229326E-2</v>
      </c>
      <c r="W909" s="135">
        <v>4.1885245229385297E-2</v>
      </c>
      <c r="X909" s="135">
        <v>4.9398085336397002E-2</v>
      </c>
      <c r="Y909" s="135">
        <v>5.9300691622132903E-2</v>
      </c>
      <c r="Z909" s="135">
        <v>6.7911678231480893E-2</v>
      </c>
      <c r="AA909" s="135">
        <v>6.8780489327373504E-2</v>
      </c>
      <c r="AB909" s="135">
        <v>6.0246958971809199E-2</v>
      </c>
      <c r="AC909" s="135">
        <v>4.5248707402128802E-2</v>
      </c>
      <c r="AD909" s="135">
        <v>3.3184775447448099E-2</v>
      </c>
      <c r="AF909" s="243">
        <f t="shared" si="16"/>
        <v>0.3061314287969974</v>
      </c>
      <c r="AG909" s="275">
        <f t="shared" si="17"/>
        <v>0.49906298383978309</v>
      </c>
      <c r="AH909" s="391">
        <f t="shared" si="18"/>
        <v>0.51569762015730225</v>
      </c>
      <c r="AI909" s="135">
        <f t="shared" si="19"/>
        <v>1.0147606039970853</v>
      </c>
    </row>
    <row r="910" spans="1:35" ht="12.6">
      <c r="A910" s="10" t="s">
        <v>63</v>
      </c>
      <c r="B910" s="10">
        <v>179</v>
      </c>
      <c r="C910" s="10" t="s">
        <v>1514</v>
      </c>
      <c r="D910" s="388">
        <v>45105</v>
      </c>
      <c r="E910" s="389">
        <v>45105</v>
      </c>
      <c r="F910" s="390" t="str">
        <f t="shared" si="15"/>
        <v>Other</v>
      </c>
      <c r="G910" s="135">
        <v>2.8599683375536099E-2</v>
      </c>
      <c r="H910" s="135">
        <v>2.71474969669585E-2</v>
      </c>
      <c r="I910" s="135">
        <v>2.66530382811993E-2</v>
      </c>
      <c r="J910" s="135">
        <v>2.6203737095501198E-2</v>
      </c>
      <c r="K910" s="135">
        <v>2.6289971208701801E-2</v>
      </c>
      <c r="L910" s="135">
        <v>2.8310313333443301E-2</v>
      </c>
      <c r="M910" s="135">
        <v>3.7576662949869999E-2</v>
      </c>
      <c r="N910" s="135">
        <v>4.2380808722995898E-2</v>
      </c>
      <c r="O910" s="135">
        <v>4.1619508677004202E-2</v>
      </c>
      <c r="P910" s="135">
        <v>3.97765682501071E-2</v>
      </c>
      <c r="Q910" s="135">
        <v>4.24846244954033E-2</v>
      </c>
      <c r="R910" s="135">
        <v>4.3798206522598297E-2</v>
      </c>
      <c r="S910" s="135">
        <v>4.5829015386225101E-2</v>
      </c>
      <c r="T910" s="135">
        <v>4.5713375310567003E-2</v>
      </c>
      <c r="U910" s="135">
        <v>4.4219737029885797E-2</v>
      </c>
      <c r="V910" s="135">
        <v>4.22012248229326E-2</v>
      </c>
      <c r="W910" s="135">
        <v>4.1885245229385297E-2</v>
      </c>
      <c r="X910" s="135">
        <v>4.9398085336397002E-2</v>
      </c>
      <c r="Y910" s="135">
        <v>5.9300691622132903E-2</v>
      </c>
      <c r="Z910" s="135">
        <v>6.7911678231480893E-2</v>
      </c>
      <c r="AA910" s="135">
        <v>6.8780489327373504E-2</v>
      </c>
      <c r="AB910" s="135">
        <v>6.0246958971809199E-2</v>
      </c>
      <c r="AC910" s="135">
        <v>4.5248707402128802E-2</v>
      </c>
      <c r="AD910" s="135">
        <v>3.3184775447448099E-2</v>
      </c>
      <c r="AF910" s="243">
        <f t="shared" si="16"/>
        <v>0.3061314287969974</v>
      </c>
      <c r="AG910" s="275">
        <f t="shared" si="17"/>
        <v>0.49906298383978309</v>
      </c>
      <c r="AH910" s="391">
        <f t="shared" si="18"/>
        <v>0.51569762015730225</v>
      </c>
      <c r="AI910" s="135">
        <f t="shared" si="19"/>
        <v>1.0147606039970853</v>
      </c>
    </row>
    <row r="911" spans="1:35" ht="12.6">
      <c r="A911" s="10" t="s">
        <v>63</v>
      </c>
      <c r="B911" s="10">
        <v>180</v>
      </c>
      <c r="C911" s="10" t="s">
        <v>1514</v>
      </c>
      <c r="D911" s="388">
        <v>45106</v>
      </c>
      <c r="E911" s="389">
        <v>45106</v>
      </c>
      <c r="F911" s="390" t="str">
        <f t="shared" si="15"/>
        <v>Other</v>
      </c>
      <c r="G911" s="135">
        <v>2.8599683375536099E-2</v>
      </c>
      <c r="H911" s="135">
        <v>2.71474969669585E-2</v>
      </c>
      <c r="I911" s="135">
        <v>2.66530382811993E-2</v>
      </c>
      <c r="J911" s="135">
        <v>2.6203737095501198E-2</v>
      </c>
      <c r="K911" s="135">
        <v>2.6289971208701801E-2</v>
      </c>
      <c r="L911" s="135">
        <v>2.8310313333443301E-2</v>
      </c>
      <c r="M911" s="135">
        <v>3.7576662949869999E-2</v>
      </c>
      <c r="N911" s="135">
        <v>4.2380808722995898E-2</v>
      </c>
      <c r="O911" s="135">
        <v>4.1619508677004202E-2</v>
      </c>
      <c r="P911" s="135">
        <v>3.97765682501071E-2</v>
      </c>
      <c r="Q911" s="135">
        <v>4.24846244954033E-2</v>
      </c>
      <c r="R911" s="135">
        <v>4.3798206522598297E-2</v>
      </c>
      <c r="S911" s="135">
        <v>4.5829015386225101E-2</v>
      </c>
      <c r="T911" s="135">
        <v>4.5713375310567003E-2</v>
      </c>
      <c r="U911" s="135">
        <v>4.4219737029885797E-2</v>
      </c>
      <c r="V911" s="135">
        <v>4.22012248229326E-2</v>
      </c>
      <c r="W911" s="135">
        <v>4.1885245229385297E-2</v>
      </c>
      <c r="X911" s="135">
        <v>4.9398085336397002E-2</v>
      </c>
      <c r="Y911" s="135">
        <v>5.9300691622132903E-2</v>
      </c>
      <c r="Z911" s="135">
        <v>6.7911678231480893E-2</v>
      </c>
      <c r="AA911" s="135">
        <v>6.8780489327373504E-2</v>
      </c>
      <c r="AB911" s="135">
        <v>6.0246958971809199E-2</v>
      </c>
      <c r="AC911" s="135">
        <v>4.5248707402128802E-2</v>
      </c>
      <c r="AD911" s="135">
        <v>3.3184775447448099E-2</v>
      </c>
      <c r="AF911" s="243">
        <f t="shared" si="16"/>
        <v>0.3061314287969974</v>
      </c>
      <c r="AG911" s="275">
        <f t="shared" si="17"/>
        <v>0.49906298383978309</v>
      </c>
      <c r="AH911" s="391">
        <f t="shared" si="18"/>
        <v>0.51569762015730225</v>
      </c>
      <c r="AI911" s="135">
        <f t="shared" si="19"/>
        <v>1.0147606039970853</v>
      </c>
    </row>
    <row r="912" spans="1:35" ht="12.6">
      <c r="A912" s="10" t="s">
        <v>63</v>
      </c>
      <c r="B912" s="10">
        <v>181</v>
      </c>
      <c r="C912" s="10" t="s">
        <v>1514</v>
      </c>
      <c r="D912" s="388">
        <v>45107</v>
      </c>
      <c r="E912" s="389">
        <v>45107</v>
      </c>
      <c r="F912" s="390" t="str">
        <f t="shared" si="15"/>
        <v>Other</v>
      </c>
      <c r="G912" s="135">
        <v>2.8599683375536099E-2</v>
      </c>
      <c r="H912" s="135">
        <v>2.71474969669585E-2</v>
      </c>
      <c r="I912" s="135">
        <v>2.66530382811993E-2</v>
      </c>
      <c r="J912" s="135">
        <v>2.6203737095501198E-2</v>
      </c>
      <c r="K912" s="135">
        <v>2.6289971208701801E-2</v>
      </c>
      <c r="L912" s="135">
        <v>2.8310313333443301E-2</v>
      </c>
      <c r="M912" s="135">
        <v>3.7576662949869999E-2</v>
      </c>
      <c r="N912" s="135">
        <v>4.2380808722995898E-2</v>
      </c>
      <c r="O912" s="135">
        <v>4.1619508677004202E-2</v>
      </c>
      <c r="P912" s="135">
        <v>3.97765682501071E-2</v>
      </c>
      <c r="Q912" s="135">
        <v>4.24846244954033E-2</v>
      </c>
      <c r="R912" s="135">
        <v>4.3798206522598297E-2</v>
      </c>
      <c r="S912" s="135">
        <v>4.5829015386225101E-2</v>
      </c>
      <c r="T912" s="135">
        <v>4.5713375310567003E-2</v>
      </c>
      <c r="U912" s="135">
        <v>4.4219737029885797E-2</v>
      </c>
      <c r="V912" s="135">
        <v>4.22012248229326E-2</v>
      </c>
      <c r="W912" s="135">
        <v>4.1885245229385297E-2</v>
      </c>
      <c r="X912" s="135">
        <v>4.9398085336397002E-2</v>
      </c>
      <c r="Y912" s="135">
        <v>5.9300691622132903E-2</v>
      </c>
      <c r="Z912" s="135">
        <v>6.7911678231480893E-2</v>
      </c>
      <c r="AA912" s="135">
        <v>6.8780489327373504E-2</v>
      </c>
      <c r="AB912" s="135">
        <v>6.0246958971809199E-2</v>
      </c>
      <c r="AC912" s="135">
        <v>4.5248707402128802E-2</v>
      </c>
      <c r="AD912" s="135">
        <v>3.3184775447448099E-2</v>
      </c>
      <c r="AF912" s="243">
        <f t="shared" si="16"/>
        <v>0.3061314287969974</v>
      </c>
      <c r="AG912" s="275">
        <f t="shared" si="17"/>
        <v>0.49906298383978309</v>
      </c>
      <c r="AH912" s="391">
        <f t="shared" si="18"/>
        <v>0.51569762015730225</v>
      </c>
      <c r="AI912" s="135">
        <f t="shared" si="19"/>
        <v>1.0147606039970853</v>
      </c>
    </row>
    <row r="913" spans="1:35" ht="12.6">
      <c r="A913" s="10" t="s">
        <v>63</v>
      </c>
      <c r="B913" s="10">
        <v>182</v>
      </c>
      <c r="C913" s="10" t="s">
        <v>1514</v>
      </c>
      <c r="D913" s="388">
        <v>45108</v>
      </c>
      <c r="E913" s="389">
        <v>45108</v>
      </c>
      <c r="F913" s="390" t="str">
        <f t="shared" si="15"/>
        <v>Other</v>
      </c>
      <c r="G913" s="135">
        <v>3.1594034421343203E-2</v>
      </c>
      <c r="H913" s="135">
        <v>2.7553598463258701E-2</v>
      </c>
      <c r="I913" s="135">
        <v>2.6362704733174199E-2</v>
      </c>
      <c r="J913" s="135">
        <v>2.5645630892124599E-2</v>
      </c>
      <c r="K913" s="135">
        <v>2.59587228117635E-2</v>
      </c>
      <c r="L913" s="135">
        <v>2.73241143004576E-2</v>
      </c>
      <c r="M913" s="135">
        <v>3.23399748772027E-2</v>
      </c>
      <c r="N913" s="135">
        <v>4.0693458091161899E-2</v>
      </c>
      <c r="O913" s="135">
        <v>4.08091648323975E-2</v>
      </c>
      <c r="P913" s="135">
        <v>4.3230267850703497E-2</v>
      </c>
      <c r="Q913" s="135">
        <v>4.8875593210887101E-2</v>
      </c>
      <c r="R913" s="135">
        <v>5.1570984614236599E-2</v>
      </c>
      <c r="S913" s="135">
        <v>5.0273372806174499E-2</v>
      </c>
      <c r="T913" s="135">
        <v>5.1223902065420802E-2</v>
      </c>
      <c r="U913" s="135">
        <v>5.1460290626661999E-2</v>
      </c>
      <c r="V913" s="135">
        <v>5.2355412480044501E-2</v>
      </c>
      <c r="W913" s="135">
        <v>5.2386615081516097E-2</v>
      </c>
      <c r="X913" s="135">
        <v>5.6565789515246601E-2</v>
      </c>
      <c r="Y913" s="135">
        <v>6.2807268783048306E-2</v>
      </c>
      <c r="Z913" s="135">
        <v>6.7990705071235696E-2</v>
      </c>
      <c r="AA913" s="135">
        <v>6.7092398362343805E-2</v>
      </c>
      <c r="AB913" s="135">
        <v>5.8280263138641902E-2</v>
      </c>
      <c r="AC913" s="135">
        <v>4.5102682710545697E-2</v>
      </c>
      <c r="AD913" s="135">
        <v>3.5824086247574299E-2</v>
      </c>
      <c r="AF913" s="243">
        <f t="shared" si="16"/>
        <v>0.35814617088494161</v>
      </c>
      <c r="AG913" s="275">
        <f t="shared" si="17"/>
        <v>0.53540514251726234</v>
      </c>
      <c r="AH913" s="391">
        <f t="shared" si="18"/>
        <v>0.53791589346990287</v>
      </c>
      <c r="AI913" s="135">
        <f t="shared" si="19"/>
        <v>1.0733210359871652</v>
      </c>
    </row>
    <row r="914" spans="1:35" ht="12.6">
      <c r="A914" s="10" t="s">
        <v>63</v>
      </c>
      <c r="B914" s="10">
        <v>183</v>
      </c>
      <c r="C914" s="10" t="s">
        <v>1514</v>
      </c>
      <c r="D914" s="388">
        <v>45109</v>
      </c>
      <c r="E914" s="389">
        <v>45109</v>
      </c>
      <c r="F914" s="390" t="str">
        <f t="shared" si="15"/>
        <v>Other</v>
      </c>
      <c r="G914" s="135">
        <v>3.1594034421343203E-2</v>
      </c>
      <c r="H914" s="135">
        <v>2.7553598463258701E-2</v>
      </c>
      <c r="I914" s="135">
        <v>2.6362704733174199E-2</v>
      </c>
      <c r="J914" s="135">
        <v>2.5645630892124599E-2</v>
      </c>
      <c r="K914" s="135">
        <v>2.59587228117635E-2</v>
      </c>
      <c r="L914" s="135">
        <v>2.73241143004576E-2</v>
      </c>
      <c r="M914" s="135">
        <v>3.23399748772027E-2</v>
      </c>
      <c r="N914" s="135">
        <v>4.0693458091161899E-2</v>
      </c>
      <c r="O914" s="135">
        <v>4.08091648323975E-2</v>
      </c>
      <c r="P914" s="135">
        <v>4.3230267850703497E-2</v>
      </c>
      <c r="Q914" s="135">
        <v>4.8875593210887101E-2</v>
      </c>
      <c r="R914" s="135">
        <v>5.1570984614236599E-2</v>
      </c>
      <c r="S914" s="135">
        <v>5.0273372806174499E-2</v>
      </c>
      <c r="T914" s="135">
        <v>5.1223902065420802E-2</v>
      </c>
      <c r="U914" s="135">
        <v>5.1460290626661999E-2</v>
      </c>
      <c r="V914" s="135">
        <v>5.2355412480044501E-2</v>
      </c>
      <c r="W914" s="135">
        <v>5.2386615081516097E-2</v>
      </c>
      <c r="X914" s="135">
        <v>5.6565789515246601E-2</v>
      </c>
      <c r="Y914" s="135">
        <v>6.2807268783048306E-2</v>
      </c>
      <c r="Z914" s="135">
        <v>6.7990705071235696E-2</v>
      </c>
      <c r="AA914" s="135">
        <v>6.7092398362343805E-2</v>
      </c>
      <c r="AB914" s="135">
        <v>5.8280263138641902E-2</v>
      </c>
      <c r="AC914" s="135">
        <v>4.5102682710545697E-2</v>
      </c>
      <c r="AD914" s="135">
        <v>3.5824086247574299E-2</v>
      </c>
      <c r="AF914" s="243">
        <f t="shared" si="16"/>
        <v>0.35814617088494161</v>
      </c>
      <c r="AG914" s="275">
        <f t="shared" si="17"/>
        <v>0.53540514251726234</v>
      </c>
      <c r="AH914" s="391">
        <f t="shared" si="18"/>
        <v>0.53791589346990287</v>
      </c>
      <c r="AI914" s="135">
        <f t="shared" si="19"/>
        <v>1.0733210359871652</v>
      </c>
    </row>
    <row r="915" spans="1:35" ht="12.6">
      <c r="A915" s="10" t="s">
        <v>63</v>
      </c>
      <c r="B915" s="10">
        <v>184</v>
      </c>
      <c r="C915" s="10" t="s">
        <v>1514</v>
      </c>
      <c r="D915" s="388">
        <v>45110</v>
      </c>
      <c r="E915" s="389">
        <v>45110</v>
      </c>
      <c r="F915" s="390" t="str">
        <f t="shared" si="15"/>
        <v>Other</v>
      </c>
      <c r="G915" s="135">
        <v>2.8599683375536099E-2</v>
      </c>
      <c r="H915" s="135">
        <v>2.71474969669585E-2</v>
      </c>
      <c r="I915" s="135">
        <v>2.66530382811993E-2</v>
      </c>
      <c r="J915" s="135">
        <v>2.6203737095501198E-2</v>
      </c>
      <c r="K915" s="135">
        <v>2.6289971208701801E-2</v>
      </c>
      <c r="L915" s="135">
        <v>2.8310313333443301E-2</v>
      </c>
      <c r="M915" s="135">
        <v>3.7576662949869999E-2</v>
      </c>
      <c r="N915" s="135">
        <v>4.2380808722995898E-2</v>
      </c>
      <c r="O915" s="135">
        <v>4.1619508677004202E-2</v>
      </c>
      <c r="P915" s="135">
        <v>3.97765682501071E-2</v>
      </c>
      <c r="Q915" s="135">
        <v>4.24846244954033E-2</v>
      </c>
      <c r="R915" s="135">
        <v>4.3798206522598297E-2</v>
      </c>
      <c r="S915" s="135">
        <v>4.5829015386225101E-2</v>
      </c>
      <c r="T915" s="135">
        <v>4.5713375310567003E-2</v>
      </c>
      <c r="U915" s="135">
        <v>4.4219737029885797E-2</v>
      </c>
      <c r="V915" s="135">
        <v>4.22012248229326E-2</v>
      </c>
      <c r="W915" s="135">
        <v>4.1885245229385297E-2</v>
      </c>
      <c r="X915" s="135">
        <v>4.9398085336397002E-2</v>
      </c>
      <c r="Y915" s="135">
        <v>5.9300691622132903E-2</v>
      </c>
      <c r="Z915" s="135">
        <v>6.7911678231480893E-2</v>
      </c>
      <c r="AA915" s="135">
        <v>6.8780489327373504E-2</v>
      </c>
      <c r="AB915" s="135">
        <v>6.0246958971809199E-2</v>
      </c>
      <c r="AC915" s="135">
        <v>4.5248707402128802E-2</v>
      </c>
      <c r="AD915" s="135">
        <v>3.3184775447448099E-2</v>
      </c>
      <c r="AF915" s="243">
        <f t="shared" si="16"/>
        <v>0.3061314287969974</v>
      </c>
      <c r="AG915" s="275">
        <f t="shared" si="17"/>
        <v>0.49906298383978309</v>
      </c>
      <c r="AH915" s="391">
        <f t="shared" si="18"/>
        <v>0.51569762015730225</v>
      </c>
      <c r="AI915" s="135">
        <f t="shared" si="19"/>
        <v>1.0147606039970853</v>
      </c>
    </row>
    <row r="916" spans="1:35" ht="12.6">
      <c r="A916" s="10" t="s">
        <v>63</v>
      </c>
      <c r="B916" s="10">
        <v>185</v>
      </c>
      <c r="C916" s="10" t="s">
        <v>1514</v>
      </c>
      <c r="D916" s="388">
        <v>45111</v>
      </c>
      <c r="E916" s="389">
        <v>45111</v>
      </c>
      <c r="F916" s="390" t="str">
        <f t="shared" si="15"/>
        <v>Other</v>
      </c>
      <c r="G916" s="135">
        <v>2.8599683375536099E-2</v>
      </c>
      <c r="H916" s="135">
        <v>2.71474969669585E-2</v>
      </c>
      <c r="I916" s="135">
        <v>2.66530382811993E-2</v>
      </c>
      <c r="J916" s="135">
        <v>2.6203737095501198E-2</v>
      </c>
      <c r="K916" s="135">
        <v>2.6289971208701801E-2</v>
      </c>
      <c r="L916" s="135">
        <v>2.8310313333443301E-2</v>
      </c>
      <c r="M916" s="135">
        <v>3.7576662949869999E-2</v>
      </c>
      <c r="N916" s="135">
        <v>4.2380808722995898E-2</v>
      </c>
      <c r="O916" s="135">
        <v>4.1619508677004202E-2</v>
      </c>
      <c r="P916" s="135">
        <v>3.97765682501071E-2</v>
      </c>
      <c r="Q916" s="135">
        <v>4.24846244954033E-2</v>
      </c>
      <c r="R916" s="135">
        <v>4.3798206522598297E-2</v>
      </c>
      <c r="S916" s="135">
        <v>4.5829015386225101E-2</v>
      </c>
      <c r="T916" s="135">
        <v>4.5713375310567003E-2</v>
      </c>
      <c r="U916" s="135">
        <v>4.4219737029885797E-2</v>
      </c>
      <c r="V916" s="135">
        <v>4.22012248229326E-2</v>
      </c>
      <c r="W916" s="135">
        <v>4.1885245229385297E-2</v>
      </c>
      <c r="X916" s="135">
        <v>4.9398085336397002E-2</v>
      </c>
      <c r="Y916" s="135">
        <v>5.9300691622132903E-2</v>
      </c>
      <c r="Z916" s="135">
        <v>6.7911678231480893E-2</v>
      </c>
      <c r="AA916" s="135">
        <v>6.8780489327373504E-2</v>
      </c>
      <c r="AB916" s="135">
        <v>6.0246958971809199E-2</v>
      </c>
      <c r="AC916" s="135">
        <v>4.5248707402128802E-2</v>
      </c>
      <c r="AD916" s="135">
        <v>3.3184775447448099E-2</v>
      </c>
      <c r="AF916" s="243">
        <f t="shared" si="16"/>
        <v>0.3061314287969974</v>
      </c>
      <c r="AG916" s="275">
        <f t="shared" si="17"/>
        <v>0.49906298383978309</v>
      </c>
      <c r="AH916" s="391">
        <f t="shared" si="18"/>
        <v>0.51569762015730225</v>
      </c>
      <c r="AI916" s="135">
        <f t="shared" si="19"/>
        <v>1.0147606039970853</v>
      </c>
    </row>
    <row r="917" spans="1:35" ht="12.6">
      <c r="A917" s="10" t="s">
        <v>63</v>
      </c>
      <c r="B917" s="10">
        <v>186</v>
      </c>
      <c r="C917" s="10" t="s">
        <v>1514</v>
      </c>
      <c r="D917" s="388">
        <v>45112</v>
      </c>
      <c r="E917" s="389">
        <v>45112</v>
      </c>
      <c r="F917" s="390" t="str">
        <f t="shared" si="15"/>
        <v>Other</v>
      </c>
      <c r="G917" s="135">
        <v>2.8599683375536099E-2</v>
      </c>
      <c r="H917" s="135">
        <v>2.71474969669585E-2</v>
      </c>
      <c r="I917" s="135">
        <v>2.66530382811993E-2</v>
      </c>
      <c r="J917" s="135">
        <v>2.6203737095501198E-2</v>
      </c>
      <c r="K917" s="135">
        <v>2.6289971208701801E-2</v>
      </c>
      <c r="L917" s="135">
        <v>2.8310313333443301E-2</v>
      </c>
      <c r="M917" s="135">
        <v>3.7576662949869999E-2</v>
      </c>
      <c r="N917" s="135">
        <v>4.2380808722995898E-2</v>
      </c>
      <c r="O917" s="135">
        <v>4.1619508677004202E-2</v>
      </c>
      <c r="P917" s="135">
        <v>3.97765682501071E-2</v>
      </c>
      <c r="Q917" s="135">
        <v>4.24846244954033E-2</v>
      </c>
      <c r="R917" s="135">
        <v>4.3798206522598297E-2</v>
      </c>
      <c r="S917" s="135">
        <v>4.5829015386225101E-2</v>
      </c>
      <c r="T917" s="135">
        <v>4.5713375310567003E-2</v>
      </c>
      <c r="U917" s="135">
        <v>4.4219737029885797E-2</v>
      </c>
      <c r="V917" s="135">
        <v>4.22012248229326E-2</v>
      </c>
      <c r="W917" s="135">
        <v>4.1885245229385297E-2</v>
      </c>
      <c r="X917" s="135">
        <v>4.9398085336397002E-2</v>
      </c>
      <c r="Y917" s="135">
        <v>5.9300691622132903E-2</v>
      </c>
      <c r="Z917" s="135">
        <v>6.7911678231480893E-2</v>
      </c>
      <c r="AA917" s="135">
        <v>6.8780489327373504E-2</v>
      </c>
      <c r="AB917" s="135">
        <v>6.0246958971809199E-2</v>
      </c>
      <c r="AC917" s="135">
        <v>4.5248707402128802E-2</v>
      </c>
      <c r="AD917" s="135">
        <v>3.3184775447448099E-2</v>
      </c>
      <c r="AF917" s="243">
        <f t="shared" si="16"/>
        <v>0.3061314287969974</v>
      </c>
      <c r="AG917" s="275">
        <f t="shared" si="17"/>
        <v>0.49906298383978309</v>
      </c>
      <c r="AH917" s="391">
        <f t="shared" si="18"/>
        <v>0.51569762015730225</v>
      </c>
      <c r="AI917" s="135">
        <f t="shared" si="19"/>
        <v>1.0147606039970853</v>
      </c>
    </row>
    <row r="918" spans="1:35" ht="12.6">
      <c r="A918" s="10" t="s">
        <v>63</v>
      </c>
      <c r="B918" s="10">
        <v>187</v>
      </c>
      <c r="C918" s="10" t="s">
        <v>1514</v>
      </c>
      <c r="D918" s="388">
        <v>45113</v>
      </c>
      <c r="E918" s="389">
        <v>45113</v>
      </c>
      <c r="F918" s="390" t="str">
        <f t="shared" si="15"/>
        <v>Other</v>
      </c>
      <c r="G918" s="135">
        <v>2.8599683375536099E-2</v>
      </c>
      <c r="H918" s="135">
        <v>2.71474969669585E-2</v>
      </c>
      <c r="I918" s="135">
        <v>2.66530382811993E-2</v>
      </c>
      <c r="J918" s="135">
        <v>2.6203737095501198E-2</v>
      </c>
      <c r="K918" s="135">
        <v>2.6289971208701801E-2</v>
      </c>
      <c r="L918" s="135">
        <v>2.8310313333443301E-2</v>
      </c>
      <c r="M918" s="135">
        <v>3.7576662949869999E-2</v>
      </c>
      <c r="N918" s="135">
        <v>4.2380808722995898E-2</v>
      </c>
      <c r="O918" s="135">
        <v>4.1619508677004202E-2</v>
      </c>
      <c r="P918" s="135">
        <v>3.97765682501071E-2</v>
      </c>
      <c r="Q918" s="135">
        <v>4.24846244954033E-2</v>
      </c>
      <c r="R918" s="135">
        <v>4.3798206522598297E-2</v>
      </c>
      <c r="S918" s="135">
        <v>4.5829015386225101E-2</v>
      </c>
      <c r="T918" s="135">
        <v>4.5713375310567003E-2</v>
      </c>
      <c r="U918" s="135">
        <v>4.4219737029885797E-2</v>
      </c>
      <c r="V918" s="135">
        <v>4.22012248229326E-2</v>
      </c>
      <c r="W918" s="135">
        <v>4.1885245229385297E-2</v>
      </c>
      <c r="X918" s="135">
        <v>4.9398085336397002E-2</v>
      </c>
      <c r="Y918" s="135">
        <v>5.9300691622132903E-2</v>
      </c>
      <c r="Z918" s="135">
        <v>6.7911678231480893E-2</v>
      </c>
      <c r="AA918" s="135">
        <v>6.8780489327373504E-2</v>
      </c>
      <c r="AB918" s="135">
        <v>6.0246958971809199E-2</v>
      </c>
      <c r="AC918" s="135">
        <v>4.5248707402128802E-2</v>
      </c>
      <c r="AD918" s="135">
        <v>3.3184775447448099E-2</v>
      </c>
      <c r="AF918" s="243">
        <f t="shared" si="16"/>
        <v>0.3061314287969974</v>
      </c>
      <c r="AG918" s="275">
        <f t="shared" si="17"/>
        <v>0.49906298383978309</v>
      </c>
      <c r="AH918" s="391">
        <f t="shared" si="18"/>
        <v>0.51569762015730225</v>
      </c>
      <c r="AI918" s="135">
        <f t="shared" si="19"/>
        <v>1.0147606039970853</v>
      </c>
    </row>
    <row r="919" spans="1:35" ht="12.6">
      <c r="A919" s="10" t="s">
        <v>63</v>
      </c>
      <c r="B919" s="10">
        <v>188</v>
      </c>
      <c r="C919" s="10" t="s">
        <v>1514</v>
      </c>
      <c r="D919" s="388">
        <v>45114</v>
      </c>
      <c r="E919" s="389">
        <v>45114</v>
      </c>
      <c r="F919" s="390" t="str">
        <f t="shared" si="15"/>
        <v>Other</v>
      </c>
      <c r="G919" s="135">
        <v>2.8599683375536099E-2</v>
      </c>
      <c r="H919" s="135">
        <v>2.71474969669585E-2</v>
      </c>
      <c r="I919" s="135">
        <v>2.66530382811993E-2</v>
      </c>
      <c r="J919" s="135">
        <v>2.6203737095501198E-2</v>
      </c>
      <c r="K919" s="135">
        <v>2.6289971208701801E-2</v>
      </c>
      <c r="L919" s="135">
        <v>2.8310313333443301E-2</v>
      </c>
      <c r="M919" s="135">
        <v>3.7576662949869999E-2</v>
      </c>
      <c r="N919" s="135">
        <v>4.2380808722995898E-2</v>
      </c>
      <c r="O919" s="135">
        <v>4.1619508677004202E-2</v>
      </c>
      <c r="P919" s="135">
        <v>3.97765682501071E-2</v>
      </c>
      <c r="Q919" s="135">
        <v>4.24846244954033E-2</v>
      </c>
      <c r="R919" s="135">
        <v>4.3798206522598297E-2</v>
      </c>
      <c r="S919" s="135">
        <v>4.5829015386225101E-2</v>
      </c>
      <c r="T919" s="135">
        <v>4.5713375310567003E-2</v>
      </c>
      <c r="U919" s="135">
        <v>4.4219737029885797E-2</v>
      </c>
      <c r="V919" s="135">
        <v>4.22012248229326E-2</v>
      </c>
      <c r="W919" s="135">
        <v>4.1885245229385297E-2</v>
      </c>
      <c r="X919" s="135">
        <v>4.9398085336397002E-2</v>
      </c>
      <c r="Y919" s="135">
        <v>5.9300691622132903E-2</v>
      </c>
      <c r="Z919" s="135">
        <v>6.7911678231480893E-2</v>
      </c>
      <c r="AA919" s="135">
        <v>6.8780489327373504E-2</v>
      </c>
      <c r="AB919" s="135">
        <v>6.0246958971809199E-2</v>
      </c>
      <c r="AC919" s="135">
        <v>4.5248707402128802E-2</v>
      </c>
      <c r="AD919" s="135">
        <v>3.3184775447448099E-2</v>
      </c>
      <c r="AF919" s="243">
        <f t="shared" si="16"/>
        <v>0.3061314287969974</v>
      </c>
      <c r="AG919" s="275">
        <f t="shared" si="17"/>
        <v>0.49906298383978309</v>
      </c>
      <c r="AH919" s="391">
        <f t="shared" si="18"/>
        <v>0.51569762015730225</v>
      </c>
      <c r="AI919" s="135">
        <f t="shared" si="19"/>
        <v>1.0147606039970853</v>
      </c>
    </row>
    <row r="920" spans="1:35" ht="12.6">
      <c r="A920" s="10" t="s">
        <v>63</v>
      </c>
      <c r="B920" s="10">
        <v>189</v>
      </c>
      <c r="C920" s="10" t="s">
        <v>1514</v>
      </c>
      <c r="D920" s="388">
        <v>45115</v>
      </c>
      <c r="E920" s="389">
        <v>45115</v>
      </c>
      <c r="F920" s="390" t="str">
        <f t="shared" si="15"/>
        <v>Other</v>
      </c>
      <c r="G920" s="135">
        <v>3.1594034421343203E-2</v>
      </c>
      <c r="H920" s="135">
        <v>2.7553598463258701E-2</v>
      </c>
      <c r="I920" s="135">
        <v>2.6362704733174199E-2</v>
      </c>
      <c r="J920" s="135">
        <v>2.5645630892124599E-2</v>
      </c>
      <c r="K920" s="135">
        <v>2.59587228117635E-2</v>
      </c>
      <c r="L920" s="135">
        <v>2.73241143004576E-2</v>
      </c>
      <c r="M920" s="135">
        <v>3.23399748772027E-2</v>
      </c>
      <c r="N920" s="135">
        <v>4.0693458091161899E-2</v>
      </c>
      <c r="O920" s="135">
        <v>4.08091648323975E-2</v>
      </c>
      <c r="P920" s="135">
        <v>4.3230267850703497E-2</v>
      </c>
      <c r="Q920" s="135">
        <v>4.8875593210887101E-2</v>
      </c>
      <c r="R920" s="135">
        <v>5.1570984614236599E-2</v>
      </c>
      <c r="S920" s="135">
        <v>5.0273372806174499E-2</v>
      </c>
      <c r="T920" s="135">
        <v>5.1223902065420802E-2</v>
      </c>
      <c r="U920" s="135">
        <v>5.1460290626661999E-2</v>
      </c>
      <c r="V920" s="135">
        <v>5.2355412480044501E-2</v>
      </c>
      <c r="W920" s="135">
        <v>5.2386615081516097E-2</v>
      </c>
      <c r="X920" s="135">
        <v>5.6565789515246601E-2</v>
      </c>
      <c r="Y920" s="135">
        <v>6.2807268783048306E-2</v>
      </c>
      <c r="Z920" s="135">
        <v>6.7990705071235696E-2</v>
      </c>
      <c r="AA920" s="135">
        <v>6.7092398362343805E-2</v>
      </c>
      <c r="AB920" s="135">
        <v>5.8280263138641902E-2</v>
      </c>
      <c r="AC920" s="135">
        <v>4.5102682710545697E-2</v>
      </c>
      <c r="AD920" s="135">
        <v>3.5824086247574299E-2</v>
      </c>
      <c r="AF920" s="243">
        <f t="shared" si="16"/>
        <v>0.35814617088494161</v>
      </c>
      <c r="AG920" s="275">
        <f t="shared" si="17"/>
        <v>0.53540514251726234</v>
      </c>
      <c r="AH920" s="391">
        <f t="shared" si="18"/>
        <v>0.53791589346990287</v>
      </c>
      <c r="AI920" s="135">
        <f t="shared" si="19"/>
        <v>1.0733210359871652</v>
      </c>
    </row>
    <row r="921" spans="1:35" ht="12.6">
      <c r="A921" s="10" t="s">
        <v>63</v>
      </c>
      <c r="B921" s="10">
        <v>190</v>
      </c>
      <c r="C921" s="10" t="s">
        <v>1514</v>
      </c>
      <c r="D921" s="388">
        <v>45116</v>
      </c>
      <c r="E921" s="389">
        <v>45116</v>
      </c>
      <c r="F921" s="390" t="str">
        <f t="shared" si="15"/>
        <v>Other</v>
      </c>
      <c r="G921" s="135">
        <v>3.1594034421343203E-2</v>
      </c>
      <c r="H921" s="135">
        <v>2.7553598463258701E-2</v>
      </c>
      <c r="I921" s="135">
        <v>2.6362704733174199E-2</v>
      </c>
      <c r="J921" s="135">
        <v>2.5645630892124599E-2</v>
      </c>
      <c r="K921" s="135">
        <v>2.59587228117635E-2</v>
      </c>
      <c r="L921" s="135">
        <v>2.73241143004576E-2</v>
      </c>
      <c r="M921" s="135">
        <v>3.23399748772027E-2</v>
      </c>
      <c r="N921" s="135">
        <v>4.0693458091161899E-2</v>
      </c>
      <c r="O921" s="135">
        <v>4.08091648323975E-2</v>
      </c>
      <c r="P921" s="135">
        <v>4.3230267850703497E-2</v>
      </c>
      <c r="Q921" s="135">
        <v>4.8875593210887101E-2</v>
      </c>
      <c r="R921" s="135">
        <v>5.1570984614236599E-2</v>
      </c>
      <c r="S921" s="135">
        <v>5.0273372806174499E-2</v>
      </c>
      <c r="T921" s="135">
        <v>5.1223902065420802E-2</v>
      </c>
      <c r="U921" s="135">
        <v>5.1460290626661999E-2</v>
      </c>
      <c r="V921" s="135">
        <v>5.2355412480044501E-2</v>
      </c>
      <c r="W921" s="135">
        <v>5.2386615081516097E-2</v>
      </c>
      <c r="X921" s="135">
        <v>5.6565789515246601E-2</v>
      </c>
      <c r="Y921" s="135">
        <v>6.2807268783048306E-2</v>
      </c>
      <c r="Z921" s="135">
        <v>6.7990705071235696E-2</v>
      </c>
      <c r="AA921" s="135">
        <v>6.7092398362343805E-2</v>
      </c>
      <c r="AB921" s="135">
        <v>5.8280263138641902E-2</v>
      </c>
      <c r="AC921" s="135">
        <v>4.5102682710545697E-2</v>
      </c>
      <c r="AD921" s="135">
        <v>3.5824086247574299E-2</v>
      </c>
      <c r="AF921" s="243">
        <f t="shared" si="16"/>
        <v>0.35814617088494161</v>
      </c>
      <c r="AG921" s="275">
        <f t="shared" si="17"/>
        <v>0.53540514251726234</v>
      </c>
      <c r="AH921" s="391">
        <f t="shared" si="18"/>
        <v>0.53791589346990287</v>
      </c>
      <c r="AI921" s="135">
        <f t="shared" si="19"/>
        <v>1.0733210359871652</v>
      </c>
    </row>
    <row r="922" spans="1:35" ht="12.6">
      <c r="A922" s="10" t="s">
        <v>63</v>
      </c>
      <c r="B922" s="10">
        <v>191</v>
      </c>
      <c r="C922" s="10" t="s">
        <v>1514</v>
      </c>
      <c r="D922" s="388">
        <v>45117</v>
      </c>
      <c r="E922" s="389">
        <v>45117</v>
      </c>
      <c r="F922" s="390" t="str">
        <f t="shared" si="15"/>
        <v>Other</v>
      </c>
      <c r="G922" s="135">
        <v>2.8599683375536099E-2</v>
      </c>
      <c r="H922" s="135">
        <v>2.71474969669585E-2</v>
      </c>
      <c r="I922" s="135">
        <v>2.66530382811993E-2</v>
      </c>
      <c r="J922" s="135">
        <v>2.6203737095501198E-2</v>
      </c>
      <c r="K922" s="135">
        <v>2.6289971208701801E-2</v>
      </c>
      <c r="L922" s="135">
        <v>2.8310313333443301E-2</v>
      </c>
      <c r="M922" s="135">
        <v>3.7576662949869999E-2</v>
      </c>
      <c r="N922" s="135">
        <v>4.2380808722995898E-2</v>
      </c>
      <c r="O922" s="135">
        <v>4.1619508677004202E-2</v>
      </c>
      <c r="P922" s="135">
        <v>3.97765682501071E-2</v>
      </c>
      <c r="Q922" s="135">
        <v>4.24846244954033E-2</v>
      </c>
      <c r="R922" s="135">
        <v>4.3798206522598297E-2</v>
      </c>
      <c r="S922" s="135">
        <v>4.5829015386225101E-2</v>
      </c>
      <c r="T922" s="135">
        <v>4.5713375310567003E-2</v>
      </c>
      <c r="U922" s="135">
        <v>4.4219737029885797E-2</v>
      </c>
      <c r="V922" s="135">
        <v>4.22012248229326E-2</v>
      </c>
      <c r="W922" s="135">
        <v>4.1885245229385297E-2</v>
      </c>
      <c r="X922" s="135">
        <v>4.9398085336397002E-2</v>
      </c>
      <c r="Y922" s="135">
        <v>5.9300691622132903E-2</v>
      </c>
      <c r="Z922" s="135">
        <v>6.7911678231480893E-2</v>
      </c>
      <c r="AA922" s="135">
        <v>6.8780489327373504E-2</v>
      </c>
      <c r="AB922" s="135">
        <v>6.0246958971809199E-2</v>
      </c>
      <c r="AC922" s="135">
        <v>4.5248707402128802E-2</v>
      </c>
      <c r="AD922" s="135">
        <v>3.3184775447448099E-2</v>
      </c>
      <c r="AF922" s="243">
        <f t="shared" si="16"/>
        <v>0.3061314287969974</v>
      </c>
      <c r="AG922" s="275">
        <f t="shared" si="17"/>
        <v>0.49906298383978309</v>
      </c>
      <c r="AH922" s="391">
        <f t="shared" si="18"/>
        <v>0.51569762015730225</v>
      </c>
      <c r="AI922" s="135">
        <f t="shared" si="19"/>
        <v>1.0147606039970853</v>
      </c>
    </row>
    <row r="923" spans="1:35" ht="12.6">
      <c r="A923" s="10" t="s">
        <v>63</v>
      </c>
      <c r="B923" s="10">
        <v>192</v>
      </c>
      <c r="C923" s="10" t="s">
        <v>1514</v>
      </c>
      <c r="D923" s="388">
        <v>45118</v>
      </c>
      <c r="E923" s="389">
        <v>45118</v>
      </c>
      <c r="F923" s="390" t="str">
        <f t="shared" si="15"/>
        <v>Other</v>
      </c>
      <c r="G923" s="135">
        <v>2.8599683375536099E-2</v>
      </c>
      <c r="H923" s="135">
        <v>2.71474969669585E-2</v>
      </c>
      <c r="I923" s="135">
        <v>2.66530382811993E-2</v>
      </c>
      <c r="J923" s="135">
        <v>2.6203737095501198E-2</v>
      </c>
      <c r="K923" s="135">
        <v>2.6289971208701801E-2</v>
      </c>
      <c r="L923" s="135">
        <v>2.8310313333443301E-2</v>
      </c>
      <c r="M923" s="135">
        <v>3.7576662949869999E-2</v>
      </c>
      <c r="N923" s="135">
        <v>4.2380808722995898E-2</v>
      </c>
      <c r="O923" s="135">
        <v>4.1619508677004202E-2</v>
      </c>
      <c r="P923" s="135">
        <v>3.97765682501071E-2</v>
      </c>
      <c r="Q923" s="135">
        <v>4.24846244954033E-2</v>
      </c>
      <c r="R923" s="135">
        <v>4.3798206522598297E-2</v>
      </c>
      <c r="S923" s="135">
        <v>4.5829015386225101E-2</v>
      </c>
      <c r="T923" s="135">
        <v>4.5713375310567003E-2</v>
      </c>
      <c r="U923" s="135">
        <v>4.4219737029885797E-2</v>
      </c>
      <c r="V923" s="135">
        <v>4.22012248229326E-2</v>
      </c>
      <c r="W923" s="135">
        <v>4.1885245229385297E-2</v>
      </c>
      <c r="X923" s="135">
        <v>4.9398085336397002E-2</v>
      </c>
      <c r="Y923" s="135">
        <v>5.9300691622132903E-2</v>
      </c>
      <c r="Z923" s="135">
        <v>6.7911678231480893E-2</v>
      </c>
      <c r="AA923" s="135">
        <v>6.8780489327373504E-2</v>
      </c>
      <c r="AB923" s="135">
        <v>6.0246958971809199E-2</v>
      </c>
      <c r="AC923" s="135">
        <v>4.5248707402128802E-2</v>
      </c>
      <c r="AD923" s="135">
        <v>3.3184775447448099E-2</v>
      </c>
      <c r="AF923" s="243">
        <f t="shared" si="16"/>
        <v>0.3061314287969974</v>
      </c>
      <c r="AG923" s="275">
        <f t="shared" si="17"/>
        <v>0.49906298383978309</v>
      </c>
      <c r="AH923" s="391">
        <f t="shared" si="18"/>
        <v>0.51569762015730225</v>
      </c>
      <c r="AI923" s="135">
        <f t="shared" si="19"/>
        <v>1.0147606039970853</v>
      </c>
    </row>
    <row r="924" spans="1:35" ht="12.6">
      <c r="A924" s="10" t="s">
        <v>63</v>
      </c>
      <c r="B924" s="10">
        <v>193</v>
      </c>
      <c r="C924" s="10" t="s">
        <v>1514</v>
      </c>
      <c r="D924" s="388">
        <v>45119</v>
      </c>
      <c r="E924" s="389">
        <v>45119</v>
      </c>
      <c r="F924" s="390" t="str">
        <f t="shared" si="15"/>
        <v>Other</v>
      </c>
      <c r="G924" s="135">
        <v>2.8599683375536099E-2</v>
      </c>
      <c r="H924" s="135">
        <v>2.71474969669585E-2</v>
      </c>
      <c r="I924" s="135">
        <v>2.66530382811993E-2</v>
      </c>
      <c r="J924" s="135">
        <v>2.6203737095501198E-2</v>
      </c>
      <c r="K924" s="135">
        <v>2.6289971208701801E-2</v>
      </c>
      <c r="L924" s="135">
        <v>2.8310313333443301E-2</v>
      </c>
      <c r="M924" s="135">
        <v>3.7576662949869999E-2</v>
      </c>
      <c r="N924" s="135">
        <v>4.2380808722995898E-2</v>
      </c>
      <c r="O924" s="135">
        <v>4.1619508677004202E-2</v>
      </c>
      <c r="P924" s="135">
        <v>3.97765682501071E-2</v>
      </c>
      <c r="Q924" s="135">
        <v>4.24846244954033E-2</v>
      </c>
      <c r="R924" s="135">
        <v>4.3798206522598297E-2</v>
      </c>
      <c r="S924" s="135">
        <v>4.5829015386225101E-2</v>
      </c>
      <c r="T924" s="135">
        <v>4.5713375310567003E-2</v>
      </c>
      <c r="U924" s="135">
        <v>4.4219737029885797E-2</v>
      </c>
      <c r="V924" s="135">
        <v>4.22012248229326E-2</v>
      </c>
      <c r="W924" s="135">
        <v>4.1885245229385297E-2</v>
      </c>
      <c r="X924" s="135">
        <v>4.9398085336397002E-2</v>
      </c>
      <c r="Y924" s="135">
        <v>5.9300691622132903E-2</v>
      </c>
      <c r="Z924" s="135">
        <v>6.7911678231480893E-2</v>
      </c>
      <c r="AA924" s="135">
        <v>6.8780489327373504E-2</v>
      </c>
      <c r="AB924" s="135">
        <v>6.0246958971809199E-2</v>
      </c>
      <c r="AC924" s="135">
        <v>4.5248707402128802E-2</v>
      </c>
      <c r="AD924" s="135">
        <v>3.3184775447448099E-2</v>
      </c>
      <c r="AF924" s="243">
        <f t="shared" si="16"/>
        <v>0.3061314287969974</v>
      </c>
      <c r="AG924" s="275">
        <f t="shared" si="17"/>
        <v>0.49906298383978309</v>
      </c>
      <c r="AH924" s="391">
        <f t="shared" si="18"/>
        <v>0.51569762015730225</v>
      </c>
      <c r="AI924" s="135">
        <f t="shared" si="19"/>
        <v>1.0147606039970853</v>
      </c>
    </row>
    <row r="925" spans="1:35" ht="12.6">
      <c r="A925" s="10" t="s">
        <v>63</v>
      </c>
      <c r="B925" s="10">
        <v>194</v>
      </c>
      <c r="C925" s="10" t="s">
        <v>1514</v>
      </c>
      <c r="D925" s="388">
        <v>45120</v>
      </c>
      <c r="E925" s="389">
        <v>45120</v>
      </c>
      <c r="F925" s="390" t="str">
        <f t="shared" si="15"/>
        <v>Other</v>
      </c>
      <c r="G925" s="135">
        <v>2.8599683375536099E-2</v>
      </c>
      <c r="H925" s="135">
        <v>2.71474969669585E-2</v>
      </c>
      <c r="I925" s="135">
        <v>2.66530382811993E-2</v>
      </c>
      <c r="J925" s="135">
        <v>2.6203737095501198E-2</v>
      </c>
      <c r="K925" s="135">
        <v>2.6289971208701801E-2</v>
      </c>
      <c r="L925" s="135">
        <v>2.8310313333443301E-2</v>
      </c>
      <c r="M925" s="135">
        <v>3.7576662949869999E-2</v>
      </c>
      <c r="N925" s="135">
        <v>4.2380808722995898E-2</v>
      </c>
      <c r="O925" s="135">
        <v>4.1619508677004202E-2</v>
      </c>
      <c r="P925" s="135">
        <v>3.97765682501071E-2</v>
      </c>
      <c r="Q925" s="135">
        <v>4.24846244954033E-2</v>
      </c>
      <c r="R925" s="135">
        <v>4.3798206522598297E-2</v>
      </c>
      <c r="S925" s="135">
        <v>4.5829015386225101E-2</v>
      </c>
      <c r="T925" s="135">
        <v>4.5713375310567003E-2</v>
      </c>
      <c r="U925" s="135">
        <v>4.4219737029885797E-2</v>
      </c>
      <c r="V925" s="135">
        <v>4.22012248229326E-2</v>
      </c>
      <c r="W925" s="135">
        <v>4.1885245229385297E-2</v>
      </c>
      <c r="X925" s="135">
        <v>4.9398085336397002E-2</v>
      </c>
      <c r="Y925" s="135">
        <v>5.9300691622132903E-2</v>
      </c>
      <c r="Z925" s="135">
        <v>6.7911678231480893E-2</v>
      </c>
      <c r="AA925" s="135">
        <v>6.8780489327373504E-2</v>
      </c>
      <c r="AB925" s="135">
        <v>6.0246958971809199E-2</v>
      </c>
      <c r="AC925" s="135">
        <v>4.5248707402128802E-2</v>
      </c>
      <c r="AD925" s="135">
        <v>3.3184775447448099E-2</v>
      </c>
      <c r="AF925" s="243">
        <f t="shared" si="16"/>
        <v>0.3061314287969974</v>
      </c>
      <c r="AG925" s="275">
        <f t="shared" si="17"/>
        <v>0.49906298383978309</v>
      </c>
      <c r="AH925" s="391">
        <f t="shared" si="18"/>
        <v>0.51569762015730225</v>
      </c>
      <c r="AI925" s="135">
        <f t="shared" si="19"/>
        <v>1.0147606039970853</v>
      </c>
    </row>
    <row r="926" spans="1:35" ht="12.6">
      <c r="A926" s="10" t="s">
        <v>63</v>
      </c>
      <c r="B926" s="10">
        <v>195</v>
      </c>
      <c r="C926" s="10" t="s">
        <v>1514</v>
      </c>
      <c r="D926" s="388">
        <v>45121</v>
      </c>
      <c r="E926" s="389">
        <v>45121</v>
      </c>
      <c r="F926" s="390" t="str">
        <f t="shared" si="15"/>
        <v>Other</v>
      </c>
      <c r="G926" s="135">
        <v>2.8599683375536099E-2</v>
      </c>
      <c r="H926" s="135">
        <v>2.71474969669585E-2</v>
      </c>
      <c r="I926" s="135">
        <v>2.66530382811993E-2</v>
      </c>
      <c r="J926" s="135">
        <v>2.6203737095501198E-2</v>
      </c>
      <c r="K926" s="135">
        <v>2.6289971208701801E-2</v>
      </c>
      <c r="L926" s="135">
        <v>2.8310313333443301E-2</v>
      </c>
      <c r="M926" s="135">
        <v>3.7576662949869999E-2</v>
      </c>
      <c r="N926" s="135">
        <v>4.2380808722995898E-2</v>
      </c>
      <c r="O926" s="135">
        <v>4.1619508677004202E-2</v>
      </c>
      <c r="P926" s="135">
        <v>3.97765682501071E-2</v>
      </c>
      <c r="Q926" s="135">
        <v>4.24846244954033E-2</v>
      </c>
      <c r="R926" s="135">
        <v>4.3798206522598297E-2</v>
      </c>
      <c r="S926" s="135">
        <v>4.5829015386225101E-2</v>
      </c>
      <c r="T926" s="135">
        <v>4.5713375310567003E-2</v>
      </c>
      <c r="U926" s="135">
        <v>4.4219737029885797E-2</v>
      </c>
      <c r="V926" s="135">
        <v>4.22012248229326E-2</v>
      </c>
      <c r="W926" s="135">
        <v>4.1885245229385297E-2</v>
      </c>
      <c r="X926" s="135">
        <v>4.9398085336397002E-2</v>
      </c>
      <c r="Y926" s="135">
        <v>5.9300691622132903E-2</v>
      </c>
      <c r="Z926" s="135">
        <v>6.7911678231480893E-2</v>
      </c>
      <c r="AA926" s="135">
        <v>6.8780489327373504E-2</v>
      </c>
      <c r="AB926" s="135">
        <v>6.0246958971809199E-2</v>
      </c>
      <c r="AC926" s="135">
        <v>4.5248707402128802E-2</v>
      </c>
      <c r="AD926" s="135">
        <v>3.3184775447448099E-2</v>
      </c>
      <c r="AF926" s="243">
        <f t="shared" si="16"/>
        <v>0.3061314287969974</v>
      </c>
      <c r="AG926" s="275">
        <f t="shared" si="17"/>
        <v>0.49906298383978309</v>
      </c>
      <c r="AH926" s="391">
        <f t="shared" si="18"/>
        <v>0.51569762015730225</v>
      </c>
      <c r="AI926" s="135">
        <f t="shared" si="19"/>
        <v>1.0147606039970853</v>
      </c>
    </row>
    <row r="927" spans="1:35" ht="12.6">
      <c r="A927" s="10" t="s">
        <v>63</v>
      </c>
      <c r="B927" s="10">
        <v>196</v>
      </c>
      <c r="C927" s="10" t="s">
        <v>1514</v>
      </c>
      <c r="D927" s="388">
        <v>45122</v>
      </c>
      <c r="E927" s="389">
        <v>45122</v>
      </c>
      <c r="F927" s="390" t="str">
        <f t="shared" si="15"/>
        <v>Other</v>
      </c>
      <c r="G927" s="135">
        <v>3.1594034421343203E-2</v>
      </c>
      <c r="H927" s="135">
        <v>2.7553598463258701E-2</v>
      </c>
      <c r="I927" s="135">
        <v>2.6362704733174199E-2</v>
      </c>
      <c r="J927" s="135">
        <v>2.5645630892124599E-2</v>
      </c>
      <c r="K927" s="135">
        <v>2.59587228117635E-2</v>
      </c>
      <c r="L927" s="135">
        <v>2.73241143004576E-2</v>
      </c>
      <c r="M927" s="135">
        <v>3.23399748772027E-2</v>
      </c>
      <c r="N927" s="135">
        <v>4.0693458091161899E-2</v>
      </c>
      <c r="O927" s="135">
        <v>4.08091648323975E-2</v>
      </c>
      <c r="P927" s="135">
        <v>4.3230267850703497E-2</v>
      </c>
      <c r="Q927" s="135">
        <v>4.8875593210887101E-2</v>
      </c>
      <c r="R927" s="135">
        <v>5.1570984614236599E-2</v>
      </c>
      <c r="S927" s="135">
        <v>5.0273372806174499E-2</v>
      </c>
      <c r="T927" s="135">
        <v>5.1223902065420802E-2</v>
      </c>
      <c r="U927" s="135">
        <v>5.1460290626661999E-2</v>
      </c>
      <c r="V927" s="135">
        <v>5.2355412480044501E-2</v>
      </c>
      <c r="W927" s="135">
        <v>5.2386615081516097E-2</v>
      </c>
      <c r="X927" s="135">
        <v>5.6565789515246601E-2</v>
      </c>
      <c r="Y927" s="135">
        <v>6.2807268783048306E-2</v>
      </c>
      <c r="Z927" s="135">
        <v>6.7990705071235696E-2</v>
      </c>
      <c r="AA927" s="135">
        <v>6.7092398362343805E-2</v>
      </c>
      <c r="AB927" s="135">
        <v>5.8280263138641902E-2</v>
      </c>
      <c r="AC927" s="135">
        <v>4.5102682710545697E-2</v>
      </c>
      <c r="AD927" s="135">
        <v>3.5824086247574299E-2</v>
      </c>
      <c r="AF927" s="243">
        <f t="shared" si="16"/>
        <v>0.35814617088494161</v>
      </c>
      <c r="AG927" s="275">
        <f t="shared" si="17"/>
        <v>0.53540514251726234</v>
      </c>
      <c r="AH927" s="391">
        <f t="shared" si="18"/>
        <v>0.53791589346990287</v>
      </c>
      <c r="AI927" s="135">
        <f t="shared" si="19"/>
        <v>1.0733210359871652</v>
      </c>
    </row>
    <row r="928" spans="1:35" ht="12.6">
      <c r="A928" s="10" t="s">
        <v>63</v>
      </c>
      <c r="B928" s="10">
        <v>197</v>
      </c>
      <c r="C928" s="10" t="s">
        <v>1514</v>
      </c>
      <c r="D928" s="388">
        <v>45123</v>
      </c>
      <c r="E928" s="389">
        <v>45123</v>
      </c>
      <c r="F928" s="390" t="str">
        <f t="shared" si="15"/>
        <v>Other</v>
      </c>
      <c r="G928" s="135">
        <v>3.1594034421343203E-2</v>
      </c>
      <c r="H928" s="135">
        <v>2.7553598463258701E-2</v>
      </c>
      <c r="I928" s="135">
        <v>2.6362704733174199E-2</v>
      </c>
      <c r="J928" s="135">
        <v>2.5645630892124599E-2</v>
      </c>
      <c r="K928" s="135">
        <v>2.59587228117635E-2</v>
      </c>
      <c r="L928" s="135">
        <v>2.73241143004576E-2</v>
      </c>
      <c r="M928" s="135">
        <v>3.23399748772027E-2</v>
      </c>
      <c r="N928" s="135">
        <v>4.0693458091161899E-2</v>
      </c>
      <c r="O928" s="135">
        <v>4.08091648323975E-2</v>
      </c>
      <c r="P928" s="135">
        <v>4.3230267850703497E-2</v>
      </c>
      <c r="Q928" s="135">
        <v>4.8875593210887101E-2</v>
      </c>
      <c r="R928" s="135">
        <v>5.1570984614236599E-2</v>
      </c>
      <c r="S928" s="135">
        <v>5.0273372806174499E-2</v>
      </c>
      <c r="T928" s="135">
        <v>5.1223902065420802E-2</v>
      </c>
      <c r="U928" s="135">
        <v>5.1460290626661999E-2</v>
      </c>
      <c r="V928" s="135">
        <v>5.2355412480044501E-2</v>
      </c>
      <c r="W928" s="135">
        <v>5.2386615081516097E-2</v>
      </c>
      <c r="X928" s="135">
        <v>5.6565789515246601E-2</v>
      </c>
      <c r="Y928" s="135">
        <v>6.2807268783048306E-2</v>
      </c>
      <c r="Z928" s="135">
        <v>6.7990705071235696E-2</v>
      </c>
      <c r="AA928" s="135">
        <v>6.7092398362343805E-2</v>
      </c>
      <c r="AB928" s="135">
        <v>5.8280263138641902E-2</v>
      </c>
      <c r="AC928" s="135">
        <v>4.5102682710545697E-2</v>
      </c>
      <c r="AD928" s="135">
        <v>3.5824086247574299E-2</v>
      </c>
      <c r="AF928" s="243">
        <f t="shared" si="16"/>
        <v>0.35814617088494161</v>
      </c>
      <c r="AG928" s="275">
        <f t="shared" si="17"/>
        <v>0.53540514251726234</v>
      </c>
      <c r="AH928" s="391">
        <f t="shared" si="18"/>
        <v>0.53791589346990287</v>
      </c>
      <c r="AI928" s="135">
        <f t="shared" si="19"/>
        <v>1.0733210359871652</v>
      </c>
    </row>
    <row r="929" spans="1:35" ht="12.6">
      <c r="A929" s="10" t="s">
        <v>63</v>
      </c>
      <c r="B929" s="10">
        <v>198</v>
      </c>
      <c r="C929" s="10" t="s">
        <v>1514</v>
      </c>
      <c r="D929" s="388">
        <v>45124</v>
      </c>
      <c r="E929" s="389">
        <v>45124</v>
      </c>
      <c r="F929" s="390" t="str">
        <f t="shared" si="15"/>
        <v>Other</v>
      </c>
      <c r="G929" s="135">
        <v>2.8599683375536099E-2</v>
      </c>
      <c r="H929" s="135">
        <v>2.71474969669585E-2</v>
      </c>
      <c r="I929" s="135">
        <v>2.66530382811993E-2</v>
      </c>
      <c r="J929" s="135">
        <v>2.6203737095501198E-2</v>
      </c>
      <c r="K929" s="135">
        <v>2.6289971208701801E-2</v>
      </c>
      <c r="L929" s="135">
        <v>2.8310313333443301E-2</v>
      </c>
      <c r="M929" s="135">
        <v>3.7576662949869999E-2</v>
      </c>
      <c r="N929" s="135">
        <v>4.2380808722995898E-2</v>
      </c>
      <c r="O929" s="135">
        <v>4.1619508677004202E-2</v>
      </c>
      <c r="P929" s="135">
        <v>3.97765682501071E-2</v>
      </c>
      <c r="Q929" s="135">
        <v>4.24846244954033E-2</v>
      </c>
      <c r="R929" s="135">
        <v>4.3798206522598297E-2</v>
      </c>
      <c r="S929" s="135">
        <v>4.5829015386225101E-2</v>
      </c>
      <c r="T929" s="135">
        <v>4.5713375310567003E-2</v>
      </c>
      <c r="U929" s="135">
        <v>4.4219737029885797E-2</v>
      </c>
      <c r="V929" s="135">
        <v>4.22012248229326E-2</v>
      </c>
      <c r="W929" s="135">
        <v>4.1885245229385297E-2</v>
      </c>
      <c r="X929" s="135">
        <v>4.9398085336397002E-2</v>
      </c>
      <c r="Y929" s="135">
        <v>5.9300691622132903E-2</v>
      </c>
      <c r="Z929" s="135">
        <v>6.7911678231480893E-2</v>
      </c>
      <c r="AA929" s="135">
        <v>6.8780489327373504E-2</v>
      </c>
      <c r="AB929" s="135">
        <v>6.0246958971809199E-2</v>
      </c>
      <c r="AC929" s="135">
        <v>4.5248707402128802E-2</v>
      </c>
      <c r="AD929" s="135">
        <v>3.3184775447448099E-2</v>
      </c>
      <c r="AF929" s="243">
        <f t="shared" si="16"/>
        <v>0.3061314287969974</v>
      </c>
      <c r="AG929" s="275">
        <f t="shared" si="17"/>
        <v>0.49906298383978309</v>
      </c>
      <c r="AH929" s="391">
        <f t="shared" si="18"/>
        <v>0.51569762015730225</v>
      </c>
      <c r="AI929" s="135">
        <f t="shared" si="19"/>
        <v>1.0147606039970853</v>
      </c>
    </row>
    <row r="930" spans="1:35" ht="12.6">
      <c r="A930" s="10" t="s">
        <v>63</v>
      </c>
      <c r="B930" s="10">
        <v>199</v>
      </c>
      <c r="C930" s="10" t="s">
        <v>1514</v>
      </c>
      <c r="D930" s="388">
        <v>45125</v>
      </c>
      <c r="E930" s="389">
        <v>45125</v>
      </c>
      <c r="F930" s="390" t="str">
        <f t="shared" si="15"/>
        <v>Other</v>
      </c>
      <c r="G930" s="135">
        <v>2.8599683375536099E-2</v>
      </c>
      <c r="H930" s="135">
        <v>2.71474969669585E-2</v>
      </c>
      <c r="I930" s="135">
        <v>2.66530382811993E-2</v>
      </c>
      <c r="J930" s="135">
        <v>2.6203737095501198E-2</v>
      </c>
      <c r="K930" s="135">
        <v>2.6289971208701801E-2</v>
      </c>
      <c r="L930" s="135">
        <v>2.8310313333443301E-2</v>
      </c>
      <c r="M930" s="135">
        <v>3.7576662949869999E-2</v>
      </c>
      <c r="N930" s="135">
        <v>4.2380808722995898E-2</v>
      </c>
      <c r="O930" s="135">
        <v>4.1619508677004202E-2</v>
      </c>
      <c r="P930" s="135">
        <v>3.97765682501071E-2</v>
      </c>
      <c r="Q930" s="135">
        <v>4.24846244954033E-2</v>
      </c>
      <c r="R930" s="135">
        <v>4.3798206522598297E-2</v>
      </c>
      <c r="S930" s="135">
        <v>4.5829015386225101E-2</v>
      </c>
      <c r="T930" s="135">
        <v>4.5713375310567003E-2</v>
      </c>
      <c r="U930" s="135">
        <v>4.4219737029885797E-2</v>
      </c>
      <c r="V930" s="135">
        <v>4.22012248229326E-2</v>
      </c>
      <c r="W930" s="135">
        <v>4.1885245229385297E-2</v>
      </c>
      <c r="X930" s="135">
        <v>4.9398085336397002E-2</v>
      </c>
      <c r="Y930" s="135">
        <v>5.9300691622132903E-2</v>
      </c>
      <c r="Z930" s="135">
        <v>6.7911678231480893E-2</v>
      </c>
      <c r="AA930" s="135">
        <v>6.8780489327373504E-2</v>
      </c>
      <c r="AB930" s="135">
        <v>6.0246958971809199E-2</v>
      </c>
      <c r="AC930" s="135">
        <v>4.5248707402128802E-2</v>
      </c>
      <c r="AD930" s="135">
        <v>3.3184775447448099E-2</v>
      </c>
      <c r="AF930" s="243">
        <f t="shared" si="16"/>
        <v>0.3061314287969974</v>
      </c>
      <c r="AG930" s="275">
        <f t="shared" si="17"/>
        <v>0.49906298383978309</v>
      </c>
      <c r="AH930" s="391">
        <f t="shared" si="18"/>
        <v>0.51569762015730225</v>
      </c>
      <c r="AI930" s="135">
        <f t="shared" si="19"/>
        <v>1.0147606039970853</v>
      </c>
    </row>
    <row r="931" spans="1:35" ht="12.6">
      <c r="A931" s="10" t="s">
        <v>63</v>
      </c>
      <c r="B931" s="10">
        <v>200</v>
      </c>
      <c r="C931" s="10" t="s">
        <v>1514</v>
      </c>
      <c r="D931" s="388">
        <v>45126</v>
      </c>
      <c r="E931" s="389">
        <v>45126</v>
      </c>
      <c r="F931" s="390" t="str">
        <f t="shared" si="15"/>
        <v>Other</v>
      </c>
      <c r="G931" s="135">
        <v>2.8599683375536099E-2</v>
      </c>
      <c r="H931" s="135">
        <v>2.71474969669585E-2</v>
      </c>
      <c r="I931" s="135">
        <v>2.66530382811993E-2</v>
      </c>
      <c r="J931" s="135">
        <v>2.6203737095501198E-2</v>
      </c>
      <c r="K931" s="135">
        <v>2.6289971208701801E-2</v>
      </c>
      <c r="L931" s="135">
        <v>2.8310313333443301E-2</v>
      </c>
      <c r="M931" s="135">
        <v>3.7576662949869999E-2</v>
      </c>
      <c r="N931" s="135">
        <v>4.2380808722995898E-2</v>
      </c>
      <c r="O931" s="135">
        <v>4.1619508677004202E-2</v>
      </c>
      <c r="P931" s="135">
        <v>3.97765682501071E-2</v>
      </c>
      <c r="Q931" s="135">
        <v>4.24846244954033E-2</v>
      </c>
      <c r="R931" s="135">
        <v>4.3798206522598297E-2</v>
      </c>
      <c r="S931" s="135">
        <v>4.5829015386225101E-2</v>
      </c>
      <c r="T931" s="135">
        <v>4.5713375310567003E-2</v>
      </c>
      <c r="U931" s="135">
        <v>4.4219737029885797E-2</v>
      </c>
      <c r="V931" s="135">
        <v>4.22012248229326E-2</v>
      </c>
      <c r="W931" s="135">
        <v>4.1885245229385297E-2</v>
      </c>
      <c r="X931" s="135">
        <v>4.9398085336397002E-2</v>
      </c>
      <c r="Y931" s="135">
        <v>5.9300691622132903E-2</v>
      </c>
      <c r="Z931" s="135">
        <v>6.7911678231480893E-2</v>
      </c>
      <c r="AA931" s="135">
        <v>6.8780489327373504E-2</v>
      </c>
      <c r="AB931" s="135">
        <v>6.0246958971809199E-2</v>
      </c>
      <c r="AC931" s="135">
        <v>4.5248707402128802E-2</v>
      </c>
      <c r="AD931" s="135">
        <v>3.3184775447448099E-2</v>
      </c>
      <c r="AF931" s="243">
        <f t="shared" si="16"/>
        <v>0.3061314287969974</v>
      </c>
      <c r="AG931" s="275">
        <f t="shared" si="17"/>
        <v>0.49906298383978309</v>
      </c>
      <c r="AH931" s="391">
        <f t="shared" si="18"/>
        <v>0.51569762015730225</v>
      </c>
      <c r="AI931" s="135">
        <f t="shared" si="19"/>
        <v>1.0147606039970853</v>
      </c>
    </row>
    <row r="932" spans="1:35" ht="12.6">
      <c r="A932" s="10" t="s">
        <v>63</v>
      </c>
      <c r="B932" s="10">
        <v>201</v>
      </c>
      <c r="C932" s="10" t="s">
        <v>1514</v>
      </c>
      <c r="D932" s="388">
        <v>45127</v>
      </c>
      <c r="E932" s="389">
        <v>45127</v>
      </c>
      <c r="F932" s="390" t="str">
        <f t="shared" si="15"/>
        <v>Other</v>
      </c>
      <c r="G932" s="135">
        <v>2.8599683375536099E-2</v>
      </c>
      <c r="H932" s="135">
        <v>2.71474969669585E-2</v>
      </c>
      <c r="I932" s="135">
        <v>2.66530382811993E-2</v>
      </c>
      <c r="J932" s="135">
        <v>2.6203737095501198E-2</v>
      </c>
      <c r="K932" s="135">
        <v>2.6289971208701801E-2</v>
      </c>
      <c r="L932" s="135">
        <v>2.8310313333443301E-2</v>
      </c>
      <c r="M932" s="135">
        <v>3.7576662949869999E-2</v>
      </c>
      <c r="N932" s="135">
        <v>4.2380808722995898E-2</v>
      </c>
      <c r="O932" s="135">
        <v>4.1619508677004202E-2</v>
      </c>
      <c r="P932" s="135">
        <v>3.97765682501071E-2</v>
      </c>
      <c r="Q932" s="135">
        <v>4.24846244954033E-2</v>
      </c>
      <c r="R932" s="135">
        <v>4.3798206522598297E-2</v>
      </c>
      <c r="S932" s="135">
        <v>4.5829015386225101E-2</v>
      </c>
      <c r="T932" s="135">
        <v>4.5713375310567003E-2</v>
      </c>
      <c r="U932" s="135">
        <v>4.4219737029885797E-2</v>
      </c>
      <c r="V932" s="135">
        <v>4.22012248229326E-2</v>
      </c>
      <c r="W932" s="135">
        <v>4.1885245229385297E-2</v>
      </c>
      <c r="X932" s="135">
        <v>4.9398085336397002E-2</v>
      </c>
      <c r="Y932" s="135">
        <v>5.9300691622132903E-2</v>
      </c>
      <c r="Z932" s="135">
        <v>6.7911678231480893E-2</v>
      </c>
      <c r="AA932" s="135">
        <v>6.8780489327373504E-2</v>
      </c>
      <c r="AB932" s="135">
        <v>6.0246958971809199E-2</v>
      </c>
      <c r="AC932" s="135">
        <v>4.5248707402128802E-2</v>
      </c>
      <c r="AD932" s="135">
        <v>3.3184775447448099E-2</v>
      </c>
      <c r="AF932" s="243">
        <f t="shared" si="16"/>
        <v>0.3061314287969974</v>
      </c>
      <c r="AG932" s="275">
        <f t="shared" si="17"/>
        <v>0.49906298383978309</v>
      </c>
      <c r="AH932" s="391">
        <f t="shared" si="18"/>
        <v>0.51569762015730225</v>
      </c>
      <c r="AI932" s="135">
        <f t="shared" si="19"/>
        <v>1.0147606039970853</v>
      </c>
    </row>
    <row r="933" spans="1:35" ht="12.6">
      <c r="A933" s="10" t="s">
        <v>63</v>
      </c>
      <c r="B933" s="10">
        <v>202</v>
      </c>
      <c r="C933" s="10" t="s">
        <v>1514</v>
      </c>
      <c r="D933" s="388">
        <v>45128</v>
      </c>
      <c r="E933" s="389">
        <v>45128</v>
      </c>
      <c r="F933" s="390" t="str">
        <f t="shared" si="15"/>
        <v>Other</v>
      </c>
      <c r="G933" s="135">
        <v>2.8599683375536099E-2</v>
      </c>
      <c r="H933" s="135">
        <v>2.71474969669585E-2</v>
      </c>
      <c r="I933" s="135">
        <v>2.66530382811993E-2</v>
      </c>
      <c r="J933" s="135">
        <v>2.6203737095501198E-2</v>
      </c>
      <c r="K933" s="135">
        <v>2.6289971208701801E-2</v>
      </c>
      <c r="L933" s="135">
        <v>2.8310313333443301E-2</v>
      </c>
      <c r="M933" s="135">
        <v>3.7576662949869999E-2</v>
      </c>
      <c r="N933" s="135">
        <v>4.2380808722995898E-2</v>
      </c>
      <c r="O933" s="135">
        <v>4.1619508677004202E-2</v>
      </c>
      <c r="P933" s="135">
        <v>3.97765682501071E-2</v>
      </c>
      <c r="Q933" s="135">
        <v>4.24846244954033E-2</v>
      </c>
      <c r="R933" s="135">
        <v>4.3798206522598297E-2</v>
      </c>
      <c r="S933" s="135">
        <v>4.5829015386225101E-2</v>
      </c>
      <c r="T933" s="135">
        <v>4.5713375310567003E-2</v>
      </c>
      <c r="U933" s="135">
        <v>4.4219737029885797E-2</v>
      </c>
      <c r="V933" s="135">
        <v>4.22012248229326E-2</v>
      </c>
      <c r="W933" s="135">
        <v>4.1885245229385297E-2</v>
      </c>
      <c r="X933" s="135">
        <v>4.9398085336397002E-2</v>
      </c>
      <c r="Y933" s="135">
        <v>5.9300691622132903E-2</v>
      </c>
      <c r="Z933" s="135">
        <v>6.7911678231480893E-2</v>
      </c>
      <c r="AA933" s="135">
        <v>6.8780489327373504E-2</v>
      </c>
      <c r="AB933" s="135">
        <v>6.0246958971809199E-2</v>
      </c>
      <c r="AC933" s="135">
        <v>4.5248707402128802E-2</v>
      </c>
      <c r="AD933" s="135">
        <v>3.3184775447448099E-2</v>
      </c>
      <c r="AF933" s="243">
        <f t="shared" si="16"/>
        <v>0.3061314287969974</v>
      </c>
      <c r="AG933" s="275">
        <f t="shared" si="17"/>
        <v>0.49906298383978309</v>
      </c>
      <c r="AH933" s="391">
        <f t="shared" si="18"/>
        <v>0.51569762015730225</v>
      </c>
      <c r="AI933" s="135">
        <f t="shared" si="19"/>
        <v>1.0147606039970853</v>
      </c>
    </row>
    <row r="934" spans="1:35" ht="12.6">
      <c r="A934" s="10" t="s">
        <v>63</v>
      </c>
      <c r="B934" s="10">
        <v>203</v>
      </c>
      <c r="C934" s="10" t="s">
        <v>1514</v>
      </c>
      <c r="D934" s="388">
        <v>45129</v>
      </c>
      <c r="E934" s="389">
        <v>45129</v>
      </c>
      <c r="F934" s="390" t="str">
        <f t="shared" si="15"/>
        <v>Other</v>
      </c>
      <c r="G934" s="135">
        <v>3.1594034421343203E-2</v>
      </c>
      <c r="H934" s="135">
        <v>2.7553598463258701E-2</v>
      </c>
      <c r="I934" s="135">
        <v>2.6362704733174199E-2</v>
      </c>
      <c r="J934" s="135">
        <v>2.5645630892124599E-2</v>
      </c>
      <c r="K934" s="135">
        <v>2.59587228117635E-2</v>
      </c>
      <c r="L934" s="135">
        <v>2.73241143004576E-2</v>
      </c>
      <c r="M934" s="135">
        <v>3.23399748772027E-2</v>
      </c>
      <c r="N934" s="135">
        <v>4.0693458091161899E-2</v>
      </c>
      <c r="O934" s="135">
        <v>4.08091648323975E-2</v>
      </c>
      <c r="P934" s="135">
        <v>4.3230267850703497E-2</v>
      </c>
      <c r="Q934" s="135">
        <v>4.8875593210887101E-2</v>
      </c>
      <c r="R934" s="135">
        <v>5.1570984614236599E-2</v>
      </c>
      <c r="S934" s="135">
        <v>5.0273372806174499E-2</v>
      </c>
      <c r="T934" s="135">
        <v>5.1223902065420802E-2</v>
      </c>
      <c r="U934" s="135">
        <v>5.1460290626661999E-2</v>
      </c>
      <c r="V934" s="135">
        <v>5.2355412480044501E-2</v>
      </c>
      <c r="W934" s="135">
        <v>5.2386615081516097E-2</v>
      </c>
      <c r="X934" s="135">
        <v>5.6565789515246601E-2</v>
      </c>
      <c r="Y934" s="135">
        <v>6.2807268783048306E-2</v>
      </c>
      <c r="Z934" s="135">
        <v>6.7990705071235696E-2</v>
      </c>
      <c r="AA934" s="135">
        <v>6.7092398362343805E-2</v>
      </c>
      <c r="AB934" s="135">
        <v>5.8280263138641902E-2</v>
      </c>
      <c r="AC934" s="135">
        <v>4.5102682710545697E-2</v>
      </c>
      <c r="AD934" s="135">
        <v>3.5824086247574299E-2</v>
      </c>
      <c r="AF934" s="243">
        <f t="shared" si="16"/>
        <v>0.35814617088494161</v>
      </c>
      <c r="AG934" s="275">
        <f t="shared" si="17"/>
        <v>0.53540514251726234</v>
      </c>
      <c r="AH934" s="391">
        <f t="shared" si="18"/>
        <v>0.53791589346990287</v>
      </c>
      <c r="AI934" s="135">
        <f t="shared" si="19"/>
        <v>1.0733210359871652</v>
      </c>
    </row>
    <row r="935" spans="1:35" ht="12.6">
      <c r="A935" s="10" t="s">
        <v>63</v>
      </c>
      <c r="B935" s="10">
        <v>204</v>
      </c>
      <c r="C935" s="10" t="s">
        <v>1514</v>
      </c>
      <c r="D935" s="388">
        <v>45130</v>
      </c>
      <c r="E935" s="389">
        <v>45130</v>
      </c>
      <c r="F935" s="390" t="str">
        <f t="shared" si="15"/>
        <v>Other</v>
      </c>
      <c r="G935" s="135">
        <v>3.1594034421343203E-2</v>
      </c>
      <c r="H935" s="135">
        <v>2.7553598463258701E-2</v>
      </c>
      <c r="I935" s="135">
        <v>2.6362704733174199E-2</v>
      </c>
      <c r="J935" s="135">
        <v>2.5645630892124599E-2</v>
      </c>
      <c r="K935" s="135">
        <v>2.59587228117635E-2</v>
      </c>
      <c r="L935" s="135">
        <v>2.73241143004576E-2</v>
      </c>
      <c r="M935" s="135">
        <v>3.23399748772027E-2</v>
      </c>
      <c r="N935" s="135">
        <v>4.0693458091161899E-2</v>
      </c>
      <c r="O935" s="135">
        <v>4.08091648323975E-2</v>
      </c>
      <c r="P935" s="135">
        <v>4.3230267850703497E-2</v>
      </c>
      <c r="Q935" s="135">
        <v>4.8875593210887101E-2</v>
      </c>
      <c r="R935" s="135">
        <v>5.1570984614236599E-2</v>
      </c>
      <c r="S935" s="135">
        <v>5.0273372806174499E-2</v>
      </c>
      <c r="T935" s="135">
        <v>5.1223902065420802E-2</v>
      </c>
      <c r="U935" s="135">
        <v>5.1460290626661999E-2</v>
      </c>
      <c r="V935" s="135">
        <v>5.2355412480044501E-2</v>
      </c>
      <c r="W935" s="135">
        <v>5.2386615081516097E-2</v>
      </c>
      <c r="X935" s="135">
        <v>5.6565789515246601E-2</v>
      </c>
      <c r="Y935" s="135">
        <v>6.2807268783048306E-2</v>
      </c>
      <c r="Z935" s="135">
        <v>6.7990705071235696E-2</v>
      </c>
      <c r="AA935" s="135">
        <v>6.7092398362343805E-2</v>
      </c>
      <c r="AB935" s="135">
        <v>5.8280263138641902E-2</v>
      </c>
      <c r="AC935" s="135">
        <v>4.5102682710545697E-2</v>
      </c>
      <c r="AD935" s="135">
        <v>3.5824086247574299E-2</v>
      </c>
      <c r="AF935" s="243">
        <f t="shared" si="16"/>
        <v>0.35814617088494161</v>
      </c>
      <c r="AG935" s="275">
        <f t="shared" si="17"/>
        <v>0.53540514251726234</v>
      </c>
      <c r="AH935" s="391">
        <f t="shared" si="18"/>
        <v>0.53791589346990287</v>
      </c>
      <c r="AI935" s="135">
        <f t="shared" si="19"/>
        <v>1.0733210359871652</v>
      </c>
    </row>
    <row r="936" spans="1:35" ht="12.6">
      <c r="A936" s="10" t="s">
        <v>63</v>
      </c>
      <c r="B936" s="10">
        <v>205</v>
      </c>
      <c r="C936" s="10" t="s">
        <v>1514</v>
      </c>
      <c r="D936" s="388">
        <v>45131</v>
      </c>
      <c r="E936" s="389">
        <v>45131</v>
      </c>
      <c r="F936" s="390" t="str">
        <f t="shared" si="15"/>
        <v>Other</v>
      </c>
      <c r="G936" s="135">
        <v>2.8599683375536099E-2</v>
      </c>
      <c r="H936" s="135">
        <v>2.71474969669585E-2</v>
      </c>
      <c r="I936" s="135">
        <v>2.66530382811993E-2</v>
      </c>
      <c r="J936" s="135">
        <v>2.6203737095501198E-2</v>
      </c>
      <c r="K936" s="135">
        <v>2.6289971208701801E-2</v>
      </c>
      <c r="L936" s="135">
        <v>2.8310313333443301E-2</v>
      </c>
      <c r="M936" s="135">
        <v>3.7576662949869999E-2</v>
      </c>
      <c r="N936" s="135">
        <v>4.2380808722995898E-2</v>
      </c>
      <c r="O936" s="135">
        <v>4.1619508677004202E-2</v>
      </c>
      <c r="P936" s="135">
        <v>3.97765682501071E-2</v>
      </c>
      <c r="Q936" s="135">
        <v>4.24846244954033E-2</v>
      </c>
      <c r="R936" s="135">
        <v>4.3798206522598297E-2</v>
      </c>
      <c r="S936" s="135">
        <v>4.5829015386225101E-2</v>
      </c>
      <c r="T936" s="135">
        <v>4.5713375310567003E-2</v>
      </c>
      <c r="U936" s="135">
        <v>4.4219737029885797E-2</v>
      </c>
      <c r="V936" s="135">
        <v>4.22012248229326E-2</v>
      </c>
      <c r="W936" s="135">
        <v>4.1885245229385297E-2</v>
      </c>
      <c r="X936" s="135">
        <v>4.9398085336397002E-2</v>
      </c>
      <c r="Y936" s="135">
        <v>5.9300691622132903E-2</v>
      </c>
      <c r="Z936" s="135">
        <v>6.7911678231480893E-2</v>
      </c>
      <c r="AA936" s="135">
        <v>6.8780489327373504E-2</v>
      </c>
      <c r="AB936" s="135">
        <v>6.0246958971809199E-2</v>
      </c>
      <c r="AC936" s="135">
        <v>4.5248707402128802E-2</v>
      </c>
      <c r="AD936" s="135">
        <v>3.3184775447448099E-2</v>
      </c>
      <c r="AF936" s="243">
        <f t="shared" si="16"/>
        <v>0.3061314287969974</v>
      </c>
      <c r="AG936" s="275">
        <f t="shared" si="17"/>
        <v>0.49906298383978309</v>
      </c>
      <c r="AH936" s="391">
        <f t="shared" si="18"/>
        <v>0.51569762015730225</v>
      </c>
      <c r="AI936" s="135">
        <f t="shared" si="19"/>
        <v>1.0147606039970853</v>
      </c>
    </row>
    <row r="937" spans="1:35" ht="12.6">
      <c r="A937" s="10" t="s">
        <v>63</v>
      </c>
      <c r="B937" s="10">
        <v>206</v>
      </c>
      <c r="C937" s="10" t="s">
        <v>1514</v>
      </c>
      <c r="D937" s="388">
        <v>45132</v>
      </c>
      <c r="E937" s="389">
        <v>45132</v>
      </c>
      <c r="F937" s="390" t="str">
        <f t="shared" si="15"/>
        <v>Other</v>
      </c>
      <c r="G937" s="135">
        <v>2.8599683375536099E-2</v>
      </c>
      <c r="H937" s="135">
        <v>2.71474969669585E-2</v>
      </c>
      <c r="I937" s="135">
        <v>2.66530382811993E-2</v>
      </c>
      <c r="J937" s="135">
        <v>2.6203737095501198E-2</v>
      </c>
      <c r="K937" s="135">
        <v>2.6289971208701801E-2</v>
      </c>
      <c r="L937" s="135">
        <v>2.8310313333443301E-2</v>
      </c>
      <c r="M937" s="135">
        <v>3.7576662949869999E-2</v>
      </c>
      <c r="N937" s="135">
        <v>4.2380808722995898E-2</v>
      </c>
      <c r="O937" s="135">
        <v>4.1619508677004202E-2</v>
      </c>
      <c r="P937" s="135">
        <v>3.97765682501071E-2</v>
      </c>
      <c r="Q937" s="135">
        <v>4.24846244954033E-2</v>
      </c>
      <c r="R937" s="135">
        <v>4.3798206522598297E-2</v>
      </c>
      <c r="S937" s="135">
        <v>4.5829015386225101E-2</v>
      </c>
      <c r="T937" s="135">
        <v>4.5713375310567003E-2</v>
      </c>
      <c r="U937" s="135">
        <v>4.4219737029885797E-2</v>
      </c>
      <c r="V937" s="135">
        <v>4.22012248229326E-2</v>
      </c>
      <c r="W937" s="135">
        <v>4.1885245229385297E-2</v>
      </c>
      <c r="X937" s="135">
        <v>4.9398085336397002E-2</v>
      </c>
      <c r="Y937" s="135">
        <v>5.9300691622132903E-2</v>
      </c>
      <c r="Z937" s="135">
        <v>6.7911678231480893E-2</v>
      </c>
      <c r="AA937" s="135">
        <v>6.8780489327373504E-2</v>
      </c>
      <c r="AB937" s="135">
        <v>6.0246958971809199E-2</v>
      </c>
      <c r="AC937" s="135">
        <v>4.5248707402128802E-2</v>
      </c>
      <c r="AD937" s="135">
        <v>3.3184775447448099E-2</v>
      </c>
      <c r="AF937" s="243">
        <f t="shared" si="16"/>
        <v>0.3061314287969974</v>
      </c>
      <c r="AG937" s="275">
        <f t="shared" si="17"/>
        <v>0.49906298383978309</v>
      </c>
      <c r="AH937" s="391">
        <f t="shared" si="18"/>
        <v>0.51569762015730225</v>
      </c>
      <c r="AI937" s="135">
        <f t="shared" si="19"/>
        <v>1.0147606039970853</v>
      </c>
    </row>
    <row r="938" spans="1:35" ht="12.6">
      <c r="A938" s="10" t="s">
        <v>63</v>
      </c>
      <c r="B938" s="10">
        <v>207</v>
      </c>
      <c r="C938" s="10" t="s">
        <v>1514</v>
      </c>
      <c r="D938" s="388">
        <v>45133</v>
      </c>
      <c r="E938" s="389">
        <v>45133</v>
      </c>
      <c r="F938" s="390" t="str">
        <f t="shared" si="15"/>
        <v>Other</v>
      </c>
      <c r="G938" s="135">
        <v>2.8599683375536099E-2</v>
      </c>
      <c r="H938" s="135">
        <v>2.71474969669585E-2</v>
      </c>
      <c r="I938" s="135">
        <v>2.66530382811993E-2</v>
      </c>
      <c r="J938" s="135">
        <v>2.6203737095501198E-2</v>
      </c>
      <c r="K938" s="135">
        <v>2.6289971208701801E-2</v>
      </c>
      <c r="L938" s="135">
        <v>2.8310313333443301E-2</v>
      </c>
      <c r="M938" s="135">
        <v>3.7576662949869999E-2</v>
      </c>
      <c r="N938" s="135">
        <v>4.2380808722995898E-2</v>
      </c>
      <c r="O938" s="135">
        <v>4.1619508677004202E-2</v>
      </c>
      <c r="P938" s="135">
        <v>3.97765682501071E-2</v>
      </c>
      <c r="Q938" s="135">
        <v>4.24846244954033E-2</v>
      </c>
      <c r="R938" s="135">
        <v>4.3798206522598297E-2</v>
      </c>
      <c r="S938" s="135">
        <v>4.5829015386225101E-2</v>
      </c>
      <c r="T938" s="135">
        <v>4.5713375310567003E-2</v>
      </c>
      <c r="U938" s="135">
        <v>4.4219737029885797E-2</v>
      </c>
      <c r="V938" s="135">
        <v>4.22012248229326E-2</v>
      </c>
      <c r="W938" s="135">
        <v>4.1885245229385297E-2</v>
      </c>
      <c r="X938" s="135">
        <v>4.9398085336397002E-2</v>
      </c>
      <c r="Y938" s="135">
        <v>5.9300691622132903E-2</v>
      </c>
      <c r="Z938" s="135">
        <v>6.7911678231480893E-2</v>
      </c>
      <c r="AA938" s="135">
        <v>6.8780489327373504E-2</v>
      </c>
      <c r="AB938" s="135">
        <v>6.0246958971809199E-2</v>
      </c>
      <c r="AC938" s="135">
        <v>4.5248707402128802E-2</v>
      </c>
      <c r="AD938" s="135">
        <v>3.3184775447448099E-2</v>
      </c>
      <c r="AF938" s="243">
        <f t="shared" si="16"/>
        <v>0.3061314287969974</v>
      </c>
      <c r="AG938" s="275">
        <f t="shared" si="17"/>
        <v>0.49906298383978309</v>
      </c>
      <c r="AH938" s="391">
        <f t="shared" si="18"/>
        <v>0.51569762015730225</v>
      </c>
      <c r="AI938" s="135">
        <f t="shared" si="19"/>
        <v>1.0147606039970853</v>
      </c>
    </row>
    <row r="939" spans="1:35" ht="12.6">
      <c r="A939" s="10" t="s">
        <v>63</v>
      </c>
      <c r="B939" s="10">
        <v>208</v>
      </c>
      <c r="C939" s="10" t="s">
        <v>1514</v>
      </c>
      <c r="D939" s="388">
        <v>45134</v>
      </c>
      <c r="E939" s="389">
        <v>45134</v>
      </c>
      <c r="F939" s="390" t="str">
        <f t="shared" si="15"/>
        <v>Other</v>
      </c>
      <c r="G939" s="135">
        <v>2.8599683375536099E-2</v>
      </c>
      <c r="H939" s="135">
        <v>2.71474969669585E-2</v>
      </c>
      <c r="I939" s="135">
        <v>2.66530382811993E-2</v>
      </c>
      <c r="J939" s="135">
        <v>2.6203737095501198E-2</v>
      </c>
      <c r="K939" s="135">
        <v>2.6289971208701801E-2</v>
      </c>
      <c r="L939" s="135">
        <v>2.8310313333443301E-2</v>
      </c>
      <c r="M939" s="135">
        <v>3.7576662949869999E-2</v>
      </c>
      <c r="N939" s="135">
        <v>4.2380808722995898E-2</v>
      </c>
      <c r="O939" s="135">
        <v>4.1619508677004202E-2</v>
      </c>
      <c r="P939" s="135">
        <v>3.97765682501071E-2</v>
      </c>
      <c r="Q939" s="135">
        <v>4.24846244954033E-2</v>
      </c>
      <c r="R939" s="135">
        <v>4.3798206522598297E-2</v>
      </c>
      <c r="S939" s="135">
        <v>4.5829015386225101E-2</v>
      </c>
      <c r="T939" s="135">
        <v>4.5713375310567003E-2</v>
      </c>
      <c r="U939" s="135">
        <v>4.4219737029885797E-2</v>
      </c>
      <c r="V939" s="135">
        <v>4.22012248229326E-2</v>
      </c>
      <c r="W939" s="135">
        <v>4.1885245229385297E-2</v>
      </c>
      <c r="X939" s="135">
        <v>4.9398085336397002E-2</v>
      </c>
      <c r="Y939" s="135">
        <v>5.9300691622132903E-2</v>
      </c>
      <c r="Z939" s="135">
        <v>6.7911678231480893E-2</v>
      </c>
      <c r="AA939" s="135">
        <v>6.8780489327373504E-2</v>
      </c>
      <c r="AB939" s="135">
        <v>6.0246958971809199E-2</v>
      </c>
      <c r="AC939" s="135">
        <v>4.5248707402128802E-2</v>
      </c>
      <c r="AD939" s="135">
        <v>3.3184775447448099E-2</v>
      </c>
      <c r="AF939" s="243">
        <f t="shared" si="16"/>
        <v>0.3061314287969974</v>
      </c>
      <c r="AG939" s="275">
        <f t="shared" si="17"/>
        <v>0.49906298383978309</v>
      </c>
      <c r="AH939" s="391">
        <f t="shared" si="18"/>
        <v>0.51569762015730225</v>
      </c>
      <c r="AI939" s="135">
        <f t="shared" si="19"/>
        <v>1.0147606039970853</v>
      </c>
    </row>
    <row r="940" spans="1:35" ht="12.6">
      <c r="A940" s="10" t="s">
        <v>63</v>
      </c>
      <c r="B940" s="10">
        <v>209</v>
      </c>
      <c r="C940" s="10" t="s">
        <v>1514</v>
      </c>
      <c r="D940" s="388">
        <v>45135</v>
      </c>
      <c r="E940" s="389">
        <v>45135</v>
      </c>
      <c r="F940" s="390" t="str">
        <f t="shared" si="15"/>
        <v>Other</v>
      </c>
      <c r="G940" s="135">
        <v>2.8599683375536099E-2</v>
      </c>
      <c r="H940" s="135">
        <v>2.71474969669585E-2</v>
      </c>
      <c r="I940" s="135">
        <v>2.66530382811993E-2</v>
      </c>
      <c r="J940" s="135">
        <v>2.6203737095501198E-2</v>
      </c>
      <c r="K940" s="135">
        <v>2.6289971208701801E-2</v>
      </c>
      <c r="L940" s="135">
        <v>2.8310313333443301E-2</v>
      </c>
      <c r="M940" s="135">
        <v>3.7576662949869999E-2</v>
      </c>
      <c r="N940" s="135">
        <v>4.2380808722995898E-2</v>
      </c>
      <c r="O940" s="135">
        <v>4.1619508677004202E-2</v>
      </c>
      <c r="P940" s="135">
        <v>3.97765682501071E-2</v>
      </c>
      <c r="Q940" s="135">
        <v>4.24846244954033E-2</v>
      </c>
      <c r="R940" s="135">
        <v>4.3798206522598297E-2</v>
      </c>
      <c r="S940" s="135">
        <v>4.5829015386225101E-2</v>
      </c>
      <c r="T940" s="135">
        <v>4.5713375310567003E-2</v>
      </c>
      <c r="U940" s="135">
        <v>4.4219737029885797E-2</v>
      </c>
      <c r="V940" s="135">
        <v>4.22012248229326E-2</v>
      </c>
      <c r="W940" s="135">
        <v>4.1885245229385297E-2</v>
      </c>
      <c r="X940" s="135">
        <v>4.9398085336397002E-2</v>
      </c>
      <c r="Y940" s="135">
        <v>5.9300691622132903E-2</v>
      </c>
      <c r="Z940" s="135">
        <v>6.7911678231480893E-2</v>
      </c>
      <c r="AA940" s="135">
        <v>6.8780489327373504E-2</v>
      </c>
      <c r="AB940" s="135">
        <v>6.0246958971809199E-2</v>
      </c>
      <c r="AC940" s="135">
        <v>4.5248707402128802E-2</v>
      </c>
      <c r="AD940" s="135">
        <v>3.3184775447448099E-2</v>
      </c>
      <c r="AF940" s="243">
        <f t="shared" si="16"/>
        <v>0.3061314287969974</v>
      </c>
      <c r="AG940" s="275">
        <f t="shared" si="17"/>
        <v>0.49906298383978309</v>
      </c>
      <c r="AH940" s="391">
        <f t="shared" si="18"/>
        <v>0.51569762015730225</v>
      </c>
      <c r="AI940" s="135">
        <f t="shared" si="19"/>
        <v>1.0147606039970853</v>
      </c>
    </row>
    <row r="941" spans="1:35" ht="12.6">
      <c r="A941" s="10" t="s">
        <v>63</v>
      </c>
      <c r="B941" s="10">
        <v>210</v>
      </c>
      <c r="C941" s="10" t="s">
        <v>1514</v>
      </c>
      <c r="D941" s="388">
        <v>45136</v>
      </c>
      <c r="E941" s="389">
        <v>45136</v>
      </c>
      <c r="F941" s="390" t="str">
        <f t="shared" si="15"/>
        <v>Other</v>
      </c>
      <c r="G941" s="135">
        <v>3.1594034421343203E-2</v>
      </c>
      <c r="H941" s="135">
        <v>2.7553598463258701E-2</v>
      </c>
      <c r="I941" s="135">
        <v>2.6362704733174199E-2</v>
      </c>
      <c r="J941" s="135">
        <v>2.5645630892124599E-2</v>
      </c>
      <c r="K941" s="135">
        <v>2.59587228117635E-2</v>
      </c>
      <c r="L941" s="135">
        <v>2.73241143004576E-2</v>
      </c>
      <c r="M941" s="135">
        <v>3.23399748772027E-2</v>
      </c>
      <c r="N941" s="135">
        <v>4.0693458091161899E-2</v>
      </c>
      <c r="O941" s="135">
        <v>4.08091648323975E-2</v>
      </c>
      <c r="P941" s="135">
        <v>4.3230267850703497E-2</v>
      </c>
      <c r="Q941" s="135">
        <v>4.8875593210887101E-2</v>
      </c>
      <c r="R941" s="135">
        <v>5.1570984614236599E-2</v>
      </c>
      <c r="S941" s="135">
        <v>5.0273372806174499E-2</v>
      </c>
      <c r="T941" s="135">
        <v>5.1223902065420802E-2</v>
      </c>
      <c r="U941" s="135">
        <v>5.1460290626661999E-2</v>
      </c>
      <c r="V941" s="135">
        <v>5.2355412480044501E-2</v>
      </c>
      <c r="W941" s="135">
        <v>5.2386615081516097E-2</v>
      </c>
      <c r="X941" s="135">
        <v>5.6565789515246601E-2</v>
      </c>
      <c r="Y941" s="135">
        <v>6.2807268783048306E-2</v>
      </c>
      <c r="Z941" s="135">
        <v>6.7990705071235696E-2</v>
      </c>
      <c r="AA941" s="135">
        <v>6.7092398362343805E-2</v>
      </c>
      <c r="AB941" s="135">
        <v>5.8280263138641902E-2</v>
      </c>
      <c r="AC941" s="135">
        <v>4.5102682710545697E-2</v>
      </c>
      <c r="AD941" s="135">
        <v>3.5824086247574299E-2</v>
      </c>
      <c r="AF941" s="243">
        <f t="shared" si="16"/>
        <v>0.35814617088494161</v>
      </c>
      <c r="AG941" s="275">
        <f t="shared" si="17"/>
        <v>0.53540514251726234</v>
      </c>
      <c r="AH941" s="391">
        <f t="shared" si="18"/>
        <v>0.53791589346990287</v>
      </c>
      <c r="AI941" s="135">
        <f t="shared" si="19"/>
        <v>1.0733210359871652</v>
      </c>
    </row>
    <row r="942" spans="1:35" ht="12.6">
      <c r="A942" s="10" t="s">
        <v>63</v>
      </c>
      <c r="B942" s="10">
        <v>211</v>
      </c>
      <c r="C942" s="10" t="s">
        <v>1514</v>
      </c>
      <c r="D942" s="388">
        <v>45137</v>
      </c>
      <c r="E942" s="389">
        <v>45137</v>
      </c>
      <c r="F942" s="390" t="str">
        <f t="shared" si="15"/>
        <v>Other</v>
      </c>
      <c r="G942" s="135">
        <v>3.1594034421343203E-2</v>
      </c>
      <c r="H942" s="135">
        <v>2.7553598463258701E-2</v>
      </c>
      <c r="I942" s="135">
        <v>2.6362704733174199E-2</v>
      </c>
      <c r="J942" s="135">
        <v>2.5645630892124599E-2</v>
      </c>
      <c r="K942" s="135">
        <v>2.59587228117635E-2</v>
      </c>
      <c r="L942" s="135">
        <v>2.73241143004576E-2</v>
      </c>
      <c r="M942" s="135">
        <v>3.23399748772027E-2</v>
      </c>
      <c r="N942" s="135">
        <v>4.0693458091161899E-2</v>
      </c>
      <c r="O942" s="135">
        <v>4.08091648323975E-2</v>
      </c>
      <c r="P942" s="135">
        <v>4.3230267850703497E-2</v>
      </c>
      <c r="Q942" s="135">
        <v>4.8875593210887101E-2</v>
      </c>
      <c r="R942" s="135">
        <v>5.1570984614236599E-2</v>
      </c>
      <c r="S942" s="135">
        <v>5.0273372806174499E-2</v>
      </c>
      <c r="T942" s="135">
        <v>5.1223902065420802E-2</v>
      </c>
      <c r="U942" s="135">
        <v>5.1460290626661999E-2</v>
      </c>
      <c r="V942" s="135">
        <v>5.2355412480044501E-2</v>
      </c>
      <c r="W942" s="135">
        <v>5.2386615081516097E-2</v>
      </c>
      <c r="X942" s="135">
        <v>5.6565789515246601E-2</v>
      </c>
      <c r="Y942" s="135">
        <v>6.2807268783048306E-2</v>
      </c>
      <c r="Z942" s="135">
        <v>6.7990705071235696E-2</v>
      </c>
      <c r="AA942" s="135">
        <v>6.7092398362343805E-2</v>
      </c>
      <c r="AB942" s="135">
        <v>5.8280263138641902E-2</v>
      </c>
      <c r="AC942" s="135">
        <v>4.5102682710545697E-2</v>
      </c>
      <c r="AD942" s="135">
        <v>3.5824086247574299E-2</v>
      </c>
      <c r="AF942" s="243">
        <f t="shared" si="16"/>
        <v>0.35814617088494161</v>
      </c>
      <c r="AG942" s="275">
        <f t="shared" si="17"/>
        <v>0.53540514251726234</v>
      </c>
      <c r="AH942" s="391">
        <f t="shared" si="18"/>
        <v>0.53791589346990287</v>
      </c>
      <c r="AI942" s="135">
        <f t="shared" si="19"/>
        <v>1.0733210359871652</v>
      </c>
    </row>
    <row r="943" spans="1:35" ht="12.6">
      <c r="A943" s="10" t="s">
        <v>63</v>
      </c>
      <c r="B943" s="10">
        <v>212</v>
      </c>
      <c r="C943" s="10" t="s">
        <v>1514</v>
      </c>
      <c r="D943" s="388">
        <v>45138</v>
      </c>
      <c r="E943" s="389">
        <v>45138</v>
      </c>
      <c r="F943" s="390" t="str">
        <f t="shared" si="15"/>
        <v>Other</v>
      </c>
      <c r="G943" s="135">
        <v>2.8599683375536099E-2</v>
      </c>
      <c r="H943" s="135">
        <v>2.71474969669585E-2</v>
      </c>
      <c r="I943" s="135">
        <v>2.66530382811993E-2</v>
      </c>
      <c r="J943" s="135">
        <v>2.6203737095501198E-2</v>
      </c>
      <c r="K943" s="135">
        <v>2.6289971208701801E-2</v>
      </c>
      <c r="L943" s="135">
        <v>2.8310313333443301E-2</v>
      </c>
      <c r="M943" s="135">
        <v>3.7576662949869999E-2</v>
      </c>
      <c r="N943" s="135">
        <v>4.2380808722995898E-2</v>
      </c>
      <c r="O943" s="135">
        <v>4.1619508677004202E-2</v>
      </c>
      <c r="P943" s="135">
        <v>3.97765682501071E-2</v>
      </c>
      <c r="Q943" s="135">
        <v>4.24846244954033E-2</v>
      </c>
      <c r="R943" s="135">
        <v>4.3798206522598297E-2</v>
      </c>
      <c r="S943" s="135">
        <v>4.5829015386225101E-2</v>
      </c>
      <c r="T943" s="135">
        <v>4.5713375310567003E-2</v>
      </c>
      <c r="U943" s="135">
        <v>4.4219737029885797E-2</v>
      </c>
      <c r="V943" s="135">
        <v>4.22012248229326E-2</v>
      </c>
      <c r="W943" s="135">
        <v>4.1885245229385297E-2</v>
      </c>
      <c r="X943" s="135">
        <v>4.9398085336397002E-2</v>
      </c>
      <c r="Y943" s="135">
        <v>5.9300691622132903E-2</v>
      </c>
      <c r="Z943" s="135">
        <v>6.7911678231480893E-2</v>
      </c>
      <c r="AA943" s="135">
        <v>6.8780489327373504E-2</v>
      </c>
      <c r="AB943" s="135">
        <v>6.0246958971809199E-2</v>
      </c>
      <c r="AC943" s="135">
        <v>4.5248707402128802E-2</v>
      </c>
      <c r="AD943" s="135">
        <v>3.3184775447448099E-2</v>
      </c>
      <c r="AF943" s="243">
        <f t="shared" si="16"/>
        <v>0.3061314287969974</v>
      </c>
      <c r="AG943" s="275">
        <f t="shared" si="17"/>
        <v>0.49906298383978309</v>
      </c>
      <c r="AH943" s="391">
        <f t="shared" si="18"/>
        <v>0.51569762015730225</v>
      </c>
      <c r="AI943" s="135">
        <f t="shared" si="19"/>
        <v>1.0147606039970853</v>
      </c>
    </row>
    <row r="944" spans="1:35" ht="12.6">
      <c r="A944" s="10" t="s">
        <v>63</v>
      </c>
      <c r="B944" s="10">
        <v>213</v>
      </c>
      <c r="C944" s="10" t="s">
        <v>1514</v>
      </c>
      <c r="D944" s="388">
        <v>45139</v>
      </c>
      <c r="E944" s="389">
        <v>45139</v>
      </c>
      <c r="F944" s="390" t="str">
        <f t="shared" si="15"/>
        <v>Other</v>
      </c>
      <c r="G944" s="135">
        <v>2.8599683375536099E-2</v>
      </c>
      <c r="H944" s="135">
        <v>2.71474969669585E-2</v>
      </c>
      <c r="I944" s="135">
        <v>2.66530382811993E-2</v>
      </c>
      <c r="J944" s="135">
        <v>2.6203737095501198E-2</v>
      </c>
      <c r="K944" s="135">
        <v>2.6289971208701801E-2</v>
      </c>
      <c r="L944" s="135">
        <v>2.8310313333443301E-2</v>
      </c>
      <c r="M944" s="135">
        <v>3.7576662949869999E-2</v>
      </c>
      <c r="N944" s="135">
        <v>4.2380808722995898E-2</v>
      </c>
      <c r="O944" s="135">
        <v>4.1619508677004202E-2</v>
      </c>
      <c r="P944" s="135">
        <v>3.97765682501071E-2</v>
      </c>
      <c r="Q944" s="135">
        <v>4.24846244954033E-2</v>
      </c>
      <c r="R944" s="135">
        <v>4.3798206522598297E-2</v>
      </c>
      <c r="S944" s="135">
        <v>4.5829015386225101E-2</v>
      </c>
      <c r="T944" s="135">
        <v>4.5713375310567003E-2</v>
      </c>
      <c r="U944" s="135">
        <v>4.4219737029885797E-2</v>
      </c>
      <c r="V944" s="135">
        <v>4.22012248229326E-2</v>
      </c>
      <c r="W944" s="135">
        <v>4.1885245229385297E-2</v>
      </c>
      <c r="X944" s="135">
        <v>4.9398085336397002E-2</v>
      </c>
      <c r="Y944" s="135">
        <v>5.9300691622132903E-2</v>
      </c>
      <c r="Z944" s="135">
        <v>6.7911678231480893E-2</v>
      </c>
      <c r="AA944" s="135">
        <v>6.8780489327373504E-2</v>
      </c>
      <c r="AB944" s="135">
        <v>6.0246958971809199E-2</v>
      </c>
      <c r="AC944" s="135">
        <v>4.5248707402128802E-2</v>
      </c>
      <c r="AD944" s="135">
        <v>3.3184775447448099E-2</v>
      </c>
      <c r="AF944" s="243">
        <f t="shared" si="16"/>
        <v>0.3061314287969974</v>
      </c>
      <c r="AG944" s="275">
        <f t="shared" si="17"/>
        <v>0.49906298383978309</v>
      </c>
      <c r="AH944" s="391">
        <f t="shared" si="18"/>
        <v>0.51569762015730225</v>
      </c>
      <c r="AI944" s="135">
        <f t="shared" si="19"/>
        <v>1.0147606039970853</v>
      </c>
    </row>
    <row r="945" spans="1:35" ht="12.6">
      <c r="A945" s="10" t="s">
        <v>63</v>
      </c>
      <c r="B945" s="10">
        <v>214</v>
      </c>
      <c r="C945" s="10" t="s">
        <v>1514</v>
      </c>
      <c r="D945" s="388">
        <v>45140</v>
      </c>
      <c r="E945" s="389">
        <v>45140</v>
      </c>
      <c r="F945" s="390" t="str">
        <f t="shared" si="15"/>
        <v>Other</v>
      </c>
      <c r="G945" s="135">
        <v>2.8599683375536099E-2</v>
      </c>
      <c r="H945" s="135">
        <v>2.71474969669585E-2</v>
      </c>
      <c r="I945" s="135">
        <v>2.66530382811993E-2</v>
      </c>
      <c r="J945" s="135">
        <v>2.6203737095501198E-2</v>
      </c>
      <c r="K945" s="135">
        <v>2.6289971208701801E-2</v>
      </c>
      <c r="L945" s="135">
        <v>2.8310313333443301E-2</v>
      </c>
      <c r="M945" s="135">
        <v>3.7576662949869999E-2</v>
      </c>
      <c r="N945" s="135">
        <v>4.2380808722995898E-2</v>
      </c>
      <c r="O945" s="135">
        <v>4.1619508677004202E-2</v>
      </c>
      <c r="P945" s="135">
        <v>3.97765682501071E-2</v>
      </c>
      <c r="Q945" s="135">
        <v>4.24846244954033E-2</v>
      </c>
      <c r="R945" s="135">
        <v>4.3798206522598297E-2</v>
      </c>
      <c r="S945" s="135">
        <v>4.5829015386225101E-2</v>
      </c>
      <c r="T945" s="135">
        <v>4.5713375310567003E-2</v>
      </c>
      <c r="U945" s="135">
        <v>4.4219737029885797E-2</v>
      </c>
      <c r="V945" s="135">
        <v>4.22012248229326E-2</v>
      </c>
      <c r="W945" s="135">
        <v>4.1885245229385297E-2</v>
      </c>
      <c r="X945" s="135">
        <v>4.9398085336397002E-2</v>
      </c>
      <c r="Y945" s="135">
        <v>5.9300691622132903E-2</v>
      </c>
      <c r="Z945" s="135">
        <v>6.7911678231480893E-2</v>
      </c>
      <c r="AA945" s="135">
        <v>6.8780489327373504E-2</v>
      </c>
      <c r="AB945" s="135">
        <v>6.0246958971809199E-2</v>
      </c>
      <c r="AC945" s="135">
        <v>4.5248707402128802E-2</v>
      </c>
      <c r="AD945" s="135">
        <v>3.3184775447448099E-2</v>
      </c>
      <c r="AF945" s="243">
        <f t="shared" si="16"/>
        <v>0.3061314287969974</v>
      </c>
      <c r="AG945" s="275">
        <f t="shared" si="17"/>
        <v>0.49906298383978309</v>
      </c>
      <c r="AH945" s="391">
        <f t="shared" si="18"/>
        <v>0.51569762015730225</v>
      </c>
      <c r="AI945" s="135">
        <f t="shared" si="19"/>
        <v>1.0147606039970853</v>
      </c>
    </row>
    <row r="946" spans="1:35" ht="12.6">
      <c r="A946" s="10" t="s">
        <v>63</v>
      </c>
      <c r="B946" s="10">
        <v>215</v>
      </c>
      <c r="C946" s="10" t="s">
        <v>1514</v>
      </c>
      <c r="D946" s="388">
        <v>45141</v>
      </c>
      <c r="E946" s="389">
        <v>45141</v>
      </c>
      <c r="F946" s="390" t="str">
        <f t="shared" si="15"/>
        <v>Other</v>
      </c>
      <c r="G946" s="135">
        <v>2.8599683375536099E-2</v>
      </c>
      <c r="H946" s="135">
        <v>2.71474969669585E-2</v>
      </c>
      <c r="I946" s="135">
        <v>2.66530382811993E-2</v>
      </c>
      <c r="J946" s="135">
        <v>2.6203737095501198E-2</v>
      </c>
      <c r="K946" s="135">
        <v>2.6289971208701801E-2</v>
      </c>
      <c r="L946" s="135">
        <v>2.8310313333443301E-2</v>
      </c>
      <c r="M946" s="135">
        <v>3.7576662949869999E-2</v>
      </c>
      <c r="N946" s="135">
        <v>4.2380808722995898E-2</v>
      </c>
      <c r="O946" s="135">
        <v>4.1619508677004202E-2</v>
      </c>
      <c r="P946" s="135">
        <v>3.97765682501071E-2</v>
      </c>
      <c r="Q946" s="135">
        <v>4.24846244954033E-2</v>
      </c>
      <c r="R946" s="135">
        <v>4.3798206522598297E-2</v>
      </c>
      <c r="S946" s="135">
        <v>4.5829015386225101E-2</v>
      </c>
      <c r="T946" s="135">
        <v>4.5713375310567003E-2</v>
      </c>
      <c r="U946" s="135">
        <v>4.4219737029885797E-2</v>
      </c>
      <c r="V946" s="135">
        <v>4.22012248229326E-2</v>
      </c>
      <c r="W946" s="135">
        <v>4.1885245229385297E-2</v>
      </c>
      <c r="X946" s="135">
        <v>4.9398085336397002E-2</v>
      </c>
      <c r="Y946" s="135">
        <v>5.9300691622132903E-2</v>
      </c>
      <c r="Z946" s="135">
        <v>6.7911678231480893E-2</v>
      </c>
      <c r="AA946" s="135">
        <v>6.8780489327373504E-2</v>
      </c>
      <c r="AB946" s="135">
        <v>6.0246958971809199E-2</v>
      </c>
      <c r="AC946" s="135">
        <v>4.5248707402128802E-2</v>
      </c>
      <c r="AD946" s="135">
        <v>3.3184775447448099E-2</v>
      </c>
      <c r="AF946" s="243">
        <f t="shared" si="16"/>
        <v>0.3061314287969974</v>
      </c>
      <c r="AG946" s="275">
        <f t="shared" si="17"/>
        <v>0.49906298383978309</v>
      </c>
      <c r="AH946" s="391">
        <f t="shared" si="18"/>
        <v>0.51569762015730225</v>
      </c>
      <c r="AI946" s="135">
        <f t="shared" si="19"/>
        <v>1.0147606039970853</v>
      </c>
    </row>
    <row r="947" spans="1:35" ht="12.6">
      <c r="A947" s="10" t="s">
        <v>63</v>
      </c>
      <c r="B947" s="10">
        <v>216</v>
      </c>
      <c r="C947" s="10" t="s">
        <v>1514</v>
      </c>
      <c r="D947" s="388">
        <v>45142</v>
      </c>
      <c r="E947" s="389">
        <v>45142</v>
      </c>
      <c r="F947" s="390" t="str">
        <f t="shared" si="15"/>
        <v>Other</v>
      </c>
      <c r="G947" s="135">
        <v>2.8599683375536099E-2</v>
      </c>
      <c r="H947" s="135">
        <v>2.71474969669585E-2</v>
      </c>
      <c r="I947" s="135">
        <v>2.66530382811993E-2</v>
      </c>
      <c r="J947" s="135">
        <v>2.6203737095501198E-2</v>
      </c>
      <c r="K947" s="135">
        <v>2.6289971208701801E-2</v>
      </c>
      <c r="L947" s="135">
        <v>2.8310313333443301E-2</v>
      </c>
      <c r="M947" s="135">
        <v>3.7576662949869999E-2</v>
      </c>
      <c r="N947" s="135">
        <v>4.2380808722995898E-2</v>
      </c>
      <c r="O947" s="135">
        <v>4.1619508677004202E-2</v>
      </c>
      <c r="P947" s="135">
        <v>3.97765682501071E-2</v>
      </c>
      <c r="Q947" s="135">
        <v>4.24846244954033E-2</v>
      </c>
      <c r="R947" s="135">
        <v>4.3798206522598297E-2</v>
      </c>
      <c r="S947" s="135">
        <v>4.5829015386225101E-2</v>
      </c>
      <c r="T947" s="135">
        <v>4.5713375310567003E-2</v>
      </c>
      <c r="U947" s="135">
        <v>4.4219737029885797E-2</v>
      </c>
      <c r="V947" s="135">
        <v>4.22012248229326E-2</v>
      </c>
      <c r="W947" s="135">
        <v>4.1885245229385297E-2</v>
      </c>
      <c r="X947" s="135">
        <v>4.9398085336397002E-2</v>
      </c>
      <c r="Y947" s="135">
        <v>5.9300691622132903E-2</v>
      </c>
      <c r="Z947" s="135">
        <v>6.7911678231480893E-2</v>
      </c>
      <c r="AA947" s="135">
        <v>6.8780489327373504E-2</v>
      </c>
      <c r="AB947" s="135">
        <v>6.0246958971809199E-2</v>
      </c>
      <c r="AC947" s="135">
        <v>4.5248707402128802E-2</v>
      </c>
      <c r="AD947" s="135">
        <v>3.3184775447448099E-2</v>
      </c>
      <c r="AF947" s="243">
        <f t="shared" si="16"/>
        <v>0.3061314287969974</v>
      </c>
      <c r="AG947" s="275">
        <f t="shared" si="17"/>
        <v>0.49906298383978309</v>
      </c>
      <c r="AH947" s="391">
        <f t="shared" si="18"/>
        <v>0.51569762015730225</v>
      </c>
      <c r="AI947" s="135">
        <f t="shared" si="19"/>
        <v>1.0147606039970853</v>
      </c>
    </row>
    <row r="948" spans="1:35" ht="12.6">
      <c r="A948" s="10" t="s">
        <v>63</v>
      </c>
      <c r="B948" s="10">
        <v>217</v>
      </c>
      <c r="C948" s="10" t="s">
        <v>1514</v>
      </c>
      <c r="D948" s="388">
        <v>45143</v>
      </c>
      <c r="E948" s="389">
        <v>45143</v>
      </c>
      <c r="F948" s="390" t="str">
        <f t="shared" si="15"/>
        <v>Other</v>
      </c>
      <c r="G948" s="135">
        <v>3.1594034421343203E-2</v>
      </c>
      <c r="H948" s="135">
        <v>2.7553598463258701E-2</v>
      </c>
      <c r="I948" s="135">
        <v>2.6362704733174199E-2</v>
      </c>
      <c r="J948" s="135">
        <v>2.5645630892124599E-2</v>
      </c>
      <c r="K948" s="135">
        <v>2.59587228117635E-2</v>
      </c>
      <c r="L948" s="135">
        <v>2.73241143004576E-2</v>
      </c>
      <c r="M948" s="135">
        <v>3.23399748772027E-2</v>
      </c>
      <c r="N948" s="135">
        <v>4.0693458091161899E-2</v>
      </c>
      <c r="O948" s="135">
        <v>4.08091648323975E-2</v>
      </c>
      <c r="P948" s="135">
        <v>4.3230267850703497E-2</v>
      </c>
      <c r="Q948" s="135">
        <v>4.8875593210887101E-2</v>
      </c>
      <c r="R948" s="135">
        <v>5.1570984614236599E-2</v>
      </c>
      <c r="S948" s="135">
        <v>5.0273372806174499E-2</v>
      </c>
      <c r="T948" s="135">
        <v>5.1223902065420802E-2</v>
      </c>
      <c r="U948" s="135">
        <v>5.1460290626661999E-2</v>
      </c>
      <c r="V948" s="135">
        <v>5.2355412480044501E-2</v>
      </c>
      <c r="W948" s="135">
        <v>5.2386615081516097E-2</v>
      </c>
      <c r="X948" s="135">
        <v>5.6565789515246601E-2</v>
      </c>
      <c r="Y948" s="135">
        <v>6.2807268783048306E-2</v>
      </c>
      <c r="Z948" s="135">
        <v>6.7990705071235696E-2</v>
      </c>
      <c r="AA948" s="135">
        <v>6.7092398362343805E-2</v>
      </c>
      <c r="AB948" s="135">
        <v>5.8280263138641902E-2</v>
      </c>
      <c r="AC948" s="135">
        <v>4.5102682710545697E-2</v>
      </c>
      <c r="AD948" s="135">
        <v>3.5824086247574299E-2</v>
      </c>
      <c r="AF948" s="243">
        <f t="shared" si="16"/>
        <v>0.35814617088494161</v>
      </c>
      <c r="AG948" s="275">
        <f t="shared" si="17"/>
        <v>0.53540514251726234</v>
      </c>
      <c r="AH948" s="391">
        <f t="shared" si="18"/>
        <v>0.53791589346990287</v>
      </c>
      <c r="AI948" s="135">
        <f t="shared" si="19"/>
        <v>1.0733210359871652</v>
      </c>
    </row>
    <row r="949" spans="1:35" ht="12.6">
      <c r="A949" s="10" t="s">
        <v>63</v>
      </c>
      <c r="B949" s="10">
        <v>218</v>
      </c>
      <c r="C949" s="10" t="s">
        <v>1514</v>
      </c>
      <c r="D949" s="388">
        <v>45144</v>
      </c>
      <c r="E949" s="389">
        <v>45144</v>
      </c>
      <c r="F949" s="390" t="str">
        <f t="shared" si="15"/>
        <v>Other</v>
      </c>
      <c r="G949" s="135">
        <v>3.1594034421343203E-2</v>
      </c>
      <c r="H949" s="135">
        <v>2.7553598463258701E-2</v>
      </c>
      <c r="I949" s="135">
        <v>2.6362704733174199E-2</v>
      </c>
      <c r="J949" s="135">
        <v>2.5645630892124599E-2</v>
      </c>
      <c r="K949" s="135">
        <v>2.59587228117635E-2</v>
      </c>
      <c r="L949" s="135">
        <v>2.73241143004576E-2</v>
      </c>
      <c r="M949" s="135">
        <v>3.23399748772027E-2</v>
      </c>
      <c r="N949" s="135">
        <v>4.0693458091161899E-2</v>
      </c>
      <c r="O949" s="135">
        <v>4.08091648323975E-2</v>
      </c>
      <c r="P949" s="135">
        <v>4.3230267850703497E-2</v>
      </c>
      <c r="Q949" s="135">
        <v>4.8875593210887101E-2</v>
      </c>
      <c r="R949" s="135">
        <v>5.1570984614236599E-2</v>
      </c>
      <c r="S949" s="135">
        <v>5.0273372806174499E-2</v>
      </c>
      <c r="T949" s="135">
        <v>5.1223902065420802E-2</v>
      </c>
      <c r="U949" s="135">
        <v>5.1460290626661999E-2</v>
      </c>
      <c r="V949" s="135">
        <v>5.2355412480044501E-2</v>
      </c>
      <c r="W949" s="135">
        <v>5.2386615081516097E-2</v>
      </c>
      <c r="X949" s="135">
        <v>5.6565789515246601E-2</v>
      </c>
      <c r="Y949" s="135">
        <v>6.2807268783048306E-2</v>
      </c>
      <c r="Z949" s="135">
        <v>6.7990705071235696E-2</v>
      </c>
      <c r="AA949" s="135">
        <v>6.7092398362343805E-2</v>
      </c>
      <c r="AB949" s="135">
        <v>5.8280263138641902E-2</v>
      </c>
      <c r="AC949" s="135">
        <v>4.5102682710545697E-2</v>
      </c>
      <c r="AD949" s="135">
        <v>3.5824086247574299E-2</v>
      </c>
      <c r="AF949" s="243">
        <f t="shared" si="16"/>
        <v>0.35814617088494161</v>
      </c>
      <c r="AG949" s="275">
        <f t="shared" si="17"/>
        <v>0.53540514251726234</v>
      </c>
      <c r="AH949" s="391">
        <f t="shared" si="18"/>
        <v>0.53791589346990287</v>
      </c>
      <c r="AI949" s="135">
        <f t="shared" si="19"/>
        <v>1.0733210359871652</v>
      </c>
    </row>
    <row r="950" spans="1:35" ht="12.6">
      <c r="A950" s="10" t="s">
        <v>63</v>
      </c>
      <c r="B950" s="10">
        <v>219</v>
      </c>
      <c r="C950" s="10" t="s">
        <v>1514</v>
      </c>
      <c r="D950" s="388">
        <v>45145</v>
      </c>
      <c r="E950" s="389">
        <v>45145</v>
      </c>
      <c r="F950" s="390" t="str">
        <f t="shared" si="15"/>
        <v>Other</v>
      </c>
      <c r="G950" s="135">
        <v>2.8599683375536099E-2</v>
      </c>
      <c r="H950" s="135">
        <v>2.71474969669585E-2</v>
      </c>
      <c r="I950" s="135">
        <v>2.66530382811993E-2</v>
      </c>
      <c r="J950" s="135">
        <v>2.6203737095501198E-2</v>
      </c>
      <c r="K950" s="135">
        <v>2.6289971208701801E-2</v>
      </c>
      <c r="L950" s="135">
        <v>2.8310313333443301E-2</v>
      </c>
      <c r="M950" s="135">
        <v>3.7576662949869999E-2</v>
      </c>
      <c r="N950" s="135">
        <v>4.2380808722995898E-2</v>
      </c>
      <c r="O950" s="135">
        <v>4.1619508677004202E-2</v>
      </c>
      <c r="P950" s="135">
        <v>3.97765682501071E-2</v>
      </c>
      <c r="Q950" s="135">
        <v>4.24846244954033E-2</v>
      </c>
      <c r="R950" s="135">
        <v>4.3798206522598297E-2</v>
      </c>
      <c r="S950" s="135">
        <v>4.5829015386225101E-2</v>
      </c>
      <c r="T950" s="135">
        <v>4.5713375310567003E-2</v>
      </c>
      <c r="U950" s="135">
        <v>4.4219737029885797E-2</v>
      </c>
      <c r="V950" s="135">
        <v>4.22012248229326E-2</v>
      </c>
      <c r="W950" s="135">
        <v>4.1885245229385297E-2</v>
      </c>
      <c r="X950" s="135">
        <v>4.9398085336397002E-2</v>
      </c>
      <c r="Y950" s="135">
        <v>5.9300691622132903E-2</v>
      </c>
      <c r="Z950" s="135">
        <v>6.7911678231480893E-2</v>
      </c>
      <c r="AA950" s="135">
        <v>6.8780489327373504E-2</v>
      </c>
      <c r="AB950" s="135">
        <v>6.0246958971809199E-2</v>
      </c>
      <c r="AC950" s="135">
        <v>4.5248707402128802E-2</v>
      </c>
      <c r="AD950" s="135">
        <v>3.3184775447448099E-2</v>
      </c>
      <c r="AF950" s="243">
        <f t="shared" si="16"/>
        <v>0.3061314287969974</v>
      </c>
      <c r="AG950" s="275">
        <f t="shared" si="17"/>
        <v>0.49906298383978309</v>
      </c>
      <c r="AH950" s="391">
        <f t="shared" si="18"/>
        <v>0.51569762015730225</v>
      </c>
      <c r="AI950" s="135">
        <f t="shared" si="19"/>
        <v>1.0147606039970853</v>
      </c>
    </row>
    <row r="951" spans="1:35" ht="12.6">
      <c r="A951" s="10" t="s">
        <v>63</v>
      </c>
      <c r="B951" s="10">
        <v>220</v>
      </c>
      <c r="C951" s="10" t="s">
        <v>1514</v>
      </c>
      <c r="D951" s="388">
        <v>45146</v>
      </c>
      <c r="E951" s="389">
        <v>45146</v>
      </c>
      <c r="F951" s="390" t="str">
        <f t="shared" si="15"/>
        <v>Other</v>
      </c>
      <c r="G951" s="135">
        <v>2.8599683375536099E-2</v>
      </c>
      <c r="H951" s="135">
        <v>2.71474969669585E-2</v>
      </c>
      <c r="I951" s="135">
        <v>2.66530382811993E-2</v>
      </c>
      <c r="J951" s="135">
        <v>2.6203737095501198E-2</v>
      </c>
      <c r="K951" s="135">
        <v>2.6289971208701801E-2</v>
      </c>
      <c r="L951" s="135">
        <v>2.8310313333443301E-2</v>
      </c>
      <c r="M951" s="135">
        <v>3.7576662949869999E-2</v>
      </c>
      <c r="N951" s="135">
        <v>4.2380808722995898E-2</v>
      </c>
      <c r="O951" s="135">
        <v>4.1619508677004202E-2</v>
      </c>
      <c r="P951" s="135">
        <v>3.97765682501071E-2</v>
      </c>
      <c r="Q951" s="135">
        <v>4.24846244954033E-2</v>
      </c>
      <c r="R951" s="135">
        <v>4.3798206522598297E-2</v>
      </c>
      <c r="S951" s="135">
        <v>4.5829015386225101E-2</v>
      </c>
      <c r="T951" s="135">
        <v>4.5713375310567003E-2</v>
      </c>
      <c r="U951" s="135">
        <v>4.4219737029885797E-2</v>
      </c>
      <c r="V951" s="135">
        <v>4.22012248229326E-2</v>
      </c>
      <c r="W951" s="135">
        <v>4.1885245229385297E-2</v>
      </c>
      <c r="X951" s="135">
        <v>4.9398085336397002E-2</v>
      </c>
      <c r="Y951" s="135">
        <v>5.9300691622132903E-2</v>
      </c>
      <c r="Z951" s="135">
        <v>6.7911678231480893E-2</v>
      </c>
      <c r="AA951" s="135">
        <v>6.8780489327373504E-2</v>
      </c>
      <c r="AB951" s="135">
        <v>6.0246958971809199E-2</v>
      </c>
      <c r="AC951" s="135">
        <v>4.5248707402128802E-2</v>
      </c>
      <c r="AD951" s="135">
        <v>3.3184775447448099E-2</v>
      </c>
      <c r="AF951" s="243">
        <f t="shared" si="16"/>
        <v>0.3061314287969974</v>
      </c>
      <c r="AG951" s="275">
        <f t="shared" si="17"/>
        <v>0.49906298383978309</v>
      </c>
      <c r="AH951" s="391">
        <f t="shared" si="18"/>
        <v>0.51569762015730225</v>
      </c>
      <c r="AI951" s="135">
        <f t="shared" si="19"/>
        <v>1.0147606039970853</v>
      </c>
    </row>
    <row r="952" spans="1:35" ht="12.6">
      <c r="A952" s="10" t="s">
        <v>63</v>
      </c>
      <c r="B952" s="10">
        <v>221</v>
      </c>
      <c r="C952" s="10" t="s">
        <v>1514</v>
      </c>
      <c r="D952" s="388">
        <v>45147</v>
      </c>
      <c r="E952" s="389">
        <v>45147</v>
      </c>
      <c r="F952" s="390" t="str">
        <f t="shared" si="15"/>
        <v>Other</v>
      </c>
      <c r="G952" s="135">
        <v>2.8599683375536099E-2</v>
      </c>
      <c r="H952" s="135">
        <v>2.71474969669585E-2</v>
      </c>
      <c r="I952" s="135">
        <v>2.66530382811993E-2</v>
      </c>
      <c r="J952" s="135">
        <v>2.6203737095501198E-2</v>
      </c>
      <c r="K952" s="135">
        <v>2.6289971208701801E-2</v>
      </c>
      <c r="L952" s="135">
        <v>2.8310313333443301E-2</v>
      </c>
      <c r="M952" s="135">
        <v>3.7576662949869999E-2</v>
      </c>
      <c r="N952" s="135">
        <v>4.2380808722995898E-2</v>
      </c>
      <c r="O952" s="135">
        <v>4.1619508677004202E-2</v>
      </c>
      <c r="P952" s="135">
        <v>3.97765682501071E-2</v>
      </c>
      <c r="Q952" s="135">
        <v>4.24846244954033E-2</v>
      </c>
      <c r="R952" s="135">
        <v>4.3798206522598297E-2</v>
      </c>
      <c r="S952" s="135">
        <v>4.5829015386225101E-2</v>
      </c>
      <c r="T952" s="135">
        <v>4.5713375310567003E-2</v>
      </c>
      <c r="U952" s="135">
        <v>4.4219737029885797E-2</v>
      </c>
      <c r="V952" s="135">
        <v>4.22012248229326E-2</v>
      </c>
      <c r="W952" s="135">
        <v>4.1885245229385297E-2</v>
      </c>
      <c r="X952" s="135">
        <v>4.9398085336397002E-2</v>
      </c>
      <c r="Y952" s="135">
        <v>5.9300691622132903E-2</v>
      </c>
      <c r="Z952" s="135">
        <v>6.7911678231480893E-2</v>
      </c>
      <c r="AA952" s="135">
        <v>6.8780489327373504E-2</v>
      </c>
      <c r="AB952" s="135">
        <v>6.0246958971809199E-2</v>
      </c>
      <c r="AC952" s="135">
        <v>4.5248707402128802E-2</v>
      </c>
      <c r="AD952" s="135">
        <v>3.3184775447448099E-2</v>
      </c>
      <c r="AF952" s="243">
        <f t="shared" si="16"/>
        <v>0.3061314287969974</v>
      </c>
      <c r="AG952" s="275">
        <f t="shared" si="17"/>
        <v>0.49906298383978309</v>
      </c>
      <c r="AH952" s="391">
        <f t="shared" si="18"/>
        <v>0.51569762015730225</v>
      </c>
      <c r="AI952" s="135">
        <f t="shared" si="19"/>
        <v>1.0147606039970853</v>
      </c>
    </row>
    <row r="953" spans="1:35" ht="12.6">
      <c r="A953" s="10" t="s">
        <v>63</v>
      </c>
      <c r="B953" s="10">
        <v>222</v>
      </c>
      <c r="C953" s="10" t="s">
        <v>1514</v>
      </c>
      <c r="D953" s="388">
        <v>45148</v>
      </c>
      <c r="E953" s="389">
        <v>45148</v>
      </c>
      <c r="F953" s="390" t="str">
        <f t="shared" si="15"/>
        <v>Other</v>
      </c>
      <c r="G953" s="135">
        <v>2.8599683375536099E-2</v>
      </c>
      <c r="H953" s="135">
        <v>2.71474969669585E-2</v>
      </c>
      <c r="I953" s="135">
        <v>2.66530382811993E-2</v>
      </c>
      <c r="J953" s="135">
        <v>2.6203737095501198E-2</v>
      </c>
      <c r="K953" s="135">
        <v>2.6289971208701801E-2</v>
      </c>
      <c r="L953" s="135">
        <v>2.8310313333443301E-2</v>
      </c>
      <c r="M953" s="135">
        <v>3.7576662949869999E-2</v>
      </c>
      <c r="N953" s="135">
        <v>4.2380808722995898E-2</v>
      </c>
      <c r="O953" s="135">
        <v>4.1619508677004202E-2</v>
      </c>
      <c r="P953" s="135">
        <v>3.97765682501071E-2</v>
      </c>
      <c r="Q953" s="135">
        <v>4.24846244954033E-2</v>
      </c>
      <c r="R953" s="135">
        <v>4.3798206522598297E-2</v>
      </c>
      <c r="S953" s="135">
        <v>4.5829015386225101E-2</v>
      </c>
      <c r="T953" s="135">
        <v>4.5713375310567003E-2</v>
      </c>
      <c r="U953" s="135">
        <v>4.4219737029885797E-2</v>
      </c>
      <c r="V953" s="135">
        <v>4.22012248229326E-2</v>
      </c>
      <c r="W953" s="135">
        <v>4.1885245229385297E-2</v>
      </c>
      <c r="X953" s="135">
        <v>4.9398085336397002E-2</v>
      </c>
      <c r="Y953" s="135">
        <v>5.9300691622132903E-2</v>
      </c>
      <c r="Z953" s="135">
        <v>6.7911678231480893E-2</v>
      </c>
      <c r="AA953" s="135">
        <v>6.8780489327373504E-2</v>
      </c>
      <c r="AB953" s="135">
        <v>6.0246958971809199E-2</v>
      </c>
      <c r="AC953" s="135">
        <v>4.5248707402128802E-2</v>
      </c>
      <c r="AD953" s="135">
        <v>3.3184775447448099E-2</v>
      </c>
      <c r="AF953" s="243">
        <f t="shared" si="16"/>
        <v>0.3061314287969974</v>
      </c>
      <c r="AG953" s="275">
        <f t="shared" si="17"/>
        <v>0.49906298383978309</v>
      </c>
      <c r="AH953" s="391">
        <f t="shared" si="18"/>
        <v>0.51569762015730225</v>
      </c>
      <c r="AI953" s="135">
        <f t="shared" si="19"/>
        <v>1.0147606039970853</v>
      </c>
    </row>
    <row r="954" spans="1:35" ht="12.6">
      <c r="A954" s="10" t="s">
        <v>63</v>
      </c>
      <c r="B954" s="10">
        <v>223</v>
      </c>
      <c r="C954" s="10" t="s">
        <v>1514</v>
      </c>
      <c r="D954" s="388">
        <v>45149</v>
      </c>
      <c r="E954" s="389">
        <v>45149</v>
      </c>
      <c r="F954" s="390" t="str">
        <f t="shared" si="15"/>
        <v>Other</v>
      </c>
      <c r="G954" s="135">
        <v>2.8599683375536099E-2</v>
      </c>
      <c r="H954" s="135">
        <v>2.71474969669585E-2</v>
      </c>
      <c r="I954" s="135">
        <v>2.66530382811993E-2</v>
      </c>
      <c r="J954" s="135">
        <v>2.6203737095501198E-2</v>
      </c>
      <c r="K954" s="135">
        <v>2.6289971208701801E-2</v>
      </c>
      <c r="L954" s="135">
        <v>2.8310313333443301E-2</v>
      </c>
      <c r="M954" s="135">
        <v>3.7576662949869999E-2</v>
      </c>
      <c r="N954" s="135">
        <v>4.2380808722995898E-2</v>
      </c>
      <c r="O954" s="135">
        <v>4.1619508677004202E-2</v>
      </c>
      <c r="P954" s="135">
        <v>3.97765682501071E-2</v>
      </c>
      <c r="Q954" s="135">
        <v>4.24846244954033E-2</v>
      </c>
      <c r="R954" s="135">
        <v>4.3798206522598297E-2</v>
      </c>
      <c r="S954" s="135">
        <v>4.5829015386225101E-2</v>
      </c>
      <c r="T954" s="135">
        <v>4.5713375310567003E-2</v>
      </c>
      <c r="U954" s="135">
        <v>4.4219737029885797E-2</v>
      </c>
      <c r="V954" s="135">
        <v>4.22012248229326E-2</v>
      </c>
      <c r="W954" s="135">
        <v>4.1885245229385297E-2</v>
      </c>
      <c r="X954" s="135">
        <v>4.9398085336397002E-2</v>
      </c>
      <c r="Y954" s="135">
        <v>5.9300691622132903E-2</v>
      </c>
      <c r="Z954" s="135">
        <v>6.7911678231480893E-2</v>
      </c>
      <c r="AA954" s="135">
        <v>6.8780489327373504E-2</v>
      </c>
      <c r="AB954" s="135">
        <v>6.0246958971809199E-2</v>
      </c>
      <c r="AC954" s="135">
        <v>4.5248707402128802E-2</v>
      </c>
      <c r="AD954" s="135">
        <v>3.3184775447448099E-2</v>
      </c>
      <c r="AF954" s="243">
        <f t="shared" si="16"/>
        <v>0.3061314287969974</v>
      </c>
      <c r="AG954" s="275">
        <f t="shared" si="17"/>
        <v>0.49906298383978309</v>
      </c>
      <c r="AH954" s="391">
        <f t="shared" si="18"/>
        <v>0.51569762015730225</v>
      </c>
      <c r="AI954" s="135">
        <f t="shared" si="19"/>
        <v>1.0147606039970853</v>
      </c>
    </row>
    <row r="955" spans="1:35" ht="12.6">
      <c r="A955" s="10" t="s">
        <v>63</v>
      </c>
      <c r="B955" s="10">
        <v>224</v>
      </c>
      <c r="C955" s="10" t="s">
        <v>1514</v>
      </c>
      <c r="D955" s="388">
        <v>45150</v>
      </c>
      <c r="E955" s="389">
        <v>45150</v>
      </c>
      <c r="F955" s="390" t="str">
        <f t="shared" si="15"/>
        <v>Other</v>
      </c>
      <c r="G955" s="135">
        <v>3.1594034421343203E-2</v>
      </c>
      <c r="H955" s="135">
        <v>2.7553598463258701E-2</v>
      </c>
      <c r="I955" s="135">
        <v>2.6362704733174199E-2</v>
      </c>
      <c r="J955" s="135">
        <v>2.5645630892124599E-2</v>
      </c>
      <c r="K955" s="135">
        <v>2.59587228117635E-2</v>
      </c>
      <c r="L955" s="135">
        <v>2.73241143004576E-2</v>
      </c>
      <c r="M955" s="135">
        <v>3.23399748772027E-2</v>
      </c>
      <c r="N955" s="135">
        <v>4.0693458091161899E-2</v>
      </c>
      <c r="O955" s="135">
        <v>4.08091648323975E-2</v>
      </c>
      <c r="P955" s="135">
        <v>4.3230267850703497E-2</v>
      </c>
      <c r="Q955" s="135">
        <v>4.8875593210887101E-2</v>
      </c>
      <c r="R955" s="135">
        <v>5.1570984614236599E-2</v>
      </c>
      <c r="S955" s="135">
        <v>5.0273372806174499E-2</v>
      </c>
      <c r="T955" s="135">
        <v>5.1223902065420802E-2</v>
      </c>
      <c r="U955" s="135">
        <v>5.1460290626661999E-2</v>
      </c>
      <c r="V955" s="135">
        <v>5.2355412480044501E-2</v>
      </c>
      <c r="W955" s="135">
        <v>5.2386615081516097E-2</v>
      </c>
      <c r="X955" s="135">
        <v>5.6565789515246601E-2</v>
      </c>
      <c r="Y955" s="135">
        <v>6.2807268783048306E-2</v>
      </c>
      <c r="Z955" s="135">
        <v>6.7990705071235696E-2</v>
      </c>
      <c r="AA955" s="135">
        <v>6.7092398362343805E-2</v>
      </c>
      <c r="AB955" s="135">
        <v>5.8280263138641902E-2</v>
      </c>
      <c r="AC955" s="135">
        <v>4.5102682710545697E-2</v>
      </c>
      <c r="AD955" s="135">
        <v>3.5824086247574299E-2</v>
      </c>
      <c r="AF955" s="243">
        <f t="shared" si="16"/>
        <v>0.35814617088494161</v>
      </c>
      <c r="AG955" s="275">
        <f t="shared" si="17"/>
        <v>0.53540514251726234</v>
      </c>
      <c r="AH955" s="391">
        <f t="shared" si="18"/>
        <v>0.53791589346990287</v>
      </c>
      <c r="AI955" s="135">
        <f t="shared" si="19"/>
        <v>1.0733210359871652</v>
      </c>
    </row>
    <row r="956" spans="1:35" ht="12.6">
      <c r="A956" s="10" t="s">
        <v>63</v>
      </c>
      <c r="B956" s="10">
        <v>225</v>
      </c>
      <c r="C956" s="10" t="s">
        <v>1514</v>
      </c>
      <c r="D956" s="388">
        <v>45151</v>
      </c>
      <c r="E956" s="389">
        <v>45151</v>
      </c>
      <c r="F956" s="390" t="str">
        <f t="shared" si="15"/>
        <v>Other</v>
      </c>
      <c r="G956" s="135">
        <v>3.1594034421343203E-2</v>
      </c>
      <c r="H956" s="135">
        <v>2.7553598463258701E-2</v>
      </c>
      <c r="I956" s="135">
        <v>2.6362704733174199E-2</v>
      </c>
      <c r="J956" s="135">
        <v>2.5645630892124599E-2</v>
      </c>
      <c r="K956" s="135">
        <v>2.59587228117635E-2</v>
      </c>
      <c r="L956" s="135">
        <v>2.73241143004576E-2</v>
      </c>
      <c r="M956" s="135">
        <v>3.23399748772027E-2</v>
      </c>
      <c r="N956" s="135">
        <v>4.0693458091161899E-2</v>
      </c>
      <c r="O956" s="135">
        <v>4.08091648323975E-2</v>
      </c>
      <c r="P956" s="135">
        <v>4.3230267850703497E-2</v>
      </c>
      <c r="Q956" s="135">
        <v>4.8875593210887101E-2</v>
      </c>
      <c r="R956" s="135">
        <v>5.1570984614236599E-2</v>
      </c>
      <c r="S956" s="135">
        <v>5.0273372806174499E-2</v>
      </c>
      <c r="T956" s="135">
        <v>5.1223902065420802E-2</v>
      </c>
      <c r="U956" s="135">
        <v>5.1460290626661999E-2</v>
      </c>
      <c r="V956" s="135">
        <v>5.2355412480044501E-2</v>
      </c>
      <c r="W956" s="135">
        <v>5.2386615081516097E-2</v>
      </c>
      <c r="X956" s="135">
        <v>5.6565789515246601E-2</v>
      </c>
      <c r="Y956" s="135">
        <v>6.2807268783048306E-2</v>
      </c>
      <c r="Z956" s="135">
        <v>6.7990705071235696E-2</v>
      </c>
      <c r="AA956" s="135">
        <v>6.7092398362343805E-2</v>
      </c>
      <c r="AB956" s="135">
        <v>5.8280263138641902E-2</v>
      </c>
      <c r="AC956" s="135">
        <v>4.5102682710545697E-2</v>
      </c>
      <c r="AD956" s="135">
        <v>3.5824086247574299E-2</v>
      </c>
      <c r="AF956" s="243">
        <f t="shared" si="16"/>
        <v>0.35814617088494161</v>
      </c>
      <c r="AG956" s="275">
        <f t="shared" si="17"/>
        <v>0.53540514251726234</v>
      </c>
      <c r="AH956" s="391">
        <f t="shared" si="18"/>
        <v>0.53791589346990287</v>
      </c>
      <c r="AI956" s="135">
        <f t="shared" si="19"/>
        <v>1.0733210359871652</v>
      </c>
    </row>
    <row r="957" spans="1:35" ht="12.6">
      <c r="A957" s="10" t="s">
        <v>63</v>
      </c>
      <c r="B957" s="10">
        <v>226</v>
      </c>
      <c r="C957" s="10" t="s">
        <v>1514</v>
      </c>
      <c r="D957" s="388">
        <v>45152</v>
      </c>
      <c r="E957" s="389">
        <v>45152</v>
      </c>
      <c r="F957" s="390" t="str">
        <f t="shared" si="15"/>
        <v>Other</v>
      </c>
      <c r="G957" s="135">
        <v>2.8599683375536099E-2</v>
      </c>
      <c r="H957" s="135">
        <v>2.71474969669585E-2</v>
      </c>
      <c r="I957" s="135">
        <v>2.66530382811993E-2</v>
      </c>
      <c r="J957" s="135">
        <v>2.6203737095501198E-2</v>
      </c>
      <c r="K957" s="135">
        <v>2.6289971208701801E-2</v>
      </c>
      <c r="L957" s="135">
        <v>2.8310313333443301E-2</v>
      </c>
      <c r="M957" s="135">
        <v>3.7576662949869999E-2</v>
      </c>
      <c r="N957" s="135">
        <v>4.2380808722995898E-2</v>
      </c>
      <c r="O957" s="135">
        <v>4.1619508677004202E-2</v>
      </c>
      <c r="P957" s="135">
        <v>3.97765682501071E-2</v>
      </c>
      <c r="Q957" s="135">
        <v>4.24846244954033E-2</v>
      </c>
      <c r="R957" s="135">
        <v>4.3798206522598297E-2</v>
      </c>
      <c r="S957" s="135">
        <v>4.5829015386225101E-2</v>
      </c>
      <c r="T957" s="135">
        <v>4.5713375310567003E-2</v>
      </c>
      <c r="U957" s="135">
        <v>4.4219737029885797E-2</v>
      </c>
      <c r="V957" s="135">
        <v>4.22012248229326E-2</v>
      </c>
      <c r="W957" s="135">
        <v>4.1885245229385297E-2</v>
      </c>
      <c r="X957" s="135">
        <v>4.9398085336397002E-2</v>
      </c>
      <c r="Y957" s="135">
        <v>5.9300691622132903E-2</v>
      </c>
      <c r="Z957" s="135">
        <v>6.7911678231480893E-2</v>
      </c>
      <c r="AA957" s="135">
        <v>6.8780489327373504E-2</v>
      </c>
      <c r="AB957" s="135">
        <v>6.0246958971809199E-2</v>
      </c>
      <c r="AC957" s="135">
        <v>4.5248707402128802E-2</v>
      </c>
      <c r="AD957" s="135">
        <v>3.3184775447448099E-2</v>
      </c>
      <c r="AF957" s="243">
        <f t="shared" si="16"/>
        <v>0.3061314287969974</v>
      </c>
      <c r="AG957" s="275">
        <f t="shared" si="17"/>
        <v>0.49906298383978309</v>
      </c>
      <c r="AH957" s="391">
        <f t="shared" si="18"/>
        <v>0.51569762015730225</v>
      </c>
      <c r="AI957" s="135">
        <f t="shared" si="19"/>
        <v>1.0147606039970853</v>
      </c>
    </row>
    <row r="958" spans="1:35" ht="12.6">
      <c r="A958" s="10" t="s">
        <v>63</v>
      </c>
      <c r="B958" s="10">
        <v>227</v>
      </c>
      <c r="C958" s="10" t="s">
        <v>1514</v>
      </c>
      <c r="D958" s="388">
        <v>45153</v>
      </c>
      <c r="E958" s="389">
        <v>45153</v>
      </c>
      <c r="F958" s="390" t="str">
        <f t="shared" si="15"/>
        <v>Other</v>
      </c>
      <c r="G958" s="135">
        <v>2.8599683375536099E-2</v>
      </c>
      <c r="H958" s="135">
        <v>2.71474969669585E-2</v>
      </c>
      <c r="I958" s="135">
        <v>2.66530382811993E-2</v>
      </c>
      <c r="J958" s="135">
        <v>2.6203737095501198E-2</v>
      </c>
      <c r="K958" s="135">
        <v>2.6289971208701801E-2</v>
      </c>
      <c r="L958" s="135">
        <v>2.8310313333443301E-2</v>
      </c>
      <c r="M958" s="135">
        <v>3.7576662949869999E-2</v>
      </c>
      <c r="N958" s="135">
        <v>4.2380808722995898E-2</v>
      </c>
      <c r="O958" s="135">
        <v>4.1619508677004202E-2</v>
      </c>
      <c r="P958" s="135">
        <v>3.97765682501071E-2</v>
      </c>
      <c r="Q958" s="135">
        <v>4.24846244954033E-2</v>
      </c>
      <c r="R958" s="135">
        <v>4.3798206522598297E-2</v>
      </c>
      <c r="S958" s="135">
        <v>4.5829015386225101E-2</v>
      </c>
      <c r="T958" s="135">
        <v>4.5713375310567003E-2</v>
      </c>
      <c r="U958" s="135">
        <v>4.4219737029885797E-2</v>
      </c>
      <c r="V958" s="135">
        <v>4.22012248229326E-2</v>
      </c>
      <c r="W958" s="135">
        <v>4.1885245229385297E-2</v>
      </c>
      <c r="X958" s="135">
        <v>4.9398085336397002E-2</v>
      </c>
      <c r="Y958" s="135">
        <v>5.9300691622132903E-2</v>
      </c>
      <c r="Z958" s="135">
        <v>6.7911678231480893E-2</v>
      </c>
      <c r="AA958" s="135">
        <v>6.8780489327373504E-2</v>
      </c>
      <c r="AB958" s="135">
        <v>6.0246958971809199E-2</v>
      </c>
      <c r="AC958" s="135">
        <v>4.5248707402128802E-2</v>
      </c>
      <c r="AD958" s="135">
        <v>3.3184775447448099E-2</v>
      </c>
      <c r="AF958" s="243">
        <f t="shared" si="16"/>
        <v>0.3061314287969974</v>
      </c>
      <c r="AG958" s="275">
        <f t="shared" si="17"/>
        <v>0.49906298383978309</v>
      </c>
      <c r="AH958" s="391">
        <f t="shared" si="18"/>
        <v>0.51569762015730225</v>
      </c>
      <c r="AI958" s="135">
        <f t="shared" si="19"/>
        <v>1.0147606039970853</v>
      </c>
    </row>
    <row r="959" spans="1:35" ht="12.6">
      <c r="A959" s="10" t="s">
        <v>63</v>
      </c>
      <c r="B959" s="10">
        <v>228</v>
      </c>
      <c r="C959" s="10" t="s">
        <v>1514</v>
      </c>
      <c r="D959" s="388">
        <v>45154</v>
      </c>
      <c r="E959" s="389">
        <v>45154</v>
      </c>
      <c r="F959" s="390" t="str">
        <f t="shared" si="15"/>
        <v>Other</v>
      </c>
      <c r="G959" s="135">
        <v>2.8599683375536099E-2</v>
      </c>
      <c r="H959" s="135">
        <v>2.71474969669585E-2</v>
      </c>
      <c r="I959" s="135">
        <v>2.66530382811993E-2</v>
      </c>
      <c r="J959" s="135">
        <v>2.6203737095501198E-2</v>
      </c>
      <c r="K959" s="135">
        <v>2.6289971208701801E-2</v>
      </c>
      <c r="L959" s="135">
        <v>2.8310313333443301E-2</v>
      </c>
      <c r="M959" s="135">
        <v>3.7576662949869999E-2</v>
      </c>
      <c r="N959" s="135">
        <v>4.2380808722995898E-2</v>
      </c>
      <c r="O959" s="135">
        <v>4.1619508677004202E-2</v>
      </c>
      <c r="P959" s="135">
        <v>3.97765682501071E-2</v>
      </c>
      <c r="Q959" s="135">
        <v>4.24846244954033E-2</v>
      </c>
      <c r="R959" s="135">
        <v>4.3798206522598297E-2</v>
      </c>
      <c r="S959" s="135">
        <v>4.5829015386225101E-2</v>
      </c>
      <c r="T959" s="135">
        <v>4.5713375310567003E-2</v>
      </c>
      <c r="U959" s="135">
        <v>4.4219737029885797E-2</v>
      </c>
      <c r="V959" s="135">
        <v>4.22012248229326E-2</v>
      </c>
      <c r="W959" s="135">
        <v>4.1885245229385297E-2</v>
      </c>
      <c r="X959" s="135">
        <v>4.9398085336397002E-2</v>
      </c>
      <c r="Y959" s="135">
        <v>5.9300691622132903E-2</v>
      </c>
      <c r="Z959" s="135">
        <v>6.7911678231480893E-2</v>
      </c>
      <c r="AA959" s="135">
        <v>6.8780489327373504E-2</v>
      </c>
      <c r="AB959" s="135">
        <v>6.0246958971809199E-2</v>
      </c>
      <c r="AC959" s="135">
        <v>4.5248707402128802E-2</v>
      </c>
      <c r="AD959" s="135">
        <v>3.3184775447448099E-2</v>
      </c>
      <c r="AF959" s="243">
        <f t="shared" si="16"/>
        <v>0.3061314287969974</v>
      </c>
      <c r="AG959" s="275">
        <f t="shared" si="17"/>
        <v>0.49906298383978309</v>
      </c>
      <c r="AH959" s="391">
        <f t="shared" si="18"/>
        <v>0.51569762015730225</v>
      </c>
      <c r="AI959" s="135">
        <f t="shared" si="19"/>
        <v>1.0147606039970853</v>
      </c>
    </row>
    <row r="960" spans="1:35" ht="12.6">
      <c r="A960" s="10" t="s">
        <v>63</v>
      </c>
      <c r="B960" s="10">
        <v>229</v>
      </c>
      <c r="C960" s="10" t="s">
        <v>1514</v>
      </c>
      <c r="D960" s="388">
        <v>45155</v>
      </c>
      <c r="E960" s="389">
        <v>45155</v>
      </c>
      <c r="F960" s="390" t="str">
        <f t="shared" si="15"/>
        <v>Other</v>
      </c>
      <c r="G960" s="135">
        <v>2.8599683375536099E-2</v>
      </c>
      <c r="H960" s="135">
        <v>2.71474969669585E-2</v>
      </c>
      <c r="I960" s="135">
        <v>2.66530382811993E-2</v>
      </c>
      <c r="J960" s="135">
        <v>2.6203737095501198E-2</v>
      </c>
      <c r="K960" s="135">
        <v>2.6289971208701801E-2</v>
      </c>
      <c r="L960" s="135">
        <v>2.8310313333443301E-2</v>
      </c>
      <c r="M960" s="135">
        <v>3.7576662949869999E-2</v>
      </c>
      <c r="N960" s="135">
        <v>4.2380808722995898E-2</v>
      </c>
      <c r="O960" s="135">
        <v>4.1619508677004202E-2</v>
      </c>
      <c r="P960" s="135">
        <v>3.97765682501071E-2</v>
      </c>
      <c r="Q960" s="135">
        <v>4.24846244954033E-2</v>
      </c>
      <c r="R960" s="135">
        <v>4.3798206522598297E-2</v>
      </c>
      <c r="S960" s="135">
        <v>4.5829015386225101E-2</v>
      </c>
      <c r="T960" s="135">
        <v>4.5713375310567003E-2</v>
      </c>
      <c r="U960" s="135">
        <v>4.4219737029885797E-2</v>
      </c>
      <c r="V960" s="135">
        <v>4.22012248229326E-2</v>
      </c>
      <c r="W960" s="135">
        <v>4.1885245229385297E-2</v>
      </c>
      <c r="X960" s="135">
        <v>4.9398085336397002E-2</v>
      </c>
      <c r="Y960" s="135">
        <v>5.9300691622132903E-2</v>
      </c>
      <c r="Z960" s="135">
        <v>6.7911678231480893E-2</v>
      </c>
      <c r="AA960" s="135">
        <v>6.8780489327373504E-2</v>
      </c>
      <c r="AB960" s="135">
        <v>6.0246958971809199E-2</v>
      </c>
      <c r="AC960" s="135">
        <v>4.5248707402128802E-2</v>
      </c>
      <c r="AD960" s="135">
        <v>3.3184775447448099E-2</v>
      </c>
      <c r="AF960" s="243">
        <f t="shared" si="16"/>
        <v>0.3061314287969974</v>
      </c>
      <c r="AG960" s="275">
        <f t="shared" si="17"/>
        <v>0.49906298383978309</v>
      </c>
      <c r="AH960" s="391">
        <f t="shared" si="18"/>
        <v>0.51569762015730225</v>
      </c>
      <c r="AI960" s="135">
        <f t="shared" si="19"/>
        <v>1.0147606039970853</v>
      </c>
    </row>
    <row r="961" spans="1:35" ht="12.6">
      <c r="A961" s="10" t="s">
        <v>63</v>
      </c>
      <c r="B961" s="10">
        <v>230</v>
      </c>
      <c r="C961" s="10" t="s">
        <v>1514</v>
      </c>
      <c r="D961" s="388">
        <v>45156</v>
      </c>
      <c r="E961" s="389">
        <v>45156</v>
      </c>
      <c r="F961" s="390" t="str">
        <f t="shared" si="15"/>
        <v>Other</v>
      </c>
      <c r="G961" s="135">
        <v>2.8599683375536099E-2</v>
      </c>
      <c r="H961" s="135">
        <v>2.71474969669585E-2</v>
      </c>
      <c r="I961" s="135">
        <v>2.66530382811993E-2</v>
      </c>
      <c r="J961" s="135">
        <v>2.6203737095501198E-2</v>
      </c>
      <c r="K961" s="135">
        <v>2.6289971208701801E-2</v>
      </c>
      <c r="L961" s="135">
        <v>2.8310313333443301E-2</v>
      </c>
      <c r="M961" s="135">
        <v>3.7576662949869999E-2</v>
      </c>
      <c r="N961" s="135">
        <v>4.2380808722995898E-2</v>
      </c>
      <c r="O961" s="135">
        <v>4.1619508677004202E-2</v>
      </c>
      <c r="P961" s="135">
        <v>3.97765682501071E-2</v>
      </c>
      <c r="Q961" s="135">
        <v>4.24846244954033E-2</v>
      </c>
      <c r="R961" s="135">
        <v>4.3798206522598297E-2</v>
      </c>
      <c r="S961" s="135">
        <v>4.5829015386225101E-2</v>
      </c>
      <c r="T961" s="135">
        <v>4.5713375310567003E-2</v>
      </c>
      <c r="U961" s="135">
        <v>4.4219737029885797E-2</v>
      </c>
      <c r="V961" s="135">
        <v>4.22012248229326E-2</v>
      </c>
      <c r="W961" s="135">
        <v>4.1885245229385297E-2</v>
      </c>
      <c r="X961" s="135">
        <v>4.9398085336397002E-2</v>
      </c>
      <c r="Y961" s="135">
        <v>5.9300691622132903E-2</v>
      </c>
      <c r="Z961" s="135">
        <v>6.7911678231480893E-2</v>
      </c>
      <c r="AA961" s="135">
        <v>6.8780489327373504E-2</v>
      </c>
      <c r="AB961" s="135">
        <v>6.0246958971809199E-2</v>
      </c>
      <c r="AC961" s="135">
        <v>4.5248707402128802E-2</v>
      </c>
      <c r="AD961" s="135">
        <v>3.3184775447448099E-2</v>
      </c>
      <c r="AF961" s="243">
        <f t="shared" si="16"/>
        <v>0.3061314287969974</v>
      </c>
      <c r="AG961" s="275">
        <f t="shared" si="17"/>
        <v>0.49906298383978309</v>
      </c>
      <c r="AH961" s="391">
        <f t="shared" si="18"/>
        <v>0.51569762015730225</v>
      </c>
      <c r="AI961" s="135">
        <f t="shared" si="19"/>
        <v>1.0147606039970853</v>
      </c>
    </row>
    <row r="962" spans="1:35" ht="12.6">
      <c r="A962" s="10" t="s">
        <v>63</v>
      </c>
      <c r="B962" s="10">
        <v>231</v>
      </c>
      <c r="C962" s="10" t="s">
        <v>1514</v>
      </c>
      <c r="D962" s="388">
        <v>45157</v>
      </c>
      <c r="E962" s="389">
        <v>45157</v>
      </c>
      <c r="F962" s="390" t="str">
        <f t="shared" si="15"/>
        <v>Other</v>
      </c>
      <c r="G962" s="135">
        <v>3.1594034421343203E-2</v>
      </c>
      <c r="H962" s="135">
        <v>2.7553598463258701E-2</v>
      </c>
      <c r="I962" s="135">
        <v>2.6362704733174199E-2</v>
      </c>
      <c r="J962" s="135">
        <v>2.5645630892124599E-2</v>
      </c>
      <c r="K962" s="135">
        <v>2.59587228117635E-2</v>
      </c>
      <c r="L962" s="135">
        <v>2.73241143004576E-2</v>
      </c>
      <c r="M962" s="135">
        <v>3.23399748772027E-2</v>
      </c>
      <c r="N962" s="135">
        <v>4.0693458091161899E-2</v>
      </c>
      <c r="O962" s="135">
        <v>4.08091648323975E-2</v>
      </c>
      <c r="P962" s="135">
        <v>4.3230267850703497E-2</v>
      </c>
      <c r="Q962" s="135">
        <v>4.8875593210887101E-2</v>
      </c>
      <c r="R962" s="135">
        <v>5.1570984614236599E-2</v>
      </c>
      <c r="S962" s="135">
        <v>5.0273372806174499E-2</v>
      </c>
      <c r="T962" s="135">
        <v>5.1223902065420802E-2</v>
      </c>
      <c r="U962" s="135">
        <v>5.1460290626661999E-2</v>
      </c>
      <c r="V962" s="135">
        <v>5.2355412480044501E-2</v>
      </c>
      <c r="W962" s="135">
        <v>5.2386615081516097E-2</v>
      </c>
      <c r="X962" s="135">
        <v>5.6565789515246601E-2</v>
      </c>
      <c r="Y962" s="135">
        <v>6.2807268783048306E-2</v>
      </c>
      <c r="Z962" s="135">
        <v>6.7990705071235696E-2</v>
      </c>
      <c r="AA962" s="135">
        <v>6.7092398362343805E-2</v>
      </c>
      <c r="AB962" s="135">
        <v>5.8280263138641902E-2</v>
      </c>
      <c r="AC962" s="135">
        <v>4.5102682710545697E-2</v>
      </c>
      <c r="AD962" s="135">
        <v>3.5824086247574299E-2</v>
      </c>
      <c r="AF962" s="243">
        <f t="shared" si="16"/>
        <v>0.35814617088494161</v>
      </c>
      <c r="AG962" s="275">
        <f t="shared" si="17"/>
        <v>0.53540514251726234</v>
      </c>
      <c r="AH962" s="391">
        <f t="shared" si="18"/>
        <v>0.53791589346990287</v>
      </c>
      <c r="AI962" s="135">
        <f t="shared" si="19"/>
        <v>1.0733210359871652</v>
      </c>
    </row>
    <row r="963" spans="1:35" ht="12.6">
      <c r="A963" s="10" t="s">
        <v>63</v>
      </c>
      <c r="B963" s="10">
        <v>232</v>
      </c>
      <c r="C963" s="10" t="s">
        <v>1514</v>
      </c>
      <c r="D963" s="388">
        <v>45158</v>
      </c>
      <c r="E963" s="389">
        <v>45158</v>
      </c>
      <c r="F963" s="390" t="str">
        <f t="shared" si="15"/>
        <v>Other</v>
      </c>
      <c r="G963" s="135">
        <v>3.1594034421343203E-2</v>
      </c>
      <c r="H963" s="135">
        <v>2.7553598463258701E-2</v>
      </c>
      <c r="I963" s="135">
        <v>2.6362704733174199E-2</v>
      </c>
      <c r="J963" s="135">
        <v>2.5645630892124599E-2</v>
      </c>
      <c r="K963" s="135">
        <v>2.59587228117635E-2</v>
      </c>
      <c r="L963" s="135">
        <v>2.73241143004576E-2</v>
      </c>
      <c r="M963" s="135">
        <v>3.23399748772027E-2</v>
      </c>
      <c r="N963" s="135">
        <v>4.0693458091161899E-2</v>
      </c>
      <c r="O963" s="135">
        <v>4.08091648323975E-2</v>
      </c>
      <c r="P963" s="135">
        <v>4.3230267850703497E-2</v>
      </c>
      <c r="Q963" s="135">
        <v>4.8875593210887101E-2</v>
      </c>
      <c r="R963" s="135">
        <v>5.1570984614236599E-2</v>
      </c>
      <c r="S963" s="135">
        <v>5.0273372806174499E-2</v>
      </c>
      <c r="T963" s="135">
        <v>5.1223902065420802E-2</v>
      </c>
      <c r="U963" s="135">
        <v>5.1460290626661999E-2</v>
      </c>
      <c r="V963" s="135">
        <v>5.2355412480044501E-2</v>
      </c>
      <c r="W963" s="135">
        <v>5.2386615081516097E-2</v>
      </c>
      <c r="X963" s="135">
        <v>5.6565789515246601E-2</v>
      </c>
      <c r="Y963" s="135">
        <v>6.2807268783048306E-2</v>
      </c>
      <c r="Z963" s="135">
        <v>6.7990705071235696E-2</v>
      </c>
      <c r="AA963" s="135">
        <v>6.7092398362343805E-2</v>
      </c>
      <c r="AB963" s="135">
        <v>5.8280263138641902E-2</v>
      </c>
      <c r="AC963" s="135">
        <v>4.5102682710545697E-2</v>
      </c>
      <c r="AD963" s="135">
        <v>3.5824086247574299E-2</v>
      </c>
      <c r="AF963" s="243">
        <f t="shared" si="16"/>
        <v>0.35814617088494161</v>
      </c>
      <c r="AG963" s="275">
        <f t="shared" si="17"/>
        <v>0.53540514251726234</v>
      </c>
      <c r="AH963" s="391">
        <f t="shared" si="18"/>
        <v>0.53791589346990287</v>
      </c>
      <c r="AI963" s="135">
        <f t="shared" si="19"/>
        <v>1.0733210359871652</v>
      </c>
    </row>
    <row r="964" spans="1:35" ht="12.6">
      <c r="A964" s="10" t="s">
        <v>63</v>
      </c>
      <c r="B964" s="10">
        <v>233</v>
      </c>
      <c r="C964" s="10" t="s">
        <v>1514</v>
      </c>
      <c r="D964" s="388">
        <v>45159</v>
      </c>
      <c r="E964" s="389">
        <v>45159</v>
      </c>
      <c r="F964" s="390" t="str">
        <f t="shared" si="15"/>
        <v>Other</v>
      </c>
      <c r="G964" s="135">
        <v>2.8599683375536099E-2</v>
      </c>
      <c r="H964" s="135">
        <v>2.71474969669585E-2</v>
      </c>
      <c r="I964" s="135">
        <v>2.66530382811993E-2</v>
      </c>
      <c r="J964" s="135">
        <v>2.6203737095501198E-2</v>
      </c>
      <c r="K964" s="135">
        <v>2.6289971208701801E-2</v>
      </c>
      <c r="L964" s="135">
        <v>2.8310313333443301E-2</v>
      </c>
      <c r="M964" s="135">
        <v>3.7576662949869999E-2</v>
      </c>
      <c r="N964" s="135">
        <v>4.2380808722995898E-2</v>
      </c>
      <c r="O964" s="135">
        <v>4.1619508677004202E-2</v>
      </c>
      <c r="P964" s="135">
        <v>3.97765682501071E-2</v>
      </c>
      <c r="Q964" s="135">
        <v>4.24846244954033E-2</v>
      </c>
      <c r="R964" s="135">
        <v>4.3798206522598297E-2</v>
      </c>
      <c r="S964" s="135">
        <v>4.5829015386225101E-2</v>
      </c>
      <c r="T964" s="135">
        <v>4.5713375310567003E-2</v>
      </c>
      <c r="U964" s="135">
        <v>4.4219737029885797E-2</v>
      </c>
      <c r="V964" s="135">
        <v>4.22012248229326E-2</v>
      </c>
      <c r="W964" s="135">
        <v>4.1885245229385297E-2</v>
      </c>
      <c r="X964" s="135">
        <v>4.9398085336397002E-2</v>
      </c>
      <c r="Y964" s="135">
        <v>5.9300691622132903E-2</v>
      </c>
      <c r="Z964" s="135">
        <v>6.7911678231480893E-2</v>
      </c>
      <c r="AA964" s="135">
        <v>6.8780489327373504E-2</v>
      </c>
      <c r="AB964" s="135">
        <v>6.0246958971809199E-2</v>
      </c>
      <c r="AC964" s="135">
        <v>4.5248707402128802E-2</v>
      </c>
      <c r="AD964" s="135">
        <v>3.3184775447448099E-2</v>
      </c>
      <c r="AF964" s="243">
        <f t="shared" si="16"/>
        <v>0.3061314287969974</v>
      </c>
      <c r="AG964" s="275">
        <f t="shared" si="17"/>
        <v>0.49906298383978309</v>
      </c>
      <c r="AH964" s="391">
        <f t="shared" si="18"/>
        <v>0.51569762015730225</v>
      </c>
      <c r="AI964" s="135">
        <f t="shared" si="19"/>
        <v>1.0147606039970853</v>
      </c>
    </row>
    <row r="965" spans="1:35" ht="12.6">
      <c r="A965" s="10" t="s">
        <v>63</v>
      </c>
      <c r="B965" s="10">
        <v>234</v>
      </c>
      <c r="C965" s="10" t="s">
        <v>1514</v>
      </c>
      <c r="D965" s="388">
        <v>45160</v>
      </c>
      <c r="E965" s="389">
        <v>45160</v>
      </c>
      <c r="F965" s="390" t="str">
        <f t="shared" si="15"/>
        <v>Other</v>
      </c>
      <c r="G965" s="135">
        <v>2.8599683375536099E-2</v>
      </c>
      <c r="H965" s="135">
        <v>2.71474969669585E-2</v>
      </c>
      <c r="I965" s="135">
        <v>2.66530382811993E-2</v>
      </c>
      <c r="J965" s="135">
        <v>2.6203737095501198E-2</v>
      </c>
      <c r="K965" s="135">
        <v>2.6289971208701801E-2</v>
      </c>
      <c r="L965" s="135">
        <v>2.8310313333443301E-2</v>
      </c>
      <c r="M965" s="135">
        <v>3.7576662949869999E-2</v>
      </c>
      <c r="N965" s="135">
        <v>4.2380808722995898E-2</v>
      </c>
      <c r="O965" s="135">
        <v>4.1619508677004202E-2</v>
      </c>
      <c r="P965" s="135">
        <v>3.97765682501071E-2</v>
      </c>
      <c r="Q965" s="135">
        <v>4.24846244954033E-2</v>
      </c>
      <c r="R965" s="135">
        <v>4.3798206522598297E-2</v>
      </c>
      <c r="S965" s="135">
        <v>4.5829015386225101E-2</v>
      </c>
      <c r="T965" s="135">
        <v>4.5713375310567003E-2</v>
      </c>
      <c r="U965" s="135">
        <v>4.4219737029885797E-2</v>
      </c>
      <c r="V965" s="135">
        <v>4.22012248229326E-2</v>
      </c>
      <c r="W965" s="135">
        <v>4.1885245229385297E-2</v>
      </c>
      <c r="X965" s="135">
        <v>4.9398085336397002E-2</v>
      </c>
      <c r="Y965" s="135">
        <v>5.9300691622132903E-2</v>
      </c>
      <c r="Z965" s="135">
        <v>6.7911678231480893E-2</v>
      </c>
      <c r="AA965" s="135">
        <v>6.8780489327373504E-2</v>
      </c>
      <c r="AB965" s="135">
        <v>6.0246958971809199E-2</v>
      </c>
      <c r="AC965" s="135">
        <v>4.5248707402128802E-2</v>
      </c>
      <c r="AD965" s="135">
        <v>3.3184775447448099E-2</v>
      </c>
      <c r="AF965" s="243">
        <f t="shared" si="16"/>
        <v>0.3061314287969974</v>
      </c>
      <c r="AG965" s="275">
        <f t="shared" si="17"/>
        <v>0.49906298383978309</v>
      </c>
      <c r="AH965" s="391">
        <f t="shared" si="18"/>
        <v>0.51569762015730225</v>
      </c>
      <c r="AI965" s="135">
        <f t="shared" si="19"/>
        <v>1.0147606039970853</v>
      </c>
    </row>
    <row r="966" spans="1:35" ht="12.6">
      <c r="A966" s="10" t="s">
        <v>63</v>
      </c>
      <c r="B966" s="10">
        <v>235</v>
      </c>
      <c r="C966" s="10" t="s">
        <v>1514</v>
      </c>
      <c r="D966" s="388">
        <v>45161</v>
      </c>
      <c r="E966" s="389">
        <v>45161</v>
      </c>
      <c r="F966" s="390" t="str">
        <f t="shared" si="15"/>
        <v>Other</v>
      </c>
      <c r="G966" s="135">
        <v>2.8599683375536099E-2</v>
      </c>
      <c r="H966" s="135">
        <v>2.71474969669585E-2</v>
      </c>
      <c r="I966" s="135">
        <v>2.66530382811993E-2</v>
      </c>
      <c r="J966" s="135">
        <v>2.6203737095501198E-2</v>
      </c>
      <c r="K966" s="135">
        <v>2.6289971208701801E-2</v>
      </c>
      <c r="L966" s="135">
        <v>2.8310313333443301E-2</v>
      </c>
      <c r="M966" s="135">
        <v>3.7576662949869999E-2</v>
      </c>
      <c r="N966" s="135">
        <v>4.2380808722995898E-2</v>
      </c>
      <c r="O966" s="135">
        <v>4.1619508677004202E-2</v>
      </c>
      <c r="P966" s="135">
        <v>3.97765682501071E-2</v>
      </c>
      <c r="Q966" s="135">
        <v>4.24846244954033E-2</v>
      </c>
      <c r="R966" s="135">
        <v>4.3798206522598297E-2</v>
      </c>
      <c r="S966" s="135">
        <v>4.5829015386225101E-2</v>
      </c>
      <c r="T966" s="135">
        <v>4.5713375310567003E-2</v>
      </c>
      <c r="U966" s="135">
        <v>4.4219737029885797E-2</v>
      </c>
      <c r="V966" s="135">
        <v>4.22012248229326E-2</v>
      </c>
      <c r="W966" s="135">
        <v>4.1885245229385297E-2</v>
      </c>
      <c r="X966" s="135">
        <v>4.9398085336397002E-2</v>
      </c>
      <c r="Y966" s="135">
        <v>5.9300691622132903E-2</v>
      </c>
      <c r="Z966" s="135">
        <v>6.7911678231480893E-2</v>
      </c>
      <c r="AA966" s="135">
        <v>6.8780489327373504E-2</v>
      </c>
      <c r="AB966" s="135">
        <v>6.0246958971809199E-2</v>
      </c>
      <c r="AC966" s="135">
        <v>4.5248707402128802E-2</v>
      </c>
      <c r="AD966" s="135">
        <v>3.3184775447448099E-2</v>
      </c>
      <c r="AF966" s="243">
        <f t="shared" si="16"/>
        <v>0.3061314287969974</v>
      </c>
      <c r="AG966" s="275">
        <f t="shared" si="17"/>
        <v>0.49906298383978309</v>
      </c>
      <c r="AH966" s="391">
        <f t="shared" si="18"/>
        <v>0.51569762015730225</v>
      </c>
      <c r="AI966" s="135">
        <f t="shared" si="19"/>
        <v>1.0147606039970853</v>
      </c>
    </row>
    <row r="967" spans="1:35" ht="12.6">
      <c r="A967" s="10" t="s">
        <v>63</v>
      </c>
      <c r="B967" s="10">
        <v>236</v>
      </c>
      <c r="C967" s="10" t="s">
        <v>1514</v>
      </c>
      <c r="D967" s="388">
        <v>45162</v>
      </c>
      <c r="E967" s="389">
        <v>45162</v>
      </c>
      <c r="F967" s="390" t="str">
        <f t="shared" si="15"/>
        <v>Other</v>
      </c>
      <c r="G967" s="135">
        <v>2.8599683375536099E-2</v>
      </c>
      <c r="H967" s="135">
        <v>2.71474969669585E-2</v>
      </c>
      <c r="I967" s="135">
        <v>2.66530382811993E-2</v>
      </c>
      <c r="J967" s="135">
        <v>2.6203737095501198E-2</v>
      </c>
      <c r="K967" s="135">
        <v>2.6289971208701801E-2</v>
      </c>
      <c r="L967" s="135">
        <v>2.8310313333443301E-2</v>
      </c>
      <c r="M967" s="135">
        <v>3.7576662949869999E-2</v>
      </c>
      <c r="N967" s="135">
        <v>4.2380808722995898E-2</v>
      </c>
      <c r="O967" s="135">
        <v>4.1619508677004202E-2</v>
      </c>
      <c r="P967" s="135">
        <v>3.97765682501071E-2</v>
      </c>
      <c r="Q967" s="135">
        <v>4.24846244954033E-2</v>
      </c>
      <c r="R967" s="135">
        <v>4.3798206522598297E-2</v>
      </c>
      <c r="S967" s="135">
        <v>4.5829015386225101E-2</v>
      </c>
      <c r="T967" s="135">
        <v>4.5713375310567003E-2</v>
      </c>
      <c r="U967" s="135">
        <v>4.4219737029885797E-2</v>
      </c>
      <c r="V967" s="135">
        <v>4.22012248229326E-2</v>
      </c>
      <c r="W967" s="135">
        <v>4.1885245229385297E-2</v>
      </c>
      <c r="X967" s="135">
        <v>4.9398085336397002E-2</v>
      </c>
      <c r="Y967" s="135">
        <v>5.9300691622132903E-2</v>
      </c>
      <c r="Z967" s="135">
        <v>6.7911678231480893E-2</v>
      </c>
      <c r="AA967" s="135">
        <v>6.8780489327373504E-2</v>
      </c>
      <c r="AB967" s="135">
        <v>6.0246958971809199E-2</v>
      </c>
      <c r="AC967" s="135">
        <v>4.5248707402128802E-2</v>
      </c>
      <c r="AD967" s="135">
        <v>3.3184775447448099E-2</v>
      </c>
      <c r="AF967" s="243">
        <f t="shared" si="16"/>
        <v>0.3061314287969974</v>
      </c>
      <c r="AG967" s="275">
        <f t="shared" si="17"/>
        <v>0.49906298383978309</v>
      </c>
      <c r="AH967" s="391">
        <f t="shared" si="18"/>
        <v>0.51569762015730225</v>
      </c>
      <c r="AI967" s="135">
        <f t="shared" si="19"/>
        <v>1.0147606039970853</v>
      </c>
    </row>
    <row r="968" spans="1:35" ht="12.6">
      <c r="A968" s="10" t="s">
        <v>63</v>
      </c>
      <c r="B968" s="10">
        <v>237</v>
      </c>
      <c r="C968" s="10" t="s">
        <v>1514</v>
      </c>
      <c r="D968" s="388">
        <v>45163</v>
      </c>
      <c r="E968" s="389">
        <v>45163</v>
      </c>
      <c r="F968" s="390" t="str">
        <f t="shared" si="15"/>
        <v>Other</v>
      </c>
      <c r="G968" s="135">
        <v>2.8599683375536099E-2</v>
      </c>
      <c r="H968" s="135">
        <v>2.71474969669585E-2</v>
      </c>
      <c r="I968" s="135">
        <v>2.66530382811993E-2</v>
      </c>
      <c r="J968" s="135">
        <v>2.6203737095501198E-2</v>
      </c>
      <c r="K968" s="135">
        <v>2.6289971208701801E-2</v>
      </c>
      <c r="L968" s="135">
        <v>2.8310313333443301E-2</v>
      </c>
      <c r="M968" s="135">
        <v>3.7576662949869999E-2</v>
      </c>
      <c r="N968" s="135">
        <v>4.2380808722995898E-2</v>
      </c>
      <c r="O968" s="135">
        <v>4.1619508677004202E-2</v>
      </c>
      <c r="P968" s="135">
        <v>3.97765682501071E-2</v>
      </c>
      <c r="Q968" s="135">
        <v>4.24846244954033E-2</v>
      </c>
      <c r="R968" s="135">
        <v>4.3798206522598297E-2</v>
      </c>
      <c r="S968" s="135">
        <v>4.5829015386225101E-2</v>
      </c>
      <c r="T968" s="135">
        <v>4.5713375310567003E-2</v>
      </c>
      <c r="U968" s="135">
        <v>4.4219737029885797E-2</v>
      </c>
      <c r="V968" s="135">
        <v>4.22012248229326E-2</v>
      </c>
      <c r="W968" s="135">
        <v>4.1885245229385297E-2</v>
      </c>
      <c r="X968" s="135">
        <v>4.9398085336397002E-2</v>
      </c>
      <c r="Y968" s="135">
        <v>5.9300691622132903E-2</v>
      </c>
      <c r="Z968" s="135">
        <v>6.7911678231480893E-2</v>
      </c>
      <c r="AA968" s="135">
        <v>6.8780489327373504E-2</v>
      </c>
      <c r="AB968" s="135">
        <v>6.0246958971809199E-2</v>
      </c>
      <c r="AC968" s="135">
        <v>4.5248707402128802E-2</v>
      </c>
      <c r="AD968" s="135">
        <v>3.3184775447448099E-2</v>
      </c>
      <c r="AF968" s="243">
        <f t="shared" si="16"/>
        <v>0.3061314287969974</v>
      </c>
      <c r="AG968" s="275">
        <f t="shared" si="17"/>
        <v>0.49906298383978309</v>
      </c>
      <c r="AH968" s="391">
        <f t="shared" si="18"/>
        <v>0.51569762015730225</v>
      </c>
      <c r="AI968" s="135">
        <f t="shared" si="19"/>
        <v>1.0147606039970853</v>
      </c>
    </row>
    <row r="969" spans="1:35" ht="12.6">
      <c r="A969" s="10" t="s">
        <v>63</v>
      </c>
      <c r="B969" s="10">
        <v>238</v>
      </c>
      <c r="C969" s="10" t="s">
        <v>1514</v>
      </c>
      <c r="D969" s="388">
        <v>45164</v>
      </c>
      <c r="E969" s="389">
        <v>45164</v>
      </c>
      <c r="F969" s="390" t="str">
        <f t="shared" si="15"/>
        <v>Other</v>
      </c>
      <c r="G969" s="135">
        <v>3.1594034421343203E-2</v>
      </c>
      <c r="H969" s="135">
        <v>2.7553598463258701E-2</v>
      </c>
      <c r="I969" s="135">
        <v>2.6362704733174199E-2</v>
      </c>
      <c r="J969" s="135">
        <v>2.5645630892124599E-2</v>
      </c>
      <c r="K969" s="135">
        <v>2.59587228117635E-2</v>
      </c>
      <c r="L969" s="135">
        <v>2.73241143004576E-2</v>
      </c>
      <c r="M969" s="135">
        <v>3.23399748772027E-2</v>
      </c>
      <c r="N969" s="135">
        <v>4.0693458091161899E-2</v>
      </c>
      <c r="O969" s="135">
        <v>4.08091648323975E-2</v>
      </c>
      <c r="P969" s="135">
        <v>4.3230267850703497E-2</v>
      </c>
      <c r="Q969" s="135">
        <v>4.8875593210887101E-2</v>
      </c>
      <c r="R969" s="135">
        <v>5.1570984614236599E-2</v>
      </c>
      <c r="S969" s="135">
        <v>5.0273372806174499E-2</v>
      </c>
      <c r="T969" s="135">
        <v>5.1223902065420802E-2</v>
      </c>
      <c r="U969" s="135">
        <v>5.1460290626661999E-2</v>
      </c>
      <c r="V969" s="135">
        <v>5.2355412480044501E-2</v>
      </c>
      <c r="W969" s="135">
        <v>5.2386615081516097E-2</v>
      </c>
      <c r="X969" s="135">
        <v>5.6565789515246601E-2</v>
      </c>
      <c r="Y969" s="135">
        <v>6.2807268783048306E-2</v>
      </c>
      <c r="Z969" s="135">
        <v>6.7990705071235696E-2</v>
      </c>
      <c r="AA969" s="135">
        <v>6.7092398362343805E-2</v>
      </c>
      <c r="AB969" s="135">
        <v>5.8280263138641902E-2</v>
      </c>
      <c r="AC969" s="135">
        <v>4.5102682710545697E-2</v>
      </c>
      <c r="AD969" s="135">
        <v>3.5824086247574299E-2</v>
      </c>
      <c r="AF969" s="243">
        <f t="shared" si="16"/>
        <v>0.35814617088494161</v>
      </c>
      <c r="AG969" s="275">
        <f t="shared" si="17"/>
        <v>0.53540514251726234</v>
      </c>
      <c r="AH969" s="391">
        <f t="shared" si="18"/>
        <v>0.53791589346990287</v>
      </c>
      <c r="AI969" s="135">
        <f t="shared" si="19"/>
        <v>1.0733210359871652</v>
      </c>
    </row>
    <row r="970" spans="1:35" ht="12.6">
      <c r="A970" s="10" t="s">
        <v>63</v>
      </c>
      <c r="B970" s="10">
        <v>239</v>
      </c>
      <c r="C970" s="10" t="s">
        <v>1514</v>
      </c>
      <c r="D970" s="388">
        <v>45165</v>
      </c>
      <c r="E970" s="389">
        <v>45165</v>
      </c>
      <c r="F970" s="390" t="str">
        <f t="shared" si="15"/>
        <v>Other</v>
      </c>
      <c r="G970" s="135">
        <v>3.1594034421343203E-2</v>
      </c>
      <c r="H970" s="135">
        <v>2.7553598463258701E-2</v>
      </c>
      <c r="I970" s="135">
        <v>2.6362704733174199E-2</v>
      </c>
      <c r="J970" s="135">
        <v>2.5645630892124599E-2</v>
      </c>
      <c r="K970" s="135">
        <v>2.59587228117635E-2</v>
      </c>
      <c r="L970" s="135">
        <v>2.73241143004576E-2</v>
      </c>
      <c r="M970" s="135">
        <v>3.23399748772027E-2</v>
      </c>
      <c r="N970" s="135">
        <v>4.0693458091161899E-2</v>
      </c>
      <c r="O970" s="135">
        <v>4.08091648323975E-2</v>
      </c>
      <c r="P970" s="135">
        <v>4.3230267850703497E-2</v>
      </c>
      <c r="Q970" s="135">
        <v>4.8875593210887101E-2</v>
      </c>
      <c r="R970" s="135">
        <v>5.1570984614236599E-2</v>
      </c>
      <c r="S970" s="135">
        <v>5.0273372806174499E-2</v>
      </c>
      <c r="T970" s="135">
        <v>5.1223902065420802E-2</v>
      </c>
      <c r="U970" s="135">
        <v>5.1460290626661999E-2</v>
      </c>
      <c r="V970" s="135">
        <v>5.2355412480044501E-2</v>
      </c>
      <c r="W970" s="135">
        <v>5.2386615081516097E-2</v>
      </c>
      <c r="X970" s="135">
        <v>5.6565789515246601E-2</v>
      </c>
      <c r="Y970" s="135">
        <v>6.2807268783048306E-2</v>
      </c>
      <c r="Z970" s="135">
        <v>6.7990705071235696E-2</v>
      </c>
      <c r="AA970" s="135">
        <v>6.7092398362343805E-2</v>
      </c>
      <c r="AB970" s="135">
        <v>5.8280263138641902E-2</v>
      </c>
      <c r="AC970" s="135">
        <v>4.5102682710545697E-2</v>
      </c>
      <c r="AD970" s="135">
        <v>3.5824086247574299E-2</v>
      </c>
      <c r="AF970" s="243">
        <f t="shared" si="16"/>
        <v>0.35814617088494161</v>
      </c>
      <c r="AG970" s="275">
        <f t="shared" si="17"/>
        <v>0.53540514251726234</v>
      </c>
      <c r="AH970" s="391">
        <f t="shared" si="18"/>
        <v>0.53791589346990287</v>
      </c>
      <c r="AI970" s="135">
        <f t="shared" si="19"/>
        <v>1.0733210359871652</v>
      </c>
    </row>
    <row r="971" spans="1:35" ht="12.6">
      <c r="A971" s="10" t="s">
        <v>63</v>
      </c>
      <c r="B971" s="10">
        <v>240</v>
      </c>
      <c r="C971" s="10" t="s">
        <v>1514</v>
      </c>
      <c r="D971" s="388">
        <v>45166</v>
      </c>
      <c r="E971" s="389">
        <v>45166</v>
      </c>
      <c r="F971" s="390" t="str">
        <f t="shared" si="15"/>
        <v>Other</v>
      </c>
      <c r="G971" s="135">
        <v>2.8599683375536099E-2</v>
      </c>
      <c r="H971" s="135">
        <v>2.71474969669585E-2</v>
      </c>
      <c r="I971" s="135">
        <v>2.66530382811993E-2</v>
      </c>
      <c r="J971" s="135">
        <v>2.6203737095501198E-2</v>
      </c>
      <c r="K971" s="135">
        <v>2.6289971208701801E-2</v>
      </c>
      <c r="L971" s="135">
        <v>2.8310313333443301E-2</v>
      </c>
      <c r="M971" s="135">
        <v>3.7576662949869999E-2</v>
      </c>
      <c r="N971" s="135">
        <v>4.2380808722995898E-2</v>
      </c>
      <c r="O971" s="135">
        <v>4.1619508677004202E-2</v>
      </c>
      <c r="P971" s="135">
        <v>3.97765682501071E-2</v>
      </c>
      <c r="Q971" s="135">
        <v>4.24846244954033E-2</v>
      </c>
      <c r="R971" s="135">
        <v>4.3798206522598297E-2</v>
      </c>
      <c r="S971" s="135">
        <v>4.5829015386225101E-2</v>
      </c>
      <c r="T971" s="135">
        <v>4.5713375310567003E-2</v>
      </c>
      <c r="U971" s="135">
        <v>4.4219737029885797E-2</v>
      </c>
      <c r="V971" s="135">
        <v>4.22012248229326E-2</v>
      </c>
      <c r="W971" s="135">
        <v>4.1885245229385297E-2</v>
      </c>
      <c r="X971" s="135">
        <v>4.9398085336397002E-2</v>
      </c>
      <c r="Y971" s="135">
        <v>5.9300691622132903E-2</v>
      </c>
      <c r="Z971" s="135">
        <v>6.7911678231480893E-2</v>
      </c>
      <c r="AA971" s="135">
        <v>6.8780489327373504E-2</v>
      </c>
      <c r="AB971" s="135">
        <v>6.0246958971809199E-2</v>
      </c>
      <c r="AC971" s="135">
        <v>4.5248707402128802E-2</v>
      </c>
      <c r="AD971" s="135">
        <v>3.3184775447448099E-2</v>
      </c>
      <c r="AF971" s="243">
        <f t="shared" si="16"/>
        <v>0.3061314287969974</v>
      </c>
      <c r="AG971" s="275">
        <f t="shared" si="17"/>
        <v>0.49906298383978309</v>
      </c>
      <c r="AH971" s="391">
        <f t="shared" si="18"/>
        <v>0.51569762015730225</v>
      </c>
      <c r="AI971" s="135">
        <f t="shared" si="19"/>
        <v>1.0147606039970853</v>
      </c>
    </row>
    <row r="972" spans="1:35" ht="12.6">
      <c r="A972" s="10" t="s">
        <v>63</v>
      </c>
      <c r="B972" s="10">
        <v>241</v>
      </c>
      <c r="C972" s="10" t="s">
        <v>1514</v>
      </c>
      <c r="D972" s="388">
        <v>45167</v>
      </c>
      <c r="E972" s="389">
        <v>45167</v>
      </c>
      <c r="F972" s="390" t="str">
        <f t="shared" si="15"/>
        <v>Other</v>
      </c>
      <c r="G972" s="135">
        <v>2.8599683375536099E-2</v>
      </c>
      <c r="H972" s="135">
        <v>2.71474969669585E-2</v>
      </c>
      <c r="I972" s="135">
        <v>2.66530382811993E-2</v>
      </c>
      <c r="J972" s="135">
        <v>2.6203737095501198E-2</v>
      </c>
      <c r="K972" s="135">
        <v>2.6289971208701801E-2</v>
      </c>
      <c r="L972" s="135">
        <v>2.8310313333443301E-2</v>
      </c>
      <c r="M972" s="135">
        <v>3.7576662949869999E-2</v>
      </c>
      <c r="N972" s="135">
        <v>4.2380808722995898E-2</v>
      </c>
      <c r="O972" s="135">
        <v>4.1619508677004202E-2</v>
      </c>
      <c r="P972" s="135">
        <v>3.97765682501071E-2</v>
      </c>
      <c r="Q972" s="135">
        <v>4.24846244954033E-2</v>
      </c>
      <c r="R972" s="135">
        <v>4.3798206522598297E-2</v>
      </c>
      <c r="S972" s="135">
        <v>4.5829015386225101E-2</v>
      </c>
      <c r="T972" s="135">
        <v>4.5713375310567003E-2</v>
      </c>
      <c r="U972" s="135">
        <v>4.4219737029885797E-2</v>
      </c>
      <c r="V972" s="135">
        <v>4.22012248229326E-2</v>
      </c>
      <c r="W972" s="135">
        <v>4.1885245229385297E-2</v>
      </c>
      <c r="X972" s="135">
        <v>4.9398085336397002E-2</v>
      </c>
      <c r="Y972" s="135">
        <v>5.9300691622132903E-2</v>
      </c>
      <c r="Z972" s="135">
        <v>6.7911678231480893E-2</v>
      </c>
      <c r="AA972" s="135">
        <v>6.8780489327373504E-2</v>
      </c>
      <c r="AB972" s="135">
        <v>6.0246958971809199E-2</v>
      </c>
      <c r="AC972" s="135">
        <v>4.5248707402128802E-2</v>
      </c>
      <c r="AD972" s="135">
        <v>3.3184775447448099E-2</v>
      </c>
      <c r="AF972" s="243">
        <f t="shared" si="16"/>
        <v>0.3061314287969974</v>
      </c>
      <c r="AG972" s="275">
        <f t="shared" si="17"/>
        <v>0.49906298383978309</v>
      </c>
      <c r="AH972" s="391">
        <f t="shared" si="18"/>
        <v>0.51569762015730225</v>
      </c>
      <c r="AI972" s="135">
        <f t="shared" si="19"/>
        <v>1.0147606039970853</v>
      </c>
    </row>
    <row r="973" spans="1:35" ht="12.6">
      <c r="A973" s="10" t="s">
        <v>63</v>
      </c>
      <c r="B973" s="10">
        <v>242</v>
      </c>
      <c r="C973" s="10" t="s">
        <v>1514</v>
      </c>
      <c r="D973" s="388">
        <v>45168</v>
      </c>
      <c r="E973" s="389">
        <v>45168</v>
      </c>
      <c r="F973" s="390" t="str">
        <f t="shared" si="15"/>
        <v>Other</v>
      </c>
      <c r="G973" s="135">
        <v>2.8599683375536099E-2</v>
      </c>
      <c r="H973" s="135">
        <v>2.71474969669585E-2</v>
      </c>
      <c r="I973" s="135">
        <v>2.66530382811993E-2</v>
      </c>
      <c r="J973" s="135">
        <v>2.6203737095501198E-2</v>
      </c>
      <c r="K973" s="135">
        <v>2.6289971208701801E-2</v>
      </c>
      <c r="L973" s="135">
        <v>2.8310313333443301E-2</v>
      </c>
      <c r="M973" s="135">
        <v>3.7576662949869999E-2</v>
      </c>
      <c r="N973" s="135">
        <v>4.2380808722995898E-2</v>
      </c>
      <c r="O973" s="135">
        <v>4.1619508677004202E-2</v>
      </c>
      <c r="P973" s="135">
        <v>3.97765682501071E-2</v>
      </c>
      <c r="Q973" s="135">
        <v>4.24846244954033E-2</v>
      </c>
      <c r="R973" s="135">
        <v>4.3798206522598297E-2</v>
      </c>
      <c r="S973" s="135">
        <v>4.5829015386225101E-2</v>
      </c>
      <c r="T973" s="135">
        <v>4.5713375310567003E-2</v>
      </c>
      <c r="U973" s="135">
        <v>4.4219737029885797E-2</v>
      </c>
      <c r="V973" s="135">
        <v>4.22012248229326E-2</v>
      </c>
      <c r="W973" s="135">
        <v>4.1885245229385297E-2</v>
      </c>
      <c r="X973" s="135">
        <v>4.9398085336397002E-2</v>
      </c>
      <c r="Y973" s="135">
        <v>5.9300691622132903E-2</v>
      </c>
      <c r="Z973" s="135">
        <v>6.7911678231480893E-2</v>
      </c>
      <c r="AA973" s="135">
        <v>6.8780489327373504E-2</v>
      </c>
      <c r="AB973" s="135">
        <v>6.0246958971809199E-2</v>
      </c>
      <c r="AC973" s="135">
        <v>4.5248707402128802E-2</v>
      </c>
      <c r="AD973" s="135">
        <v>3.3184775447448099E-2</v>
      </c>
      <c r="AF973" s="243">
        <f t="shared" si="16"/>
        <v>0.3061314287969974</v>
      </c>
      <c r="AG973" s="275">
        <f t="shared" si="17"/>
        <v>0.49906298383978309</v>
      </c>
      <c r="AH973" s="391">
        <f t="shared" si="18"/>
        <v>0.51569762015730225</v>
      </c>
      <c r="AI973" s="135">
        <f t="shared" si="19"/>
        <v>1.0147606039970853</v>
      </c>
    </row>
    <row r="974" spans="1:35" ht="12.6">
      <c r="A974" s="10" t="s">
        <v>63</v>
      </c>
      <c r="B974" s="10">
        <v>243</v>
      </c>
      <c r="C974" s="10" t="s">
        <v>1514</v>
      </c>
      <c r="D974" s="388">
        <v>45169</v>
      </c>
      <c r="E974" s="389">
        <v>45169</v>
      </c>
      <c r="F974" s="390" t="str">
        <f t="shared" si="15"/>
        <v>Other</v>
      </c>
      <c r="G974" s="135">
        <v>2.8599683375536099E-2</v>
      </c>
      <c r="H974" s="135">
        <v>2.71474969669585E-2</v>
      </c>
      <c r="I974" s="135">
        <v>2.66530382811993E-2</v>
      </c>
      <c r="J974" s="135">
        <v>2.6203737095501198E-2</v>
      </c>
      <c r="K974" s="135">
        <v>2.6289971208701801E-2</v>
      </c>
      <c r="L974" s="135">
        <v>2.8310313333443301E-2</v>
      </c>
      <c r="M974" s="135">
        <v>3.7576662949869999E-2</v>
      </c>
      <c r="N974" s="135">
        <v>4.2380808722995898E-2</v>
      </c>
      <c r="O974" s="135">
        <v>4.1619508677004202E-2</v>
      </c>
      <c r="P974" s="135">
        <v>3.97765682501071E-2</v>
      </c>
      <c r="Q974" s="135">
        <v>4.24846244954033E-2</v>
      </c>
      <c r="R974" s="135">
        <v>4.3798206522598297E-2</v>
      </c>
      <c r="S974" s="135">
        <v>4.5829015386225101E-2</v>
      </c>
      <c r="T974" s="135">
        <v>4.5713375310567003E-2</v>
      </c>
      <c r="U974" s="135">
        <v>4.4219737029885797E-2</v>
      </c>
      <c r="V974" s="135">
        <v>4.22012248229326E-2</v>
      </c>
      <c r="W974" s="135">
        <v>4.1885245229385297E-2</v>
      </c>
      <c r="X974" s="135">
        <v>4.9398085336397002E-2</v>
      </c>
      <c r="Y974" s="135">
        <v>5.9300691622132903E-2</v>
      </c>
      <c r="Z974" s="135">
        <v>6.7911678231480893E-2</v>
      </c>
      <c r="AA974" s="135">
        <v>6.8780489327373504E-2</v>
      </c>
      <c r="AB974" s="135">
        <v>6.0246958971809199E-2</v>
      </c>
      <c r="AC974" s="135">
        <v>4.5248707402128802E-2</v>
      </c>
      <c r="AD974" s="135">
        <v>3.3184775447448099E-2</v>
      </c>
      <c r="AF974" s="243">
        <f t="shared" si="16"/>
        <v>0.3061314287969974</v>
      </c>
      <c r="AG974" s="275">
        <f t="shared" si="17"/>
        <v>0.49906298383978309</v>
      </c>
      <c r="AH974" s="391">
        <f t="shared" si="18"/>
        <v>0.51569762015730225</v>
      </c>
      <c r="AI974" s="135">
        <f t="shared" si="19"/>
        <v>1.0147606039970853</v>
      </c>
    </row>
    <row r="975" spans="1:35" ht="12.6">
      <c r="A975" s="10" t="s">
        <v>63</v>
      </c>
      <c r="B975" s="10">
        <v>244</v>
      </c>
      <c r="C975" s="10" t="s">
        <v>1515</v>
      </c>
      <c r="D975" s="388">
        <v>45170</v>
      </c>
      <c r="E975" s="389">
        <v>45170</v>
      </c>
      <c r="F975" s="390" t="str">
        <f t="shared" si="15"/>
        <v>Other</v>
      </c>
      <c r="G975" s="135">
        <v>2.7461416298379501E-2</v>
      </c>
      <c r="H975" s="135">
        <v>2.59817916427377E-2</v>
      </c>
      <c r="I975" s="135">
        <v>2.5486616498992101E-2</v>
      </c>
      <c r="J975" s="135">
        <v>2.49925256423561E-2</v>
      </c>
      <c r="K975" s="135">
        <v>2.5524711218284198E-2</v>
      </c>
      <c r="L975" s="135">
        <v>2.73904103889555E-2</v>
      </c>
      <c r="M975" s="135">
        <v>3.7921757343178202E-2</v>
      </c>
      <c r="N975" s="135">
        <v>4.2893446772633299E-2</v>
      </c>
      <c r="O975" s="135">
        <v>4.0317796620390998E-2</v>
      </c>
      <c r="P975" s="135">
        <v>3.9478177652496498E-2</v>
      </c>
      <c r="Q975" s="135">
        <v>4.1562998294850599E-2</v>
      </c>
      <c r="R975" s="135">
        <v>4.2947465511646299E-2</v>
      </c>
      <c r="S975" s="135">
        <v>4.4862605457097401E-2</v>
      </c>
      <c r="T975" s="135">
        <v>4.5843808581536402E-2</v>
      </c>
      <c r="U975" s="135">
        <v>4.4489163191487803E-2</v>
      </c>
      <c r="V975" s="135">
        <v>4.2673020369751603E-2</v>
      </c>
      <c r="W975" s="135">
        <v>4.2395132214933497E-2</v>
      </c>
      <c r="X975" s="135">
        <v>4.8196610085783E-2</v>
      </c>
      <c r="Y975" s="135">
        <v>5.6199504371839001E-2</v>
      </c>
      <c r="Z975" s="135">
        <v>6.4613659135555196E-2</v>
      </c>
      <c r="AA975" s="135">
        <v>6.4950299464656094E-2</v>
      </c>
      <c r="AB975" s="135">
        <v>5.50007011186305E-2</v>
      </c>
      <c r="AC975" s="135">
        <v>4.13050236667949E-2</v>
      </c>
      <c r="AD975" s="135">
        <v>3.14877897221401E-2</v>
      </c>
      <c r="AF975" s="243">
        <f t="shared" si="16"/>
        <v>0.30477419362130365</v>
      </c>
      <c r="AG975" s="275">
        <f t="shared" si="17"/>
        <v>0.48781577223662509</v>
      </c>
      <c r="AH975" s="391">
        <f t="shared" si="18"/>
        <v>0.4961606590284815</v>
      </c>
      <c r="AI975" s="135">
        <f t="shared" si="19"/>
        <v>0.98397643126510659</v>
      </c>
    </row>
    <row r="976" spans="1:35" ht="12.6">
      <c r="A976" s="10" t="s">
        <v>63</v>
      </c>
      <c r="B976" s="10">
        <v>245</v>
      </c>
      <c r="C976" s="10" t="s">
        <v>1515</v>
      </c>
      <c r="D976" s="388">
        <v>45171</v>
      </c>
      <c r="E976" s="389">
        <v>45171</v>
      </c>
      <c r="F976" s="390" t="str">
        <f t="shared" si="15"/>
        <v>Other</v>
      </c>
      <c r="G976" s="135">
        <v>3.0131338339630699E-2</v>
      </c>
      <c r="H976" s="135">
        <v>2.6410819320413299E-2</v>
      </c>
      <c r="I976" s="135">
        <v>2.5136055432186399E-2</v>
      </c>
      <c r="J976" s="135">
        <v>2.4529545065448102E-2</v>
      </c>
      <c r="K976" s="135">
        <v>2.5221946107423E-2</v>
      </c>
      <c r="L976" s="135">
        <v>2.6564070267563099E-2</v>
      </c>
      <c r="M976" s="135">
        <v>3.2872190317752799E-2</v>
      </c>
      <c r="N976" s="135">
        <v>4.2324309975772301E-2</v>
      </c>
      <c r="O976" s="135">
        <v>4.14663838977141E-2</v>
      </c>
      <c r="P976" s="135">
        <v>4.34798560122251E-2</v>
      </c>
      <c r="Q976" s="135">
        <v>4.7324490082932699E-2</v>
      </c>
      <c r="R976" s="135">
        <v>4.9828625181992298E-2</v>
      </c>
      <c r="S976" s="135">
        <v>4.9605494107248002E-2</v>
      </c>
      <c r="T976" s="135">
        <v>5.0983369720472398E-2</v>
      </c>
      <c r="U976" s="135">
        <v>5.19831141230018E-2</v>
      </c>
      <c r="V976" s="135">
        <v>5.24576200462748E-2</v>
      </c>
      <c r="W976" s="135">
        <v>5.1441253870066303E-2</v>
      </c>
      <c r="X976" s="135">
        <v>5.3034988802493001E-2</v>
      </c>
      <c r="Y976" s="135">
        <v>5.86267608479508E-2</v>
      </c>
      <c r="Z976" s="135">
        <v>6.4340363281778307E-2</v>
      </c>
      <c r="AA976" s="135">
        <v>6.3432368544790493E-2</v>
      </c>
      <c r="AB976" s="135">
        <v>5.4123944283965303E-2</v>
      </c>
      <c r="AC976" s="135">
        <v>4.1312537475999798E-2</v>
      </c>
      <c r="AD976" s="135">
        <v>3.3610892724618001E-2</v>
      </c>
      <c r="AF976" s="243">
        <f t="shared" si="16"/>
        <v>0.35362396713198835</v>
      </c>
      <c r="AG976" s="275">
        <f t="shared" si="17"/>
        <v>0.52226024691809836</v>
      </c>
      <c r="AH976" s="391">
        <f t="shared" si="18"/>
        <v>0.5179820909116144</v>
      </c>
      <c r="AI976" s="135">
        <f t="shared" si="19"/>
        <v>1.0402423378297128</v>
      </c>
    </row>
    <row r="977" spans="1:35" ht="12.6">
      <c r="A977" s="10" t="s">
        <v>63</v>
      </c>
      <c r="B977" s="10">
        <v>246</v>
      </c>
      <c r="C977" s="10" t="s">
        <v>1515</v>
      </c>
      <c r="D977" s="388">
        <v>45172</v>
      </c>
      <c r="E977" s="389">
        <v>45172</v>
      </c>
      <c r="F977" s="390" t="str">
        <f t="shared" si="15"/>
        <v>Other</v>
      </c>
      <c r="G977" s="135">
        <v>3.0131338339630699E-2</v>
      </c>
      <c r="H977" s="135">
        <v>2.6410819320413299E-2</v>
      </c>
      <c r="I977" s="135">
        <v>2.5136055432186399E-2</v>
      </c>
      <c r="J977" s="135">
        <v>2.4529545065448102E-2</v>
      </c>
      <c r="K977" s="135">
        <v>2.5221946107423E-2</v>
      </c>
      <c r="L977" s="135">
        <v>2.6564070267563099E-2</v>
      </c>
      <c r="M977" s="135">
        <v>3.2872190317752799E-2</v>
      </c>
      <c r="N977" s="135">
        <v>4.2324309975772301E-2</v>
      </c>
      <c r="O977" s="135">
        <v>4.14663838977141E-2</v>
      </c>
      <c r="P977" s="135">
        <v>4.34798560122251E-2</v>
      </c>
      <c r="Q977" s="135">
        <v>4.7324490082932699E-2</v>
      </c>
      <c r="R977" s="135">
        <v>4.9828625181992298E-2</v>
      </c>
      <c r="S977" s="135">
        <v>4.9605494107248002E-2</v>
      </c>
      <c r="T977" s="135">
        <v>5.0983369720472398E-2</v>
      </c>
      <c r="U977" s="135">
        <v>5.19831141230018E-2</v>
      </c>
      <c r="V977" s="135">
        <v>5.24576200462748E-2</v>
      </c>
      <c r="W977" s="135">
        <v>5.1441253870066303E-2</v>
      </c>
      <c r="X977" s="135">
        <v>5.3034988802493001E-2</v>
      </c>
      <c r="Y977" s="135">
        <v>5.86267608479508E-2</v>
      </c>
      <c r="Z977" s="135">
        <v>6.4340363281778307E-2</v>
      </c>
      <c r="AA977" s="135">
        <v>6.3432368544790493E-2</v>
      </c>
      <c r="AB977" s="135">
        <v>5.4123944283965303E-2</v>
      </c>
      <c r="AC977" s="135">
        <v>4.1312537475999798E-2</v>
      </c>
      <c r="AD977" s="135">
        <v>3.3610892724618001E-2</v>
      </c>
      <c r="AF977" s="243">
        <f t="shared" si="16"/>
        <v>0.35362396713198835</v>
      </c>
      <c r="AG977" s="275">
        <f t="shared" si="17"/>
        <v>0.52226024691809836</v>
      </c>
      <c r="AH977" s="391">
        <f t="shared" si="18"/>
        <v>0.5179820909116144</v>
      </c>
      <c r="AI977" s="135">
        <f t="shared" si="19"/>
        <v>1.0402423378297128</v>
      </c>
    </row>
    <row r="978" spans="1:35" ht="12.6">
      <c r="A978" s="10" t="s">
        <v>63</v>
      </c>
      <c r="B978" s="10">
        <v>247</v>
      </c>
      <c r="C978" s="10" t="s">
        <v>1515</v>
      </c>
      <c r="D978" s="388">
        <v>45173</v>
      </c>
      <c r="E978" s="389">
        <v>45173</v>
      </c>
      <c r="F978" s="390" t="str">
        <f t="shared" si="15"/>
        <v>Other</v>
      </c>
      <c r="G978" s="135">
        <v>2.7461416298379501E-2</v>
      </c>
      <c r="H978" s="135">
        <v>2.59817916427377E-2</v>
      </c>
      <c r="I978" s="135">
        <v>2.5486616498992101E-2</v>
      </c>
      <c r="J978" s="135">
        <v>2.49925256423561E-2</v>
      </c>
      <c r="K978" s="135">
        <v>2.5524711218284198E-2</v>
      </c>
      <c r="L978" s="135">
        <v>2.73904103889555E-2</v>
      </c>
      <c r="M978" s="135">
        <v>3.7921757343178202E-2</v>
      </c>
      <c r="N978" s="135">
        <v>4.2893446772633299E-2</v>
      </c>
      <c r="O978" s="135">
        <v>4.0317796620390998E-2</v>
      </c>
      <c r="P978" s="135">
        <v>3.9478177652496498E-2</v>
      </c>
      <c r="Q978" s="135">
        <v>4.1562998294850599E-2</v>
      </c>
      <c r="R978" s="135">
        <v>4.2947465511646299E-2</v>
      </c>
      <c r="S978" s="135">
        <v>4.4862605457097401E-2</v>
      </c>
      <c r="T978" s="135">
        <v>4.5843808581536402E-2</v>
      </c>
      <c r="U978" s="135">
        <v>4.4489163191487803E-2</v>
      </c>
      <c r="V978" s="135">
        <v>4.2673020369751603E-2</v>
      </c>
      <c r="W978" s="135">
        <v>4.2395132214933497E-2</v>
      </c>
      <c r="X978" s="135">
        <v>4.8196610085783E-2</v>
      </c>
      <c r="Y978" s="135">
        <v>5.6199504371839001E-2</v>
      </c>
      <c r="Z978" s="135">
        <v>6.4613659135555196E-2</v>
      </c>
      <c r="AA978" s="135">
        <v>6.4950299464656094E-2</v>
      </c>
      <c r="AB978" s="135">
        <v>5.50007011186305E-2</v>
      </c>
      <c r="AC978" s="135">
        <v>4.13050236667949E-2</v>
      </c>
      <c r="AD978" s="135">
        <v>3.14877897221401E-2</v>
      </c>
      <c r="AF978" s="243">
        <f t="shared" si="16"/>
        <v>0.30477419362130365</v>
      </c>
      <c r="AG978" s="275">
        <f t="shared" si="17"/>
        <v>0.48781577223662509</v>
      </c>
      <c r="AH978" s="391">
        <f t="shared" si="18"/>
        <v>0.4961606590284815</v>
      </c>
      <c r="AI978" s="135">
        <f t="shared" si="19"/>
        <v>0.98397643126510659</v>
      </c>
    </row>
    <row r="979" spans="1:35" ht="12.6">
      <c r="A979" s="10" t="s">
        <v>63</v>
      </c>
      <c r="B979" s="10">
        <v>248</v>
      </c>
      <c r="C979" s="10" t="s">
        <v>1515</v>
      </c>
      <c r="D979" s="388">
        <v>45174</v>
      </c>
      <c r="E979" s="389">
        <v>45174</v>
      </c>
      <c r="F979" s="390" t="str">
        <f t="shared" si="15"/>
        <v>Other</v>
      </c>
      <c r="G979" s="135">
        <v>2.7461416298379501E-2</v>
      </c>
      <c r="H979" s="135">
        <v>2.59817916427377E-2</v>
      </c>
      <c r="I979" s="135">
        <v>2.5486616498992101E-2</v>
      </c>
      <c r="J979" s="135">
        <v>2.49925256423561E-2</v>
      </c>
      <c r="K979" s="135">
        <v>2.5524711218284198E-2</v>
      </c>
      <c r="L979" s="135">
        <v>2.73904103889555E-2</v>
      </c>
      <c r="M979" s="135">
        <v>3.7921757343178202E-2</v>
      </c>
      <c r="N979" s="135">
        <v>4.2893446772633299E-2</v>
      </c>
      <c r="O979" s="135">
        <v>4.0317796620390998E-2</v>
      </c>
      <c r="P979" s="135">
        <v>3.9478177652496498E-2</v>
      </c>
      <c r="Q979" s="135">
        <v>4.1562998294850599E-2</v>
      </c>
      <c r="R979" s="135">
        <v>4.2947465511646299E-2</v>
      </c>
      <c r="S979" s="135">
        <v>4.4862605457097401E-2</v>
      </c>
      <c r="T979" s="135">
        <v>4.5843808581536402E-2</v>
      </c>
      <c r="U979" s="135">
        <v>4.4489163191487803E-2</v>
      </c>
      <c r="V979" s="135">
        <v>4.2673020369751603E-2</v>
      </c>
      <c r="W979" s="135">
        <v>4.2395132214933497E-2</v>
      </c>
      <c r="X979" s="135">
        <v>4.8196610085783E-2</v>
      </c>
      <c r="Y979" s="135">
        <v>5.6199504371839001E-2</v>
      </c>
      <c r="Z979" s="135">
        <v>6.4613659135555196E-2</v>
      </c>
      <c r="AA979" s="135">
        <v>6.4950299464656094E-2</v>
      </c>
      <c r="AB979" s="135">
        <v>5.50007011186305E-2</v>
      </c>
      <c r="AC979" s="135">
        <v>4.13050236667949E-2</v>
      </c>
      <c r="AD979" s="135">
        <v>3.14877897221401E-2</v>
      </c>
      <c r="AF979" s="243">
        <f t="shared" si="16"/>
        <v>0.30477419362130365</v>
      </c>
      <c r="AG979" s="275">
        <f t="shared" si="17"/>
        <v>0.48781577223662509</v>
      </c>
      <c r="AH979" s="391">
        <f t="shared" si="18"/>
        <v>0.4961606590284815</v>
      </c>
      <c r="AI979" s="135">
        <f t="shared" si="19"/>
        <v>0.98397643126510659</v>
      </c>
    </row>
    <row r="980" spans="1:35" ht="12.6">
      <c r="A980" s="10" t="s">
        <v>63</v>
      </c>
      <c r="B980" s="10">
        <v>249</v>
      </c>
      <c r="C980" s="10" t="s">
        <v>1515</v>
      </c>
      <c r="D980" s="388">
        <v>45175</v>
      </c>
      <c r="E980" s="389">
        <v>45175</v>
      </c>
      <c r="F980" s="390" t="str">
        <f t="shared" si="15"/>
        <v>Other</v>
      </c>
      <c r="G980" s="135">
        <v>2.7461416298379501E-2</v>
      </c>
      <c r="H980" s="135">
        <v>2.59817916427377E-2</v>
      </c>
      <c r="I980" s="135">
        <v>2.5486616498992101E-2</v>
      </c>
      <c r="J980" s="135">
        <v>2.49925256423561E-2</v>
      </c>
      <c r="K980" s="135">
        <v>2.5524711218284198E-2</v>
      </c>
      <c r="L980" s="135">
        <v>2.73904103889555E-2</v>
      </c>
      <c r="M980" s="135">
        <v>3.7921757343178202E-2</v>
      </c>
      <c r="N980" s="135">
        <v>4.2893446772633299E-2</v>
      </c>
      <c r="O980" s="135">
        <v>4.0317796620390998E-2</v>
      </c>
      <c r="P980" s="135">
        <v>3.9478177652496498E-2</v>
      </c>
      <c r="Q980" s="135">
        <v>4.1562998294850599E-2</v>
      </c>
      <c r="R980" s="135">
        <v>4.2947465511646299E-2</v>
      </c>
      <c r="S980" s="135">
        <v>4.4862605457097401E-2</v>
      </c>
      <c r="T980" s="135">
        <v>4.5843808581536402E-2</v>
      </c>
      <c r="U980" s="135">
        <v>4.4489163191487803E-2</v>
      </c>
      <c r="V980" s="135">
        <v>4.2673020369751603E-2</v>
      </c>
      <c r="W980" s="135">
        <v>4.2395132214933497E-2</v>
      </c>
      <c r="X980" s="135">
        <v>4.8196610085783E-2</v>
      </c>
      <c r="Y980" s="135">
        <v>5.6199504371839001E-2</v>
      </c>
      <c r="Z980" s="135">
        <v>6.4613659135555196E-2</v>
      </c>
      <c r="AA980" s="135">
        <v>6.4950299464656094E-2</v>
      </c>
      <c r="AB980" s="135">
        <v>5.50007011186305E-2</v>
      </c>
      <c r="AC980" s="135">
        <v>4.13050236667949E-2</v>
      </c>
      <c r="AD980" s="135">
        <v>3.14877897221401E-2</v>
      </c>
      <c r="AF980" s="243">
        <f t="shared" si="16"/>
        <v>0.30477419362130365</v>
      </c>
      <c r="AG980" s="275">
        <f t="shared" si="17"/>
        <v>0.48781577223662509</v>
      </c>
      <c r="AH980" s="391">
        <f t="shared" si="18"/>
        <v>0.4961606590284815</v>
      </c>
      <c r="AI980" s="135">
        <f t="shared" si="19"/>
        <v>0.98397643126510659</v>
      </c>
    </row>
    <row r="981" spans="1:35" ht="12.6">
      <c r="A981" s="10" t="s">
        <v>63</v>
      </c>
      <c r="B981" s="10">
        <v>250</v>
      </c>
      <c r="C981" s="10" t="s">
        <v>1515</v>
      </c>
      <c r="D981" s="388">
        <v>45176</v>
      </c>
      <c r="E981" s="389">
        <v>45176</v>
      </c>
      <c r="F981" s="390" t="str">
        <f t="shared" si="15"/>
        <v>Other</v>
      </c>
      <c r="G981" s="135">
        <v>2.7461416298379501E-2</v>
      </c>
      <c r="H981" s="135">
        <v>2.59817916427377E-2</v>
      </c>
      <c r="I981" s="135">
        <v>2.5486616498992101E-2</v>
      </c>
      <c r="J981" s="135">
        <v>2.49925256423561E-2</v>
      </c>
      <c r="K981" s="135">
        <v>2.5524711218284198E-2</v>
      </c>
      <c r="L981" s="135">
        <v>2.73904103889555E-2</v>
      </c>
      <c r="M981" s="135">
        <v>3.7921757343178202E-2</v>
      </c>
      <c r="N981" s="135">
        <v>4.2893446772633299E-2</v>
      </c>
      <c r="O981" s="135">
        <v>4.0317796620390998E-2</v>
      </c>
      <c r="P981" s="135">
        <v>3.9478177652496498E-2</v>
      </c>
      <c r="Q981" s="135">
        <v>4.1562998294850599E-2</v>
      </c>
      <c r="R981" s="135">
        <v>4.2947465511646299E-2</v>
      </c>
      <c r="S981" s="135">
        <v>4.4862605457097401E-2</v>
      </c>
      <c r="T981" s="135">
        <v>4.5843808581536402E-2</v>
      </c>
      <c r="U981" s="135">
        <v>4.4489163191487803E-2</v>
      </c>
      <c r="V981" s="135">
        <v>4.2673020369751603E-2</v>
      </c>
      <c r="W981" s="135">
        <v>4.2395132214933497E-2</v>
      </c>
      <c r="X981" s="135">
        <v>4.8196610085783E-2</v>
      </c>
      <c r="Y981" s="135">
        <v>5.6199504371839001E-2</v>
      </c>
      <c r="Z981" s="135">
        <v>6.4613659135555196E-2</v>
      </c>
      <c r="AA981" s="135">
        <v>6.4950299464656094E-2</v>
      </c>
      <c r="AB981" s="135">
        <v>5.50007011186305E-2</v>
      </c>
      <c r="AC981" s="135">
        <v>4.13050236667949E-2</v>
      </c>
      <c r="AD981" s="135">
        <v>3.14877897221401E-2</v>
      </c>
      <c r="AF981" s="243">
        <f t="shared" si="16"/>
        <v>0.30477419362130365</v>
      </c>
      <c r="AG981" s="275">
        <f t="shared" si="17"/>
        <v>0.48781577223662509</v>
      </c>
      <c r="AH981" s="391">
        <f t="shared" si="18"/>
        <v>0.4961606590284815</v>
      </c>
      <c r="AI981" s="135">
        <f t="shared" si="19"/>
        <v>0.98397643126510659</v>
      </c>
    </row>
    <row r="982" spans="1:35" ht="12.6">
      <c r="A982" s="10" t="s">
        <v>63</v>
      </c>
      <c r="B982" s="10">
        <v>251</v>
      </c>
      <c r="C982" s="10" t="s">
        <v>1515</v>
      </c>
      <c r="D982" s="388">
        <v>45177</v>
      </c>
      <c r="E982" s="389">
        <v>45177</v>
      </c>
      <c r="F982" s="390" t="str">
        <f t="shared" si="15"/>
        <v>Other</v>
      </c>
      <c r="G982" s="135">
        <v>2.7461416298379501E-2</v>
      </c>
      <c r="H982" s="135">
        <v>2.59817916427377E-2</v>
      </c>
      <c r="I982" s="135">
        <v>2.5486616498992101E-2</v>
      </c>
      <c r="J982" s="135">
        <v>2.49925256423561E-2</v>
      </c>
      <c r="K982" s="135">
        <v>2.5524711218284198E-2</v>
      </c>
      <c r="L982" s="135">
        <v>2.73904103889555E-2</v>
      </c>
      <c r="M982" s="135">
        <v>3.7921757343178202E-2</v>
      </c>
      <c r="N982" s="135">
        <v>4.2893446772633299E-2</v>
      </c>
      <c r="O982" s="135">
        <v>4.0317796620390998E-2</v>
      </c>
      <c r="P982" s="135">
        <v>3.9478177652496498E-2</v>
      </c>
      <c r="Q982" s="135">
        <v>4.1562998294850599E-2</v>
      </c>
      <c r="R982" s="135">
        <v>4.2947465511646299E-2</v>
      </c>
      <c r="S982" s="135">
        <v>4.4862605457097401E-2</v>
      </c>
      <c r="T982" s="135">
        <v>4.5843808581536402E-2</v>
      </c>
      <c r="U982" s="135">
        <v>4.4489163191487803E-2</v>
      </c>
      <c r="V982" s="135">
        <v>4.2673020369751603E-2</v>
      </c>
      <c r="W982" s="135">
        <v>4.2395132214933497E-2</v>
      </c>
      <c r="X982" s="135">
        <v>4.8196610085783E-2</v>
      </c>
      <c r="Y982" s="135">
        <v>5.6199504371839001E-2</v>
      </c>
      <c r="Z982" s="135">
        <v>6.4613659135555196E-2</v>
      </c>
      <c r="AA982" s="135">
        <v>6.4950299464656094E-2</v>
      </c>
      <c r="AB982" s="135">
        <v>5.50007011186305E-2</v>
      </c>
      <c r="AC982" s="135">
        <v>4.13050236667949E-2</v>
      </c>
      <c r="AD982" s="135">
        <v>3.14877897221401E-2</v>
      </c>
      <c r="AF982" s="243">
        <f t="shared" si="16"/>
        <v>0.30477419362130365</v>
      </c>
      <c r="AG982" s="275">
        <f t="shared" si="17"/>
        <v>0.48781577223662509</v>
      </c>
      <c r="AH982" s="391">
        <f t="shared" si="18"/>
        <v>0.4961606590284815</v>
      </c>
      <c r="AI982" s="135">
        <f t="shared" si="19"/>
        <v>0.98397643126510659</v>
      </c>
    </row>
    <row r="983" spans="1:35" ht="12.6">
      <c r="A983" s="10" t="s">
        <v>63</v>
      </c>
      <c r="B983" s="10">
        <v>252</v>
      </c>
      <c r="C983" s="10" t="s">
        <v>1515</v>
      </c>
      <c r="D983" s="388">
        <v>45178</v>
      </c>
      <c r="E983" s="389">
        <v>45178</v>
      </c>
      <c r="F983" s="390" t="str">
        <f t="shared" si="15"/>
        <v>Other</v>
      </c>
      <c r="G983" s="135">
        <v>3.0131338339630699E-2</v>
      </c>
      <c r="H983" s="135">
        <v>2.6410819320413299E-2</v>
      </c>
      <c r="I983" s="135">
        <v>2.5136055432186399E-2</v>
      </c>
      <c r="J983" s="135">
        <v>2.4529545065448102E-2</v>
      </c>
      <c r="K983" s="135">
        <v>2.5221946107423E-2</v>
      </c>
      <c r="L983" s="135">
        <v>2.6564070267563099E-2</v>
      </c>
      <c r="M983" s="135">
        <v>3.2872190317752799E-2</v>
      </c>
      <c r="N983" s="135">
        <v>4.2324309975772301E-2</v>
      </c>
      <c r="O983" s="135">
        <v>4.14663838977141E-2</v>
      </c>
      <c r="P983" s="135">
        <v>4.34798560122251E-2</v>
      </c>
      <c r="Q983" s="135">
        <v>4.7324490082932699E-2</v>
      </c>
      <c r="R983" s="135">
        <v>4.9828625181992298E-2</v>
      </c>
      <c r="S983" s="135">
        <v>4.9605494107248002E-2</v>
      </c>
      <c r="T983" s="135">
        <v>5.0983369720472398E-2</v>
      </c>
      <c r="U983" s="135">
        <v>5.19831141230018E-2</v>
      </c>
      <c r="V983" s="135">
        <v>5.24576200462748E-2</v>
      </c>
      <c r="W983" s="135">
        <v>5.1441253870066303E-2</v>
      </c>
      <c r="X983" s="135">
        <v>5.3034988802493001E-2</v>
      </c>
      <c r="Y983" s="135">
        <v>5.86267608479508E-2</v>
      </c>
      <c r="Z983" s="135">
        <v>6.4340363281778307E-2</v>
      </c>
      <c r="AA983" s="135">
        <v>6.3432368544790493E-2</v>
      </c>
      <c r="AB983" s="135">
        <v>5.4123944283965303E-2</v>
      </c>
      <c r="AC983" s="135">
        <v>4.1312537475999798E-2</v>
      </c>
      <c r="AD983" s="135">
        <v>3.3610892724618001E-2</v>
      </c>
      <c r="AF983" s="243">
        <f t="shared" si="16"/>
        <v>0.35362396713198835</v>
      </c>
      <c r="AG983" s="275">
        <f t="shared" si="17"/>
        <v>0.52226024691809836</v>
      </c>
      <c r="AH983" s="391">
        <f t="shared" si="18"/>
        <v>0.5179820909116144</v>
      </c>
      <c r="AI983" s="135">
        <f t="shared" si="19"/>
        <v>1.0402423378297128</v>
      </c>
    </row>
    <row r="984" spans="1:35" ht="12.6">
      <c r="A984" s="10" t="s">
        <v>63</v>
      </c>
      <c r="B984" s="10">
        <v>253</v>
      </c>
      <c r="C984" s="10" t="s">
        <v>1515</v>
      </c>
      <c r="D984" s="388">
        <v>45179</v>
      </c>
      <c r="E984" s="389">
        <v>45179</v>
      </c>
      <c r="F984" s="390" t="str">
        <f t="shared" si="15"/>
        <v>Other</v>
      </c>
      <c r="G984" s="135">
        <v>3.0131338339630699E-2</v>
      </c>
      <c r="H984" s="135">
        <v>2.6410819320413299E-2</v>
      </c>
      <c r="I984" s="135">
        <v>2.5136055432186399E-2</v>
      </c>
      <c r="J984" s="135">
        <v>2.4529545065448102E-2</v>
      </c>
      <c r="K984" s="135">
        <v>2.5221946107423E-2</v>
      </c>
      <c r="L984" s="135">
        <v>2.6564070267563099E-2</v>
      </c>
      <c r="M984" s="135">
        <v>3.2872190317752799E-2</v>
      </c>
      <c r="N984" s="135">
        <v>4.2324309975772301E-2</v>
      </c>
      <c r="O984" s="135">
        <v>4.14663838977141E-2</v>
      </c>
      <c r="P984" s="135">
        <v>4.34798560122251E-2</v>
      </c>
      <c r="Q984" s="135">
        <v>4.7324490082932699E-2</v>
      </c>
      <c r="R984" s="135">
        <v>4.9828625181992298E-2</v>
      </c>
      <c r="S984" s="135">
        <v>4.9605494107248002E-2</v>
      </c>
      <c r="T984" s="135">
        <v>5.0983369720472398E-2</v>
      </c>
      <c r="U984" s="135">
        <v>5.19831141230018E-2</v>
      </c>
      <c r="V984" s="135">
        <v>5.24576200462748E-2</v>
      </c>
      <c r="W984" s="135">
        <v>5.1441253870066303E-2</v>
      </c>
      <c r="X984" s="135">
        <v>5.3034988802493001E-2</v>
      </c>
      <c r="Y984" s="135">
        <v>5.86267608479508E-2</v>
      </c>
      <c r="Z984" s="135">
        <v>6.4340363281778307E-2</v>
      </c>
      <c r="AA984" s="135">
        <v>6.3432368544790493E-2</v>
      </c>
      <c r="AB984" s="135">
        <v>5.4123944283965303E-2</v>
      </c>
      <c r="AC984" s="135">
        <v>4.1312537475999798E-2</v>
      </c>
      <c r="AD984" s="135">
        <v>3.3610892724618001E-2</v>
      </c>
      <c r="AF984" s="243">
        <f t="shared" si="16"/>
        <v>0.35362396713198835</v>
      </c>
      <c r="AG984" s="275">
        <f t="shared" si="17"/>
        <v>0.52226024691809836</v>
      </c>
      <c r="AH984" s="391">
        <f t="shared" si="18"/>
        <v>0.5179820909116144</v>
      </c>
      <c r="AI984" s="135">
        <f t="shared" si="19"/>
        <v>1.0402423378297128</v>
      </c>
    </row>
    <row r="985" spans="1:35" ht="12.6">
      <c r="A985" s="10" t="s">
        <v>63</v>
      </c>
      <c r="B985" s="10">
        <v>254</v>
      </c>
      <c r="C985" s="10" t="s">
        <v>1515</v>
      </c>
      <c r="D985" s="388">
        <v>45180</v>
      </c>
      <c r="E985" s="389">
        <v>45180</v>
      </c>
      <c r="F985" s="390" t="str">
        <f t="shared" si="15"/>
        <v>Other</v>
      </c>
      <c r="G985" s="135">
        <v>2.7461416298379501E-2</v>
      </c>
      <c r="H985" s="135">
        <v>2.59817916427377E-2</v>
      </c>
      <c r="I985" s="135">
        <v>2.5486616498992101E-2</v>
      </c>
      <c r="J985" s="135">
        <v>2.49925256423561E-2</v>
      </c>
      <c r="K985" s="135">
        <v>2.5524711218284198E-2</v>
      </c>
      <c r="L985" s="135">
        <v>2.73904103889555E-2</v>
      </c>
      <c r="M985" s="135">
        <v>3.7921757343178202E-2</v>
      </c>
      <c r="N985" s="135">
        <v>4.2893446772633299E-2</v>
      </c>
      <c r="O985" s="135">
        <v>4.0317796620390998E-2</v>
      </c>
      <c r="P985" s="135">
        <v>3.9478177652496498E-2</v>
      </c>
      <c r="Q985" s="135">
        <v>4.1562998294850599E-2</v>
      </c>
      <c r="R985" s="135">
        <v>4.2947465511646299E-2</v>
      </c>
      <c r="S985" s="135">
        <v>4.4862605457097401E-2</v>
      </c>
      <c r="T985" s="135">
        <v>4.5843808581536402E-2</v>
      </c>
      <c r="U985" s="135">
        <v>4.4489163191487803E-2</v>
      </c>
      <c r="V985" s="135">
        <v>4.2673020369751603E-2</v>
      </c>
      <c r="W985" s="135">
        <v>4.2395132214933497E-2</v>
      </c>
      <c r="X985" s="135">
        <v>4.8196610085783E-2</v>
      </c>
      <c r="Y985" s="135">
        <v>5.6199504371839001E-2</v>
      </c>
      <c r="Z985" s="135">
        <v>6.4613659135555196E-2</v>
      </c>
      <c r="AA985" s="135">
        <v>6.4950299464656094E-2</v>
      </c>
      <c r="AB985" s="135">
        <v>5.50007011186305E-2</v>
      </c>
      <c r="AC985" s="135">
        <v>4.13050236667949E-2</v>
      </c>
      <c r="AD985" s="135">
        <v>3.14877897221401E-2</v>
      </c>
      <c r="AF985" s="243">
        <f t="shared" si="16"/>
        <v>0.30477419362130365</v>
      </c>
      <c r="AG985" s="275">
        <f t="shared" si="17"/>
        <v>0.48781577223662509</v>
      </c>
      <c r="AH985" s="391">
        <f t="shared" si="18"/>
        <v>0.4961606590284815</v>
      </c>
      <c r="AI985" s="135">
        <f t="shared" si="19"/>
        <v>0.98397643126510659</v>
      </c>
    </row>
    <row r="986" spans="1:35" ht="12.6">
      <c r="A986" s="10" t="s">
        <v>63</v>
      </c>
      <c r="B986" s="10">
        <v>255</v>
      </c>
      <c r="C986" s="10" t="s">
        <v>1515</v>
      </c>
      <c r="D986" s="388">
        <v>45181</v>
      </c>
      <c r="E986" s="389">
        <v>45181</v>
      </c>
      <c r="F986" s="390" t="str">
        <f t="shared" si="15"/>
        <v>Other</v>
      </c>
      <c r="G986" s="135">
        <v>2.7461416298379501E-2</v>
      </c>
      <c r="H986" s="135">
        <v>2.59817916427377E-2</v>
      </c>
      <c r="I986" s="135">
        <v>2.5486616498992101E-2</v>
      </c>
      <c r="J986" s="135">
        <v>2.49925256423561E-2</v>
      </c>
      <c r="K986" s="135">
        <v>2.5524711218284198E-2</v>
      </c>
      <c r="L986" s="135">
        <v>2.73904103889555E-2</v>
      </c>
      <c r="M986" s="135">
        <v>3.7921757343178202E-2</v>
      </c>
      <c r="N986" s="135">
        <v>4.2893446772633299E-2</v>
      </c>
      <c r="O986" s="135">
        <v>4.0317796620390998E-2</v>
      </c>
      <c r="P986" s="135">
        <v>3.9478177652496498E-2</v>
      </c>
      <c r="Q986" s="135">
        <v>4.1562998294850599E-2</v>
      </c>
      <c r="R986" s="135">
        <v>4.2947465511646299E-2</v>
      </c>
      <c r="S986" s="135">
        <v>4.4862605457097401E-2</v>
      </c>
      <c r="T986" s="135">
        <v>4.5843808581536402E-2</v>
      </c>
      <c r="U986" s="135">
        <v>4.4489163191487803E-2</v>
      </c>
      <c r="V986" s="135">
        <v>4.2673020369751603E-2</v>
      </c>
      <c r="W986" s="135">
        <v>4.2395132214933497E-2</v>
      </c>
      <c r="X986" s="135">
        <v>4.8196610085783E-2</v>
      </c>
      <c r="Y986" s="135">
        <v>5.6199504371839001E-2</v>
      </c>
      <c r="Z986" s="135">
        <v>6.4613659135555196E-2</v>
      </c>
      <c r="AA986" s="135">
        <v>6.4950299464656094E-2</v>
      </c>
      <c r="AB986" s="135">
        <v>5.50007011186305E-2</v>
      </c>
      <c r="AC986" s="135">
        <v>4.13050236667949E-2</v>
      </c>
      <c r="AD986" s="135">
        <v>3.14877897221401E-2</v>
      </c>
      <c r="AF986" s="243">
        <f t="shared" si="16"/>
        <v>0.30477419362130365</v>
      </c>
      <c r="AG986" s="275">
        <f t="shared" si="17"/>
        <v>0.48781577223662509</v>
      </c>
      <c r="AH986" s="391">
        <f t="shared" si="18"/>
        <v>0.4961606590284815</v>
      </c>
      <c r="AI986" s="135">
        <f t="shared" si="19"/>
        <v>0.98397643126510659</v>
      </c>
    </row>
    <row r="987" spans="1:35" ht="12.6">
      <c r="A987" s="10" t="s">
        <v>63</v>
      </c>
      <c r="B987" s="10">
        <v>256</v>
      </c>
      <c r="C987" s="10" t="s">
        <v>1515</v>
      </c>
      <c r="D987" s="388">
        <v>45182</v>
      </c>
      <c r="E987" s="389">
        <v>45182</v>
      </c>
      <c r="F987" s="390" t="str">
        <f t="shared" si="15"/>
        <v>Other</v>
      </c>
      <c r="G987" s="135">
        <v>2.7461416298379501E-2</v>
      </c>
      <c r="H987" s="135">
        <v>2.59817916427377E-2</v>
      </c>
      <c r="I987" s="135">
        <v>2.5486616498992101E-2</v>
      </c>
      <c r="J987" s="135">
        <v>2.49925256423561E-2</v>
      </c>
      <c r="K987" s="135">
        <v>2.5524711218284198E-2</v>
      </c>
      <c r="L987" s="135">
        <v>2.73904103889555E-2</v>
      </c>
      <c r="M987" s="135">
        <v>3.7921757343178202E-2</v>
      </c>
      <c r="N987" s="135">
        <v>4.2893446772633299E-2</v>
      </c>
      <c r="O987" s="135">
        <v>4.0317796620390998E-2</v>
      </c>
      <c r="P987" s="135">
        <v>3.9478177652496498E-2</v>
      </c>
      <c r="Q987" s="135">
        <v>4.1562998294850599E-2</v>
      </c>
      <c r="R987" s="135">
        <v>4.2947465511646299E-2</v>
      </c>
      <c r="S987" s="135">
        <v>4.4862605457097401E-2</v>
      </c>
      <c r="T987" s="135">
        <v>4.5843808581536402E-2</v>
      </c>
      <c r="U987" s="135">
        <v>4.4489163191487803E-2</v>
      </c>
      <c r="V987" s="135">
        <v>4.2673020369751603E-2</v>
      </c>
      <c r="W987" s="135">
        <v>4.2395132214933497E-2</v>
      </c>
      <c r="X987" s="135">
        <v>4.8196610085783E-2</v>
      </c>
      <c r="Y987" s="135">
        <v>5.6199504371839001E-2</v>
      </c>
      <c r="Z987" s="135">
        <v>6.4613659135555196E-2</v>
      </c>
      <c r="AA987" s="135">
        <v>6.4950299464656094E-2</v>
      </c>
      <c r="AB987" s="135">
        <v>5.50007011186305E-2</v>
      </c>
      <c r="AC987" s="135">
        <v>4.13050236667949E-2</v>
      </c>
      <c r="AD987" s="135">
        <v>3.14877897221401E-2</v>
      </c>
      <c r="AF987" s="243">
        <f t="shared" si="16"/>
        <v>0.30477419362130365</v>
      </c>
      <c r="AG987" s="275">
        <f t="shared" si="17"/>
        <v>0.48781577223662509</v>
      </c>
      <c r="AH987" s="391">
        <f t="shared" si="18"/>
        <v>0.4961606590284815</v>
      </c>
      <c r="AI987" s="135">
        <f t="shared" si="19"/>
        <v>0.98397643126510659</v>
      </c>
    </row>
    <row r="988" spans="1:35" ht="12.6">
      <c r="A988" s="10" t="s">
        <v>63</v>
      </c>
      <c r="B988" s="10">
        <v>257</v>
      </c>
      <c r="C988" s="10" t="s">
        <v>1515</v>
      </c>
      <c r="D988" s="388">
        <v>45183</v>
      </c>
      <c r="E988" s="389">
        <v>45183</v>
      </c>
      <c r="F988" s="390" t="str">
        <f t="shared" si="15"/>
        <v>Other</v>
      </c>
      <c r="G988" s="135">
        <v>2.7461416298379501E-2</v>
      </c>
      <c r="H988" s="135">
        <v>2.59817916427377E-2</v>
      </c>
      <c r="I988" s="135">
        <v>2.5486616498992101E-2</v>
      </c>
      <c r="J988" s="135">
        <v>2.49925256423561E-2</v>
      </c>
      <c r="K988" s="135">
        <v>2.5524711218284198E-2</v>
      </c>
      <c r="L988" s="135">
        <v>2.73904103889555E-2</v>
      </c>
      <c r="M988" s="135">
        <v>3.7921757343178202E-2</v>
      </c>
      <c r="N988" s="135">
        <v>4.2893446772633299E-2</v>
      </c>
      <c r="O988" s="135">
        <v>4.0317796620390998E-2</v>
      </c>
      <c r="P988" s="135">
        <v>3.9478177652496498E-2</v>
      </c>
      <c r="Q988" s="135">
        <v>4.1562998294850599E-2</v>
      </c>
      <c r="R988" s="135">
        <v>4.2947465511646299E-2</v>
      </c>
      <c r="S988" s="135">
        <v>4.4862605457097401E-2</v>
      </c>
      <c r="T988" s="135">
        <v>4.5843808581536402E-2</v>
      </c>
      <c r="U988" s="135">
        <v>4.4489163191487803E-2</v>
      </c>
      <c r="V988" s="135">
        <v>4.2673020369751603E-2</v>
      </c>
      <c r="W988" s="135">
        <v>4.2395132214933497E-2</v>
      </c>
      <c r="X988" s="135">
        <v>4.8196610085783E-2</v>
      </c>
      <c r="Y988" s="135">
        <v>5.6199504371839001E-2</v>
      </c>
      <c r="Z988" s="135">
        <v>6.4613659135555196E-2</v>
      </c>
      <c r="AA988" s="135">
        <v>6.4950299464656094E-2</v>
      </c>
      <c r="AB988" s="135">
        <v>5.50007011186305E-2</v>
      </c>
      <c r="AC988" s="135">
        <v>4.13050236667949E-2</v>
      </c>
      <c r="AD988" s="135">
        <v>3.14877897221401E-2</v>
      </c>
      <c r="AF988" s="243">
        <f t="shared" si="16"/>
        <v>0.30477419362130365</v>
      </c>
      <c r="AG988" s="275">
        <f t="shared" si="17"/>
        <v>0.48781577223662509</v>
      </c>
      <c r="AH988" s="391">
        <f t="shared" si="18"/>
        <v>0.4961606590284815</v>
      </c>
      <c r="AI988" s="135">
        <f t="shared" si="19"/>
        <v>0.98397643126510659</v>
      </c>
    </row>
    <row r="989" spans="1:35" ht="12.6">
      <c r="A989" s="10" t="s">
        <v>63</v>
      </c>
      <c r="B989" s="10">
        <v>258</v>
      </c>
      <c r="C989" s="10" t="s">
        <v>1515</v>
      </c>
      <c r="D989" s="388">
        <v>45184</v>
      </c>
      <c r="E989" s="389">
        <v>45184</v>
      </c>
      <c r="F989" s="390" t="str">
        <f t="shared" si="15"/>
        <v>Other</v>
      </c>
      <c r="G989" s="135">
        <v>2.7461416298379501E-2</v>
      </c>
      <c r="H989" s="135">
        <v>2.59817916427377E-2</v>
      </c>
      <c r="I989" s="135">
        <v>2.5486616498992101E-2</v>
      </c>
      <c r="J989" s="135">
        <v>2.49925256423561E-2</v>
      </c>
      <c r="K989" s="135">
        <v>2.5524711218284198E-2</v>
      </c>
      <c r="L989" s="135">
        <v>2.73904103889555E-2</v>
      </c>
      <c r="M989" s="135">
        <v>3.7921757343178202E-2</v>
      </c>
      <c r="N989" s="135">
        <v>4.2893446772633299E-2</v>
      </c>
      <c r="O989" s="135">
        <v>4.0317796620390998E-2</v>
      </c>
      <c r="P989" s="135">
        <v>3.9478177652496498E-2</v>
      </c>
      <c r="Q989" s="135">
        <v>4.1562998294850599E-2</v>
      </c>
      <c r="R989" s="135">
        <v>4.2947465511646299E-2</v>
      </c>
      <c r="S989" s="135">
        <v>4.4862605457097401E-2</v>
      </c>
      <c r="T989" s="135">
        <v>4.5843808581536402E-2</v>
      </c>
      <c r="U989" s="135">
        <v>4.4489163191487803E-2</v>
      </c>
      <c r="V989" s="135">
        <v>4.2673020369751603E-2</v>
      </c>
      <c r="W989" s="135">
        <v>4.2395132214933497E-2</v>
      </c>
      <c r="X989" s="135">
        <v>4.8196610085783E-2</v>
      </c>
      <c r="Y989" s="135">
        <v>5.6199504371839001E-2</v>
      </c>
      <c r="Z989" s="135">
        <v>6.4613659135555196E-2</v>
      </c>
      <c r="AA989" s="135">
        <v>6.4950299464656094E-2</v>
      </c>
      <c r="AB989" s="135">
        <v>5.50007011186305E-2</v>
      </c>
      <c r="AC989" s="135">
        <v>4.13050236667949E-2</v>
      </c>
      <c r="AD989" s="135">
        <v>3.14877897221401E-2</v>
      </c>
      <c r="AF989" s="243">
        <f t="shared" si="16"/>
        <v>0.30477419362130365</v>
      </c>
      <c r="AG989" s="275">
        <f t="shared" si="17"/>
        <v>0.48781577223662509</v>
      </c>
      <c r="AH989" s="391">
        <f t="shared" si="18"/>
        <v>0.4961606590284815</v>
      </c>
      <c r="AI989" s="135">
        <f t="shared" si="19"/>
        <v>0.98397643126510659</v>
      </c>
    </row>
    <row r="990" spans="1:35" ht="12.6">
      <c r="A990" s="10" t="s">
        <v>63</v>
      </c>
      <c r="B990" s="10">
        <v>259</v>
      </c>
      <c r="C990" s="10" t="s">
        <v>1515</v>
      </c>
      <c r="D990" s="388">
        <v>45185</v>
      </c>
      <c r="E990" s="389">
        <v>45185</v>
      </c>
      <c r="F990" s="390" t="str">
        <f t="shared" si="15"/>
        <v>Other</v>
      </c>
      <c r="G990" s="135">
        <v>3.0131338339630699E-2</v>
      </c>
      <c r="H990" s="135">
        <v>2.6410819320413299E-2</v>
      </c>
      <c r="I990" s="135">
        <v>2.5136055432186399E-2</v>
      </c>
      <c r="J990" s="135">
        <v>2.4529545065448102E-2</v>
      </c>
      <c r="K990" s="135">
        <v>2.5221946107423E-2</v>
      </c>
      <c r="L990" s="135">
        <v>2.6564070267563099E-2</v>
      </c>
      <c r="M990" s="135">
        <v>3.2872190317752799E-2</v>
      </c>
      <c r="N990" s="135">
        <v>4.2324309975772301E-2</v>
      </c>
      <c r="O990" s="135">
        <v>4.14663838977141E-2</v>
      </c>
      <c r="P990" s="135">
        <v>4.34798560122251E-2</v>
      </c>
      <c r="Q990" s="135">
        <v>4.7324490082932699E-2</v>
      </c>
      <c r="R990" s="135">
        <v>4.9828625181992298E-2</v>
      </c>
      <c r="S990" s="135">
        <v>4.9605494107248002E-2</v>
      </c>
      <c r="T990" s="135">
        <v>5.0983369720472398E-2</v>
      </c>
      <c r="U990" s="135">
        <v>5.19831141230018E-2</v>
      </c>
      <c r="V990" s="135">
        <v>5.24576200462748E-2</v>
      </c>
      <c r="W990" s="135">
        <v>5.1441253870066303E-2</v>
      </c>
      <c r="X990" s="135">
        <v>5.3034988802493001E-2</v>
      </c>
      <c r="Y990" s="135">
        <v>5.86267608479508E-2</v>
      </c>
      <c r="Z990" s="135">
        <v>6.4340363281778307E-2</v>
      </c>
      <c r="AA990" s="135">
        <v>6.3432368544790493E-2</v>
      </c>
      <c r="AB990" s="135">
        <v>5.4123944283965303E-2</v>
      </c>
      <c r="AC990" s="135">
        <v>4.1312537475999798E-2</v>
      </c>
      <c r="AD990" s="135">
        <v>3.3610892724618001E-2</v>
      </c>
      <c r="AF990" s="243">
        <f t="shared" si="16"/>
        <v>0.35362396713198835</v>
      </c>
      <c r="AG990" s="275">
        <f t="shared" si="17"/>
        <v>0.52226024691809836</v>
      </c>
      <c r="AH990" s="391">
        <f t="shared" si="18"/>
        <v>0.5179820909116144</v>
      </c>
      <c r="AI990" s="135">
        <f t="shared" si="19"/>
        <v>1.0402423378297128</v>
      </c>
    </row>
    <row r="991" spans="1:35" ht="12.6">
      <c r="A991" s="10" t="s">
        <v>63</v>
      </c>
      <c r="B991" s="10">
        <v>260</v>
      </c>
      <c r="C991" s="10" t="s">
        <v>1515</v>
      </c>
      <c r="D991" s="388">
        <v>45186</v>
      </c>
      <c r="E991" s="389">
        <v>45186</v>
      </c>
      <c r="F991" s="390" t="str">
        <f t="shared" si="15"/>
        <v>Other</v>
      </c>
      <c r="G991" s="135">
        <v>3.0131338339630699E-2</v>
      </c>
      <c r="H991" s="135">
        <v>2.6410819320413299E-2</v>
      </c>
      <c r="I991" s="135">
        <v>2.5136055432186399E-2</v>
      </c>
      <c r="J991" s="135">
        <v>2.4529545065448102E-2</v>
      </c>
      <c r="K991" s="135">
        <v>2.5221946107423E-2</v>
      </c>
      <c r="L991" s="135">
        <v>2.6564070267563099E-2</v>
      </c>
      <c r="M991" s="135">
        <v>3.2872190317752799E-2</v>
      </c>
      <c r="N991" s="135">
        <v>4.2324309975772301E-2</v>
      </c>
      <c r="O991" s="135">
        <v>4.14663838977141E-2</v>
      </c>
      <c r="P991" s="135">
        <v>4.34798560122251E-2</v>
      </c>
      <c r="Q991" s="135">
        <v>4.7324490082932699E-2</v>
      </c>
      <c r="R991" s="135">
        <v>4.9828625181992298E-2</v>
      </c>
      <c r="S991" s="135">
        <v>4.9605494107248002E-2</v>
      </c>
      <c r="T991" s="135">
        <v>5.0983369720472398E-2</v>
      </c>
      <c r="U991" s="135">
        <v>5.19831141230018E-2</v>
      </c>
      <c r="V991" s="135">
        <v>5.24576200462748E-2</v>
      </c>
      <c r="W991" s="135">
        <v>5.1441253870066303E-2</v>
      </c>
      <c r="X991" s="135">
        <v>5.3034988802493001E-2</v>
      </c>
      <c r="Y991" s="135">
        <v>5.86267608479508E-2</v>
      </c>
      <c r="Z991" s="135">
        <v>6.4340363281778307E-2</v>
      </c>
      <c r="AA991" s="135">
        <v>6.3432368544790493E-2</v>
      </c>
      <c r="AB991" s="135">
        <v>5.4123944283965303E-2</v>
      </c>
      <c r="AC991" s="135">
        <v>4.1312537475999798E-2</v>
      </c>
      <c r="AD991" s="135">
        <v>3.3610892724618001E-2</v>
      </c>
      <c r="AF991" s="243">
        <f t="shared" si="16"/>
        <v>0.35362396713198835</v>
      </c>
      <c r="AG991" s="275">
        <f t="shared" si="17"/>
        <v>0.52226024691809836</v>
      </c>
      <c r="AH991" s="391">
        <f t="shared" si="18"/>
        <v>0.5179820909116144</v>
      </c>
      <c r="AI991" s="135">
        <f t="shared" si="19"/>
        <v>1.0402423378297128</v>
      </c>
    </row>
    <row r="992" spans="1:35" ht="12.6">
      <c r="A992" s="10" t="s">
        <v>63</v>
      </c>
      <c r="B992" s="10">
        <v>261</v>
      </c>
      <c r="C992" s="10" t="s">
        <v>1515</v>
      </c>
      <c r="D992" s="388">
        <v>45187</v>
      </c>
      <c r="E992" s="389">
        <v>45187</v>
      </c>
      <c r="F992" s="390" t="str">
        <f t="shared" si="15"/>
        <v>Other</v>
      </c>
      <c r="G992" s="135">
        <v>2.7461416298379501E-2</v>
      </c>
      <c r="H992" s="135">
        <v>2.59817916427377E-2</v>
      </c>
      <c r="I992" s="135">
        <v>2.5486616498992101E-2</v>
      </c>
      <c r="J992" s="135">
        <v>2.49925256423561E-2</v>
      </c>
      <c r="K992" s="135">
        <v>2.5524711218284198E-2</v>
      </c>
      <c r="L992" s="135">
        <v>2.73904103889555E-2</v>
      </c>
      <c r="M992" s="135">
        <v>3.7921757343178202E-2</v>
      </c>
      <c r="N992" s="135">
        <v>4.2893446772633299E-2</v>
      </c>
      <c r="O992" s="135">
        <v>4.0317796620390998E-2</v>
      </c>
      <c r="P992" s="135">
        <v>3.9478177652496498E-2</v>
      </c>
      <c r="Q992" s="135">
        <v>4.1562998294850599E-2</v>
      </c>
      <c r="R992" s="135">
        <v>4.2947465511646299E-2</v>
      </c>
      <c r="S992" s="135">
        <v>4.4862605457097401E-2</v>
      </c>
      <c r="T992" s="135">
        <v>4.5843808581536402E-2</v>
      </c>
      <c r="U992" s="135">
        <v>4.4489163191487803E-2</v>
      </c>
      <c r="V992" s="135">
        <v>4.2673020369751603E-2</v>
      </c>
      <c r="W992" s="135">
        <v>4.2395132214933497E-2</v>
      </c>
      <c r="X992" s="135">
        <v>4.8196610085783E-2</v>
      </c>
      <c r="Y992" s="135">
        <v>5.6199504371839001E-2</v>
      </c>
      <c r="Z992" s="135">
        <v>6.4613659135555196E-2</v>
      </c>
      <c r="AA992" s="135">
        <v>6.4950299464656094E-2</v>
      </c>
      <c r="AB992" s="135">
        <v>5.50007011186305E-2</v>
      </c>
      <c r="AC992" s="135">
        <v>4.13050236667949E-2</v>
      </c>
      <c r="AD992" s="135">
        <v>3.14877897221401E-2</v>
      </c>
      <c r="AF992" s="243">
        <f t="shared" si="16"/>
        <v>0.30477419362130365</v>
      </c>
      <c r="AG992" s="275">
        <f t="shared" si="17"/>
        <v>0.48781577223662509</v>
      </c>
      <c r="AH992" s="391">
        <f t="shared" si="18"/>
        <v>0.4961606590284815</v>
      </c>
      <c r="AI992" s="135">
        <f t="shared" si="19"/>
        <v>0.98397643126510659</v>
      </c>
    </row>
    <row r="993" spans="1:35" ht="12.6">
      <c r="A993" s="10" t="s">
        <v>63</v>
      </c>
      <c r="B993" s="10">
        <v>262</v>
      </c>
      <c r="C993" s="10" t="s">
        <v>1515</v>
      </c>
      <c r="D993" s="388">
        <v>45188</v>
      </c>
      <c r="E993" s="389">
        <v>45188</v>
      </c>
      <c r="F993" s="390" t="str">
        <f t="shared" si="15"/>
        <v>Other</v>
      </c>
      <c r="G993" s="135">
        <v>2.7461416298379501E-2</v>
      </c>
      <c r="H993" s="135">
        <v>2.59817916427377E-2</v>
      </c>
      <c r="I993" s="135">
        <v>2.5486616498992101E-2</v>
      </c>
      <c r="J993" s="135">
        <v>2.49925256423561E-2</v>
      </c>
      <c r="K993" s="135">
        <v>2.5524711218284198E-2</v>
      </c>
      <c r="L993" s="135">
        <v>2.73904103889555E-2</v>
      </c>
      <c r="M993" s="135">
        <v>3.7921757343178202E-2</v>
      </c>
      <c r="N993" s="135">
        <v>4.2893446772633299E-2</v>
      </c>
      <c r="O993" s="135">
        <v>4.0317796620390998E-2</v>
      </c>
      <c r="P993" s="135">
        <v>3.9478177652496498E-2</v>
      </c>
      <c r="Q993" s="135">
        <v>4.1562998294850599E-2</v>
      </c>
      <c r="R993" s="135">
        <v>4.2947465511646299E-2</v>
      </c>
      <c r="S993" s="135">
        <v>4.4862605457097401E-2</v>
      </c>
      <c r="T993" s="135">
        <v>4.5843808581536402E-2</v>
      </c>
      <c r="U993" s="135">
        <v>4.4489163191487803E-2</v>
      </c>
      <c r="V993" s="135">
        <v>4.2673020369751603E-2</v>
      </c>
      <c r="W993" s="135">
        <v>4.2395132214933497E-2</v>
      </c>
      <c r="X993" s="135">
        <v>4.8196610085783E-2</v>
      </c>
      <c r="Y993" s="135">
        <v>5.6199504371839001E-2</v>
      </c>
      <c r="Z993" s="135">
        <v>6.4613659135555196E-2</v>
      </c>
      <c r="AA993" s="135">
        <v>6.4950299464656094E-2</v>
      </c>
      <c r="AB993" s="135">
        <v>5.50007011186305E-2</v>
      </c>
      <c r="AC993" s="135">
        <v>4.13050236667949E-2</v>
      </c>
      <c r="AD993" s="135">
        <v>3.14877897221401E-2</v>
      </c>
      <c r="AF993" s="243">
        <f t="shared" si="16"/>
        <v>0.30477419362130365</v>
      </c>
      <c r="AG993" s="275">
        <f t="shared" si="17"/>
        <v>0.48781577223662509</v>
      </c>
      <c r="AH993" s="391">
        <f t="shared" si="18"/>
        <v>0.4961606590284815</v>
      </c>
      <c r="AI993" s="135">
        <f t="shared" si="19"/>
        <v>0.98397643126510659</v>
      </c>
    </row>
    <row r="994" spans="1:35" ht="12.6">
      <c r="A994" s="10" t="s">
        <v>63</v>
      </c>
      <c r="B994" s="10">
        <v>263</v>
      </c>
      <c r="C994" s="10" t="s">
        <v>1515</v>
      </c>
      <c r="D994" s="388">
        <v>45189</v>
      </c>
      <c r="E994" s="389">
        <v>45189</v>
      </c>
      <c r="F994" s="390" t="str">
        <f t="shared" si="15"/>
        <v>Other</v>
      </c>
      <c r="G994" s="135">
        <v>2.7461416298379501E-2</v>
      </c>
      <c r="H994" s="135">
        <v>2.59817916427377E-2</v>
      </c>
      <c r="I994" s="135">
        <v>2.5486616498992101E-2</v>
      </c>
      <c r="J994" s="135">
        <v>2.49925256423561E-2</v>
      </c>
      <c r="K994" s="135">
        <v>2.5524711218284198E-2</v>
      </c>
      <c r="L994" s="135">
        <v>2.73904103889555E-2</v>
      </c>
      <c r="M994" s="135">
        <v>3.7921757343178202E-2</v>
      </c>
      <c r="N994" s="135">
        <v>4.2893446772633299E-2</v>
      </c>
      <c r="O994" s="135">
        <v>4.0317796620390998E-2</v>
      </c>
      <c r="P994" s="135">
        <v>3.9478177652496498E-2</v>
      </c>
      <c r="Q994" s="135">
        <v>4.1562998294850599E-2</v>
      </c>
      <c r="R994" s="135">
        <v>4.2947465511646299E-2</v>
      </c>
      <c r="S994" s="135">
        <v>4.4862605457097401E-2</v>
      </c>
      <c r="T994" s="135">
        <v>4.5843808581536402E-2</v>
      </c>
      <c r="U994" s="135">
        <v>4.4489163191487803E-2</v>
      </c>
      <c r="V994" s="135">
        <v>4.2673020369751603E-2</v>
      </c>
      <c r="W994" s="135">
        <v>4.2395132214933497E-2</v>
      </c>
      <c r="X994" s="135">
        <v>4.8196610085783E-2</v>
      </c>
      <c r="Y994" s="135">
        <v>5.6199504371839001E-2</v>
      </c>
      <c r="Z994" s="135">
        <v>6.4613659135555196E-2</v>
      </c>
      <c r="AA994" s="135">
        <v>6.4950299464656094E-2</v>
      </c>
      <c r="AB994" s="135">
        <v>5.50007011186305E-2</v>
      </c>
      <c r="AC994" s="135">
        <v>4.13050236667949E-2</v>
      </c>
      <c r="AD994" s="135">
        <v>3.14877897221401E-2</v>
      </c>
      <c r="AF994" s="243">
        <f t="shared" si="16"/>
        <v>0.30477419362130365</v>
      </c>
      <c r="AG994" s="275">
        <f t="shared" si="17"/>
        <v>0.48781577223662509</v>
      </c>
      <c r="AH994" s="391">
        <f t="shared" si="18"/>
        <v>0.4961606590284815</v>
      </c>
      <c r="AI994" s="135">
        <f t="shared" si="19"/>
        <v>0.98397643126510659</v>
      </c>
    </row>
    <row r="995" spans="1:35" ht="12.6">
      <c r="A995" s="10" t="s">
        <v>63</v>
      </c>
      <c r="B995" s="10">
        <v>264</v>
      </c>
      <c r="C995" s="10" t="s">
        <v>1515</v>
      </c>
      <c r="D995" s="388">
        <v>45190</v>
      </c>
      <c r="E995" s="389">
        <v>45190</v>
      </c>
      <c r="F995" s="390" t="str">
        <f t="shared" si="15"/>
        <v>Other</v>
      </c>
      <c r="G995" s="135">
        <v>2.7461416298379501E-2</v>
      </c>
      <c r="H995" s="135">
        <v>2.59817916427377E-2</v>
      </c>
      <c r="I995" s="135">
        <v>2.5486616498992101E-2</v>
      </c>
      <c r="J995" s="135">
        <v>2.49925256423561E-2</v>
      </c>
      <c r="K995" s="135">
        <v>2.5524711218284198E-2</v>
      </c>
      <c r="L995" s="135">
        <v>2.73904103889555E-2</v>
      </c>
      <c r="M995" s="135">
        <v>3.7921757343178202E-2</v>
      </c>
      <c r="N995" s="135">
        <v>4.2893446772633299E-2</v>
      </c>
      <c r="O995" s="135">
        <v>4.0317796620390998E-2</v>
      </c>
      <c r="P995" s="135">
        <v>3.9478177652496498E-2</v>
      </c>
      <c r="Q995" s="135">
        <v>4.1562998294850599E-2</v>
      </c>
      <c r="R995" s="135">
        <v>4.2947465511646299E-2</v>
      </c>
      <c r="S995" s="135">
        <v>4.4862605457097401E-2</v>
      </c>
      <c r="T995" s="135">
        <v>4.5843808581536402E-2</v>
      </c>
      <c r="U995" s="135">
        <v>4.4489163191487803E-2</v>
      </c>
      <c r="V995" s="135">
        <v>4.2673020369751603E-2</v>
      </c>
      <c r="W995" s="135">
        <v>4.2395132214933497E-2</v>
      </c>
      <c r="X995" s="135">
        <v>4.8196610085783E-2</v>
      </c>
      <c r="Y995" s="135">
        <v>5.6199504371839001E-2</v>
      </c>
      <c r="Z995" s="135">
        <v>6.4613659135555196E-2</v>
      </c>
      <c r="AA995" s="135">
        <v>6.4950299464656094E-2</v>
      </c>
      <c r="AB995" s="135">
        <v>5.50007011186305E-2</v>
      </c>
      <c r="AC995" s="135">
        <v>4.13050236667949E-2</v>
      </c>
      <c r="AD995" s="135">
        <v>3.14877897221401E-2</v>
      </c>
      <c r="AF995" s="243">
        <f t="shared" si="16"/>
        <v>0.30477419362130365</v>
      </c>
      <c r="AG995" s="275">
        <f t="shared" si="17"/>
        <v>0.48781577223662509</v>
      </c>
      <c r="AH995" s="391">
        <f t="shared" si="18"/>
        <v>0.4961606590284815</v>
      </c>
      <c r="AI995" s="135">
        <f t="shared" si="19"/>
        <v>0.98397643126510659</v>
      </c>
    </row>
    <row r="996" spans="1:35" ht="12.6">
      <c r="A996" s="10" t="s">
        <v>63</v>
      </c>
      <c r="B996" s="10">
        <v>265</v>
      </c>
      <c r="C996" s="10" t="s">
        <v>1515</v>
      </c>
      <c r="D996" s="388">
        <v>45191</v>
      </c>
      <c r="E996" s="389">
        <v>45191</v>
      </c>
      <c r="F996" s="390" t="str">
        <f t="shared" si="15"/>
        <v>Other</v>
      </c>
      <c r="G996" s="135">
        <v>2.7461416298379501E-2</v>
      </c>
      <c r="H996" s="135">
        <v>2.59817916427377E-2</v>
      </c>
      <c r="I996" s="135">
        <v>2.5486616498992101E-2</v>
      </c>
      <c r="J996" s="135">
        <v>2.49925256423561E-2</v>
      </c>
      <c r="K996" s="135">
        <v>2.5524711218284198E-2</v>
      </c>
      <c r="L996" s="135">
        <v>2.73904103889555E-2</v>
      </c>
      <c r="M996" s="135">
        <v>3.7921757343178202E-2</v>
      </c>
      <c r="N996" s="135">
        <v>4.2893446772633299E-2</v>
      </c>
      <c r="O996" s="135">
        <v>4.0317796620390998E-2</v>
      </c>
      <c r="P996" s="135">
        <v>3.9478177652496498E-2</v>
      </c>
      <c r="Q996" s="135">
        <v>4.1562998294850599E-2</v>
      </c>
      <c r="R996" s="135">
        <v>4.2947465511646299E-2</v>
      </c>
      <c r="S996" s="135">
        <v>4.4862605457097401E-2</v>
      </c>
      <c r="T996" s="135">
        <v>4.5843808581536402E-2</v>
      </c>
      <c r="U996" s="135">
        <v>4.4489163191487803E-2</v>
      </c>
      <c r="V996" s="135">
        <v>4.2673020369751603E-2</v>
      </c>
      <c r="W996" s="135">
        <v>4.2395132214933497E-2</v>
      </c>
      <c r="X996" s="135">
        <v>4.8196610085783E-2</v>
      </c>
      <c r="Y996" s="135">
        <v>5.6199504371839001E-2</v>
      </c>
      <c r="Z996" s="135">
        <v>6.4613659135555196E-2</v>
      </c>
      <c r="AA996" s="135">
        <v>6.4950299464656094E-2</v>
      </c>
      <c r="AB996" s="135">
        <v>5.50007011186305E-2</v>
      </c>
      <c r="AC996" s="135">
        <v>4.13050236667949E-2</v>
      </c>
      <c r="AD996" s="135">
        <v>3.14877897221401E-2</v>
      </c>
      <c r="AF996" s="243">
        <f t="shared" si="16"/>
        <v>0.30477419362130365</v>
      </c>
      <c r="AG996" s="275">
        <f t="shared" si="17"/>
        <v>0.48781577223662509</v>
      </c>
      <c r="AH996" s="391">
        <f t="shared" si="18"/>
        <v>0.4961606590284815</v>
      </c>
      <c r="AI996" s="135">
        <f t="shared" si="19"/>
        <v>0.98397643126510659</v>
      </c>
    </row>
    <row r="997" spans="1:35" ht="12.6">
      <c r="A997" s="10" t="s">
        <v>63</v>
      </c>
      <c r="B997" s="10">
        <v>266</v>
      </c>
      <c r="C997" s="10" t="s">
        <v>1515</v>
      </c>
      <c r="D997" s="388">
        <v>45192</v>
      </c>
      <c r="E997" s="389">
        <v>45192</v>
      </c>
      <c r="F997" s="390" t="str">
        <f t="shared" si="15"/>
        <v>Other</v>
      </c>
      <c r="G997" s="135">
        <v>3.0131338339630699E-2</v>
      </c>
      <c r="H997" s="135">
        <v>2.6410819320413299E-2</v>
      </c>
      <c r="I997" s="135">
        <v>2.5136055432186399E-2</v>
      </c>
      <c r="J997" s="135">
        <v>2.4529545065448102E-2</v>
      </c>
      <c r="K997" s="135">
        <v>2.5221946107423E-2</v>
      </c>
      <c r="L997" s="135">
        <v>2.6564070267563099E-2</v>
      </c>
      <c r="M997" s="135">
        <v>3.2872190317752799E-2</v>
      </c>
      <c r="N997" s="135">
        <v>4.2324309975772301E-2</v>
      </c>
      <c r="O997" s="135">
        <v>4.14663838977141E-2</v>
      </c>
      <c r="P997" s="135">
        <v>4.34798560122251E-2</v>
      </c>
      <c r="Q997" s="135">
        <v>4.7324490082932699E-2</v>
      </c>
      <c r="R997" s="135">
        <v>4.9828625181992298E-2</v>
      </c>
      <c r="S997" s="135">
        <v>4.9605494107248002E-2</v>
      </c>
      <c r="T997" s="135">
        <v>5.0983369720472398E-2</v>
      </c>
      <c r="U997" s="135">
        <v>5.19831141230018E-2</v>
      </c>
      <c r="V997" s="135">
        <v>5.24576200462748E-2</v>
      </c>
      <c r="W997" s="135">
        <v>5.1441253870066303E-2</v>
      </c>
      <c r="X997" s="135">
        <v>5.3034988802493001E-2</v>
      </c>
      <c r="Y997" s="135">
        <v>5.86267608479508E-2</v>
      </c>
      <c r="Z997" s="135">
        <v>6.4340363281778307E-2</v>
      </c>
      <c r="AA997" s="135">
        <v>6.3432368544790493E-2</v>
      </c>
      <c r="AB997" s="135">
        <v>5.4123944283965303E-2</v>
      </c>
      <c r="AC997" s="135">
        <v>4.1312537475999798E-2</v>
      </c>
      <c r="AD997" s="135">
        <v>3.3610892724618001E-2</v>
      </c>
      <c r="AF997" s="243">
        <f t="shared" si="16"/>
        <v>0.35362396713198835</v>
      </c>
      <c r="AG997" s="275">
        <f t="shared" si="17"/>
        <v>0.52226024691809836</v>
      </c>
      <c r="AH997" s="391">
        <f t="shared" si="18"/>
        <v>0.5179820909116144</v>
      </c>
      <c r="AI997" s="135">
        <f t="shared" si="19"/>
        <v>1.0402423378297128</v>
      </c>
    </row>
    <row r="998" spans="1:35" ht="12.6">
      <c r="A998" s="10" t="s">
        <v>63</v>
      </c>
      <c r="B998" s="10">
        <v>267</v>
      </c>
      <c r="C998" s="10" t="s">
        <v>1515</v>
      </c>
      <c r="D998" s="388">
        <v>45193</v>
      </c>
      <c r="E998" s="389">
        <v>45193</v>
      </c>
      <c r="F998" s="390" t="str">
        <f t="shared" si="15"/>
        <v>Other</v>
      </c>
      <c r="G998" s="135">
        <v>3.0131338339630699E-2</v>
      </c>
      <c r="H998" s="135">
        <v>2.6410819320413299E-2</v>
      </c>
      <c r="I998" s="135">
        <v>2.5136055432186399E-2</v>
      </c>
      <c r="J998" s="135">
        <v>2.4529545065448102E-2</v>
      </c>
      <c r="K998" s="135">
        <v>2.5221946107423E-2</v>
      </c>
      <c r="L998" s="135">
        <v>2.6564070267563099E-2</v>
      </c>
      <c r="M998" s="135">
        <v>3.2872190317752799E-2</v>
      </c>
      <c r="N998" s="135">
        <v>4.2324309975772301E-2</v>
      </c>
      <c r="O998" s="135">
        <v>4.14663838977141E-2</v>
      </c>
      <c r="P998" s="135">
        <v>4.34798560122251E-2</v>
      </c>
      <c r="Q998" s="135">
        <v>4.7324490082932699E-2</v>
      </c>
      <c r="R998" s="135">
        <v>4.9828625181992298E-2</v>
      </c>
      <c r="S998" s="135">
        <v>4.9605494107248002E-2</v>
      </c>
      <c r="T998" s="135">
        <v>5.0983369720472398E-2</v>
      </c>
      <c r="U998" s="135">
        <v>5.19831141230018E-2</v>
      </c>
      <c r="V998" s="135">
        <v>5.24576200462748E-2</v>
      </c>
      <c r="W998" s="135">
        <v>5.1441253870066303E-2</v>
      </c>
      <c r="X998" s="135">
        <v>5.3034988802493001E-2</v>
      </c>
      <c r="Y998" s="135">
        <v>5.86267608479508E-2</v>
      </c>
      <c r="Z998" s="135">
        <v>6.4340363281778307E-2</v>
      </c>
      <c r="AA998" s="135">
        <v>6.3432368544790493E-2</v>
      </c>
      <c r="AB998" s="135">
        <v>5.4123944283965303E-2</v>
      </c>
      <c r="AC998" s="135">
        <v>4.1312537475999798E-2</v>
      </c>
      <c r="AD998" s="135">
        <v>3.3610892724618001E-2</v>
      </c>
      <c r="AF998" s="243">
        <f t="shared" si="16"/>
        <v>0.35362396713198835</v>
      </c>
      <c r="AG998" s="275">
        <f t="shared" si="17"/>
        <v>0.52226024691809836</v>
      </c>
      <c r="AH998" s="391">
        <f t="shared" si="18"/>
        <v>0.5179820909116144</v>
      </c>
      <c r="AI998" s="135">
        <f t="shared" si="19"/>
        <v>1.0402423378297128</v>
      </c>
    </row>
    <row r="999" spans="1:35" ht="12.6">
      <c r="A999" s="10" t="s">
        <v>63</v>
      </c>
      <c r="B999" s="10">
        <v>268</v>
      </c>
      <c r="C999" s="10" t="s">
        <v>1515</v>
      </c>
      <c r="D999" s="388">
        <v>45194</v>
      </c>
      <c r="E999" s="389">
        <v>45194</v>
      </c>
      <c r="F999" s="390" t="str">
        <f t="shared" si="15"/>
        <v>Other</v>
      </c>
      <c r="G999" s="135">
        <v>2.7461416298379501E-2</v>
      </c>
      <c r="H999" s="135">
        <v>2.59817916427377E-2</v>
      </c>
      <c r="I999" s="135">
        <v>2.5486616498992101E-2</v>
      </c>
      <c r="J999" s="135">
        <v>2.49925256423561E-2</v>
      </c>
      <c r="K999" s="135">
        <v>2.5524711218284198E-2</v>
      </c>
      <c r="L999" s="135">
        <v>2.73904103889555E-2</v>
      </c>
      <c r="M999" s="135">
        <v>3.7921757343178202E-2</v>
      </c>
      <c r="N999" s="135">
        <v>4.2893446772633299E-2</v>
      </c>
      <c r="O999" s="135">
        <v>4.0317796620390998E-2</v>
      </c>
      <c r="P999" s="135">
        <v>3.9478177652496498E-2</v>
      </c>
      <c r="Q999" s="135">
        <v>4.1562998294850599E-2</v>
      </c>
      <c r="R999" s="135">
        <v>4.2947465511646299E-2</v>
      </c>
      <c r="S999" s="135">
        <v>4.4862605457097401E-2</v>
      </c>
      <c r="T999" s="135">
        <v>4.5843808581536402E-2</v>
      </c>
      <c r="U999" s="135">
        <v>4.4489163191487803E-2</v>
      </c>
      <c r="V999" s="135">
        <v>4.2673020369751603E-2</v>
      </c>
      <c r="W999" s="135">
        <v>4.2395132214933497E-2</v>
      </c>
      <c r="X999" s="135">
        <v>4.8196610085783E-2</v>
      </c>
      <c r="Y999" s="135">
        <v>5.6199504371839001E-2</v>
      </c>
      <c r="Z999" s="135">
        <v>6.4613659135555196E-2</v>
      </c>
      <c r="AA999" s="135">
        <v>6.4950299464656094E-2</v>
      </c>
      <c r="AB999" s="135">
        <v>5.50007011186305E-2</v>
      </c>
      <c r="AC999" s="135">
        <v>4.13050236667949E-2</v>
      </c>
      <c r="AD999" s="135">
        <v>3.14877897221401E-2</v>
      </c>
      <c r="AF999" s="243">
        <f t="shared" si="16"/>
        <v>0.30477419362130365</v>
      </c>
      <c r="AG999" s="275">
        <f t="shared" si="17"/>
        <v>0.48781577223662509</v>
      </c>
      <c r="AH999" s="391">
        <f t="shared" si="18"/>
        <v>0.4961606590284815</v>
      </c>
      <c r="AI999" s="135">
        <f t="shared" si="19"/>
        <v>0.98397643126510659</v>
      </c>
    </row>
    <row r="1000" spans="1:35" ht="12.6">
      <c r="A1000" s="10" t="s">
        <v>63</v>
      </c>
      <c r="B1000" s="10">
        <v>269</v>
      </c>
      <c r="C1000" s="10" t="s">
        <v>1515</v>
      </c>
      <c r="D1000" s="388">
        <v>45195</v>
      </c>
      <c r="E1000" s="389">
        <v>45195</v>
      </c>
      <c r="F1000" s="390" t="str">
        <f t="shared" si="15"/>
        <v>Other</v>
      </c>
      <c r="G1000" s="135">
        <v>2.7461416298379501E-2</v>
      </c>
      <c r="H1000" s="135">
        <v>2.59817916427377E-2</v>
      </c>
      <c r="I1000" s="135">
        <v>2.5486616498992101E-2</v>
      </c>
      <c r="J1000" s="135">
        <v>2.49925256423561E-2</v>
      </c>
      <c r="K1000" s="135">
        <v>2.5524711218284198E-2</v>
      </c>
      <c r="L1000" s="135">
        <v>2.73904103889555E-2</v>
      </c>
      <c r="M1000" s="135">
        <v>3.7921757343178202E-2</v>
      </c>
      <c r="N1000" s="135">
        <v>4.2893446772633299E-2</v>
      </c>
      <c r="O1000" s="135">
        <v>4.0317796620390998E-2</v>
      </c>
      <c r="P1000" s="135">
        <v>3.9478177652496498E-2</v>
      </c>
      <c r="Q1000" s="135">
        <v>4.1562998294850599E-2</v>
      </c>
      <c r="R1000" s="135">
        <v>4.2947465511646299E-2</v>
      </c>
      <c r="S1000" s="135">
        <v>4.4862605457097401E-2</v>
      </c>
      <c r="T1000" s="135">
        <v>4.5843808581536402E-2</v>
      </c>
      <c r="U1000" s="135">
        <v>4.4489163191487803E-2</v>
      </c>
      <c r="V1000" s="135">
        <v>4.2673020369751603E-2</v>
      </c>
      <c r="W1000" s="135">
        <v>4.2395132214933497E-2</v>
      </c>
      <c r="X1000" s="135">
        <v>4.8196610085783E-2</v>
      </c>
      <c r="Y1000" s="135">
        <v>5.6199504371839001E-2</v>
      </c>
      <c r="Z1000" s="135">
        <v>6.4613659135555196E-2</v>
      </c>
      <c r="AA1000" s="135">
        <v>6.4950299464656094E-2</v>
      </c>
      <c r="AB1000" s="135">
        <v>5.50007011186305E-2</v>
      </c>
      <c r="AC1000" s="135">
        <v>4.13050236667949E-2</v>
      </c>
      <c r="AD1000" s="135">
        <v>3.14877897221401E-2</v>
      </c>
      <c r="AF1000" s="243">
        <f t="shared" si="16"/>
        <v>0.30477419362130365</v>
      </c>
      <c r="AG1000" s="275">
        <f t="shared" si="17"/>
        <v>0.48781577223662509</v>
      </c>
      <c r="AH1000" s="391">
        <f t="shared" si="18"/>
        <v>0.4961606590284815</v>
      </c>
      <c r="AI1000" s="135">
        <f t="shared" si="19"/>
        <v>0.98397643126510659</v>
      </c>
    </row>
    <row r="1001" spans="1:35" ht="12.6">
      <c r="A1001" s="10" t="s">
        <v>63</v>
      </c>
      <c r="B1001" s="10">
        <v>270</v>
      </c>
      <c r="C1001" s="10" t="s">
        <v>1515</v>
      </c>
      <c r="D1001" s="388">
        <v>45196</v>
      </c>
      <c r="E1001" s="389">
        <v>45196</v>
      </c>
      <c r="F1001" s="390" t="str">
        <f t="shared" si="15"/>
        <v>Other</v>
      </c>
      <c r="G1001" s="135">
        <v>2.7461416298379501E-2</v>
      </c>
      <c r="H1001" s="135">
        <v>2.59817916427377E-2</v>
      </c>
      <c r="I1001" s="135">
        <v>2.5486616498992101E-2</v>
      </c>
      <c r="J1001" s="135">
        <v>2.49925256423561E-2</v>
      </c>
      <c r="K1001" s="135">
        <v>2.5524711218284198E-2</v>
      </c>
      <c r="L1001" s="135">
        <v>2.73904103889555E-2</v>
      </c>
      <c r="M1001" s="135">
        <v>3.7921757343178202E-2</v>
      </c>
      <c r="N1001" s="135">
        <v>4.2893446772633299E-2</v>
      </c>
      <c r="O1001" s="135">
        <v>4.0317796620390998E-2</v>
      </c>
      <c r="P1001" s="135">
        <v>3.9478177652496498E-2</v>
      </c>
      <c r="Q1001" s="135">
        <v>4.1562998294850599E-2</v>
      </c>
      <c r="R1001" s="135">
        <v>4.2947465511646299E-2</v>
      </c>
      <c r="S1001" s="135">
        <v>4.4862605457097401E-2</v>
      </c>
      <c r="T1001" s="135">
        <v>4.5843808581536402E-2</v>
      </c>
      <c r="U1001" s="135">
        <v>4.4489163191487803E-2</v>
      </c>
      <c r="V1001" s="135">
        <v>4.2673020369751603E-2</v>
      </c>
      <c r="W1001" s="135">
        <v>4.2395132214933497E-2</v>
      </c>
      <c r="X1001" s="135">
        <v>4.8196610085783E-2</v>
      </c>
      <c r="Y1001" s="135">
        <v>5.6199504371839001E-2</v>
      </c>
      <c r="Z1001" s="135">
        <v>6.4613659135555196E-2</v>
      </c>
      <c r="AA1001" s="135">
        <v>6.4950299464656094E-2</v>
      </c>
      <c r="AB1001" s="135">
        <v>5.50007011186305E-2</v>
      </c>
      <c r="AC1001" s="135">
        <v>4.13050236667949E-2</v>
      </c>
      <c r="AD1001" s="135">
        <v>3.14877897221401E-2</v>
      </c>
      <c r="AF1001" s="243">
        <f t="shared" si="16"/>
        <v>0.30477419362130365</v>
      </c>
      <c r="AG1001" s="275">
        <f t="shared" si="17"/>
        <v>0.48781577223662509</v>
      </c>
      <c r="AH1001" s="391">
        <f t="shared" si="18"/>
        <v>0.4961606590284815</v>
      </c>
      <c r="AI1001" s="135">
        <f t="shared" si="19"/>
        <v>0.98397643126510659</v>
      </c>
    </row>
    <row r="1002" spans="1:35" ht="12.6">
      <c r="A1002" s="10" t="s">
        <v>63</v>
      </c>
      <c r="B1002" s="10">
        <v>271</v>
      </c>
      <c r="C1002" s="10" t="s">
        <v>1515</v>
      </c>
      <c r="D1002" s="388">
        <v>45197</v>
      </c>
      <c r="E1002" s="389">
        <v>45197</v>
      </c>
      <c r="F1002" s="390" t="str">
        <f t="shared" si="15"/>
        <v>Other</v>
      </c>
      <c r="G1002" s="135">
        <v>2.7461416298379501E-2</v>
      </c>
      <c r="H1002" s="135">
        <v>2.59817916427377E-2</v>
      </c>
      <c r="I1002" s="135">
        <v>2.5486616498992101E-2</v>
      </c>
      <c r="J1002" s="135">
        <v>2.49925256423561E-2</v>
      </c>
      <c r="K1002" s="135">
        <v>2.5524711218284198E-2</v>
      </c>
      <c r="L1002" s="135">
        <v>2.73904103889555E-2</v>
      </c>
      <c r="M1002" s="135">
        <v>3.7921757343178202E-2</v>
      </c>
      <c r="N1002" s="135">
        <v>4.2893446772633299E-2</v>
      </c>
      <c r="O1002" s="135">
        <v>4.0317796620390998E-2</v>
      </c>
      <c r="P1002" s="135">
        <v>3.9478177652496498E-2</v>
      </c>
      <c r="Q1002" s="135">
        <v>4.1562998294850599E-2</v>
      </c>
      <c r="R1002" s="135">
        <v>4.2947465511646299E-2</v>
      </c>
      <c r="S1002" s="135">
        <v>4.4862605457097401E-2</v>
      </c>
      <c r="T1002" s="135">
        <v>4.5843808581536402E-2</v>
      </c>
      <c r="U1002" s="135">
        <v>4.4489163191487803E-2</v>
      </c>
      <c r="V1002" s="135">
        <v>4.2673020369751603E-2</v>
      </c>
      <c r="W1002" s="135">
        <v>4.2395132214933497E-2</v>
      </c>
      <c r="X1002" s="135">
        <v>4.8196610085783E-2</v>
      </c>
      <c r="Y1002" s="135">
        <v>5.6199504371839001E-2</v>
      </c>
      <c r="Z1002" s="135">
        <v>6.4613659135555196E-2</v>
      </c>
      <c r="AA1002" s="135">
        <v>6.4950299464656094E-2</v>
      </c>
      <c r="AB1002" s="135">
        <v>5.50007011186305E-2</v>
      </c>
      <c r="AC1002" s="135">
        <v>4.13050236667949E-2</v>
      </c>
      <c r="AD1002" s="135">
        <v>3.14877897221401E-2</v>
      </c>
      <c r="AF1002" s="243">
        <f t="shared" si="16"/>
        <v>0.30477419362130365</v>
      </c>
      <c r="AG1002" s="275">
        <f t="shared" si="17"/>
        <v>0.48781577223662509</v>
      </c>
      <c r="AH1002" s="391">
        <f t="shared" si="18"/>
        <v>0.4961606590284815</v>
      </c>
      <c r="AI1002" s="135">
        <f t="shared" si="19"/>
        <v>0.98397643126510659</v>
      </c>
    </row>
    <row r="1003" spans="1:35" ht="12.6">
      <c r="A1003" s="10" t="s">
        <v>63</v>
      </c>
      <c r="B1003" s="10">
        <v>272</v>
      </c>
      <c r="C1003" s="10" t="s">
        <v>1515</v>
      </c>
      <c r="D1003" s="388">
        <v>45198</v>
      </c>
      <c r="E1003" s="389">
        <v>45198</v>
      </c>
      <c r="F1003" s="390" t="str">
        <f t="shared" si="15"/>
        <v>Other</v>
      </c>
      <c r="G1003" s="135">
        <v>2.7461416298379501E-2</v>
      </c>
      <c r="H1003" s="135">
        <v>2.59817916427377E-2</v>
      </c>
      <c r="I1003" s="135">
        <v>2.5486616498992101E-2</v>
      </c>
      <c r="J1003" s="135">
        <v>2.49925256423561E-2</v>
      </c>
      <c r="K1003" s="135">
        <v>2.5524711218284198E-2</v>
      </c>
      <c r="L1003" s="135">
        <v>2.73904103889555E-2</v>
      </c>
      <c r="M1003" s="135">
        <v>3.7921757343178202E-2</v>
      </c>
      <c r="N1003" s="135">
        <v>4.2893446772633299E-2</v>
      </c>
      <c r="O1003" s="135">
        <v>4.0317796620390998E-2</v>
      </c>
      <c r="P1003" s="135">
        <v>3.9478177652496498E-2</v>
      </c>
      <c r="Q1003" s="135">
        <v>4.1562998294850599E-2</v>
      </c>
      <c r="R1003" s="135">
        <v>4.2947465511646299E-2</v>
      </c>
      <c r="S1003" s="135">
        <v>4.4862605457097401E-2</v>
      </c>
      <c r="T1003" s="135">
        <v>4.5843808581536402E-2</v>
      </c>
      <c r="U1003" s="135">
        <v>4.4489163191487803E-2</v>
      </c>
      <c r="V1003" s="135">
        <v>4.2673020369751603E-2</v>
      </c>
      <c r="W1003" s="135">
        <v>4.2395132214933497E-2</v>
      </c>
      <c r="X1003" s="135">
        <v>4.8196610085783E-2</v>
      </c>
      <c r="Y1003" s="135">
        <v>5.6199504371839001E-2</v>
      </c>
      <c r="Z1003" s="135">
        <v>6.4613659135555196E-2</v>
      </c>
      <c r="AA1003" s="135">
        <v>6.4950299464656094E-2</v>
      </c>
      <c r="AB1003" s="135">
        <v>5.50007011186305E-2</v>
      </c>
      <c r="AC1003" s="135">
        <v>4.13050236667949E-2</v>
      </c>
      <c r="AD1003" s="135">
        <v>3.14877897221401E-2</v>
      </c>
      <c r="AF1003" s="243">
        <f t="shared" si="16"/>
        <v>0.30477419362130365</v>
      </c>
      <c r="AG1003" s="275">
        <f t="shared" si="17"/>
        <v>0.48781577223662509</v>
      </c>
      <c r="AH1003" s="391">
        <f t="shared" si="18"/>
        <v>0.4961606590284815</v>
      </c>
      <c r="AI1003" s="135">
        <f t="shared" si="19"/>
        <v>0.98397643126510659</v>
      </c>
    </row>
    <row r="1004" spans="1:35" ht="12.6">
      <c r="A1004" s="10" t="s">
        <v>63</v>
      </c>
      <c r="B1004" s="10">
        <v>273</v>
      </c>
      <c r="C1004" s="10" t="s">
        <v>1515</v>
      </c>
      <c r="D1004" s="388">
        <v>45199</v>
      </c>
      <c r="E1004" s="389">
        <v>45199</v>
      </c>
      <c r="F1004" s="390" t="str">
        <f t="shared" si="15"/>
        <v>Other</v>
      </c>
      <c r="G1004" s="135">
        <v>3.0131338339630699E-2</v>
      </c>
      <c r="H1004" s="135">
        <v>2.6410819320413299E-2</v>
      </c>
      <c r="I1004" s="135">
        <v>2.5136055432186399E-2</v>
      </c>
      <c r="J1004" s="135">
        <v>2.4529545065448102E-2</v>
      </c>
      <c r="K1004" s="135">
        <v>2.5221946107423E-2</v>
      </c>
      <c r="L1004" s="135">
        <v>2.6564070267563099E-2</v>
      </c>
      <c r="M1004" s="135">
        <v>3.2872190317752799E-2</v>
      </c>
      <c r="N1004" s="135">
        <v>4.2324309975772301E-2</v>
      </c>
      <c r="O1004" s="135">
        <v>4.14663838977141E-2</v>
      </c>
      <c r="P1004" s="135">
        <v>4.34798560122251E-2</v>
      </c>
      <c r="Q1004" s="135">
        <v>4.7324490082932699E-2</v>
      </c>
      <c r="R1004" s="135">
        <v>4.9828625181992298E-2</v>
      </c>
      <c r="S1004" s="135">
        <v>4.9605494107248002E-2</v>
      </c>
      <c r="T1004" s="135">
        <v>5.0983369720472398E-2</v>
      </c>
      <c r="U1004" s="135">
        <v>5.19831141230018E-2</v>
      </c>
      <c r="V1004" s="135">
        <v>5.24576200462748E-2</v>
      </c>
      <c r="W1004" s="135">
        <v>5.1441253870066303E-2</v>
      </c>
      <c r="X1004" s="135">
        <v>5.3034988802493001E-2</v>
      </c>
      <c r="Y1004" s="135">
        <v>5.86267608479508E-2</v>
      </c>
      <c r="Z1004" s="135">
        <v>6.4340363281778307E-2</v>
      </c>
      <c r="AA1004" s="135">
        <v>6.3432368544790493E-2</v>
      </c>
      <c r="AB1004" s="135">
        <v>5.4123944283965303E-2</v>
      </c>
      <c r="AC1004" s="135">
        <v>4.1312537475999798E-2</v>
      </c>
      <c r="AD1004" s="135">
        <v>3.3610892724618001E-2</v>
      </c>
      <c r="AF1004" s="243">
        <f t="shared" si="16"/>
        <v>0.35362396713198835</v>
      </c>
      <c r="AG1004" s="275">
        <f t="shared" si="17"/>
        <v>0.52226024691809836</v>
      </c>
      <c r="AH1004" s="391">
        <f t="shared" si="18"/>
        <v>0.5179820909116144</v>
      </c>
      <c r="AI1004" s="135">
        <f t="shared" si="19"/>
        <v>1.0402423378297128</v>
      </c>
    </row>
    <row r="1005" spans="1:35" ht="12.6">
      <c r="A1005" s="10" t="s">
        <v>63</v>
      </c>
      <c r="B1005" s="10">
        <v>274</v>
      </c>
      <c r="C1005" s="10" t="s">
        <v>1515</v>
      </c>
      <c r="D1005" s="388">
        <v>45200</v>
      </c>
      <c r="E1005" s="389">
        <v>45200</v>
      </c>
      <c r="F1005" s="390" t="str">
        <f t="shared" si="15"/>
        <v>Other</v>
      </c>
      <c r="G1005" s="135">
        <v>3.0131338339630699E-2</v>
      </c>
      <c r="H1005" s="135">
        <v>2.6410819320413299E-2</v>
      </c>
      <c r="I1005" s="135">
        <v>2.5136055432186399E-2</v>
      </c>
      <c r="J1005" s="135">
        <v>2.4529545065448102E-2</v>
      </c>
      <c r="K1005" s="135">
        <v>2.5221946107423E-2</v>
      </c>
      <c r="L1005" s="135">
        <v>2.6564070267563099E-2</v>
      </c>
      <c r="M1005" s="135">
        <v>3.2872190317752799E-2</v>
      </c>
      <c r="N1005" s="135">
        <v>4.2324309975772301E-2</v>
      </c>
      <c r="O1005" s="135">
        <v>4.14663838977141E-2</v>
      </c>
      <c r="P1005" s="135">
        <v>4.34798560122251E-2</v>
      </c>
      <c r="Q1005" s="135">
        <v>4.7324490082932699E-2</v>
      </c>
      <c r="R1005" s="135">
        <v>4.9828625181992298E-2</v>
      </c>
      <c r="S1005" s="135">
        <v>4.9605494107248002E-2</v>
      </c>
      <c r="T1005" s="135">
        <v>5.0983369720472398E-2</v>
      </c>
      <c r="U1005" s="135">
        <v>5.19831141230018E-2</v>
      </c>
      <c r="V1005" s="135">
        <v>5.24576200462748E-2</v>
      </c>
      <c r="W1005" s="135">
        <v>5.1441253870066303E-2</v>
      </c>
      <c r="X1005" s="135">
        <v>5.3034988802493001E-2</v>
      </c>
      <c r="Y1005" s="135">
        <v>5.86267608479508E-2</v>
      </c>
      <c r="Z1005" s="135">
        <v>6.4340363281778307E-2</v>
      </c>
      <c r="AA1005" s="135">
        <v>6.3432368544790493E-2</v>
      </c>
      <c r="AB1005" s="135">
        <v>5.4123944283965303E-2</v>
      </c>
      <c r="AC1005" s="135">
        <v>4.1312537475999798E-2</v>
      </c>
      <c r="AD1005" s="135">
        <v>3.3610892724618001E-2</v>
      </c>
      <c r="AF1005" s="243">
        <f t="shared" si="16"/>
        <v>0.35362396713198835</v>
      </c>
      <c r="AG1005" s="275">
        <f t="shared" si="17"/>
        <v>0.52226024691809836</v>
      </c>
      <c r="AH1005" s="391">
        <f t="shared" si="18"/>
        <v>0.5179820909116144</v>
      </c>
      <c r="AI1005" s="135">
        <f t="shared" si="19"/>
        <v>1.0402423378297128</v>
      </c>
    </row>
    <row r="1006" spans="1:35" ht="12.6">
      <c r="A1006" s="10" t="s">
        <v>63</v>
      </c>
      <c r="B1006" s="10">
        <v>275</v>
      </c>
      <c r="C1006" s="10" t="s">
        <v>1515</v>
      </c>
      <c r="D1006" s="388">
        <v>45201</v>
      </c>
      <c r="E1006" s="389">
        <v>45201</v>
      </c>
      <c r="F1006" s="390" t="str">
        <f t="shared" si="15"/>
        <v>Other</v>
      </c>
      <c r="G1006" s="135">
        <v>2.7461416298379501E-2</v>
      </c>
      <c r="H1006" s="135">
        <v>2.59817916427377E-2</v>
      </c>
      <c r="I1006" s="135">
        <v>2.5486616498992101E-2</v>
      </c>
      <c r="J1006" s="135">
        <v>2.49925256423561E-2</v>
      </c>
      <c r="K1006" s="135">
        <v>2.5524711218284198E-2</v>
      </c>
      <c r="L1006" s="135">
        <v>2.73904103889555E-2</v>
      </c>
      <c r="M1006" s="135">
        <v>3.7921757343178202E-2</v>
      </c>
      <c r="N1006" s="135">
        <v>4.2893446772633299E-2</v>
      </c>
      <c r="O1006" s="135">
        <v>4.0317796620390998E-2</v>
      </c>
      <c r="P1006" s="135">
        <v>3.9478177652496498E-2</v>
      </c>
      <c r="Q1006" s="135">
        <v>4.1562998294850599E-2</v>
      </c>
      <c r="R1006" s="135">
        <v>4.2947465511646299E-2</v>
      </c>
      <c r="S1006" s="135">
        <v>4.4862605457097401E-2</v>
      </c>
      <c r="T1006" s="135">
        <v>4.5843808581536402E-2</v>
      </c>
      <c r="U1006" s="135">
        <v>4.4489163191487803E-2</v>
      </c>
      <c r="V1006" s="135">
        <v>4.2673020369751603E-2</v>
      </c>
      <c r="W1006" s="135">
        <v>4.2395132214933497E-2</v>
      </c>
      <c r="X1006" s="135">
        <v>4.8196610085783E-2</v>
      </c>
      <c r="Y1006" s="135">
        <v>5.6199504371839001E-2</v>
      </c>
      <c r="Z1006" s="135">
        <v>6.4613659135555196E-2</v>
      </c>
      <c r="AA1006" s="135">
        <v>6.4950299464656094E-2</v>
      </c>
      <c r="AB1006" s="135">
        <v>5.50007011186305E-2</v>
      </c>
      <c r="AC1006" s="135">
        <v>4.13050236667949E-2</v>
      </c>
      <c r="AD1006" s="135">
        <v>3.14877897221401E-2</v>
      </c>
      <c r="AF1006" s="243">
        <f t="shared" si="16"/>
        <v>0.30477419362130365</v>
      </c>
      <c r="AG1006" s="275">
        <f t="shared" si="17"/>
        <v>0.48781577223662509</v>
      </c>
      <c r="AH1006" s="391">
        <f t="shared" si="18"/>
        <v>0.4961606590284815</v>
      </c>
      <c r="AI1006" s="135">
        <f t="shared" si="19"/>
        <v>0.98397643126510659</v>
      </c>
    </row>
    <row r="1007" spans="1:35" ht="12.6">
      <c r="A1007" s="10" t="s">
        <v>63</v>
      </c>
      <c r="B1007" s="10">
        <v>276</v>
      </c>
      <c r="C1007" s="10" t="s">
        <v>1515</v>
      </c>
      <c r="D1007" s="388">
        <v>45202</v>
      </c>
      <c r="E1007" s="389">
        <v>45202</v>
      </c>
      <c r="F1007" s="390" t="str">
        <f t="shared" si="15"/>
        <v>Other</v>
      </c>
      <c r="G1007" s="135">
        <v>2.7461416298379501E-2</v>
      </c>
      <c r="H1007" s="135">
        <v>2.59817916427377E-2</v>
      </c>
      <c r="I1007" s="135">
        <v>2.5486616498992101E-2</v>
      </c>
      <c r="J1007" s="135">
        <v>2.49925256423561E-2</v>
      </c>
      <c r="K1007" s="135">
        <v>2.5524711218284198E-2</v>
      </c>
      <c r="L1007" s="135">
        <v>2.73904103889555E-2</v>
      </c>
      <c r="M1007" s="135">
        <v>3.7921757343178202E-2</v>
      </c>
      <c r="N1007" s="135">
        <v>4.2893446772633299E-2</v>
      </c>
      <c r="O1007" s="135">
        <v>4.0317796620390998E-2</v>
      </c>
      <c r="P1007" s="135">
        <v>3.9478177652496498E-2</v>
      </c>
      <c r="Q1007" s="135">
        <v>4.1562998294850599E-2</v>
      </c>
      <c r="R1007" s="135">
        <v>4.2947465511646299E-2</v>
      </c>
      <c r="S1007" s="135">
        <v>4.4862605457097401E-2</v>
      </c>
      <c r="T1007" s="135">
        <v>4.5843808581536402E-2</v>
      </c>
      <c r="U1007" s="135">
        <v>4.4489163191487803E-2</v>
      </c>
      <c r="V1007" s="135">
        <v>4.2673020369751603E-2</v>
      </c>
      <c r="W1007" s="135">
        <v>4.2395132214933497E-2</v>
      </c>
      <c r="X1007" s="135">
        <v>4.8196610085783E-2</v>
      </c>
      <c r="Y1007" s="135">
        <v>5.6199504371839001E-2</v>
      </c>
      <c r="Z1007" s="135">
        <v>6.4613659135555196E-2</v>
      </c>
      <c r="AA1007" s="135">
        <v>6.4950299464656094E-2</v>
      </c>
      <c r="AB1007" s="135">
        <v>5.50007011186305E-2</v>
      </c>
      <c r="AC1007" s="135">
        <v>4.13050236667949E-2</v>
      </c>
      <c r="AD1007" s="135">
        <v>3.14877897221401E-2</v>
      </c>
      <c r="AF1007" s="243">
        <f t="shared" si="16"/>
        <v>0.30477419362130365</v>
      </c>
      <c r="AG1007" s="275">
        <f t="shared" si="17"/>
        <v>0.48781577223662509</v>
      </c>
      <c r="AH1007" s="391">
        <f t="shared" si="18"/>
        <v>0.4961606590284815</v>
      </c>
      <c r="AI1007" s="135">
        <f t="shared" si="19"/>
        <v>0.98397643126510659</v>
      </c>
    </row>
    <row r="1008" spans="1:35" ht="12.6">
      <c r="A1008" s="10" t="s">
        <v>63</v>
      </c>
      <c r="B1008" s="10">
        <v>277</v>
      </c>
      <c r="C1008" s="10" t="s">
        <v>1515</v>
      </c>
      <c r="D1008" s="388">
        <v>45203</v>
      </c>
      <c r="E1008" s="389">
        <v>45203</v>
      </c>
      <c r="F1008" s="390" t="str">
        <f t="shared" si="15"/>
        <v>Other</v>
      </c>
      <c r="G1008" s="135">
        <v>2.7461416298379501E-2</v>
      </c>
      <c r="H1008" s="135">
        <v>2.59817916427377E-2</v>
      </c>
      <c r="I1008" s="135">
        <v>2.5486616498992101E-2</v>
      </c>
      <c r="J1008" s="135">
        <v>2.49925256423561E-2</v>
      </c>
      <c r="K1008" s="135">
        <v>2.5524711218284198E-2</v>
      </c>
      <c r="L1008" s="135">
        <v>2.73904103889555E-2</v>
      </c>
      <c r="M1008" s="135">
        <v>3.7921757343178202E-2</v>
      </c>
      <c r="N1008" s="135">
        <v>4.2893446772633299E-2</v>
      </c>
      <c r="O1008" s="135">
        <v>4.0317796620390998E-2</v>
      </c>
      <c r="P1008" s="135">
        <v>3.9478177652496498E-2</v>
      </c>
      <c r="Q1008" s="135">
        <v>4.1562998294850599E-2</v>
      </c>
      <c r="R1008" s="135">
        <v>4.2947465511646299E-2</v>
      </c>
      <c r="S1008" s="135">
        <v>4.4862605457097401E-2</v>
      </c>
      <c r="T1008" s="135">
        <v>4.5843808581536402E-2</v>
      </c>
      <c r="U1008" s="135">
        <v>4.4489163191487803E-2</v>
      </c>
      <c r="V1008" s="135">
        <v>4.2673020369751603E-2</v>
      </c>
      <c r="W1008" s="135">
        <v>4.2395132214933497E-2</v>
      </c>
      <c r="X1008" s="135">
        <v>4.8196610085783E-2</v>
      </c>
      <c r="Y1008" s="135">
        <v>5.6199504371839001E-2</v>
      </c>
      <c r="Z1008" s="135">
        <v>6.4613659135555196E-2</v>
      </c>
      <c r="AA1008" s="135">
        <v>6.4950299464656094E-2</v>
      </c>
      <c r="AB1008" s="135">
        <v>5.50007011186305E-2</v>
      </c>
      <c r="AC1008" s="135">
        <v>4.13050236667949E-2</v>
      </c>
      <c r="AD1008" s="135">
        <v>3.14877897221401E-2</v>
      </c>
      <c r="AF1008" s="243">
        <f t="shared" si="16"/>
        <v>0.30477419362130365</v>
      </c>
      <c r="AG1008" s="275">
        <f t="shared" si="17"/>
        <v>0.48781577223662509</v>
      </c>
      <c r="AH1008" s="391">
        <f t="shared" si="18"/>
        <v>0.4961606590284815</v>
      </c>
      <c r="AI1008" s="135">
        <f t="shared" si="19"/>
        <v>0.98397643126510659</v>
      </c>
    </row>
    <row r="1009" spans="1:35" ht="12.6">
      <c r="A1009" s="10" t="s">
        <v>63</v>
      </c>
      <c r="B1009" s="10">
        <v>278</v>
      </c>
      <c r="C1009" s="10" t="s">
        <v>1515</v>
      </c>
      <c r="D1009" s="388">
        <v>45204</v>
      </c>
      <c r="E1009" s="389">
        <v>45204</v>
      </c>
      <c r="F1009" s="390" t="str">
        <f t="shared" si="15"/>
        <v>Other</v>
      </c>
      <c r="G1009" s="135">
        <v>2.7461416298379501E-2</v>
      </c>
      <c r="H1009" s="135">
        <v>2.59817916427377E-2</v>
      </c>
      <c r="I1009" s="135">
        <v>2.5486616498992101E-2</v>
      </c>
      <c r="J1009" s="135">
        <v>2.49925256423561E-2</v>
      </c>
      <c r="K1009" s="135">
        <v>2.5524711218284198E-2</v>
      </c>
      <c r="L1009" s="135">
        <v>2.73904103889555E-2</v>
      </c>
      <c r="M1009" s="135">
        <v>3.7921757343178202E-2</v>
      </c>
      <c r="N1009" s="135">
        <v>4.2893446772633299E-2</v>
      </c>
      <c r="O1009" s="135">
        <v>4.0317796620390998E-2</v>
      </c>
      <c r="P1009" s="135">
        <v>3.9478177652496498E-2</v>
      </c>
      <c r="Q1009" s="135">
        <v>4.1562998294850599E-2</v>
      </c>
      <c r="R1009" s="135">
        <v>4.2947465511646299E-2</v>
      </c>
      <c r="S1009" s="135">
        <v>4.4862605457097401E-2</v>
      </c>
      <c r="T1009" s="135">
        <v>4.5843808581536402E-2</v>
      </c>
      <c r="U1009" s="135">
        <v>4.4489163191487803E-2</v>
      </c>
      <c r="V1009" s="135">
        <v>4.2673020369751603E-2</v>
      </c>
      <c r="W1009" s="135">
        <v>4.2395132214933497E-2</v>
      </c>
      <c r="X1009" s="135">
        <v>4.8196610085783E-2</v>
      </c>
      <c r="Y1009" s="135">
        <v>5.6199504371839001E-2</v>
      </c>
      <c r="Z1009" s="135">
        <v>6.4613659135555196E-2</v>
      </c>
      <c r="AA1009" s="135">
        <v>6.4950299464656094E-2</v>
      </c>
      <c r="AB1009" s="135">
        <v>5.50007011186305E-2</v>
      </c>
      <c r="AC1009" s="135">
        <v>4.13050236667949E-2</v>
      </c>
      <c r="AD1009" s="135">
        <v>3.14877897221401E-2</v>
      </c>
      <c r="AF1009" s="243">
        <f t="shared" si="16"/>
        <v>0.30477419362130365</v>
      </c>
      <c r="AG1009" s="275">
        <f t="shared" si="17"/>
        <v>0.48781577223662509</v>
      </c>
      <c r="AH1009" s="391">
        <f t="shared" si="18"/>
        <v>0.4961606590284815</v>
      </c>
      <c r="AI1009" s="135">
        <f t="shared" si="19"/>
        <v>0.98397643126510659</v>
      </c>
    </row>
    <row r="1010" spans="1:35" ht="12.6">
      <c r="A1010" s="10" t="s">
        <v>63</v>
      </c>
      <c r="B1010" s="10">
        <v>279</v>
      </c>
      <c r="C1010" s="10" t="s">
        <v>1515</v>
      </c>
      <c r="D1010" s="388">
        <v>45205</v>
      </c>
      <c r="E1010" s="389">
        <v>45205</v>
      </c>
      <c r="F1010" s="390" t="str">
        <f t="shared" si="15"/>
        <v>Other</v>
      </c>
      <c r="G1010" s="135">
        <v>2.7461416298379501E-2</v>
      </c>
      <c r="H1010" s="135">
        <v>2.59817916427377E-2</v>
      </c>
      <c r="I1010" s="135">
        <v>2.5486616498992101E-2</v>
      </c>
      <c r="J1010" s="135">
        <v>2.49925256423561E-2</v>
      </c>
      <c r="K1010" s="135">
        <v>2.5524711218284198E-2</v>
      </c>
      <c r="L1010" s="135">
        <v>2.73904103889555E-2</v>
      </c>
      <c r="M1010" s="135">
        <v>3.7921757343178202E-2</v>
      </c>
      <c r="N1010" s="135">
        <v>4.2893446772633299E-2</v>
      </c>
      <c r="O1010" s="135">
        <v>4.0317796620390998E-2</v>
      </c>
      <c r="P1010" s="135">
        <v>3.9478177652496498E-2</v>
      </c>
      <c r="Q1010" s="135">
        <v>4.1562998294850599E-2</v>
      </c>
      <c r="R1010" s="135">
        <v>4.2947465511646299E-2</v>
      </c>
      <c r="S1010" s="135">
        <v>4.4862605457097401E-2</v>
      </c>
      <c r="T1010" s="135">
        <v>4.5843808581536402E-2</v>
      </c>
      <c r="U1010" s="135">
        <v>4.4489163191487803E-2</v>
      </c>
      <c r="V1010" s="135">
        <v>4.2673020369751603E-2</v>
      </c>
      <c r="W1010" s="135">
        <v>4.2395132214933497E-2</v>
      </c>
      <c r="X1010" s="135">
        <v>4.8196610085783E-2</v>
      </c>
      <c r="Y1010" s="135">
        <v>5.6199504371839001E-2</v>
      </c>
      <c r="Z1010" s="135">
        <v>6.4613659135555196E-2</v>
      </c>
      <c r="AA1010" s="135">
        <v>6.4950299464656094E-2</v>
      </c>
      <c r="AB1010" s="135">
        <v>5.50007011186305E-2</v>
      </c>
      <c r="AC1010" s="135">
        <v>4.13050236667949E-2</v>
      </c>
      <c r="AD1010" s="135">
        <v>3.14877897221401E-2</v>
      </c>
      <c r="AF1010" s="243">
        <f t="shared" si="16"/>
        <v>0.30477419362130365</v>
      </c>
      <c r="AG1010" s="275">
        <f t="shared" si="17"/>
        <v>0.48781577223662509</v>
      </c>
      <c r="AH1010" s="391">
        <f t="shared" si="18"/>
        <v>0.4961606590284815</v>
      </c>
      <c r="AI1010" s="135">
        <f t="shared" si="19"/>
        <v>0.98397643126510659</v>
      </c>
    </row>
    <row r="1011" spans="1:35" ht="12.6">
      <c r="A1011" s="10" t="s">
        <v>63</v>
      </c>
      <c r="B1011" s="10">
        <v>280</v>
      </c>
      <c r="C1011" s="10" t="s">
        <v>1515</v>
      </c>
      <c r="D1011" s="388">
        <v>45206</v>
      </c>
      <c r="E1011" s="389">
        <v>45206</v>
      </c>
      <c r="F1011" s="390" t="str">
        <f t="shared" si="15"/>
        <v>Other</v>
      </c>
      <c r="G1011" s="135">
        <v>3.0131338339630699E-2</v>
      </c>
      <c r="H1011" s="135">
        <v>2.6410819320413299E-2</v>
      </c>
      <c r="I1011" s="135">
        <v>2.5136055432186399E-2</v>
      </c>
      <c r="J1011" s="135">
        <v>2.4529545065448102E-2</v>
      </c>
      <c r="K1011" s="135">
        <v>2.5221946107423E-2</v>
      </c>
      <c r="L1011" s="135">
        <v>2.6564070267563099E-2</v>
      </c>
      <c r="M1011" s="135">
        <v>3.2872190317752799E-2</v>
      </c>
      <c r="N1011" s="135">
        <v>4.2324309975772301E-2</v>
      </c>
      <c r="O1011" s="135">
        <v>4.14663838977141E-2</v>
      </c>
      <c r="P1011" s="135">
        <v>4.34798560122251E-2</v>
      </c>
      <c r="Q1011" s="135">
        <v>4.7324490082932699E-2</v>
      </c>
      <c r="R1011" s="135">
        <v>4.9828625181992298E-2</v>
      </c>
      <c r="S1011" s="135">
        <v>4.9605494107248002E-2</v>
      </c>
      <c r="T1011" s="135">
        <v>5.0983369720472398E-2</v>
      </c>
      <c r="U1011" s="135">
        <v>5.19831141230018E-2</v>
      </c>
      <c r="V1011" s="135">
        <v>5.24576200462748E-2</v>
      </c>
      <c r="W1011" s="135">
        <v>5.1441253870066303E-2</v>
      </c>
      <c r="X1011" s="135">
        <v>5.3034988802493001E-2</v>
      </c>
      <c r="Y1011" s="135">
        <v>5.86267608479508E-2</v>
      </c>
      <c r="Z1011" s="135">
        <v>6.4340363281778307E-2</v>
      </c>
      <c r="AA1011" s="135">
        <v>6.3432368544790493E-2</v>
      </c>
      <c r="AB1011" s="135">
        <v>5.4123944283965303E-2</v>
      </c>
      <c r="AC1011" s="135">
        <v>4.1312537475999798E-2</v>
      </c>
      <c r="AD1011" s="135">
        <v>3.3610892724618001E-2</v>
      </c>
      <c r="AF1011" s="243">
        <f t="shared" si="16"/>
        <v>0.35362396713198835</v>
      </c>
      <c r="AG1011" s="275">
        <f t="shared" si="17"/>
        <v>0.52226024691809836</v>
      </c>
      <c r="AH1011" s="391">
        <f t="shared" si="18"/>
        <v>0.5179820909116144</v>
      </c>
      <c r="AI1011" s="135">
        <f t="shared" si="19"/>
        <v>1.0402423378297128</v>
      </c>
    </row>
    <row r="1012" spans="1:35" ht="12.6">
      <c r="A1012" s="10" t="s">
        <v>63</v>
      </c>
      <c r="B1012" s="10">
        <v>281</v>
      </c>
      <c r="C1012" s="10" t="s">
        <v>1515</v>
      </c>
      <c r="D1012" s="388">
        <v>45207</v>
      </c>
      <c r="E1012" s="389">
        <v>45207</v>
      </c>
      <c r="F1012" s="390" t="str">
        <f t="shared" si="15"/>
        <v>Other</v>
      </c>
      <c r="G1012" s="135">
        <v>3.0131338339630699E-2</v>
      </c>
      <c r="H1012" s="135">
        <v>2.6410819320413299E-2</v>
      </c>
      <c r="I1012" s="135">
        <v>2.5136055432186399E-2</v>
      </c>
      <c r="J1012" s="135">
        <v>2.4529545065448102E-2</v>
      </c>
      <c r="K1012" s="135">
        <v>2.5221946107423E-2</v>
      </c>
      <c r="L1012" s="135">
        <v>2.6564070267563099E-2</v>
      </c>
      <c r="M1012" s="135">
        <v>3.2872190317752799E-2</v>
      </c>
      <c r="N1012" s="135">
        <v>4.2324309975772301E-2</v>
      </c>
      <c r="O1012" s="135">
        <v>4.14663838977141E-2</v>
      </c>
      <c r="P1012" s="135">
        <v>4.34798560122251E-2</v>
      </c>
      <c r="Q1012" s="135">
        <v>4.7324490082932699E-2</v>
      </c>
      <c r="R1012" s="135">
        <v>4.9828625181992298E-2</v>
      </c>
      <c r="S1012" s="135">
        <v>4.9605494107248002E-2</v>
      </c>
      <c r="T1012" s="135">
        <v>5.0983369720472398E-2</v>
      </c>
      <c r="U1012" s="135">
        <v>5.19831141230018E-2</v>
      </c>
      <c r="V1012" s="135">
        <v>5.24576200462748E-2</v>
      </c>
      <c r="W1012" s="135">
        <v>5.1441253870066303E-2</v>
      </c>
      <c r="X1012" s="135">
        <v>5.3034988802493001E-2</v>
      </c>
      <c r="Y1012" s="135">
        <v>5.86267608479508E-2</v>
      </c>
      <c r="Z1012" s="135">
        <v>6.4340363281778307E-2</v>
      </c>
      <c r="AA1012" s="135">
        <v>6.3432368544790493E-2</v>
      </c>
      <c r="AB1012" s="135">
        <v>5.4123944283965303E-2</v>
      </c>
      <c r="AC1012" s="135">
        <v>4.1312537475999798E-2</v>
      </c>
      <c r="AD1012" s="135">
        <v>3.3610892724618001E-2</v>
      </c>
      <c r="AF1012" s="243">
        <f t="shared" si="16"/>
        <v>0.35362396713198835</v>
      </c>
      <c r="AG1012" s="275">
        <f t="shared" si="17"/>
        <v>0.52226024691809836</v>
      </c>
      <c r="AH1012" s="391">
        <f t="shared" si="18"/>
        <v>0.5179820909116144</v>
      </c>
      <c r="AI1012" s="135">
        <f t="shared" si="19"/>
        <v>1.0402423378297128</v>
      </c>
    </row>
    <row r="1013" spans="1:35" ht="12.6">
      <c r="A1013" s="10" t="s">
        <v>63</v>
      </c>
      <c r="B1013" s="10">
        <v>282</v>
      </c>
      <c r="C1013" s="10" t="s">
        <v>1515</v>
      </c>
      <c r="D1013" s="388">
        <v>45208</v>
      </c>
      <c r="E1013" s="389">
        <v>45208</v>
      </c>
      <c r="F1013" s="390" t="str">
        <f t="shared" si="15"/>
        <v>Other</v>
      </c>
      <c r="G1013" s="135">
        <v>2.7461416298379501E-2</v>
      </c>
      <c r="H1013" s="135">
        <v>2.59817916427377E-2</v>
      </c>
      <c r="I1013" s="135">
        <v>2.5486616498992101E-2</v>
      </c>
      <c r="J1013" s="135">
        <v>2.49925256423561E-2</v>
      </c>
      <c r="K1013" s="135">
        <v>2.5524711218284198E-2</v>
      </c>
      <c r="L1013" s="135">
        <v>2.73904103889555E-2</v>
      </c>
      <c r="M1013" s="135">
        <v>3.7921757343178202E-2</v>
      </c>
      <c r="N1013" s="135">
        <v>4.2893446772633299E-2</v>
      </c>
      <c r="O1013" s="135">
        <v>4.0317796620390998E-2</v>
      </c>
      <c r="P1013" s="135">
        <v>3.9478177652496498E-2</v>
      </c>
      <c r="Q1013" s="135">
        <v>4.1562998294850599E-2</v>
      </c>
      <c r="R1013" s="135">
        <v>4.2947465511646299E-2</v>
      </c>
      <c r="S1013" s="135">
        <v>4.4862605457097401E-2</v>
      </c>
      <c r="T1013" s="135">
        <v>4.5843808581536402E-2</v>
      </c>
      <c r="U1013" s="135">
        <v>4.4489163191487803E-2</v>
      </c>
      <c r="V1013" s="135">
        <v>4.2673020369751603E-2</v>
      </c>
      <c r="W1013" s="135">
        <v>4.2395132214933497E-2</v>
      </c>
      <c r="X1013" s="135">
        <v>4.8196610085783E-2</v>
      </c>
      <c r="Y1013" s="135">
        <v>5.6199504371839001E-2</v>
      </c>
      <c r="Z1013" s="135">
        <v>6.4613659135555196E-2</v>
      </c>
      <c r="AA1013" s="135">
        <v>6.4950299464656094E-2</v>
      </c>
      <c r="AB1013" s="135">
        <v>5.50007011186305E-2</v>
      </c>
      <c r="AC1013" s="135">
        <v>4.13050236667949E-2</v>
      </c>
      <c r="AD1013" s="135">
        <v>3.14877897221401E-2</v>
      </c>
      <c r="AF1013" s="243">
        <f t="shared" si="16"/>
        <v>0.30477419362130365</v>
      </c>
      <c r="AG1013" s="275">
        <f t="shared" si="17"/>
        <v>0.48781577223662509</v>
      </c>
      <c r="AH1013" s="391">
        <f t="shared" si="18"/>
        <v>0.4961606590284815</v>
      </c>
      <c r="AI1013" s="135">
        <f t="shared" si="19"/>
        <v>0.98397643126510659</v>
      </c>
    </row>
    <row r="1014" spans="1:35" ht="12.6">
      <c r="A1014" s="10" t="s">
        <v>63</v>
      </c>
      <c r="B1014" s="10">
        <v>283</v>
      </c>
      <c r="C1014" s="10" t="s">
        <v>1515</v>
      </c>
      <c r="D1014" s="388">
        <v>45209</v>
      </c>
      <c r="E1014" s="389">
        <v>45209</v>
      </c>
      <c r="F1014" s="390" t="str">
        <f t="shared" si="15"/>
        <v>Other</v>
      </c>
      <c r="G1014" s="135">
        <v>2.7461416298379501E-2</v>
      </c>
      <c r="H1014" s="135">
        <v>2.59817916427377E-2</v>
      </c>
      <c r="I1014" s="135">
        <v>2.5486616498992101E-2</v>
      </c>
      <c r="J1014" s="135">
        <v>2.49925256423561E-2</v>
      </c>
      <c r="K1014" s="135">
        <v>2.5524711218284198E-2</v>
      </c>
      <c r="L1014" s="135">
        <v>2.73904103889555E-2</v>
      </c>
      <c r="M1014" s="135">
        <v>3.7921757343178202E-2</v>
      </c>
      <c r="N1014" s="135">
        <v>4.2893446772633299E-2</v>
      </c>
      <c r="O1014" s="135">
        <v>4.0317796620390998E-2</v>
      </c>
      <c r="P1014" s="135">
        <v>3.9478177652496498E-2</v>
      </c>
      <c r="Q1014" s="135">
        <v>4.1562998294850599E-2</v>
      </c>
      <c r="R1014" s="135">
        <v>4.2947465511646299E-2</v>
      </c>
      <c r="S1014" s="135">
        <v>4.4862605457097401E-2</v>
      </c>
      <c r="T1014" s="135">
        <v>4.5843808581536402E-2</v>
      </c>
      <c r="U1014" s="135">
        <v>4.4489163191487803E-2</v>
      </c>
      <c r="V1014" s="135">
        <v>4.2673020369751603E-2</v>
      </c>
      <c r="W1014" s="135">
        <v>4.2395132214933497E-2</v>
      </c>
      <c r="X1014" s="135">
        <v>4.8196610085783E-2</v>
      </c>
      <c r="Y1014" s="135">
        <v>5.6199504371839001E-2</v>
      </c>
      <c r="Z1014" s="135">
        <v>6.4613659135555196E-2</v>
      </c>
      <c r="AA1014" s="135">
        <v>6.4950299464656094E-2</v>
      </c>
      <c r="AB1014" s="135">
        <v>5.50007011186305E-2</v>
      </c>
      <c r="AC1014" s="135">
        <v>4.13050236667949E-2</v>
      </c>
      <c r="AD1014" s="135">
        <v>3.14877897221401E-2</v>
      </c>
      <c r="AF1014" s="243">
        <f t="shared" si="16"/>
        <v>0.30477419362130365</v>
      </c>
      <c r="AG1014" s="275">
        <f t="shared" si="17"/>
        <v>0.48781577223662509</v>
      </c>
      <c r="AH1014" s="391">
        <f t="shared" si="18"/>
        <v>0.4961606590284815</v>
      </c>
      <c r="AI1014" s="135">
        <f t="shared" si="19"/>
        <v>0.98397643126510659</v>
      </c>
    </row>
    <row r="1015" spans="1:35" ht="12.6">
      <c r="A1015" s="10" t="s">
        <v>63</v>
      </c>
      <c r="B1015" s="10">
        <v>284</v>
      </c>
      <c r="C1015" s="10" t="s">
        <v>1515</v>
      </c>
      <c r="D1015" s="388">
        <v>45210</v>
      </c>
      <c r="E1015" s="389">
        <v>45210</v>
      </c>
      <c r="F1015" s="390" t="str">
        <f t="shared" si="15"/>
        <v>Other</v>
      </c>
      <c r="G1015" s="135">
        <v>2.7461416298379501E-2</v>
      </c>
      <c r="H1015" s="135">
        <v>2.59817916427377E-2</v>
      </c>
      <c r="I1015" s="135">
        <v>2.5486616498992101E-2</v>
      </c>
      <c r="J1015" s="135">
        <v>2.49925256423561E-2</v>
      </c>
      <c r="K1015" s="135">
        <v>2.5524711218284198E-2</v>
      </c>
      <c r="L1015" s="135">
        <v>2.73904103889555E-2</v>
      </c>
      <c r="M1015" s="135">
        <v>3.7921757343178202E-2</v>
      </c>
      <c r="N1015" s="135">
        <v>4.2893446772633299E-2</v>
      </c>
      <c r="O1015" s="135">
        <v>4.0317796620390998E-2</v>
      </c>
      <c r="P1015" s="135">
        <v>3.9478177652496498E-2</v>
      </c>
      <c r="Q1015" s="135">
        <v>4.1562998294850599E-2</v>
      </c>
      <c r="R1015" s="135">
        <v>4.2947465511646299E-2</v>
      </c>
      <c r="S1015" s="135">
        <v>4.4862605457097401E-2</v>
      </c>
      <c r="T1015" s="135">
        <v>4.5843808581536402E-2</v>
      </c>
      <c r="U1015" s="135">
        <v>4.4489163191487803E-2</v>
      </c>
      <c r="V1015" s="135">
        <v>4.2673020369751603E-2</v>
      </c>
      <c r="W1015" s="135">
        <v>4.2395132214933497E-2</v>
      </c>
      <c r="X1015" s="135">
        <v>4.8196610085783E-2</v>
      </c>
      <c r="Y1015" s="135">
        <v>5.6199504371839001E-2</v>
      </c>
      <c r="Z1015" s="135">
        <v>6.4613659135555196E-2</v>
      </c>
      <c r="AA1015" s="135">
        <v>6.4950299464656094E-2</v>
      </c>
      <c r="AB1015" s="135">
        <v>5.50007011186305E-2</v>
      </c>
      <c r="AC1015" s="135">
        <v>4.13050236667949E-2</v>
      </c>
      <c r="AD1015" s="135">
        <v>3.14877897221401E-2</v>
      </c>
      <c r="AF1015" s="243">
        <f t="shared" si="16"/>
        <v>0.30477419362130365</v>
      </c>
      <c r="AG1015" s="275">
        <f t="shared" si="17"/>
        <v>0.48781577223662509</v>
      </c>
      <c r="AH1015" s="391">
        <f t="shared" si="18"/>
        <v>0.4961606590284815</v>
      </c>
      <c r="AI1015" s="135">
        <f t="shared" si="19"/>
        <v>0.98397643126510659</v>
      </c>
    </row>
    <row r="1016" spans="1:35" ht="12.6">
      <c r="A1016" s="10" t="s">
        <v>63</v>
      </c>
      <c r="B1016" s="10">
        <v>285</v>
      </c>
      <c r="C1016" s="10" t="s">
        <v>1515</v>
      </c>
      <c r="D1016" s="388">
        <v>45211</v>
      </c>
      <c r="E1016" s="389">
        <v>45211</v>
      </c>
      <c r="F1016" s="390" t="str">
        <f t="shared" si="15"/>
        <v>Other</v>
      </c>
      <c r="G1016" s="135">
        <v>2.7461416298379501E-2</v>
      </c>
      <c r="H1016" s="135">
        <v>2.59817916427377E-2</v>
      </c>
      <c r="I1016" s="135">
        <v>2.5486616498992101E-2</v>
      </c>
      <c r="J1016" s="135">
        <v>2.49925256423561E-2</v>
      </c>
      <c r="K1016" s="135">
        <v>2.5524711218284198E-2</v>
      </c>
      <c r="L1016" s="135">
        <v>2.73904103889555E-2</v>
      </c>
      <c r="M1016" s="135">
        <v>3.7921757343178202E-2</v>
      </c>
      <c r="N1016" s="135">
        <v>4.2893446772633299E-2</v>
      </c>
      <c r="O1016" s="135">
        <v>4.0317796620390998E-2</v>
      </c>
      <c r="P1016" s="135">
        <v>3.9478177652496498E-2</v>
      </c>
      <c r="Q1016" s="135">
        <v>4.1562998294850599E-2</v>
      </c>
      <c r="R1016" s="135">
        <v>4.2947465511646299E-2</v>
      </c>
      <c r="S1016" s="135">
        <v>4.4862605457097401E-2</v>
      </c>
      <c r="T1016" s="135">
        <v>4.5843808581536402E-2</v>
      </c>
      <c r="U1016" s="135">
        <v>4.4489163191487803E-2</v>
      </c>
      <c r="V1016" s="135">
        <v>4.2673020369751603E-2</v>
      </c>
      <c r="W1016" s="135">
        <v>4.2395132214933497E-2</v>
      </c>
      <c r="X1016" s="135">
        <v>4.8196610085783E-2</v>
      </c>
      <c r="Y1016" s="135">
        <v>5.6199504371839001E-2</v>
      </c>
      <c r="Z1016" s="135">
        <v>6.4613659135555196E-2</v>
      </c>
      <c r="AA1016" s="135">
        <v>6.4950299464656094E-2</v>
      </c>
      <c r="AB1016" s="135">
        <v>5.50007011186305E-2</v>
      </c>
      <c r="AC1016" s="135">
        <v>4.13050236667949E-2</v>
      </c>
      <c r="AD1016" s="135">
        <v>3.14877897221401E-2</v>
      </c>
      <c r="AF1016" s="243">
        <f t="shared" si="16"/>
        <v>0.30477419362130365</v>
      </c>
      <c r="AG1016" s="275">
        <f t="shared" si="17"/>
        <v>0.48781577223662509</v>
      </c>
      <c r="AH1016" s="391">
        <f t="shared" si="18"/>
        <v>0.4961606590284815</v>
      </c>
      <c r="AI1016" s="135">
        <f t="shared" si="19"/>
        <v>0.98397643126510659</v>
      </c>
    </row>
    <row r="1017" spans="1:35" ht="12.6">
      <c r="A1017" s="10" t="s">
        <v>63</v>
      </c>
      <c r="B1017" s="10">
        <v>286</v>
      </c>
      <c r="C1017" s="10" t="s">
        <v>1515</v>
      </c>
      <c r="D1017" s="388">
        <v>45212</v>
      </c>
      <c r="E1017" s="389">
        <v>45212</v>
      </c>
      <c r="F1017" s="390" t="str">
        <f t="shared" si="15"/>
        <v>Other</v>
      </c>
      <c r="G1017" s="135">
        <v>2.7461416298379501E-2</v>
      </c>
      <c r="H1017" s="135">
        <v>2.59817916427377E-2</v>
      </c>
      <c r="I1017" s="135">
        <v>2.5486616498992101E-2</v>
      </c>
      <c r="J1017" s="135">
        <v>2.49925256423561E-2</v>
      </c>
      <c r="K1017" s="135">
        <v>2.5524711218284198E-2</v>
      </c>
      <c r="L1017" s="135">
        <v>2.73904103889555E-2</v>
      </c>
      <c r="M1017" s="135">
        <v>3.7921757343178202E-2</v>
      </c>
      <c r="N1017" s="135">
        <v>4.2893446772633299E-2</v>
      </c>
      <c r="O1017" s="135">
        <v>4.0317796620390998E-2</v>
      </c>
      <c r="P1017" s="135">
        <v>3.9478177652496498E-2</v>
      </c>
      <c r="Q1017" s="135">
        <v>4.1562998294850599E-2</v>
      </c>
      <c r="R1017" s="135">
        <v>4.2947465511646299E-2</v>
      </c>
      <c r="S1017" s="135">
        <v>4.4862605457097401E-2</v>
      </c>
      <c r="T1017" s="135">
        <v>4.5843808581536402E-2</v>
      </c>
      <c r="U1017" s="135">
        <v>4.4489163191487803E-2</v>
      </c>
      <c r="V1017" s="135">
        <v>4.2673020369751603E-2</v>
      </c>
      <c r="W1017" s="135">
        <v>4.2395132214933497E-2</v>
      </c>
      <c r="X1017" s="135">
        <v>4.8196610085783E-2</v>
      </c>
      <c r="Y1017" s="135">
        <v>5.6199504371839001E-2</v>
      </c>
      <c r="Z1017" s="135">
        <v>6.4613659135555196E-2</v>
      </c>
      <c r="AA1017" s="135">
        <v>6.4950299464656094E-2</v>
      </c>
      <c r="AB1017" s="135">
        <v>5.50007011186305E-2</v>
      </c>
      <c r="AC1017" s="135">
        <v>4.13050236667949E-2</v>
      </c>
      <c r="AD1017" s="135">
        <v>3.14877897221401E-2</v>
      </c>
      <c r="AF1017" s="243">
        <f t="shared" si="16"/>
        <v>0.30477419362130365</v>
      </c>
      <c r="AG1017" s="275">
        <f t="shared" si="17"/>
        <v>0.48781577223662509</v>
      </c>
      <c r="AH1017" s="391">
        <f t="shared" si="18"/>
        <v>0.4961606590284815</v>
      </c>
      <c r="AI1017" s="135">
        <f t="shared" si="19"/>
        <v>0.98397643126510659</v>
      </c>
    </row>
    <row r="1018" spans="1:35" ht="12.6">
      <c r="A1018" s="10" t="s">
        <v>63</v>
      </c>
      <c r="B1018" s="10">
        <v>287</v>
      </c>
      <c r="C1018" s="10" t="s">
        <v>1515</v>
      </c>
      <c r="D1018" s="388">
        <v>45213</v>
      </c>
      <c r="E1018" s="389">
        <v>45213</v>
      </c>
      <c r="F1018" s="390" t="str">
        <f t="shared" si="15"/>
        <v>Other</v>
      </c>
      <c r="G1018" s="135">
        <v>3.0131338339630699E-2</v>
      </c>
      <c r="H1018" s="135">
        <v>2.6410819320413299E-2</v>
      </c>
      <c r="I1018" s="135">
        <v>2.5136055432186399E-2</v>
      </c>
      <c r="J1018" s="135">
        <v>2.4529545065448102E-2</v>
      </c>
      <c r="K1018" s="135">
        <v>2.5221946107423E-2</v>
      </c>
      <c r="L1018" s="135">
        <v>2.6564070267563099E-2</v>
      </c>
      <c r="M1018" s="135">
        <v>3.2872190317752799E-2</v>
      </c>
      <c r="N1018" s="135">
        <v>4.2324309975772301E-2</v>
      </c>
      <c r="O1018" s="135">
        <v>4.14663838977141E-2</v>
      </c>
      <c r="P1018" s="135">
        <v>4.34798560122251E-2</v>
      </c>
      <c r="Q1018" s="135">
        <v>4.7324490082932699E-2</v>
      </c>
      <c r="R1018" s="135">
        <v>4.9828625181992298E-2</v>
      </c>
      <c r="S1018" s="135">
        <v>4.9605494107248002E-2</v>
      </c>
      <c r="T1018" s="135">
        <v>5.0983369720472398E-2</v>
      </c>
      <c r="U1018" s="135">
        <v>5.19831141230018E-2</v>
      </c>
      <c r="V1018" s="135">
        <v>5.24576200462748E-2</v>
      </c>
      <c r="W1018" s="135">
        <v>5.1441253870066303E-2</v>
      </c>
      <c r="X1018" s="135">
        <v>5.3034988802493001E-2</v>
      </c>
      <c r="Y1018" s="135">
        <v>5.86267608479508E-2</v>
      </c>
      <c r="Z1018" s="135">
        <v>6.4340363281778307E-2</v>
      </c>
      <c r="AA1018" s="135">
        <v>6.3432368544790493E-2</v>
      </c>
      <c r="AB1018" s="135">
        <v>5.4123944283965303E-2</v>
      </c>
      <c r="AC1018" s="135">
        <v>4.1312537475999798E-2</v>
      </c>
      <c r="AD1018" s="135">
        <v>3.3610892724618001E-2</v>
      </c>
      <c r="AF1018" s="243">
        <f t="shared" si="16"/>
        <v>0.35362396713198835</v>
      </c>
      <c r="AG1018" s="275">
        <f t="shared" si="17"/>
        <v>0.52226024691809836</v>
      </c>
      <c r="AH1018" s="391">
        <f t="shared" si="18"/>
        <v>0.5179820909116144</v>
      </c>
      <c r="AI1018" s="135">
        <f t="shared" si="19"/>
        <v>1.0402423378297128</v>
      </c>
    </row>
    <row r="1019" spans="1:35" ht="12.6">
      <c r="A1019" s="10" t="s">
        <v>63</v>
      </c>
      <c r="B1019" s="10">
        <v>288</v>
      </c>
      <c r="C1019" s="10" t="s">
        <v>1515</v>
      </c>
      <c r="D1019" s="388">
        <v>45214</v>
      </c>
      <c r="E1019" s="389">
        <v>45214</v>
      </c>
      <c r="F1019" s="390" t="str">
        <f t="shared" si="15"/>
        <v>Other</v>
      </c>
      <c r="G1019" s="135">
        <v>3.0131338339630699E-2</v>
      </c>
      <c r="H1019" s="135">
        <v>2.6410819320413299E-2</v>
      </c>
      <c r="I1019" s="135">
        <v>2.5136055432186399E-2</v>
      </c>
      <c r="J1019" s="135">
        <v>2.4529545065448102E-2</v>
      </c>
      <c r="K1019" s="135">
        <v>2.5221946107423E-2</v>
      </c>
      <c r="L1019" s="135">
        <v>2.6564070267563099E-2</v>
      </c>
      <c r="M1019" s="135">
        <v>3.2872190317752799E-2</v>
      </c>
      <c r="N1019" s="135">
        <v>4.2324309975772301E-2</v>
      </c>
      <c r="O1019" s="135">
        <v>4.14663838977141E-2</v>
      </c>
      <c r="P1019" s="135">
        <v>4.34798560122251E-2</v>
      </c>
      <c r="Q1019" s="135">
        <v>4.7324490082932699E-2</v>
      </c>
      <c r="R1019" s="135">
        <v>4.9828625181992298E-2</v>
      </c>
      <c r="S1019" s="135">
        <v>4.9605494107248002E-2</v>
      </c>
      <c r="T1019" s="135">
        <v>5.0983369720472398E-2</v>
      </c>
      <c r="U1019" s="135">
        <v>5.19831141230018E-2</v>
      </c>
      <c r="V1019" s="135">
        <v>5.24576200462748E-2</v>
      </c>
      <c r="W1019" s="135">
        <v>5.1441253870066303E-2</v>
      </c>
      <c r="X1019" s="135">
        <v>5.3034988802493001E-2</v>
      </c>
      <c r="Y1019" s="135">
        <v>5.86267608479508E-2</v>
      </c>
      <c r="Z1019" s="135">
        <v>6.4340363281778307E-2</v>
      </c>
      <c r="AA1019" s="135">
        <v>6.3432368544790493E-2</v>
      </c>
      <c r="AB1019" s="135">
        <v>5.4123944283965303E-2</v>
      </c>
      <c r="AC1019" s="135">
        <v>4.1312537475999798E-2</v>
      </c>
      <c r="AD1019" s="135">
        <v>3.3610892724618001E-2</v>
      </c>
      <c r="AF1019" s="243">
        <f t="shared" si="16"/>
        <v>0.35362396713198835</v>
      </c>
      <c r="AG1019" s="275">
        <f t="shared" si="17"/>
        <v>0.52226024691809836</v>
      </c>
      <c r="AH1019" s="391">
        <f t="shared" si="18"/>
        <v>0.5179820909116144</v>
      </c>
      <c r="AI1019" s="135">
        <f t="shared" si="19"/>
        <v>1.0402423378297128</v>
      </c>
    </row>
    <row r="1020" spans="1:35" ht="12.6">
      <c r="A1020" s="10" t="s">
        <v>63</v>
      </c>
      <c r="B1020" s="10">
        <v>289</v>
      </c>
      <c r="C1020" s="10" t="s">
        <v>1515</v>
      </c>
      <c r="D1020" s="388">
        <v>45215</v>
      </c>
      <c r="E1020" s="389">
        <v>45215</v>
      </c>
      <c r="F1020" s="390" t="str">
        <f t="shared" si="15"/>
        <v>Other</v>
      </c>
      <c r="G1020" s="135">
        <v>2.7461416298379501E-2</v>
      </c>
      <c r="H1020" s="135">
        <v>2.59817916427377E-2</v>
      </c>
      <c r="I1020" s="135">
        <v>2.5486616498992101E-2</v>
      </c>
      <c r="J1020" s="135">
        <v>2.49925256423561E-2</v>
      </c>
      <c r="K1020" s="135">
        <v>2.5524711218284198E-2</v>
      </c>
      <c r="L1020" s="135">
        <v>2.73904103889555E-2</v>
      </c>
      <c r="M1020" s="135">
        <v>3.7921757343178202E-2</v>
      </c>
      <c r="N1020" s="135">
        <v>4.2893446772633299E-2</v>
      </c>
      <c r="O1020" s="135">
        <v>4.0317796620390998E-2</v>
      </c>
      <c r="P1020" s="135">
        <v>3.9478177652496498E-2</v>
      </c>
      <c r="Q1020" s="135">
        <v>4.1562998294850599E-2</v>
      </c>
      <c r="R1020" s="135">
        <v>4.2947465511646299E-2</v>
      </c>
      <c r="S1020" s="135">
        <v>4.4862605457097401E-2</v>
      </c>
      <c r="T1020" s="135">
        <v>4.5843808581536402E-2</v>
      </c>
      <c r="U1020" s="135">
        <v>4.4489163191487803E-2</v>
      </c>
      <c r="V1020" s="135">
        <v>4.2673020369751603E-2</v>
      </c>
      <c r="W1020" s="135">
        <v>4.2395132214933497E-2</v>
      </c>
      <c r="X1020" s="135">
        <v>4.8196610085783E-2</v>
      </c>
      <c r="Y1020" s="135">
        <v>5.6199504371839001E-2</v>
      </c>
      <c r="Z1020" s="135">
        <v>6.4613659135555196E-2</v>
      </c>
      <c r="AA1020" s="135">
        <v>6.4950299464656094E-2</v>
      </c>
      <c r="AB1020" s="135">
        <v>5.50007011186305E-2</v>
      </c>
      <c r="AC1020" s="135">
        <v>4.13050236667949E-2</v>
      </c>
      <c r="AD1020" s="135">
        <v>3.14877897221401E-2</v>
      </c>
      <c r="AF1020" s="243">
        <f t="shared" si="16"/>
        <v>0.30477419362130365</v>
      </c>
      <c r="AG1020" s="275">
        <f t="shared" si="17"/>
        <v>0.48781577223662509</v>
      </c>
      <c r="AH1020" s="391">
        <f t="shared" si="18"/>
        <v>0.4961606590284815</v>
      </c>
      <c r="AI1020" s="135">
        <f t="shared" si="19"/>
        <v>0.98397643126510659</v>
      </c>
    </row>
    <row r="1021" spans="1:35" ht="12.6">
      <c r="A1021" s="10" t="s">
        <v>63</v>
      </c>
      <c r="B1021" s="10">
        <v>290</v>
      </c>
      <c r="C1021" s="10" t="s">
        <v>1515</v>
      </c>
      <c r="D1021" s="388">
        <v>45216</v>
      </c>
      <c r="E1021" s="389">
        <v>45216</v>
      </c>
      <c r="F1021" s="390" t="str">
        <f t="shared" ref="F1021:F1275" si="20">A1021</f>
        <v>Other</v>
      </c>
      <c r="G1021" s="135">
        <v>2.7461416298379501E-2</v>
      </c>
      <c r="H1021" s="135">
        <v>2.59817916427377E-2</v>
      </c>
      <c r="I1021" s="135">
        <v>2.5486616498992101E-2</v>
      </c>
      <c r="J1021" s="135">
        <v>2.49925256423561E-2</v>
      </c>
      <c r="K1021" s="135">
        <v>2.5524711218284198E-2</v>
      </c>
      <c r="L1021" s="135">
        <v>2.73904103889555E-2</v>
      </c>
      <c r="M1021" s="135">
        <v>3.7921757343178202E-2</v>
      </c>
      <c r="N1021" s="135">
        <v>4.2893446772633299E-2</v>
      </c>
      <c r="O1021" s="135">
        <v>4.0317796620390998E-2</v>
      </c>
      <c r="P1021" s="135">
        <v>3.9478177652496498E-2</v>
      </c>
      <c r="Q1021" s="135">
        <v>4.1562998294850599E-2</v>
      </c>
      <c r="R1021" s="135">
        <v>4.2947465511646299E-2</v>
      </c>
      <c r="S1021" s="135">
        <v>4.4862605457097401E-2</v>
      </c>
      <c r="T1021" s="135">
        <v>4.5843808581536402E-2</v>
      </c>
      <c r="U1021" s="135">
        <v>4.4489163191487803E-2</v>
      </c>
      <c r="V1021" s="135">
        <v>4.2673020369751603E-2</v>
      </c>
      <c r="W1021" s="135">
        <v>4.2395132214933497E-2</v>
      </c>
      <c r="X1021" s="135">
        <v>4.8196610085783E-2</v>
      </c>
      <c r="Y1021" s="135">
        <v>5.6199504371839001E-2</v>
      </c>
      <c r="Z1021" s="135">
        <v>6.4613659135555196E-2</v>
      </c>
      <c r="AA1021" s="135">
        <v>6.4950299464656094E-2</v>
      </c>
      <c r="AB1021" s="135">
        <v>5.50007011186305E-2</v>
      </c>
      <c r="AC1021" s="135">
        <v>4.13050236667949E-2</v>
      </c>
      <c r="AD1021" s="135">
        <v>3.14877897221401E-2</v>
      </c>
      <c r="AF1021" s="243">
        <f t="shared" si="16"/>
        <v>0.30477419362130365</v>
      </c>
      <c r="AG1021" s="275">
        <f t="shared" si="17"/>
        <v>0.48781577223662509</v>
      </c>
      <c r="AH1021" s="391">
        <f t="shared" si="18"/>
        <v>0.4961606590284815</v>
      </c>
      <c r="AI1021" s="135">
        <f t="shared" si="19"/>
        <v>0.98397643126510659</v>
      </c>
    </row>
    <row r="1022" spans="1:35" ht="12.6">
      <c r="A1022" s="10" t="s">
        <v>63</v>
      </c>
      <c r="B1022" s="10">
        <v>291</v>
      </c>
      <c r="C1022" s="10" t="s">
        <v>1515</v>
      </c>
      <c r="D1022" s="388">
        <v>45217</v>
      </c>
      <c r="E1022" s="389">
        <v>45217</v>
      </c>
      <c r="F1022" s="390" t="str">
        <f t="shared" si="20"/>
        <v>Other</v>
      </c>
      <c r="G1022" s="135">
        <v>2.7461416298379501E-2</v>
      </c>
      <c r="H1022" s="135">
        <v>2.59817916427377E-2</v>
      </c>
      <c r="I1022" s="135">
        <v>2.5486616498992101E-2</v>
      </c>
      <c r="J1022" s="135">
        <v>2.49925256423561E-2</v>
      </c>
      <c r="K1022" s="135">
        <v>2.5524711218284198E-2</v>
      </c>
      <c r="L1022" s="135">
        <v>2.73904103889555E-2</v>
      </c>
      <c r="M1022" s="135">
        <v>3.7921757343178202E-2</v>
      </c>
      <c r="N1022" s="135">
        <v>4.2893446772633299E-2</v>
      </c>
      <c r="O1022" s="135">
        <v>4.0317796620390998E-2</v>
      </c>
      <c r="P1022" s="135">
        <v>3.9478177652496498E-2</v>
      </c>
      <c r="Q1022" s="135">
        <v>4.1562998294850599E-2</v>
      </c>
      <c r="R1022" s="135">
        <v>4.2947465511646299E-2</v>
      </c>
      <c r="S1022" s="135">
        <v>4.4862605457097401E-2</v>
      </c>
      <c r="T1022" s="135">
        <v>4.5843808581536402E-2</v>
      </c>
      <c r="U1022" s="135">
        <v>4.4489163191487803E-2</v>
      </c>
      <c r="V1022" s="135">
        <v>4.2673020369751603E-2</v>
      </c>
      <c r="W1022" s="135">
        <v>4.2395132214933497E-2</v>
      </c>
      <c r="X1022" s="135">
        <v>4.8196610085783E-2</v>
      </c>
      <c r="Y1022" s="135">
        <v>5.6199504371839001E-2</v>
      </c>
      <c r="Z1022" s="135">
        <v>6.4613659135555196E-2</v>
      </c>
      <c r="AA1022" s="135">
        <v>6.4950299464656094E-2</v>
      </c>
      <c r="AB1022" s="135">
        <v>5.50007011186305E-2</v>
      </c>
      <c r="AC1022" s="135">
        <v>4.13050236667949E-2</v>
      </c>
      <c r="AD1022" s="135">
        <v>3.14877897221401E-2</v>
      </c>
      <c r="AF1022" s="243">
        <f t="shared" ref="AF1022:AF1276" si="21">SUM(Q1022:W1022)</f>
        <v>0.30477419362130365</v>
      </c>
      <c r="AG1022" s="275">
        <f t="shared" ref="AG1022:AG1276" si="22">SUM(G1022:AD1022)-AH1022</f>
        <v>0.48781577223662509</v>
      </c>
      <c r="AH1022" s="391">
        <f t="shared" ref="AH1022:AH1276" si="23">SUM(N1022:R1022,X1022:AB1022)</f>
        <v>0.4961606590284815</v>
      </c>
      <c r="AI1022" s="135">
        <f t="shared" ref="AI1022:AI1276" si="24">SUM(G1022:AD1022)</f>
        <v>0.98397643126510659</v>
      </c>
    </row>
    <row r="1023" spans="1:35" ht="12.6">
      <c r="A1023" s="10" t="s">
        <v>63</v>
      </c>
      <c r="B1023" s="10">
        <v>292</v>
      </c>
      <c r="C1023" s="10" t="s">
        <v>1515</v>
      </c>
      <c r="D1023" s="388">
        <v>45218</v>
      </c>
      <c r="E1023" s="389">
        <v>45218</v>
      </c>
      <c r="F1023" s="390" t="str">
        <f t="shared" si="20"/>
        <v>Other</v>
      </c>
      <c r="G1023" s="135">
        <v>2.7461416298379501E-2</v>
      </c>
      <c r="H1023" s="135">
        <v>2.59817916427377E-2</v>
      </c>
      <c r="I1023" s="135">
        <v>2.5486616498992101E-2</v>
      </c>
      <c r="J1023" s="135">
        <v>2.49925256423561E-2</v>
      </c>
      <c r="K1023" s="135">
        <v>2.5524711218284198E-2</v>
      </c>
      <c r="L1023" s="135">
        <v>2.73904103889555E-2</v>
      </c>
      <c r="M1023" s="135">
        <v>3.7921757343178202E-2</v>
      </c>
      <c r="N1023" s="135">
        <v>4.2893446772633299E-2</v>
      </c>
      <c r="O1023" s="135">
        <v>4.0317796620390998E-2</v>
      </c>
      <c r="P1023" s="135">
        <v>3.9478177652496498E-2</v>
      </c>
      <c r="Q1023" s="135">
        <v>4.1562998294850599E-2</v>
      </c>
      <c r="R1023" s="135">
        <v>4.2947465511646299E-2</v>
      </c>
      <c r="S1023" s="135">
        <v>4.4862605457097401E-2</v>
      </c>
      <c r="T1023" s="135">
        <v>4.5843808581536402E-2</v>
      </c>
      <c r="U1023" s="135">
        <v>4.4489163191487803E-2</v>
      </c>
      <c r="V1023" s="135">
        <v>4.2673020369751603E-2</v>
      </c>
      <c r="W1023" s="135">
        <v>4.2395132214933497E-2</v>
      </c>
      <c r="X1023" s="135">
        <v>4.8196610085783E-2</v>
      </c>
      <c r="Y1023" s="135">
        <v>5.6199504371839001E-2</v>
      </c>
      <c r="Z1023" s="135">
        <v>6.4613659135555196E-2</v>
      </c>
      <c r="AA1023" s="135">
        <v>6.4950299464656094E-2</v>
      </c>
      <c r="AB1023" s="135">
        <v>5.50007011186305E-2</v>
      </c>
      <c r="AC1023" s="135">
        <v>4.13050236667949E-2</v>
      </c>
      <c r="AD1023" s="135">
        <v>3.14877897221401E-2</v>
      </c>
      <c r="AF1023" s="243">
        <f t="shared" si="21"/>
        <v>0.30477419362130365</v>
      </c>
      <c r="AG1023" s="275">
        <f t="shared" si="22"/>
        <v>0.48781577223662509</v>
      </c>
      <c r="AH1023" s="391">
        <f t="shared" si="23"/>
        <v>0.4961606590284815</v>
      </c>
      <c r="AI1023" s="135">
        <f t="shared" si="24"/>
        <v>0.98397643126510659</v>
      </c>
    </row>
    <row r="1024" spans="1:35" ht="12.6">
      <c r="A1024" s="10" t="s">
        <v>63</v>
      </c>
      <c r="B1024" s="10">
        <v>293</v>
      </c>
      <c r="C1024" s="10" t="s">
        <v>1515</v>
      </c>
      <c r="D1024" s="388">
        <v>45219</v>
      </c>
      <c r="E1024" s="389">
        <v>45219</v>
      </c>
      <c r="F1024" s="390" t="str">
        <f t="shared" si="20"/>
        <v>Other</v>
      </c>
      <c r="G1024" s="135">
        <v>2.7461416298379501E-2</v>
      </c>
      <c r="H1024" s="135">
        <v>2.59817916427377E-2</v>
      </c>
      <c r="I1024" s="135">
        <v>2.5486616498992101E-2</v>
      </c>
      <c r="J1024" s="135">
        <v>2.49925256423561E-2</v>
      </c>
      <c r="K1024" s="135">
        <v>2.5524711218284198E-2</v>
      </c>
      <c r="L1024" s="135">
        <v>2.73904103889555E-2</v>
      </c>
      <c r="M1024" s="135">
        <v>3.7921757343178202E-2</v>
      </c>
      <c r="N1024" s="135">
        <v>4.2893446772633299E-2</v>
      </c>
      <c r="O1024" s="135">
        <v>4.0317796620390998E-2</v>
      </c>
      <c r="P1024" s="135">
        <v>3.9478177652496498E-2</v>
      </c>
      <c r="Q1024" s="135">
        <v>4.1562998294850599E-2</v>
      </c>
      <c r="R1024" s="135">
        <v>4.2947465511646299E-2</v>
      </c>
      <c r="S1024" s="135">
        <v>4.4862605457097401E-2</v>
      </c>
      <c r="T1024" s="135">
        <v>4.5843808581536402E-2</v>
      </c>
      <c r="U1024" s="135">
        <v>4.4489163191487803E-2</v>
      </c>
      <c r="V1024" s="135">
        <v>4.2673020369751603E-2</v>
      </c>
      <c r="W1024" s="135">
        <v>4.2395132214933497E-2</v>
      </c>
      <c r="X1024" s="135">
        <v>4.8196610085783E-2</v>
      </c>
      <c r="Y1024" s="135">
        <v>5.6199504371839001E-2</v>
      </c>
      <c r="Z1024" s="135">
        <v>6.4613659135555196E-2</v>
      </c>
      <c r="AA1024" s="135">
        <v>6.4950299464656094E-2</v>
      </c>
      <c r="AB1024" s="135">
        <v>5.50007011186305E-2</v>
      </c>
      <c r="AC1024" s="135">
        <v>4.13050236667949E-2</v>
      </c>
      <c r="AD1024" s="135">
        <v>3.14877897221401E-2</v>
      </c>
      <c r="AF1024" s="243">
        <f t="shared" si="21"/>
        <v>0.30477419362130365</v>
      </c>
      <c r="AG1024" s="275">
        <f t="shared" si="22"/>
        <v>0.48781577223662509</v>
      </c>
      <c r="AH1024" s="391">
        <f t="shared" si="23"/>
        <v>0.4961606590284815</v>
      </c>
      <c r="AI1024" s="135">
        <f t="shared" si="24"/>
        <v>0.98397643126510659</v>
      </c>
    </row>
    <row r="1025" spans="1:35" ht="12.6">
      <c r="A1025" s="10" t="s">
        <v>63</v>
      </c>
      <c r="B1025" s="10">
        <v>294</v>
      </c>
      <c r="C1025" s="10" t="s">
        <v>1515</v>
      </c>
      <c r="D1025" s="388">
        <v>45220</v>
      </c>
      <c r="E1025" s="389">
        <v>45220</v>
      </c>
      <c r="F1025" s="390" t="str">
        <f t="shared" si="20"/>
        <v>Other</v>
      </c>
      <c r="G1025" s="135">
        <v>3.0131338339630699E-2</v>
      </c>
      <c r="H1025" s="135">
        <v>2.6410819320413299E-2</v>
      </c>
      <c r="I1025" s="135">
        <v>2.5136055432186399E-2</v>
      </c>
      <c r="J1025" s="135">
        <v>2.4529545065448102E-2</v>
      </c>
      <c r="K1025" s="135">
        <v>2.5221946107423E-2</v>
      </c>
      <c r="L1025" s="135">
        <v>2.6564070267563099E-2</v>
      </c>
      <c r="M1025" s="135">
        <v>3.2872190317752799E-2</v>
      </c>
      <c r="N1025" s="135">
        <v>4.2324309975772301E-2</v>
      </c>
      <c r="O1025" s="135">
        <v>4.14663838977141E-2</v>
      </c>
      <c r="P1025" s="135">
        <v>4.34798560122251E-2</v>
      </c>
      <c r="Q1025" s="135">
        <v>4.7324490082932699E-2</v>
      </c>
      <c r="R1025" s="135">
        <v>4.9828625181992298E-2</v>
      </c>
      <c r="S1025" s="135">
        <v>4.9605494107248002E-2</v>
      </c>
      <c r="T1025" s="135">
        <v>5.0983369720472398E-2</v>
      </c>
      <c r="U1025" s="135">
        <v>5.19831141230018E-2</v>
      </c>
      <c r="V1025" s="135">
        <v>5.24576200462748E-2</v>
      </c>
      <c r="W1025" s="135">
        <v>5.1441253870066303E-2</v>
      </c>
      <c r="X1025" s="135">
        <v>5.3034988802493001E-2</v>
      </c>
      <c r="Y1025" s="135">
        <v>5.86267608479508E-2</v>
      </c>
      <c r="Z1025" s="135">
        <v>6.4340363281778307E-2</v>
      </c>
      <c r="AA1025" s="135">
        <v>6.3432368544790493E-2</v>
      </c>
      <c r="AB1025" s="135">
        <v>5.4123944283965303E-2</v>
      </c>
      <c r="AC1025" s="135">
        <v>4.1312537475999798E-2</v>
      </c>
      <c r="AD1025" s="135">
        <v>3.3610892724618001E-2</v>
      </c>
      <c r="AF1025" s="243">
        <f t="shared" si="21"/>
        <v>0.35362396713198835</v>
      </c>
      <c r="AG1025" s="275">
        <f t="shared" si="22"/>
        <v>0.52226024691809836</v>
      </c>
      <c r="AH1025" s="391">
        <f t="shared" si="23"/>
        <v>0.5179820909116144</v>
      </c>
      <c r="AI1025" s="135">
        <f t="shared" si="24"/>
        <v>1.0402423378297128</v>
      </c>
    </row>
    <row r="1026" spans="1:35" ht="12.6">
      <c r="A1026" s="10" t="s">
        <v>63</v>
      </c>
      <c r="B1026" s="10">
        <v>295</v>
      </c>
      <c r="C1026" s="10" t="s">
        <v>1515</v>
      </c>
      <c r="D1026" s="388">
        <v>45221</v>
      </c>
      <c r="E1026" s="389">
        <v>45221</v>
      </c>
      <c r="F1026" s="390" t="str">
        <f t="shared" si="20"/>
        <v>Other</v>
      </c>
      <c r="G1026" s="135">
        <v>3.0131338339630699E-2</v>
      </c>
      <c r="H1026" s="135">
        <v>2.6410819320413299E-2</v>
      </c>
      <c r="I1026" s="135">
        <v>2.5136055432186399E-2</v>
      </c>
      <c r="J1026" s="135">
        <v>2.4529545065448102E-2</v>
      </c>
      <c r="K1026" s="135">
        <v>2.5221946107423E-2</v>
      </c>
      <c r="L1026" s="135">
        <v>2.6564070267563099E-2</v>
      </c>
      <c r="M1026" s="135">
        <v>3.2872190317752799E-2</v>
      </c>
      <c r="N1026" s="135">
        <v>4.2324309975772301E-2</v>
      </c>
      <c r="O1026" s="135">
        <v>4.14663838977141E-2</v>
      </c>
      <c r="P1026" s="135">
        <v>4.34798560122251E-2</v>
      </c>
      <c r="Q1026" s="135">
        <v>4.7324490082932699E-2</v>
      </c>
      <c r="R1026" s="135">
        <v>4.9828625181992298E-2</v>
      </c>
      <c r="S1026" s="135">
        <v>4.9605494107248002E-2</v>
      </c>
      <c r="T1026" s="135">
        <v>5.0983369720472398E-2</v>
      </c>
      <c r="U1026" s="135">
        <v>5.19831141230018E-2</v>
      </c>
      <c r="V1026" s="135">
        <v>5.24576200462748E-2</v>
      </c>
      <c r="W1026" s="135">
        <v>5.1441253870066303E-2</v>
      </c>
      <c r="X1026" s="135">
        <v>5.3034988802493001E-2</v>
      </c>
      <c r="Y1026" s="135">
        <v>5.86267608479508E-2</v>
      </c>
      <c r="Z1026" s="135">
        <v>6.4340363281778307E-2</v>
      </c>
      <c r="AA1026" s="135">
        <v>6.3432368544790493E-2</v>
      </c>
      <c r="AB1026" s="135">
        <v>5.4123944283965303E-2</v>
      </c>
      <c r="AC1026" s="135">
        <v>4.1312537475999798E-2</v>
      </c>
      <c r="AD1026" s="135">
        <v>3.3610892724618001E-2</v>
      </c>
      <c r="AF1026" s="243">
        <f t="shared" si="21"/>
        <v>0.35362396713198835</v>
      </c>
      <c r="AG1026" s="275">
        <f t="shared" si="22"/>
        <v>0.52226024691809836</v>
      </c>
      <c r="AH1026" s="391">
        <f t="shared" si="23"/>
        <v>0.5179820909116144</v>
      </c>
      <c r="AI1026" s="135">
        <f t="shared" si="24"/>
        <v>1.0402423378297128</v>
      </c>
    </row>
    <row r="1027" spans="1:35" ht="12.6">
      <c r="A1027" s="10" t="s">
        <v>63</v>
      </c>
      <c r="B1027" s="10">
        <v>296</v>
      </c>
      <c r="C1027" s="10" t="s">
        <v>1515</v>
      </c>
      <c r="D1027" s="388">
        <v>45222</v>
      </c>
      <c r="E1027" s="389">
        <v>45222</v>
      </c>
      <c r="F1027" s="390" t="str">
        <f t="shared" si="20"/>
        <v>Other</v>
      </c>
      <c r="G1027" s="135">
        <v>2.7461416298379501E-2</v>
      </c>
      <c r="H1027" s="135">
        <v>2.59817916427377E-2</v>
      </c>
      <c r="I1027" s="135">
        <v>2.5486616498992101E-2</v>
      </c>
      <c r="J1027" s="135">
        <v>2.49925256423561E-2</v>
      </c>
      <c r="K1027" s="135">
        <v>2.5524711218284198E-2</v>
      </c>
      <c r="L1027" s="135">
        <v>2.73904103889555E-2</v>
      </c>
      <c r="M1027" s="135">
        <v>3.7921757343178202E-2</v>
      </c>
      <c r="N1027" s="135">
        <v>4.2893446772633299E-2</v>
      </c>
      <c r="O1027" s="135">
        <v>4.0317796620390998E-2</v>
      </c>
      <c r="P1027" s="135">
        <v>3.9478177652496498E-2</v>
      </c>
      <c r="Q1027" s="135">
        <v>4.1562998294850599E-2</v>
      </c>
      <c r="R1027" s="135">
        <v>4.2947465511646299E-2</v>
      </c>
      <c r="S1027" s="135">
        <v>4.4862605457097401E-2</v>
      </c>
      <c r="T1027" s="135">
        <v>4.5843808581536402E-2</v>
      </c>
      <c r="U1027" s="135">
        <v>4.4489163191487803E-2</v>
      </c>
      <c r="V1027" s="135">
        <v>4.2673020369751603E-2</v>
      </c>
      <c r="W1027" s="135">
        <v>4.2395132214933497E-2</v>
      </c>
      <c r="X1027" s="135">
        <v>4.8196610085783E-2</v>
      </c>
      <c r="Y1027" s="135">
        <v>5.6199504371839001E-2</v>
      </c>
      <c r="Z1027" s="135">
        <v>6.4613659135555196E-2</v>
      </c>
      <c r="AA1027" s="135">
        <v>6.4950299464656094E-2</v>
      </c>
      <c r="AB1027" s="135">
        <v>5.50007011186305E-2</v>
      </c>
      <c r="AC1027" s="135">
        <v>4.13050236667949E-2</v>
      </c>
      <c r="AD1027" s="135">
        <v>3.14877897221401E-2</v>
      </c>
      <c r="AF1027" s="243">
        <f t="shared" si="21"/>
        <v>0.30477419362130365</v>
      </c>
      <c r="AG1027" s="275">
        <f t="shared" si="22"/>
        <v>0.48781577223662509</v>
      </c>
      <c r="AH1027" s="391">
        <f t="shared" si="23"/>
        <v>0.4961606590284815</v>
      </c>
      <c r="AI1027" s="135">
        <f t="shared" si="24"/>
        <v>0.98397643126510659</v>
      </c>
    </row>
    <row r="1028" spans="1:35" ht="12.6">
      <c r="A1028" s="10" t="s">
        <v>63</v>
      </c>
      <c r="B1028" s="10">
        <v>297</v>
      </c>
      <c r="C1028" s="10" t="s">
        <v>1515</v>
      </c>
      <c r="D1028" s="388">
        <v>45223</v>
      </c>
      <c r="E1028" s="389">
        <v>45223</v>
      </c>
      <c r="F1028" s="390" t="str">
        <f t="shared" si="20"/>
        <v>Other</v>
      </c>
      <c r="G1028" s="135">
        <v>2.7461416298379501E-2</v>
      </c>
      <c r="H1028" s="135">
        <v>2.59817916427377E-2</v>
      </c>
      <c r="I1028" s="135">
        <v>2.5486616498992101E-2</v>
      </c>
      <c r="J1028" s="135">
        <v>2.49925256423561E-2</v>
      </c>
      <c r="K1028" s="135">
        <v>2.5524711218284198E-2</v>
      </c>
      <c r="L1028" s="135">
        <v>2.73904103889555E-2</v>
      </c>
      <c r="M1028" s="135">
        <v>3.7921757343178202E-2</v>
      </c>
      <c r="N1028" s="135">
        <v>4.2893446772633299E-2</v>
      </c>
      <c r="O1028" s="135">
        <v>4.0317796620390998E-2</v>
      </c>
      <c r="P1028" s="135">
        <v>3.9478177652496498E-2</v>
      </c>
      <c r="Q1028" s="135">
        <v>4.1562998294850599E-2</v>
      </c>
      <c r="R1028" s="135">
        <v>4.2947465511646299E-2</v>
      </c>
      <c r="S1028" s="135">
        <v>4.4862605457097401E-2</v>
      </c>
      <c r="T1028" s="135">
        <v>4.5843808581536402E-2</v>
      </c>
      <c r="U1028" s="135">
        <v>4.4489163191487803E-2</v>
      </c>
      <c r="V1028" s="135">
        <v>4.2673020369751603E-2</v>
      </c>
      <c r="W1028" s="135">
        <v>4.2395132214933497E-2</v>
      </c>
      <c r="X1028" s="135">
        <v>4.8196610085783E-2</v>
      </c>
      <c r="Y1028" s="135">
        <v>5.6199504371839001E-2</v>
      </c>
      <c r="Z1028" s="135">
        <v>6.4613659135555196E-2</v>
      </c>
      <c r="AA1028" s="135">
        <v>6.4950299464656094E-2</v>
      </c>
      <c r="AB1028" s="135">
        <v>5.50007011186305E-2</v>
      </c>
      <c r="AC1028" s="135">
        <v>4.13050236667949E-2</v>
      </c>
      <c r="AD1028" s="135">
        <v>3.14877897221401E-2</v>
      </c>
      <c r="AF1028" s="243">
        <f t="shared" si="21"/>
        <v>0.30477419362130365</v>
      </c>
      <c r="AG1028" s="275">
        <f t="shared" si="22"/>
        <v>0.48781577223662509</v>
      </c>
      <c r="AH1028" s="391">
        <f t="shared" si="23"/>
        <v>0.4961606590284815</v>
      </c>
      <c r="AI1028" s="135">
        <f t="shared" si="24"/>
        <v>0.98397643126510659</v>
      </c>
    </row>
    <row r="1029" spans="1:35" ht="12.6">
      <c r="A1029" s="10" t="s">
        <v>63</v>
      </c>
      <c r="B1029" s="10">
        <v>298</v>
      </c>
      <c r="C1029" s="10" t="s">
        <v>1515</v>
      </c>
      <c r="D1029" s="388">
        <v>45224</v>
      </c>
      <c r="E1029" s="389">
        <v>45224</v>
      </c>
      <c r="F1029" s="390" t="str">
        <f t="shared" si="20"/>
        <v>Other</v>
      </c>
      <c r="G1029" s="135">
        <v>2.7461416298379501E-2</v>
      </c>
      <c r="H1029" s="135">
        <v>2.59817916427377E-2</v>
      </c>
      <c r="I1029" s="135">
        <v>2.5486616498992101E-2</v>
      </c>
      <c r="J1029" s="135">
        <v>2.49925256423561E-2</v>
      </c>
      <c r="K1029" s="135">
        <v>2.5524711218284198E-2</v>
      </c>
      <c r="L1029" s="135">
        <v>2.73904103889555E-2</v>
      </c>
      <c r="M1029" s="135">
        <v>3.7921757343178202E-2</v>
      </c>
      <c r="N1029" s="135">
        <v>4.2893446772633299E-2</v>
      </c>
      <c r="O1029" s="135">
        <v>4.0317796620390998E-2</v>
      </c>
      <c r="P1029" s="135">
        <v>3.9478177652496498E-2</v>
      </c>
      <c r="Q1029" s="135">
        <v>4.1562998294850599E-2</v>
      </c>
      <c r="R1029" s="135">
        <v>4.2947465511646299E-2</v>
      </c>
      <c r="S1029" s="135">
        <v>4.4862605457097401E-2</v>
      </c>
      <c r="T1029" s="135">
        <v>4.5843808581536402E-2</v>
      </c>
      <c r="U1029" s="135">
        <v>4.4489163191487803E-2</v>
      </c>
      <c r="V1029" s="135">
        <v>4.2673020369751603E-2</v>
      </c>
      <c r="W1029" s="135">
        <v>4.2395132214933497E-2</v>
      </c>
      <c r="X1029" s="135">
        <v>4.8196610085783E-2</v>
      </c>
      <c r="Y1029" s="135">
        <v>5.6199504371839001E-2</v>
      </c>
      <c r="Z1029" s="135">
        <v>6.4613659135555196E-2</v>
      </c>
      <c r="AA1029" s="135">
        <v>6.4950299464656094E-2</v>
      </c>
      <c r="AB1029" s="135">
        <v>5.50007011186305E-2</v>
      </c>
      <c r="AC1029" s="135">
        <v>4.13050236667949E-2</v>
      </c>
      <c r="AD1029" s="135">
        <v>3.14877897221401E-2</v>
      </c>
      <c r="AF1029" s="243">
        <f t="shared" si="21"/>
        <v>0.30477419362130365</v>
      </c>
      <c r="AG1029" s="275">
        <f t="shared" si="22"/>
        <v>0.48781577223662509</v>
      </c>
      <c r="AH1029" s="391">
        <f t="shared" si="23"/>
        <v>0.4961606590284815</v>
      </c>
      <c r="AI1029" s="135">
        <f t="shared" si="24"/>
        <v>0.98397643126510659</v>
      </c>
    </row>
    <row r="1030" spans="1:35" ht="12.6">
      <c r="A1030" s="10" t="s">
        <v>63</v>
      </c>
      <c r="B1030" s="10">
        <v>299</v>
      </c>
      <c r="C1030" s="10" t="s">
        <v>1515</v>
      </c>
      <c r="D1030" s="388">
        <v>45225</v>
      </c>
      <c r="E1030" s="389">
        <v>45225</v>
      </c>
      <c r="F1030" s="390" t="str">
        <f t="shared" si="20"/>
        <v>Other</v>
      </c>
      <c r="G1030" s="135">
        <v>2.7461416298379501E-2</v>
      </c>
      <c r="H1030" s="135">
        <v>2.59817916427377E-2</v>
      </c>
      <c r="I1030" s="135">
        <v>2.5486616498992101E-2</v>
      </c>
      <c r="J1030" s="135">
        <v>2.49925256423561E-2</v>
      </c>
      <c r="K1030" s="135">
        <v>2.5524711218284198E-2</v>
      </c>
      <c r="L1030" s="135">
        <v>2.73904103889555E-2</v>
      </c>
      <c r="M1030" s="135">
        <v>3.7921757343178202E-2</v>
      </c>
      <c r="N1030" s="135">
        <v>4.2893446772633299E-2</v>
      </c>
      <c r="O1030" s="135">
        <v>4.0317796620390998E-2</v>
      </c>
      <c r="P1030" s="135">
        <v>3.9478177652496498E-2</v>
      </c>
      <c r="Q1030" s="135">
        <v>4.1562998294850599E-2</v>
      </c>
      <c r="R1030" s="135">
        <v>4.2947465511646299E-2</v>
      </c>
      <c r="S1030" s="135">
        <v>4.4862605457097401E-2</v>
      </c>
      <c r="T1030" s="135">
        <v>4.5843808581536402E-2</v>
      </c>
      <c r="U1030" s="135">
        <v>4.4489163191487803E-2</v>
      </c>
      <c r="V1030" s="135">
        <v>4.2673020369751603E-2</v>
      </c>
      <c r="W1030" s="135">
        <v>4.2395132214933497E-2</v>
      </c>
      <c r="X1030" s="135">
        <v>4.8196610085783E-2</v>
      </c>
      <c r="Y1030" s="135">
        <v>5.6199504371839001E-2</v>
      </c>
      <c r="Z1030" s="135">
        <v>6.4613659135555196E-2</v>
      </c>
      <c r="AA1030" s="135">
        <v>6.4950299464656094E-2</v>
      </c>
      <c r="AB1030" s="135">
        <v>5.50007011186305E-2</v>
      </c>
      <c r="AC1030" s="135">
        <v>4.13050236667949E-2</v>
      </c>
      <c r="AD1030" s="135">
        <v>3.14877897221401E-2</v>
      </c>
      <c r="AF1030" s="243">
        <f t="shared" si="21"/>
        <v>0.30477419362130365</v>
      </c>
      <c r="AG1030" s="275">
        <f t="shared" si="22"/>
        <v>0.48781577223662509</v>
      </c>
      <c r="AH1030" s="391">
        <f t="shared" si="23"/>
        <v>0.4961606590284815</v>
      </c>
      <c r="AI1030" s="135">
        <f t="shared" si="24"/>
        <v>0.98397643126510659</v>
      </c>
    </row>
    <row r="1031" spans="1:35" ht="12.6">
      <c r="A1031" s="10" t="s">
        <v>63</v>
      </c>
      <c r="B1031" s="10">
        <v>300</v>
      </c>
      <c r="C1031" s="10" t="s">
        <v>1515</v>
      </c>
      <c r="D1031" s="388">
        <v>45226</v>
      </c>
      <c r="E1031" s="389">
        <v>45226</v>
      </c>
      <c r="F1031" s="390" t="str">
        <f t="shared" si="20"/>
        <v>Other</v>
      </c>
      <c r="G1031" s="135">
        <v>2.7461416298379501E-2</v>
      </c>
      <c r="H1031" s="135">
        <v>2.59817916427377E-2</v>
      </c>
      <c r="I1031" s="135">
        <v>2.5486616498992101E-2</v>
      </c>
      <c r="J1031" s="135">
        <v>2.49925256423561E-2</v>
      </c>
      <c r="K1031" s="135">
        <v>2.5524711218284198E-2</v>
      </c>
      <c r="L1031" s="135">
        <v>2.73904103889555E-2</v>
      </c>
      <c r="M1031" s="135">
        <v>3.7921757343178202E-2</v>
      </c>
      <c r="N1031" s="135">
        <v>4.2893446772633299E-2</v>
      </c>
      <c r="O1031" s="135">
        <v>4.0317796620390998E-2</v>
      </c>
      <c r="P1031" s="135">
        <v>3.9478177652496498E-2</v>
      </c>
      <c r="Q1031" s="135">
        <v>4.1562998294850599E-2</v>
      </c>
      <c r="R1031" s="135">
        <v>4.2947465511646299E-2</v>
      </c>
      <c r="S1031" s="135">
        <v>4.4862605457097401E-2</v>
      </c>
      <c r="T1031" s="135">
        <v>4.5843808581536402E-2</v>
      </c>
      <c r="U1031" s="135">
        <v>4.4489163191487803E-2</v>
      </c>
      <c r="V1031" s="135">
        <v>4.2673020369751603E-2</v>
      </c>
      <c r="W1031" s="135">
        <v>4.2395132214933497E-2</v>
      </c>
      <c r="X1031" s="135">
        <v>4.8196610085783E-2</v>
      </c>
      <c r="Y1031" s="135">
        <v>5.6199504371839001E-2</v>
      </c>
      <c r="Z1031" s="135">
        <v>6.4613659135555196E-2</v>
      </c>
      <c r="AA1031" s="135">
        <v>6.4950299464656094E-2</v>
      </c>
      <c r="AB1031" s="135">
        <v>5.50007011186305E-2</v>
      </c>
      <c r="AC1031" s="135">
        <v>4.13050236667949E-2</v>
      </c>
      <c r="AD1031" s="135">
        <v>3.14877897221401E-2</v>
      </c>
      <c r="AF1031" s="243">
        <f t="shared" si="21"/>
        <v>0.30477419362130365</v>
      </c>
      <c r="AG1031" s="275">
        <f t="shared" si="22"/>
        <v>0.48781577223662509</v>
      </c>
      <c r="AH1031" s="391">
        <f t="shared" si="23"/>
        <v>0.4961606590284815</v>
      </c>
      <c r="AI1031" s="135">
        <f t="shared" si="24"/>
        <v>0.98397643126510659</v>
      </c>
    </row>
    <row r="1032" spans="1:35" ht="12.6">
      <c r="A1032" s="10" t="s">
        <v>63</v>
      </c>
      <c r="B1032" s="10">
        <v>301</v>
      </c>
      <c r="C1032" s="10" t="s">
        <v>1515</v>
      </c>
      <c r="D1032" s="388">
        <v>45227</v>
      </c>
      <c r="E1032" s="389">
        <v>45227</v>
      </c>
      <c r="F1032" s="390" t="str">
        <f t="shared" si="20"/>
        <v>Other</v>
      </c>
      <c r="G1032" s="135">
        <v>3.0131338339630699E-2</v>
      </c>
      <c r="H1032" s="135">
        <v>2.6410819320413299E-2</v>
      </c>
      <c r="I1032" s="135">
        <v>2.5136055432186399E-2</v>
      </c>
      <c r="J1032" s="135">
        <v>2.4529545065448102E-2</v>
      </c>
      <c r="K1032" s="135">
        <v>2.5221946107423E-2</v>
      </c>
      <c r="L1032" s="135">
        <v>2.6564070267563099E-2</v>
      </c>
      <c r="M1032" s="135">
        <v>3.2872190317752799E-2</v>
      </c>
      <c r="N1032" s="135">
        <v>4.2324309975772301E-2</v>
      </c>
      <c r="O1032" s="135">
        <v>4.14663838977141E-2</v>
      </c>
      <c r="P1032" s="135">
        <v>4.34798560122251E-2</v>
      </c>
      <c r="Q1032" s="135">
        <v>4.7324490082932699E-2</v>
      </c>
      <c r="R1032" s="135">
        <v>4.9828625181992298E-2</v>
      </c>
      <c r="S1032" s="135">
        <v>4.9605494107248002E-2</v>
      </c>
      <c r="T1032" s="135">
        <v>5.0983369720472398E-2</v>
      </c>
      <c r="U1032" s="135">
        <v>5.19831141230018E-2</v>
      </c>
      <c r="V1032" s="135">
        <v>5.24576200462748E-2</v>
      </c>
      <c r="W1032" s="135">
        <v>5.1441253870066303E-2</v>
      </c>
      <c r="X1032" s="135">
        <v>5.3034988802493001E-2</v>
      </c>
      <c r="Y1032" s="135">
        <v>5.86267608479508E-2</v>
      </c>
      <c r="Z1032" s="135">
        <v>6.4340363281778307E-2</v>
      </c>
      <c r="AA1032" s="135">
        <v>6.3432368544790493E-2</v>
      </c>
      <c r="AB1032" s="135">
        <v>5.4123944283965303E-2</v>
      </c>
      <c r="AC1032" s="135">
        <v>4.1312537475999798E-2</v>
      </c>
      <c r="AD1032" s="135">
        <v>3.3610892724618001E-2</v>
      </c>
      <c r="AF1032" s="243">
        <f t="shared" si="21"/>
        <v>0.35362396713198835</v>
      </c>
      <c r="AG1032" s="275">
        <f t="shared" si="22"/>
        <v>0.52226024691809836</v>
      </c>
      <c r="AH1032" s="391">
        <f t="shared" si="23"/>
        <v>0.5179820909116144</v>
      </c>
      <c r="AI1032" s="135">
        <f t="shared" si="24"/>
        <v>1.0402423378297128</v>
      </c>
    </row>
    <row r="1033" spans="1:35" ht="12.6">
      <c r="A1033" s="10" t="s">
        <v>63</v>
      </c>
      <c r="B1033" s="10">
        <v>302</v>
      </c>
      <c r="C1033" s="10" t="s">
        <v>1515</v>
      </c>
      <c r="D1033" s="388">
        <v>45228</v>
      </c>
      <c r="E1033" s="389">
        <v>45228</v>
      </c>
      <c r="F1033" s="390" t="str">
        <f t="shared" si="20"/>
        <v>Other</v>
      </c>
      <c r="G1033" s="135">
        <v>3.0131338339630699E-2</v>
      </c>
      <c r="H1033" s="135">
        <v>2.6410819320413299E-2</v>
      </c>
      <c r="I1033" s="135">
        <v>2.5136055432186399E-2</v>
      </c>
      <c r="J1033" s="135">
        <v>2.4529545065448102E-2</v>
      </c>
      <c r="K1033" s="135">
        <v>2.5221946107423E-2</v>
      </c>
      <c r="L1033" s="135">
        <v>2.6564070267563099E-2</v>
      </c>
      <c r="M1033" s="135">
        <v>3.2872190317752799E-2</v>
      </c>
      <c r="N1033" s="135">
        <v>4.2324309975772301E-2</v>
      </c>
      <c r="O1033" s="135">
        <v>4.14663838977141E-2</v>
      </c>
      <c r="P1033" s="135">
        <v>4.34798560122251E-2</v>
      </c>
      <c r="Q1033" s="135">
        <v>4.7324490082932699E-2</v>
      </c>
      <c r="R1033" s="135">
        <v>4.9828625181992298E-2</v>
      </c>
      <c r="S1033" s="135">
        <v>4.9605494107248002E-2</v>
      </c>
      <c r="T1033" s="135">
        <v>5.0983369720472398E-2</v>
      </c>
      <c r="U1033" s="135">
        <v>5.19831141230018E-2</v>
      </c>
      <c r="V1033" s="135">
        <v>5.24576200462748E-2</v>
      </c>
      <c r="W1033" s="135">
        <v>5.1441253870066303E-2</v>
      </c>
      <c r="X1033" s="135">
        <v>5.3034988802493001E-2</v>
      </c>
      <c r="Y1033" s="135">
        <v>5.86267608479508E-2</v>
      </c>
      <c r="Z1033" s="135">
        <v>6.4340363281778307E-2</v>
      </c>
      <c r="AA1033" s="135">
        <v>6.3432368544790493E-2</v>
      </c>
      <c r="AB1033" s="135">
        <v>5.4123944283965303E-2</v>
      </c>
      <c r="AC1033" s="135">
        <v>4.1312537475999798E-2</v>
      </c>
      <c r="AD1033" s="135">
        <v>3.3610892724618001E-2</v>
      </c>
      <c r="AF1033" s="243">
        <f t="shared" si="21"/>
        <v>0.35362396713198835</v>
      </c>
      <c r="AG1033" s="275">
        <f t="shared" si="22"/>
        <v>0.52226024691809836</v>
      </c>
      <c r="AH1033" s="391">
        <f t="shared" si="23"/>
        <v>0.5179820909116144</v>
      </c>
      <c r="AI1033" s="135">
        <f t="shared" si="24"/>
        <v>1.0402423378297128</v>
      </c>
    </row>
    <row r="1034" spans="1:35" ht="12.6">
      <c r="A1034" s="10" t="s">
        <v>63</v>
      </c>
      <c r="B1034" s="10">
        <v>303</v>
      </c>
      <c r="C1034" s="10" t="s">
        <v>1515</v>
      </c>
      <c r="D1034" s="388">
        <v>45229</v>
      </c>
      <c r="E1034" s="389">
        <v>45229</v>
      </c>
      <c r="F1034" s="390" t="str">
        <f t="shared" si="20"/>
        <v>Other</v>
      </c>
      <c r="G1034" s="135">
        <v>2.7461416298379501E-2</v>
      </c>
      <c r="H1034" s="135">
        <v>2.59817916427377E-2</v>
      </c>
      <c r="I1034" s="135">
        <v>2.5486616498992101E-2</v>
      </c>
      <c r="J1034" s="135">
        <v>2.49925256423561E-2</v>
      </c>
      <c r="K1034" s="135">
        <v>2.5524711218284198E-2</v>
      </c>
      <c r="L1034" s="135">
        <v>2.73904103889555E-2</v>
      </c>
      <c r="M1034" s="135">
        <v>3.7921757343178202E-2</v>
      </c>
      <c r="N1034" s="135">
        <v>4.2893446772633299E-2</v>
      </c>
      <c r="O1034" s="135">
        <v>4.0317796620390998E-2</v>
      </c>
      <c r="P1034" s="135">
        <v>3.9478177652496498E-2</v>
      </c>
      <c r="Q1034" s="135">
        <v>4.1562998294850599E-2</v>
      </c>
      <c r="R1034" s="135">
        <v>4.2947465511646299E-2</v>
      </c>
      <c r="S1034" s="135">
        <v>4.4862605457097401E-2</v>
      </c>
      <c r="T1034" s="135">
        <v>4.5843808581536402E-2</v>
      </c>
      <c r="U1034" s="135">
        <v>4.4489163191487803E-2</v>
      </c>
      <c r="V1034" s="135">
        <v>4.2673020369751603E-2</v>
      </c>
      <c r="W1034" s="135">
        <v>4.2395132214933497E-2</v>
      </c>
      <c r="X1034" s="135">
        <v>4.8196610085783E-2</v>
      </c>
      <c r="Y1034" s="135">
        <v>5.6199504371839001E-2</v>
      </c>
      <c r="Z1034" s="135">
        <v>6.4613659135555196E-2</v>
      </c>
      <c r="AA1034" s="135">
        <v>6.4950299464656094E-2</v>
      </c>
      <c r="AB1034" s="135">
        <v>5.50007011186305E-2</v>
      </c>
      <c r="AC1034" s="135">
        <v>4.13050236667949E-2</v>
      </c>
      <c r="AD1034" s="135">
        <v>3.14877897221401E-2</v>
      </c>
      <c r="AF1034" s="243">
        <f t="shared" si="21"/>
        <v>0.30477419362130365</v>
      </c>
      <c r="AG1034" s="275">
        <f t="shared" si="22"/>
        <v>0.48781577223662509</v>
      </c>
      <c r="AH1034" s="391">
        <f t="shared" si="23"/>
        <v>0.4961606590284815</v>
      </c>
      <c r="AI1034" s="135">
        <f t="shared" si="24"/>
        <v>0.98397643126510659</v>
      </c>
    </row>
    <row r="1035" spans="1:35" ht="12.6">
      <c r="A1035" s="10" t="s">
        <v>63</v>
      </c>
      <c r="B1035" s="10">
        <v>304</v>
      </c>
      <c r="C1035" s="10" t="s">
        <v>1515</v>
      </c>
      <c r="D1035" s="388">
        <v>45230</v>
      </c>
      <c r="E1035" s="389">
        <v>45230</v>
      </c>
      <c r="F1035" s="390" t="str">
        <f t="shared" si="20"/>
        <v>Other</v>
      </c>
      <c r="G1035" s="135">
        <v>2.7461416298379501E-2</v>
      </c>
      <c r="H1035" s="135">
        <v>2.59817916427377E-2</v>
      </c>
      <c r="I1035" s="135">
        <v>2.5486616498992101E-2</v>
      </c>
      <c r="J1035" s="135">
        <v>2.49925256423561E-2</v>
      </c>
      <c r="K1035" s="135">
        <v>2.5524711218284198E-2</v>
      </c>
      <c r="L1035" s="135">
        <v>2.73904103889555E-2</v>
      </c>
      <c r="M1035" s="135">
        <v>3.7921757343178202E-2</v>
      </c>
      <c r="N1035" s="135">
        <v>4.2893446772633299E-2</v>
      </c>
      <c r="O1035" s="135">
        <v>4.0317796620390998E-2</v>
      </c>
      <c r="P1035" s="135">
        <v>3.9478177652496498E-2</v>
      </c>
      <c r="Q1035" s="135">
        <v>4.1562998294850599E-2</v>
      </c>
      <c r="R1035" s="135">
        <v>4.2947465511646299E-2</v>
      </c>
      <c r="S1035" s="135">
        <v>4.4862605457097401E-2</v>
      </c>
      <c r="T1035" s="135">
        <v>4.5843808581536402E-2</v>
      </c>
      <c r="U1035" s="135">
        <v>4.4489163191487803E-2</v>
      </c>
      <c r="V1035" s="135">
        <v>4.2673020369751603E-2</v>
      </c>
      <c r="W1035" s="135">
        <v>4.2395132214933497E-2</v>
      </c>
      <c r="X1035" s="135">
        <v>4.8196610085783E-2</v>
      </c>
      <c r="Y1035" s="135">
        <v>5.6199504371839001E-2</v>
      </c>
      <c r="Z1035" s="135">
        <v>6.4613659135555196E-2</v>
      </c>
      <c r="AA1035" s="135">
        <v>6.4950299464656094E-2</v>
      </c>
      <c r="AB1035" s="135">
        <v>5.50007011186305E-2</v>
      </c>
      <c r="AC1035" s="135">
        <v>4.13050236667949E-2</v>
      </c>
      <c r="AD1035" s="135">
        <v>3.14877897221401E-2</v>
      </c>
      <c r="AF1035" s="243">
        <f t="shared" si="21"/>
        <v>0.30477419362130365</v>
      </c>
      <c r="AG1035" s="275">
        <f t="shared" si="22"/>
        <v>0.48781577223662509</v>
      </c>
      <c r="AH1035" s="391">
        <f t="shared" si="23"/>
        <v>0.4961606590284815</v>
      </c>
      <c r="AI1035" s="135">
        <f t="shared" si="24"/>
        <v>0.98397643126510659</v>
      </c>
    </row>
    <row r="1036" spans="1:35" ht="12.6">
      <c r="A1036" s="10" t="s">
        <v>63</v>
      </c>
      <c r="B1036" s="10">
        <v>305</v>
      </c>
      <c r="C1036" s="10" t="s">
        <v>1515</v>
      </c>
      <c r="D1036" s="388">
        <v>45231</v>
      </c>
      <c r="E1036" s="389">
        <v>45231</v>
      </c>
      <c r="F1036" s="390" t="str">
        <f t="shared" si="20"/>
        <v>Other</v>
      </c>
      <c r="G1036" s="135">
        <v>2.7461416298379501E-2</v>
      </c>
      <c r="H1036" s="135">
        <v>2.59817916427377E-2</v>
      </c>
      <c r="I1036" s="135">
        <v>2.5486616498992101E-2</v>
      </c>
      <c r="J1036" s="135">
        <v>2.49925256423561E-2</v>
      </c>
      <c r="K1036" s="135">
        <v>2.5524711218284198E-2</v>
      </c>
      <c r="L1036" s="135">
        <v>2.73904103889555E-2</v>
      </c>
      <c r="M1036" s="135">
        <v>3.7921757343178202E-2</v>
      </c>
      <c r="N1036" s="135">
        <v>4.2893446772633299E-2</v>
      </c>
      <c r="O1036" s="135">
        <v>4.0317796620390998E-2</v>
      </c>
      <c r="P1036" s="135">
        <v>3.9478177652496498E-2</v>
      </c>
      <c r="Q1036" s="135">
        <v>4.1562998294850599E-2</v>
      </c>
      <c r="R1036" s="135">
        <v>4.2947465511646299E-2</v>
      </c>
      <c r="S1036" s="135">
        <v>4.4862605457097401E-2</v>
      </c>
      <c r="T1036" s="135">
        <v>4.5843808581536402E-2</v>
      </c>
      <c r="U1036" s="135">
        <v>4.4489163191487803E-2</v>
      </c>
      <c r="V1036" s="135">
        <v>4.2673020369751603E-2</v>
      </c>
      <c r="W1036" s="135">
        <v>4.2395132214933497E-2</v>
      </c>
      <c r="X1036" s="135">
        <v>4.8196610085783E-2</v>
      </c>
      <c r="Y1036" s="135">
        <v>5.6199504371839001E-2</v>
      </c>
      <c r="Z1036" s="135">
        <v>6.4613659135555196E-2</v>
      </c>
      <c r="AA1036" s="135">
        <v>6.4950299464656094E-2</v>
      </c>
      <c r="AB1036" s="135">
        <v>5.50007011186305E-2</v>
      </c>
      <c r="AC1036" s="135">
        <v>4.13050236667949E-2</v>
      </c>
      <c r="AD1036" s="135">
        <v>3.14877897221401E-2</v>
      </c>
      <c r="AF1036" s="243">
        <f t="shared" si="21"/>
        <v>0.30477419362130365</v>
      </c>
      <c r="AG1036" s="275">
        <f t="shared" si="22"/>
        <v>0.48781577223662509</v>
      </c>
      <c r="AH1036" s="391">
        <f t="shared" si="23"/>
        <v>0.4961606590284815</v>
      </c>
      <c r="AI1036" s="135">
        <f t="shared" si="24"/>
        <v>0.98397643126510659</v>
      </c>
    </row>
    <row r="1037" spans="1:35" ht="12.6">
      <c r="A1037" s="10" t="s">
        <v>63</v>
      </c>
      <c r="B1037" s="10">
        <v>306</v>
      </c>
      <c r="C1037" s="10" t="s">
        <v>1515</v>
      </c>
      <c r="D1037" s="388">
        <v>45232</v>
      </c>
      <c r="E1037" s="389">
        <v>45232</v>
      </c>
      <c r="F1037" s="390" t="str">
        <f t="shared" si="20"/>
        <v>Other</v>
      </c>
      <c r="G1037" s="135">
        <v>2.7461416298379501E-2</v>
      </c>
      <c r="H1037" s="135">
        <v>2.59817916427377E-2</v>
      </c>
      <c r="I1037" s="135">
        <v>2.5486616498992101E-2</v>
      </c>
      <c r="J1037" s="135">
        <v>2.49925256423561E-2</v>
      </c>
      <c r="K1037" s="135">
        <v>2.5524711218284198E-2</v>
      </c>
      <c r="L1037" s="135">
        <v>2.73904103889555E-2</v>
      </c>
      <c r="M1037" s="135">
        <v>3.7921757343178202E-2</v>
      </c>
      <c r="N1037" s="135">
        <v>4.2893446772633299E-2</v>
      </c>
      <c r="O1037" s="135">
        <v>4.0317796620390998E-2</v>
      </c>
      <c r="P1037" s="135">
        <v>3.9478177652496498E-2</v>
      </c>
      <c r="Q1037" s="135">
        <v>4.1562998294850599E-2</v>
      </c>
      <c r="R1037" s="135">
        <v>4.2947465511646299E-2</v>
      </c>
      <c r="S1037" s="135">
        <v>4.4862605457097401E-2</v>
      </c>
      <c r="T1037" s="135">
        <v>4.5843808581536402E-2</v>
      </c>
      <c r="U1037" s="135">
        <v>4.4489163191487803E-2</v>
      </c>
      <c r="V1037" s="135">
        <v>4.2673020369751603E-2</v>
      </c>
      <c r="W1037" s="135">
        <v>4.2395132214933497E-2</v>
      </c>
      <c r="X1037" s="135">
        <v>4.8196610085783E-2</v>
      </c>
      <c r="Y1037" s="135">
        <v>5.6199504371839001E-2</v>
      </c>
      <c r="Z1037" s="135">
        <v>6.4613659135555196E-2</v>
      </c>
      <c r="AA1037" s="135">
        <v>6.4950299464656094E-2</v>
      </c>
      <c r="AB1037" s="135">
        <v>5.50007011186305E-2</v>
      </c>
      <c r="AC1037" s="135">
        <v>4.13050236667949E-2</v>
      </c>
      <c r="AD1037" s="135">
        <v>3.14877897221401E-2</v>
      </c>
      <c r="AF1037" s="243">
        <f t="shared" si="21"/>
        <v>0.30477419362130365</v>
      </c>
      <c r="AG1037" s="275">
        <f t="shared" si="22"/>
        <v>0.48781577223662509</v>
      </c>
      <c r="AH1037" s="391">
        <f t="shared" si="23"/>
        <v>0.4961606590284815</v>
      </c>
      <c r="AI1037" s="135">
        <f t="shared" si="24"/>
        <v>0.98397643126510659</v>
      </c>
    </row>
    <row r="1038" spans="1:35" ht="12.6">
      <c r="A1038" s="10" t="s">
        <v>63</v>
      </c>
      <c r="B1038" s="10">
        <v>307</v>
      </c>
      <c r="C1038" s="10" t="s">
        <v>1515</v>
      </c>
      <c r="D1038" s="388">
        <v>45233</v>
      </c>
      <c r="E1038" s="389">
        <v>45233</v>
      </c>
      <c r="F1038" s="390" t="str">
        <f t="shared" si="20"/>
        <v>Other</v>
      </c>
      <c r="G1038" s="135">
        <v>2.7461416298379501E-2</v>
      </c>
      <c r="H1038" s="135">
        <v>2.59817916427377E-2</v>
      </c>
      <c r="I1038" s="135">
        <v>2.5486616498992101E-2</v>
      </c>
      <c r="J1038" s="135">
        <v>2.49925256423561E-2</v>
      </c>
      <c r="K1038" s="135">
        <v>2.5524711218284198E-2</v>
      </c>
      <c r="L1038" s="135">
        <v>2.73904103889555E-2</v>
      </c>
      <c r="M1038" s="135">
        <v>3.7921757343178202E-2</v>
      </c>
      <c r="N1038" s="135">
        <v>4.2893446772633299E-2</v>
      </c>
      <c r="O1038" s="135">
        <v>4.0317796620390998E-2</v>
      </c>
      <c r="P1038" s="135">
        <v>3.9478177652496498E-2</v>
      </c>
      <c r="Q1038" s="135">
        <v>4.1562998294850599E-2</v>
      </c>
      <c r="R1038" s="135">
        <v>4.2947465511646299E-2</v>
      </c>
      <c r="S1038" s="135">
        <v>4.4862605457097401E-2</v>
      </c>
      <c r="T1038" s="135">
        <v>4.5843808581536402E-2</v>
      </c>
      <c r="U1038" s="135">
        <v>4.4489163191487803E-2</v>
      </c>
      <c r="V1038" s="135">
        <v>4.2673020369751603E-2</v>
      </c>
      <c r="W1038" s="135">
        <v>4.2395132214933497E-2</v>
      </c>
      <c r="X1038" s="135">
        <v>4.8196610085783E-2</v>
      </c>
      <c r="Y1038" s="135">
        <v>5.6199504371839001E-2</v>
      </c>
      <c r="Z1038" s="135">
        <v>6.4613659135555196E-2</v>
      </c>
      <c r="AA1038" s="135">
        <v>6.4950299464656094E-2</v>
      </c>
      <c r="AB1038" s="135">
        <v>5.50007011186305E-2</v>
      </c>
      <c r="AC1038" s="135">
        <v>4.13050236667949E-2</v>
      </c>
      <c r="AD1038" s="135">
        <v>3.14877897221401E-2</v>
      </c>
      <c r="AF1038" s="243">
        <f t="shared" si="21"/>
        <v>0.30477419362130365</v>
      </c>
      <c r="AG1038" s="275">
        <f t="shared" si="22"/>
        <v>0.48781577223662509</v>
      </c>
      <c r="AH1038" s="391">
        <f t="shared" si="23"/>
        <v>0.4961606590284815</v>
      </c>
      <c r="AI1038" s="135">
        <f t="shared" si="24"/>
        <v>0.98397643126510659</v>
      </c>
    </row>
    <row r="1039" spans="1:35" ht="12.6">
      <c r="A1039" s="10" t="s">
        <v>63</v>
      </c>
      <c r="B1039" s="10">
        <v>308</v>
      </c>
      <c r="C1039" s="10" t="s">
        <v>1515</v>
      </c>
      <c r="D1039" s="388">
        <v>45234</v>
      </c>
      <c r="E1039" s="389">
        <v>45234</v>
      </c>
      <c r="F1039" s="390" t="str">
        <f t="shared" si="20"/>
        <v>Other</v>
      </c>
      <c r="G1039" s="135">
        <v>3.0131338339630699E-2</v>
      </c>
      <c r="H1039" s="135">
        <v>2.6410819320413299E-2</v>
      </c>
      <c r="I1039" s="135">
        <v>2.5136055432186399E-2</v>
      </c>
      <c r="J1039" s="135">
        <v>2.4529545065448102E-2</v>
      </c>
      <c r="K1039" s="135">
        <v>2.5221946107423E-2</v>
      </c>
      <c r="L1039" s="135">
        <v>2.6564070267563099E-2</v>
      </c>
      <c r="M1039" s="135">
        <v>3.2872190317752799E-2</v>
      </c>
      <c r="N1039" s="135">
        <v>4.2324309975772301E-2</v>
      </c>
      <c r="O1039" s="135">
        <v>4.14663838977141E-2</v>
      </c>
      <c r="P1039" s="135">
        <v>4.34798560122251E-2</v>
      </c>
      <c r="Q1039" s="135">
        <v>4.7324490082932699E-2</v>
      </c>
      <c r="R1039" s="135">
        <v>4.9828625181992298E-2</v>
      </c>
      <c r="S1039" s="135">
        <v>4.9605494107248002E-2</v>
      </c>
      <c r="T1039" s="135">
        <v>5.0983369720472398E-2</v>
      </c>
      <c r="U1039" s="135">
        <v>5.19831141230018E-2</v>
      </c>
      <c r="V1039" s="135">
        <v>5.24576200462748E-2</v>
      </c>
      <c r="W1039" s="135">
        <v>5.1441253870066303E-2</v>
      </c>
      <c r="X1039" s="135">
        <v>5.3034988802493001E-2</v>
      </c>
      <c r="Y1039" s="135">
        <v>5.86267608479508E-2</v>
      </c>
      <c r="Z1039" s="135">
        <v>6.4340363281778307E-2</v>
      </c>
      <c r="AA1039" s="135">
        <v>6.3432368544790493E-2</v>
      </c>
      <c r="AB1039" s="135">
        <v>5.4123944283965303E-2</v>
      </c>
      <c r="AC1039" s="135">
        <v>4.1312537475999798E-2</v>
      </c>
      <c r="AD1039" s="135">
        <v>3.3610892724618001E-2</v>
      </c>
      <c r="AF1039" s="243">
        <f t="shared" si="21"/>
        <v>0.35362396713198835</v>
      </c>
      <c r="AG1039" s="275">
        <f t="shared" si="22"/>
        <v>0.52226024691809836</v>
      </c>
      <c r="AH1039" s="391">
        <f t="shared" si="23"/>
        <v>0.5179820909116144</v>
      </c>
      <c r="AI1039" s="135">
        <f t="shared" si="24"/>
        <v>1.0402423378297128</v>
      </c>
    </row>
    <row r="1040" spans="1:35" ht="12.6">
      <c r="A1040" s="10" t="s">
        <v>63</v>
      </c>
      <c r="B1040" s="10">
        <v>309</v>
      </c>
      <c r="C1040" s="10" t="s">
        <v>1515</v>
      </c>
      <c r="D1040" s="388">
        <v>45235</v>
      </c>
      <c r="E1040" s="389">
        <v>45235</v>
      </c>
      <c r="F1040" s="390" t="str">
        <f t="shared" si="20"/>
        <v>Other</v>
      </c>
      <c r="G1040" s="135">
        <v>3.0131338339630699E-2</v>
      </c>
      <c r="H1040" s="135">
        <v>2.6410819320413299E-2</v>
      </c>
      <c r="I1040" s="135">
        <v>2.5136055432186399E-2</v>
      </c>
      <c r="J1040" s="135">
        <v>2.4529545065448102E-2</v>
      </c>
      <c r="K1040" s="135">
        <v>2.5221946107423E-2</v>
      </c>
      <c r="L1040" s="135">
        <v>2.6564070267563099E-2</v>
      </c>
      <c r="M1040" s="135">
        <v>3.2872190317752799E-2</v>
      </c>
      <c r="N1040" s="135">
        <v>4.2324309975772301E-2</v>
      </c>
      <c r="O1040" s="135">
        <v>4.14663838977141E-2</v>
      </c>
      <c r="P1040" s="135">
        <v>4.34798560122251E-2</v>
      </c>
      <c r="Q1040" s="135">
        <v>4.7324490082932699E-2</v>
      </c>
      <c r="R1040" s="135">
        <v>4.9828625181992298E-2</v>
      </c>
      <c r="S1040" s="135">
        <v>4.9605494107248002E-2</v>
      </c>
      <c r="T1040" s="135">
        <v>5.0983369720472398E-2</v>
      </c>
      <c r="U1040" s="135">
        <v>5.19831141230018E-2</v>
      </c>
      <c r="V1040" s="135">
        <v>5.24576200462748E-2</v>
      </c>
      <c r="W1040" s="135">
        <v>5.1441253870066303E-2</v>
      </c>
      <c r="X1040" s="135">
        <v>5.3034988802493001E-2</v>
      </c>
      <c r="Y1040" s="135">
        <v>5.86267608479508E-2</v>
      </c>
      <c r="Z1040" s="135">
        <v>6.4340363281778307E-2</v>
      </c>
      <c r="AA1040" s="135">
        <v>6.3432368544790493E-2</v>
      </c>
      <c r="AB1040" s="135">
        <v>5.4123944283965303E-2</v>
      </c>
      <c r="AC1040" s="135">
        <v>4.1312537475999798E-2</v>
      </c>
      <c r="AD1040" s="135">
        <v>3.3610892724618001E-2</v>
      </c>
      <c r="AF1040" s="243">
        <f t="shared" si="21"/>
        <v>0.35362396713198835</v>
      </c>
      <c r="AG1040" s="275">
        <f t="shared" si="22"/>
        <v>0.52226024691809836</v>
      </c>
      <c r="AH1040" s="391">
        <f t="shared" si="23"/>
        <v>0.5179820909116144</v>
      </c>
      <c r="AI1040" s="135">
        <f t="shared" si="24"/>
        <v>1.0402423378297128</v>
      </c>
    </row>
    <row r="1041" spans="1:35" ht="12.6">
      <c r="A1041" s="10" t="s">
        <v>63</v>
      </c>
      <c r="B1041" s="10">
        <v>310</v>
      </c>
      <c r="C1041" s="10" t="s">
        <v>1515</v>
      </c>
      <c r="D1041" s="388">
        <v>45236</v>
      </c>
      <c r="E1041" s="389">
        <v>45236</v>
      </c>
      <c r="F1041" s="390" t="str">
        <f t="shared" si="20"/>
        <v>Other</v>
      </c>
      <c r="G1041" s="135">
        <v>2.7461416298379501E-2</v>
      </c>
      <c r="H1041" s="135">
        <v>2.59817916427377E-2</v>
      </c>
      <c r="I1041" s="135">
        <v>2.5486616498992101E-2</v>
      </c>
      <c r="J1041" s="135">
        <v>2.49925256423561E-2</v>
      </c>
      <c r="K1041" s="135">
        <v>2.5524711218284198E-2</v>
      </c>
      <c r="L1041" s="135">
        <v>2.73904103889555E-2</v>
      </c>
      <c r="M1041" s="135">
        <v>3.7921757343178202E-2</v>
      </c>
      <c r="N1041" s="135">
        <v>4.2893446772633299E-2</v>
      </c>
      <c r="O1041" s="135">
        <v>4.0317796620390998E-2</v>
      </c>
      <c r="P1041" s="135">
        <v>3.9478177652496498E-2</v>
      </c>
      <c r="Q1041" s="135">
        <v>4.1562998294850599E-2</v>
      </c>
      <c r="R1041" s="135">
        <v>4.2947465511646299E-2</v>
      </c>
      <c r="S1041" s="135">
        <v>4.4862605457097401E-2</v>
      </c>
      <c r="T1041" s="135">
        <v>4.5843808581536402E-2</v>
      </c>
      <c r="U1041" s="135">
        <v>4.4489163191487803E-2</v>
      </c>
      <c r="V1041" s="135">
        <v>4.2673020369751603E-2</v>
      </c>
      <c r="W1041" s="135">
        <v>4.2395132214933497E-2</v>
      </c>
      <c r="X1041" s="135">
        <v>4.8196610085783E-2</v>
      </c>
      <c r="Y1041" s="135">
        <v>5.6199504371839001E-2</v>
      </c>
      <c r="Z1041" s="135">
        <v>6.4613659135555196E-2</v>
      </c>
      <c r="AA1041" s="135">
        <v>6.4950299464656094E-2</v>
      </c>
      <c r="AB1041" s="135">
        <v>5.50007011186305E-2</v>
      </c>
      <c r="AC1041" s="135">
        <v>4.13050236667949E-2</v>
      </c>
      <c r="AD1041" s="135">
        <v>3.14877897221401E-2</v>
      </c>
      <c r="AF1041" s="243">
        <f t="shared" si="21"/>
        <v>0.30477419362130365</v>
      </c>
      <c r="AG1041" s="275">
        <f t="shared" si="22"/>
        <v>0.48781577223662509</v>
      </c>
      <c r="AH1041" s="391">
        <f t="shared" si="23"/>
        <v>0.4961606590284815</v>
      </c>
      <c r="AI1041" s="135">
        <f t="shared" si="24"/>
        <v>0.98397643126510659</v>
      </c>
    </row>
    <row r="1042" spans="1:35" ht="12.6">
      <c r="A1042" s="10" t="s">
        <v>63</v>
      </c>
      <c r="B1042" s="10">
        <v>311</v>
      </c>
      <c r="C1042" s="10" t="s">
        <v>1515</v>
      </c>
      <c r="D1042" s="388">
        <v>45237</v>
      </c>
      <c r="E1042" s="389">
        <v>45237</v>
      </c>
      <c r="F1042" s="390" t="str">
        <f t="shared" si="20"/>
        <v>Other</v>
      </c>
      <c r="G1042" s="135">
        <v>2.7461416298379501E-2</v>
      </c>
      <c r="H1042" s="135">
        <v>2.59817916427377E-2</v>
      </c>
      <c r="I1042" s="135">
        <v>2.5486616498992101E-2</v>
      </c>
      <c r="J1042" s="135">
        <v>2.49925256423561E-2</v>
      </c>
      <c r="K1042" s="135">
        <v>2.5524711218284198E-2</v>
      </c>
      <c r="L1042" s="135">
        <v>2.73904103889555E-2</v>
      </c>
      <c r="M1042" s="135">
        <v>3.7921757343178202E-2</v>
      </c>
      <c r="N1042" s="135">
        <v>4.2893446772633299E-2</v>
      </c>
      <c r="O1042" s="135">
        <v>4.0317796620390998E-2</v>
      </c>
      <c r="P1042" s="135">
        <v>3.9478177652496498E-2</v>
      </c>
      <c r="Q1042" s="135">
        <v>4.1562998294850599E-2</v>
      </c>
      <c r="R1042" s="135">
        <v>4.2947465511646299E-2</v>
      </c>
      <c r="S1042" s="135">
        <v>4.4862605457097401E-2</v>
      </c>
      <c r="T1042" s="135">
        <v>4.5843808581536402E-2</v>
      </c>
      <c r="U1042" s="135">
        <v>4.4489163191487803E-2</v>
      </c>
      <c r="V1042" s="135">
        <v>4.2673020369751603E-2</v>
      </c>
      <c r="W1042" s="135">
        <v>4.2395132214933497E-2</v>
      </c>
      <c r="X1042" s="135">
        <v>4.8196610085783E-2</v>
      </c>
      <c r="Y1042" s="135">
        <v>5.6199504371839001E-2</v>
      </c>
      <c r="Z1042" s="135">
        <v>6.4613659135555196E-2</v>
      </c>
      <c r="AA1042" s="135">
        <v>6.4950299464656094E-2</v>
      </c>
      <c r="AB1042" s="135">
        <v>5.50007011186305E-2</v>
      </c>
      <c r="AC1042" s="135">
        <v>4.13050236667949E-2</v>
      </c>
      <c r="AD1042" s="135">
        <v>3.14877897221401E-2</v>
      </c>
      <c r="AF1042" s="243">
        <f t="shared" si="21"/>
        <v>0.30477419362130365</v>
      </c>
      <c r="AG1042" s="275">
        <f t="shared" si="22"/>
        <v>0.48781577223662509</v>
      </c>
      <c r="AH1042" s="391">
        <f t="shared" si="23"/>
        <v>0.4961606590284815</v>
      </c>
      <c r="AI1042" s="135">
        <f t="shared" si="24"/>
        <v>0.98397643126510659</v>
      </c>
    </row>
    <row r="1043" spans="1:35" ht="12.6">
      <c r="A1043" s="10" t="s">
        <v>63</v>
      </c>
      <c r="B1043" s="10">
        <v>312</v>
      </c>
      <c r="C1043" s="10" t="s">
        <v>1515</v>
      </c>
      <c r="D1043" s="388">
        <v>45238</v>
      </c>
      <c r="E1043" s="389">
        <v>45238</v>
      </c>
      <c r="F1043" s="390" t="str">
        <f t="shared" si="20"/>
        <v>Other</v>
      </c>
      <c r="G1043" s="135">
        <v>2.7461416298379501E-2</v>
      </c>
      <c r="H1043" s="135">
        <v>2.59817916427377E-2</v>
      </c>
      <c r="I1043" s="135">
        <v>2.5486616498992101E-2</v>
      </c>
      <c r="J1043" s="135">
        <v>2.49925256423561E-2</v>
      </c>
      <c r="K1043" s="135">
        <v>2.5524711218284198E-2</v>
      </c>
      <c r="L1043" s="135">
        <v>2.73904103889555E-2</v>
      </c>
      <c r="M1043" s="135">
        <v>3.7921757343178202E-2</v>
      </c>
      <c r="N1043" s="135">
        <v>4.2893446772633299E-2</v>
      </c>
      <c r="O1043" s="135">
        <v>4.0317796620390998E-2</v>
      </c>
      <c r="P1043" s="135">
        <v>3.9478177652496498E-2</v>
      </c>
      <c r="Q1043" s="135">
        <v>4.1562998294850599E-2</v>
      </c>
      <c r="R1043" s="135">
        <v>4.2947465511646299E-2</v>
      </c>
      <c r="S1043" s="135">
        <v>4.4862605457097401E-2</v>
      </c>
      <c r="T1043" s="135">
        <v>4.5843808581536402E-2</v>
      </c>
      <c r="U1043" s="135">
        <v>4.4489163191487803E-2</v>
      </c>
      <c r="V1043" s="135">
        <v>4.2673020369751603E-2</v>
      </c>
      <c r="W1043" s="135">
        <v>4.2395132214933497E-2</v>
      </c>
      <c r="X1043" s="135">
        <v>4.8196610085783E-2</v>
      </c>
      <c r="Y1043" s="135">
        <v>5.6199504371839001E-2</v>
      </c>
      <c r="Z1043" s="135">
        <v>6.4613659135555196E-2</v>
      </c>
      <c r="AA1043" s="135">
        <v>6.4950299464656094E-2</v>
      </c>
      <c r="AB1043" s="135">
        <v>5.50007011186305E-2</v>
      </c>
      <c r="AC1043" s="135">
        <v>4.13050236667949E-2</v>
      </c>
      <c r="AD1043" s="135">
        <v>3.14877897221401E-2</v>
      </c>
      <c r="AF1043" s="243">
        <f t="shared" si="21"/>
        <v>0.30477419362130365</v>
      </c>
      <c r="AG1043" s="275">
        <f t="shared" si="22"/>
        <v>0.48781577223662509</v>
      </c>
      <c r="AH1043" s="391">
        <f t="shared" si="23"/>
        <v>0.4961606590284815</v>
      </c>
      <c r="AI1043" s="135">
        <f t="shared" si="24"/>
        <v>0.98397643126510659</v>
      </c>
    </row>
    <row r="1044" spans="1:35" ht="12.6">
      <c r="A1044" s="10" t="s">
        <v>63</v>
      </c>
      <c r="B1044" s="10">
        <v>313</v>
      </c>
      <c r="C1044" s="10" t="s">
        <v>1515</v>
      </c>
      <c r="D1044" s="388">
        <v>45239</v>
      </c>
      <c r="E1044" s="389">
        <v>45239</v>
      </c>
      <c r="F1044" s="390" t="str">
        <f t="shared" si="20"/>
        <v>Other</v>
      </c>
      <c r="G1044" s="135">
        <v>2.7461416298379501E-2</v>
      </c>
      <c r="H1044" s="135">
        <v>2.59817916427377E-2</v>
      </c>
      <c r="I1044" s="135">
        <v>2.5486616498992101E-2</v>
      </c>
      <c r="J1044" s="135">
        <v>2.49925256423561E-2</v>
      </c>
      <c r="K1044" s="135">
        <v>2.5524711218284198E-2</v>
      </c>
      <c r="L1044" s="135">
        <v>2.73904103889555E-2</v>
      </c>
      <c r="M1044" s="135">
        <v>3.7921757343178202E-2</v>
      </c>
      <c r="N1044" s="135">
        <v>4.2893446772633299E-2</v>
      </c>
      <c r="O1044" s="135">
        <v>4.0317796620390998E-2</v>
      </c>
      <c r="P1044" s="135">
        <v>3.9478177652496498E-2</v>
      </c>
      <c r="Q1044" s="135">
        <v>4.1562998294850599E-2</v>
      </c>
      <c r="R1044" s="135">
        <v>4.2947465511646299E-2</v>
      </c>
      <c r="S1044" s="135">
        <v>4.4862605457097401E-2</v>
      </c>
      <c r="T1044" s="135">
        <v>4.5843808581536402E-2</v>
      </c>
      <c r="U1044" s="135">
        <v>4.4489163191487803E-2</v>
      </c>
      <c r="V1044" s="135">
        <v>4.2673020369751603E-2</v>
      </c>
      <c r="W1044" s="135">
        <v>4.2395132214933497E-2</v>
      </c>
      <c r="X1044" s="135">
        <v>4.8196610085783E-2</v>
      </c>
      <c r="Y1044" s="135">
        <v>5.6199504371839001E-2</v>
      </c>
      <c r="Z1044" s="135">
        <v>6.4613659135555196E-2</v>
      </c>
      <c r="AA1044" s="135">
        <v>6.4950299464656094E-2</v>
      </c>
      <c r="AB1044" s="135">
        <v>5.50007011186305E-2</v>
      </c>
      <c r="AC1044" s="135">
        <v>4.13050236667949E-2</v>
      </c>
      <c r="AD1044" s="135">
        <v>3.14877897221401E-2</v>
      </c>
      <c r="AF1044" s="243">
        <f t="shared" si="21"/>
        <v>0.30477419362130365</v>
      </c>
      <c r="AG1044" s="275">
        <f t="shared" si="22"/>
        <v>0.48781577223662509</v>
      </c>
      <c r="AH1044" s="391">
        <f t="shared" si="23"/>
        <v>0.4961606590284815</v>
      </c>
      <c r="AI1044" s="135">
        <f t="shared" si="24"/>
        <v>0.98397643126510659</v>
      </c>
    </row>
    <row r="1045" spans="1:35" ht="12.6">
      <c r="A1045" s="10" t="s">
        <v>63</v>
      </c>
      <c r="B1045" s="10">
        <v>314</v>
      </c>
      <c r="C1045" s="10" t="s">
        <v>1515</v>
      </c>
      <c r="D1045" s="388">
        <v>45240</v>
      </c>
      <c r="E1045" s="389">
        <v>45240</v>
      </c>
      <c r="F1045" s="390" t="str">
        <f t="shared" si="20"/>
        <v>Other</v>
      </c>
      <c r="G1045" s="135">
        <v>2.7461416298379501E-2</v>
      </c>
      <c r="H1045" s="135">
        <v>2.59817916427377E-2</v>
      </c>
      <c r="I1045" s="135">
        <v>2.5486616498992101E-2</v>
      </c>
      <c r="J1045" s="135">
        <v>2.49925256423561E-2</v>
      </c>
      <c r="K1045" s="135">
        <v>2.5524711218284198E-2</v>
      </c>
      <c r="L1045" s="135">
        <v>2.73904103889555E-2</v>
      </c>
      <c r="M1045" s="135">
        <v>3.7921757343178202E-2</v>
      </c>
      <c r="N1045" s="135">
        <v>4.2893446772633299E-2</v>
      </c>
      <c r="O1045" s="135">
        <v>4.0317796620390998E-2</v>
      </c>
      <c r="P1045" s="135">
        <v>3.9478177652496498E-2</v>
      </c>
      <c r="Q1045" s="135">
        <v>4.1562998294850599E-2</v>
      </c>
      <c r="R1045" s="135">
        <v>4.2947465511646299E-2</v>
      </c>
      <c r="S1045" s="135">
        <v>4.4862605457097401E-2</v>
      </c>
      <c r="T1045" s="135">
        <v>4.5843808581536402E-2</v>
      </c>
      <c r="U1045" s="135">
        <v>4.4489163191487803E-2</v>
      </c>
      <c r="V1045" s="135">
        <v>4.2673020369751603E-2</v>
      </c>
      <c r="W1045" s="135">
        <v>4.2395132214933497E-2</v>
      </c>
      <c r="X1045" s="135">
        <v>4.8196610085783E-2</v>
      </c>
      <c r="Y1045" s="135">
        <v>5.6199504371839001E-2</v>
      </c>
      <c r="Z1045" s="135">
        <v>6.4613659135555196E-2</v>
      </c>
      <c r="AA1045" s="135">
        <v>6.4950299464656094E-2</v>
      </c>
      <c r="AB1045" s="135">
        <v>5.50007011186305E-2</v>
      </c>
      <c r="AC1045" s="135">
        <v>4.13050236667949E-2</v>
      </c>
      <c r="AD1045" s="135">
        <v>3.14877897221401E-2</v>
      </c>
      <c r="AF1045" s="243">
        <f t="shared" si="21"/>
        <v>0.30477419362130365</v>
      </c>
      <c r="AG1045" s="275">
        <f t="shared" si="22"/>
        <v>0.48781577223662509</v>
      </c>
      <c r="AH1045" s="391">
        <f t="shared" si="23"/>
        <v>0.4961606590284815</v>
      </c>
      <c r="AI1045" s="135">
        <f t="shared" si="24"/>
        <v>0.98397643126510659</v>
      </c>
    </row>
    <row r="1046" spans="1:35" ht="12.6">
      <c r="A1046" s="10" t="s">
        <v>63</v>
      </c>
      <c r="B1046" s="10">
        <v>315</v>
      </c>
      <c r="C1046" s="10" t="s">
        <v>1515</v>
      </c>
      <c r="D1046" s="388">
        <v>45241</v>
      </c>
      <c r="E1046" s="389">
        <v>45241</v>
      </c>
      <c r="F1046" s="390" t="str">
        <f t="shared" si="20"/>
        <v>Other</v>
      </c>
      <c r="G1046" s="135">
        <v>3.0131338339630699E-2</v>
      </c>
      <c r="H1046" s="135">
        <v>2.6410819320413299E-2</v>
      </c>
      <c r="I1046" s="135">
        <v>2.5136055432186399E-2</v>
      </c>
      <c r="J1046" s="135">
        <v>2.4529545065448102E-2</v>
      </c>
      <c r="K1046" s="135">
        <v>2.5221946107423E-2</v>
      </c>
      <c r="L1046" s="135">
        <v>2.6564070267563099E-2</v>
      </c>
      <c r="M1046" s="135">
        <v>3.2872190317752799E-2</v>
      </c>
      <c r="N1046" s="135">
        <v>4.2324309975772301E-2</v>
      </c>
      <c r="O1046" s="135">
        <v>4.14663838977141E-2</v>
      </c>
      <c r="P1046" s="135">
        <v>4.34798560122251E-2</v>
      </c>
      <c r="Q1046" s="135">
        <v>4.7324490082932699E-2</v>
      </c>
      <c r="R1046" s="135">
        <v>4.9828625181992298E-2</v>
      </c>
      <c r="S1046" s="135">
        <v>4.9605494107248002E-2</v>
      </c>
      <c r="T1046" s="135">
        <v>5.0983369720472398E-2</v>
      </c>
      <c r="U1046" s="135">
        <v>5.19831141230018E-2</v>
      </c>
      <c r="V1046" s="135">
        <v>5.24576200462748E-2</v>
      </c>
      <c r="W1046" s="135">
        <v>5.1441253870066303E-2</v>
      </c>
      <c r="X1046" s="135">
        <v>5.3034988802493001E-2</v>
      </c>
      <c r="Y1046" s="135">
        <v>5.86267608479508E-2</v>
      </c>
      <c r="Z1046" s="135">
        <v>6.4340363281778307E-2</v>
      </c>
      <c r="AA1046" s="135">
        <v>6.3432368544790493E-2</v>
      </c>
      <c r="AB1046" s="135">
        <v>5.4123944283965303E-2</v>
      </c>
      <c r="AC1046" s="135">
        <v>4.1312537475999798E-2</v>
      </c>
      <c r="AD1046" s="135">
        <v>3.3610892724618001E-2</v>
      </c>
      <c r="AF1046" s="243">
        <f t="shared" si="21"/>
        <v>0.35362396713198835</v>
      </c>
      <c r="AG1046" s="275">
        <f t="shared" si="22"/>
        <v>0.52226024691809836</v>
      </c>
      <c r="AH1046" s="391">
        <f t="shared" si="23"/>
        <v>0.5179820909116144</v>
      </c>
      <c r="AI1046" s="135">
        <f t="shared" si="24"/>
        <v>1.0402423378297128</v>
      </c>
    </row>
    <row r="1047" spans="1:35" ht="12.6">
      <c r="A1047" s="10" t="s">
        <v>63</v>
      </c>
      <c r="B1047" s="10">
        <v>316</v>
      </c>
      <c r="C1047" s="10" t="s">
        <v>1515</v>
      </c>
      <c r="D1047" s="388">
        <v>45242</v>
      </c>
      <c r="E1047" s="389">
        <v>45242</v>
      </c>
      <c r="F1047" s="390" t="str">
        <f t="shared" si="20"/>
        <v>Other</v>
      </c>
      <c r="G1047" s="135">
        <v>3.0131338339630699E-2</v>
      </c>
      <c r="H1047" s="135">
        <v>2.6410819320413299E-2</v>
      </c>
      <c r="I1047" s="135">
        <v>2.5136055432186399E-2</v>
      </c>
      <c r="J1047" s="135">
        <v>2.4529545065448102E-2</v>
      </c>
      <c r="K1047" s="135">
        <v>2.5221946107423E-2</v>
      </c>
      <c r="L1047" s="135">
        <v>2.6564070267563099E-2</v>
      </c>
      <c r="M1047" s="135">
        <v>3.2872190317752799E-2</v>
      </c>
      <c r="N1047" s="135">
        <v>4.2324309975772301E-2</v>
      </c>
      <c r="O1047" s="135">
        <v>4.14663838977141E-2</v>
      </c>
      <c r="P1047" s="135">
        <v>4.34798560122251E-2</v>
      </c>
      <c r="Q1047" s="135">
        <v>4.7324490082932699E-2</v>
      </c>
      <c r="R1047" s="135">
        <v>4.9828625181992298E-2</v>
      </c>
      <c r="S1047" s="135">
        <v>4.9605494107248002E-2</v>
      </c>
      <c r="T1047" s="135">
        <v>5.0983369720472398E-2</v>
      </c>
      <c r="U1047" s="135">
        <v>5.19831141230018E-2</v>
      </c>
      <c r="V1047" s="135">
        <v>5.24576200462748E-2</v>
      </c>
      <c r="W1047" s="135">
        <v>5.1441253870066303E-2</v>
      </c>
      <c r="X1047" s="135">
        <v>5.3034988802493001E-2</v>
      </c>
      <c r="Y1047" s="135">
        <v>5.86267608479508E-2</v>
      </c>
      <c r="Z1047" s="135">
        <v>6.4340363281778307E-2</v>
      </c>
      <c r="AA1047" s="135">
        <v>6.3432368544790493E-2</v>
      </c>
      <c r="AB1047" s="135">
        <v>5.4123944283965303E-2</v>
      </c>
      <c r="AC1047" s="135">
        <v>4.1312537475999798E-2</v>
      </c>
      <c r="AD1047" s="135">
        <v>3.3610892724618001E-2</v>
      </c>
      <c r="AF1047" s="243">
        <f t="shared" si="21"/>
        <v>0.35362396713198835</v>
      </c>
      <c r="AG1047" s="275">
        <f t="shared" si="22"/>
        <v>0.52226024691809836</v>
      </c>
      <c r="AH1047" s="391">
        <f t="shared" si="23"/>
        <v>0.5179820909116144</v>
      </c>
      <c r="AI1047" s="135">
        <f t="shared" si="24"/>
        <v>1.0402423378297128</v>
      </c>
    </row>
    <row r="1048" spans="1:35" ht="12.6">
      <c r="A1048" s="10" t="s">
        <v>63</v>
      </c>
      <c r="B1048" s="10">
        <v>317</v>
      </c>
      <c r="C1048" s="10" t="s">
        <v>1515</v>
      </c>
      <c r="D1048" s="388">
        <v>45243</v>
      </c>
      <c r="E1048" s="389">
        <v>45243</v>
      </c>
      <c r="F1048" s="390" t="str">
        <f t="shared" si="20"/>
        <v>Other</v>
      </c>
      <c r="G1048" s="135">
        <v>2.7461416298379501E-2</v>
      </c>
      <c r="H1048" s="135">
        <v>2.59817916427377E-2</v>
      </c>
      <c r="I1048" s="135">
        <v>2.5486616498992101E-2</v>
      </c>
      <c r="J1048" s="135">
        <v>2.49925256423561E-2</v>
      </c>
      <c r="K1048" s="135">
        <v>2.5524711218284198E-2</v>
      </c>
      <c r="L1048" s="135">
        <v>2.73904103889555E-2</v>
      </c>
      <c r="M1048" s="135">
        <v>3.7921757343178202E-2</v>
      </c>
      <c r="N1048" s="135">
        <v>4.2893446772633299E-2</v>
      </c>
      <c r="O1048" s="135">
        <v>4.0317796620390998E-2</v>
      </c>
      <c r="P1048" s="135">
        <v>3.9478177652496498E-2</v>
      </c>
      <c r="Q1048" s="135">
        <v>4.1562998294850599E-2</v>
      </c>
      <c r="R1048" s="135">
        <v>4.2947465511646299E-2</v>
      </c>
      <c r="S1048" s="135">
        <v>4.4862605457097401E-2</v>
      </c>
      <c r="T1048" s="135">
        <v>4.5843808581536402E-2</v>
      </c>
      <c r="U1048" s="135">
        <v>4.4489163191487803E-2</v>
      </c>
      <c r="V1048" s="135">
        <v>4.2673020369751603E-2</v>
      </c>
      <c r="W1048" s="135">
        <v>4.2395132214933497E-2</v>
      </c>
      <c r="X1048" s="135">
        <v>4.8196610085783E-2</v>
      </c>
      <c r="Y1048" s="135">
        <v>5.6199504371839001E-2</v>
      </c>
      <c r="Z1048" s="135">
        <v>6.4613659135555196E-2</v>
      </c>
      <c r="AA1048" s="135">
        <v>6.4950299464656094E-2</v>
      </c>
      <c r="AB1048" s="135">
        <v>5.50007011186305E-2</v>
      </c>
      <c r="AC1048" s="135">
        <v>4.13050236667949E-2</v>
      </c>
      <c r="AD1048" s="135">
        <v>3.14877897221401E-2</v>
      </c>
      <c r="AF1048" s="243">
        <f t="shared" si="21"/>
        <v>0.30477419362130365</v>
      </c>
      <c r="AG1048" s="275">
        <f t="shared" si="22"/>
        <v>0.48781577223662509</v>
      </c>
      <c r="AH1048" s="391">
        <f t="shared" si="23"/>
        <v>0.4961606590284815</v>
      </c>
      <c r="AI1048" s="135">
        <f t="shared" si="24"/>
        <v>0.98397643126510659</v>
      </c>
    </row>
    <row r="1049" spans="1:35" ht="12.6">
      <c r="A1049" s="10" t="s">
        <v>63</v>
      </c>
      <c r="B1049" s="10">
        <v>318</v>
      </c>
      <c r="C1049" s="10" t="s">
        <v>1515</v>
      </c>
      <c r="D1049" s="388">
        <v>45244</v>
      </c>
      <c r="E1049" s="389">
        <v>45244</v>
      </c>
      <c r="F1049" s="390" t="str">
        <f t="shared" si="20"/>
        <v>Other</v>
      </c>
      <c r="G1049" s="135">
        <v>2.7461416298379501E-2</v>
      </c>
      <c r="H1049" s="135">
        <v>2.59817916427377E-2</v>
      </c>
      <c r="I1049" s="135">
        <v>2.5486616498992101E-2</v>
      </c>
      <c r="J1049" s="135">
        <v>2.49925256423561E-2</v>
      </c>
      <c r="K1049" s="135">
        <v>2.5524711218284198E-2</v>
      </c>
      <c r="L1049" s="135">
        <v>2.73904103889555E-2</v>
      </c>
      <c r="M1049" s="135">
        <v>3.7921757343178202E-2</v>
      </c>
      <c r="N1049" s="135">
        <v>4.2893446772633299E-2</v>
      </c>
      <c r="O1049" s="135">
        <v>4.0317796620390998E-2</v>
      </c>
      <c r="P1049" s="135">
        <v>3.9478177652496498E-2</v>
      </c>
      <c r="Q1049" s="135">
        <v>4.1562998294850599E-2</v>
      </c>
      <c r="R1049" s="135">
        <v>4.2947465511646299E-2</v>
      </c>
      <c r="S1049" s="135">
        <v>4.4862605457097401E-2</v>
      </c>
      <c r="T1049" s="135">
        <v>4.5843808581536402E-2</v>
      </c>
      <c r="U1049" s="135">
        <v>4.4489163191487803E-2</v>
      </c>
      <c r="V1049" s="135">
        <v>4.2673020369751603E-2</v>
      </c>
      <c r="W1049" s="135">
        <v>4.2395132214933497E-2</v>
      </c>
      <c r="X1049" s="135">
        <v>4.8196610085783E-2</v>
      </c>
      <c r="Y1049" s="135">
        <v>5.6199504371839001E-2</v>
      </c>
      <c r="Z1049" s="135">
        <v>6.4613659135555196E-2</v>
      </c>
      <c r="AA1049" s="135">
        <v>6.4950299464656094E-2</v>
      </c>
      <c r="AB1049" s="135">
        <v>5.50007011186305E-2</v>
      </c>
      <c r="AC1049" s="135">
        <v>4.13050236667949E-2</v>
      </c>
      <c r="AD1049" s="135">
        <v>3.14877897221401E-2</v>
      </c>
      <c r="AF1049" s="243">
        <f t="shared" si="21"/>
        <v>0.30477419362130365</v>
      </c>
      <c r="AG1049" s="275">
        <f t="shared" si="22"/>
        <v>0.48781577223662509</v>
      </c>
      <c r="AH1049" s="391">
        <f t="shared" si="23"/>
        <v>0.4961606590284815</v>
      </c>
      <c r="AI1049" s="135">
        <f t="shared" si="24"/>
        <v>0.98397643126510659</v>
      </c>
    </row>
    <row r="1050" spans="1:35" ht="12.6">
      <c r="A1050" s="10" t="s">
        <v>63</v>
      </c>
      <c r="B1050" s="10">
        <v>319</v>
      </c>
      <c r="C1050" s="10" t="s">
        <v>1515</v>
      </c>
      <c r="D1050" s="388">
        <v>45245</v>
      </c>
      <c r="E1050" s="389">
        <v>45245</v>
      </c>
      <c r="F1050" s="390" t="str">
        <f t="shared" si="20"/>
        <v>Other</v>
      </c>
      <c r="G1050" s="135">
        <v>2.7461416298379501E-2</v>
      </c>
      <c r="H1050" s="135">
        <v>2.59817916427377E-2</v>
      </c>
      <c r="I1050" s="135">
        <v>2.5486616498992101E-2</v>
      </c>
      <c r="J1050" s="135">
        <v>2.49925256423561E-2</v>
      </c>
      <c r="K1050" s="135">
        <v>2.5524711218284198E-2</v>
      </c>
      <c r="L1050" s="135">
        <v>2.73904103889555E-2</v>
      </c>
      <c r="M1050" s="135">
        <v>3.7921757343178202E-2</v>
      </c>
      <c r="N1050" s="135">
        <v>4.2893446772633299E-2</v>
      </c>
      <c r="O1050" s="135">
        <v>4.0317796620390998E-2</v>
      </c>
      <c r="P1050" s="135">
        <v>3.9478177652496498E-2</v>
      </c>
      <c r="Q1050" s="135">
        <v>4.1562998294850599E-2</v>
      </c>
      <c r="R1050" s="135">
        <v>4.2947465511646299E-2</v>
      </c>
      <c r="S1050" s="135">
        <v>4.4862605457097401E-2</v>
      </c>
      <c r="T1050" s="135">
        <v>4.5843808581536402E-2</v>
      </c>
      <c r="U1050" s="135">
        <v>4.4489163191487803E-2</v>
      </c>
      <c r="V1050" s="135">
        <v>4.2673020369751603E-2</v>
      </c>
      <c r="W1050" s="135">
        <v>4.2395132214933497E-2</v>
      </c>
      <c r="X1050" s="135">
        <v>4.8196610085783E-2</v>
      </c>
      <c r="Y1050" s="135">
        <v>5.6199504371839001E-2</v>
      </c>
      <c r="Z1050" s="135">
        <v>6.4613659135555196E-2</v>
      </c>
      <c r="AA1050" s="135">
        <v>6.4950299464656094E-2</v>
      </c>
      <c r="AB1050" s="135">
        <v>5.50007011186305E-2</v>
      </c>
      <c r="AC1050" s="135">
        <v>4.13050236667949E-2</v>
      </c>
      <c r="AD1050" s="135">
        <v>3.14877897221401E-2</v>
      </c>
      <c r="AF1050" s="243">
        <f t="shared" si="21"/>
        <v>0.30477419362130365</v>
      </c>
      <c r="AG1050" s="275">
        <f t="shared" si="22"/>
        <v>0.48781577223662509</v>
      </c>
      <c r="AH1050" s="391">
        <f t="shared" si="23"/>
        <v>0.4961606590284815</v>
      </c>
      <c r="AI1050" s="135">
        <f t="shared" si="24"/>
        <v>0.98397643126510659</v>
      </c>
    </row>
    <row r="1051" spans="1:35" ht="12.6">
      <c r="A1051" s="10" t="s">
        <v>63</v>
      </c>
      <c r="B1051" s="10">
        <v>320</v>
      </c>
      <c r="C1051" s="10" t="s">
        <v>1515</v>
      </c>
      <c r="D1051" s="388">
        <v>45246</v>
      </c>
      <c r="E1051" s="389">
        <v>45246</v>
      </c>
      <c r="F1051" s="390" t="str">
        <f t="shared" si="20"/>
        <v>Other</v>
      </c>
      <c r="G1051" s="135">
        <v>2.7461416298379501E-2</v>
      </c>
      <c r="H1051" s="135">
        <v>2.59817916427377E-2</v>
      </c>
      <c r="I1051" s="135">
        <v>2.5486616498992101E-2</v>
      </c>
      <c r="J1051" s="135">
        <v>2.49925256423561E-2</v>
      </c>
      <c r="K1051" s="135">
        <v>2.5524711218284198E-2</v>
      </c>
      <c r="L1051" s="135">
        <v>2.73904103889555E-2</v>
      </c>
      <c r="M1051" s="135">
        <v>3.7921757343178202E-2</v>
      </c>
      <c r="N1051" s="135">
        <v>4.2893446772633299E-2</v>
      </c>
      <c r="O1051" s="135">
        <v>4.0317796620390998E-2</v>
      </c>
      <c r="P1051" s="135">
        <v>3.9478177652496498E-2</v>
      </c>
      <c r="Q1051" s="135">
        <v>4.1562998294850599E-2</v>
      </c>
      <c r="R1051" s="135">
        <v>4.2947465511646299E-2</v>
      </c>
      <c r="S1051" s="135">
        <v>4.4862605457097401E-2</v>
      </c>
      <c r="T1051" s="135">
        <v>4.5843808581536402E-2</v>
      </c>
      <c r="U1051" s="135">
        <v>4.4489163191487803E-2</v>
      </c>
      <c r="V1051" s="135">
        <v>4.2673020369751603E-2</v>
      </c>
      <c r="W1051" s="135">
        <v>4.2395132214933497E-2</v>
      </c>
      <c r="X1051" s="135">
        <v>4.8196610085783E-2</v>
      </c>
      <c r="Y1051" s="135">
        <v>5.6199504371839001E-2</v>
      </c>
      <c r="Z1051" s="135">
        <v>6.4613659135555196E-2</v>
      </c>
      <c r="AA1051" s="135">
        <v>6.4950299464656094E-2</v>
      </c>
      <c r="AB1051" s="135">
        <v>5.50007011186305E-2</v>
      </c>
      <c r="AC1051" s="135">
        <v>4.13050236667949E-2</v>
      </c>
      <c r="AD1051" s="135">
        <v>3.14877897221401E-2</v>
      </c>
      <c r="AF1051" s="243">
        <f t="shared" si="21"/>
        <v>0.30477419362130365</v>
      </c>
      <c r="AG1051" s="275">
        <f t="shared" si="22"/>
        <v>0.48781577223662509</v>
      </c>
      <c r="AH1051" s="391">
        <f t="shared" si="23"/>
        <v>0.4961606590284815</v>
      </c>
      <c r="AI1051" s="135">
        <f t="shared" si="24"/>
        <v>0.98397643126510659</v>
      </c>
    </row>
    <row r="1052" spans="1:35" ht="12.6">
      <c r="A1052" s="10" t="s">
        <v>63</v>
      </c>
      <c r="B1052" s="10">
        <v>321</v>
      </c>
      <c r="C1052" s="10" t="s">
        <v>1515</v>
      </c>
      <c r="D1052" s="388">
        <v>45247</v>
      </c>
      <c r="E1052" s="389">
        <v>45247</v>
      </c>
      <c r="F1052" s="390" t="str">
        <f t="shared" si="20"/>
        <v>Other</v>
      </c>
      <c r="G1052" s="135">
        <v>2.7461416298379501E-2</v>
      </c>
      <c r="H1052" s="135">
        <v>2.59817916427377E-2</v>
      </c>
      <c r="I1052" s="135">
        <v>2.5486616498992101E-2</v>
      </c>
      <c r="J1052" s="135">
        <v>2.49925256423561E-2</v>
      </c>
      <c r="K1052" s="135">
        <v>2.5524711218284198E-2</v>
      </c>
      <c r="L1052" s="135">
        <v>2.73904103889555E-2</v>
      </c>
      <c r="M1052" s="135">
        <v>3.7921757343178202E-2</v>
      </c>
      <c r="N1052" s="135">
        <v>4.2893446772633299E-2</v>
      </c>
      <c r="O1052" s="135">
        <v>4.0317796620390998E-2</v>
      </c>
      <c r="P1052" s="135">
        <v>3.9478177652496498E-2</v>
      </c>
      <c r="Q1052" s="135">
        <v>4.1562998294850599E-2</v>
      </c>
      <c r="R1052" s="135">
        <v>4.2947465511646299E-2</v>
      </c>
      <c r="S1052" s="135">
        <v>4.4862605457097401E-2</v>
      </c>
      <c r="T1052" s="135">
        <v>4.5843808581536402E-2</v>
      </c>
      <c r="U1052" s="135">
        <v>4.4489163191487803E-2</v>
      </c>
      <c r="V1052" s="135">
        <v>4.2673020369751603E-2</v>
      </c>
      <c r="W1052" s="135">
        <v>4.2395132214933497E-2</v>
      </c>
      <c r="X1052" s="135">
        <v>4.8196610085783E-2</v>
      </c>
      <c r="Y1052" s="135">
        <v>5.6199504371839001E-2</v>
      </c>
      <c r="Z1052" s="135">
        <v>6.4613659135555196E-2</v>
      </c>
      <c r="AA1052" s="135">
        <v>6.4950299464656094E-2</v>
      </c>
      <c r="AB1052" s="135">
        <v>5.50007011186305E-2</v>
      </c>
      <c r="AC1052" s="135">
        <v>4.13050236667949E-2</v>
      </c>
      <c r="AD1052" s="135">
        <v>3.14877897221401E-2</v>
      </c>
      <c r="AF1052" s="243">
        <f t="shared" si="21"/>
        <v>0.30477419362130365</v>
      </c>
      <c r="AG1052" s="275">
        <f t="shared" si="22"/>
        <v>0.48781577223662509</v>
      </c>
      <c r="AH1052" s="391">
        <f t="shared" si="23"/>
        <v>0.4961606590284815</v>
      </c>
      <c r="AI1052" s="135">
        <f t="shared" si="24"/>
        <v>0.98397643126510659</v>
      </c>
    </row>
    <row r="1053" spans="1:35" ht="12.6">
      <c r="A1053" s="10" t="s">
        <v>63</v>
      </c>
      <c r="B1053" s="10">
        <v>322</v>
      </c>
      <c r="C1053" s="10" t="s">
        <v>1515</v>
      </c>
      <c r="D1053" s="388">
        <v>45248</v>
      </c>
      <c r="E1053" s="389">
        <v>45248</v>
      </c>
      <c r="F1053" s="390" t="str">
        <f t="shared" si="20"/>
        <v>Other</v>
      </c>
      <c r="G1053" s="135">
        <v>3.0131338339630699E-2</v>
      </c>
      <c r="H1053" s="135">
        <v>2.6410819320413299E-2</v>
      </c>
      <c r="I1053" s="135">
        <v>2.5136055432186399E-2</v>
      </c>
      <c r="J1053" s="135">
        <v>2.4529545065448102E-2</v>
      </c>
      <c r="K1053" s="135">
        <v>2.5221946107423E-2</v>
      </c>
      <c r="L1053" s="135">
        <v>2.6564070267563099E-2</v>
      </c>
      <c r="M1053" s="135">
        <v>3.2872190317752799E-2</v>
      </c>
      <c r="N1053" s="135">
        <v>4.2324309975772301E-2</v>
      </c>
      <c r="O1053" s="135">
        <v>4.14663838977141E-2</v>
      </c>
      <c r="P1053" s="135">
        <v>4.34798560122251E-2</v>
      </c>
      <c r="Q1053" s="135">
        <v>4.7324490082932699E-2</v>
      </c>
      <c r="R1053" s="135">
        <v>4.9828625181992298E-2</v>
      </c>
      <c r="S1053" s="135">
        <v>4.9605494107248002E-2</v>
      </c>
      <c r="T1053" s="135">
        <v>5.0983369720472398E-2</v>
      </c>
      <c r="U1053" s="135">
        <v>5.19831141230018E-2</v>
      </c>
      <c r="V1053" s="135">
        <v>5.24576200462748E-2</v>
      </c>
      <c r="W1053" s="135">
        <v>5.1441253870066303E-2</v>
      </c>
      <c r="X1053" s="135">
        <v>5.3034988802493001E-2</v>
      </c>
      <c r="Y1053" s="135">
        <v>5.86267608479508E-2</v>
      </c>
      <c r="Z1053" s="135">
        <v>6.4340363281778307E-2</v>
      </c>
      <c r="AA1053" s="135">
        <v>6.3432368544790493E-2</v>
      </c>
      <c r="AB1053" s="135">
        <v>5.4123944283965303E-2</v>
      </c>
      <c r="AC1053" s="135">
        <v>4.1312537475999798E-2</v>
      </c>
      <c r="AD1053" s="135">
        <v>3.3610892724618001E-2</v>
      </c>
      <c r="AF1053" s="243">
        <f t="shared" si="21"/>
        <v>0.35362396713198835</v>
      </c>
      <c r="AG1053" s="275">
        <f t="shared" si="22"/>
        <v>0.52226024691809836</v>
      </c>
      <c r="AH1053" s="391">
        <f t="shared" si="23"/>
        <v>0.5179820909116144</v>
      </c>
      <c r="AI1053" s="135">
        <f t="shared" si="24"/>
        <v>1.0402423378297128</v>
      </c>
    </row>
    <row r="1054" spans="1:35" ht="12.6">
      <c r="A1054" s="10" t="s">
        <v>63</v>
      </c>
      <c r="B1054" s="10">
        <v>323</v>
      </c>
      <c r="C1054" s="10" t="s">
        <v>1515</v>
      </c>
      <c r="D1054" s="388">
        <v>45249</v>
      </c>
      <c r="E1054" s="389">
        <v>45249</v>
      </c>
      <c r="F1054" s="390" t="str">
        <f t="shared" si="20"/>
        <v>Other</v>
      </c>
      <c r="G1054" s="135">
        <v>3.0131338339630699E-2</v>
      </c>
      <c r="H1054" s="135">
        <v>2.6410819320413299E-2</v>
      </c>
      <c r="I1054" s="135">
        <v>2.5136055432186399E-2</v>
      </c>
      <c r="J1054" s="135">
        <v>2.4529545065448102E-2</v>
      </c>
      <c r="K1054" s="135">
        <v>2.5221946107423E-2</v>
      </c>
      <c r="L1054" s="135">
        <v>2.6564070267563099E-2</v>
      </c>
      <c r="M1054" s="135">
        <v>3.2872190317752799E-2</v>
      </c>
      <c r="N1054" s="135">
        <v>4.2324309975772301E-2</v>
      </c>
      <c r="O1054" s="135">
        <v>4.14663838977141E-2</v>
      </c>
      <c r="P1054" s="135">
        <v>4.34798560122251E-2</v>
      </c>
      <c r="Q1054" s="135">
        <v>4.7324490082932699E-2</v>
      </c>
      <c r="R1054" s="135">
        <v>4.9828625181992298E-2</v>
      </c>
      <c r="S1054" s="135">
        <v>4.9605494107248002E-2</v>
      </c>
      <c r="T1054" s="135">
        <v>5.0983369720472398E-2</v>
      </c>
      <c r="U1054" s="135">
        <v>5.19831141230018E-2</v>
      </c>
      <c r="V1054" s="135">
        <v>5.24576200462748E-2</v>
      </c>
      <c r="W1054" s="135">
        <v>5.1441253870066303E-2</v>
      </c>
      <c r="X1054" s="135">
        <v>5.3034988802493001E-2</v>
      </c>
      <c r="Y1054" s="135">
        <v>5.86267608479508E-2</v>
      </c>
      <c r="Z1054" s="135">
        <v>6.4340363281778307E-2</v>
      </c>
      <c r="AA1054" s="135">
        <v>6.3432368544790493E-2</v>
      </c>
      <c r="AB1054" s="135">
        <v>5.4123944283965303E-2</v>
      </c>
      <c r="AC1054" s="135">
        <v>4.1312537475999798E-2</v>
      </c>
      <c r="AD1054" s="135">
        <v>3.3610892724618001E-2</v>
      </c>
      <c r="AF1054" s="243">
        <f t="shared" si="21"/>
        <v>0.35362396713198835</v>
      </c>
      <c r="AG1054" s="275">
        <f t="shared" si="22"/>
        <v>0.52226024691809836</v>
      </c>
      <c r="AH1054" s="391">
        <f t="shared" si="23"/>
        <v>0.5179820909116144</v>
      </c>
      <c r="AI1054" s="135">
        <f t="shared" si="24"/>
        <v>1.0402423378297128</v>
      </c>
    </row>
    <row r="1055" spans="1:35" ht="12.6">
      <c r="A1055" s="10" t="s">
        <v>63</v>
      </c>
      <c r="B1055" s="10">
        <v>324</v>
      </c>
      <c r="C1055" s="10" t="s">
        <v>1515</v>
      </c>
      <c r="D1055" s="388">
        <v>45250</v>
      </c>
      <c r="E1055" s="389">
        <v>45250</v>
      </c>
      <c r="F1055" s="390" t="str">
        <f t="shared" si="20"/>
        <v>Other</v>
      </c>
      <c r="G1055" s="135">
        <v>2.7461416298379501E-2</v>
      </c>
      <c r="H1055" s="135">
        <v>2.59817916427377E-2</v>
      </c>
      <c r="I1055" s="135">
        <v>2.5486616498992101E-2</v>
      </c>
      <c r="J1055" s="135">
        <v>2.49925256423561E-2</v>
      </c>
      <c r="K1055" s="135">
        <v>2.5524711218284198E-2</v>
      </c>
      <c r="L1055" s="135">
        <v>2.73904103889555E-2</v>
      </c>
      <c r="M1055" s="135">
        <v>3.7921757343178202E-2</v>
      </c>
      <c r="N1055" s="135">
        <v>4.2893446772633299E-2</v>
      </c>
      <c r="O1055" s="135">
        <v>4.0317796620390998E-2</v>
      </c>
      <c r="P1055" s="135">
        <v>3.9478177652496498E-2</v>
      </c>
      <c r="Q1055" s="135">
        <v>4.1562998294850599E-2</v>
      </c>
      <c r="R1055" s="135">
        <v>4.2947465511646299E-2</v>
      </c>
      <c r="S1055" s="135">
        <v>4.4862605457097401E-2</v>
      </c>
      <c r="T1055" s="135">
        <v>4.5843808581536402E-2</v>
      </c>
      <c r="U1055" s="135">
        <v>4.4489163191487803E-2</v>
      </c>
      <c r="V1055" s="135">
        <v>4.2673020369751603E-2</v>
      </c>
      <c r="W1055" s="135">
        <v>4.2395132214933497E-2</v>
      </c>
      <c r="X1055" s="135">
        <v>4.8196610085783E-2</v>
      </c>
      <c r="Y1055" s="135">
        <v>5.6199504371839001E-2</v>
      </c>
      <c r="Z1055" s="135">
        <v>6.4613659135555196E-2</v>
      </c>
      <c r="AA1055" s="135">
        <v>6.4950299464656094E-2</v>
      </c>
      <c r="AB1055" s="135">
        <v>5.50007011186305E-2</v>
      </c>
      <c r="AC1055" s="135">
        <v>4.13050236667949E-2</v>
      </c>
      <c r="AD1055" s="135">
        <v>3.14877897221401E-2</v>
      </c>
      <c r="AF1055" s="243">
        <f t="shared" si="21"/>
        <v>0.30477419362130365</v>
      </c>
      <c r="AG1055" s="275">
        <f t="shared" si="22"/>
        <v>0.48781577223662509</v>
      </c>
      <c r="AH1055" s="391">
        <f t="shared" si="23"/>
        <v>0.4961606590284815</v>
      </c>
      <c r="AI1055" s="135">
        <f t="shared" si="24"/>
        <v>0.98397643126510659</v>
      </c>
    </row>
    <row r="1056" spans="1:35" ht="12.6">
      <c r="A1056" s="10" t="s">
        <v>63</v>
      </c>
      <c r="B1056" s="10">
        <v>325</v>
      </c>
      <c r="C1056" s="10" t="s">
        <v>1515</v>
      </c>
      <c r="D1056" s="388">
        <v>45251</v>
      </c>
      <c r="E1056" s="389">
        <v>45251</v>
      </c>
      <c r="F1056" s="390" t="str">
        <f t="shared" si="20"/>
        <v>Other</v>
      </c>
      <c r="G1056" s="135">
        <v>2.7461416298379501E-2</v>
      </c>
      <c r="H1056" s="135">
        <v>2.59817916427377E-2</v>
      </c>
      <c r="I1056" s="135">
        <v>2.5486616498992101E-2</v>
      </c>
      <c r="J1056" s="135">
        <v>2.49925256423561E-2</v>
      </c>
      <c r="K1056" s="135">
        <v>2.5524711218284198E-2</v>
      </c>
      <c r="L1056" s="135">
        <v>2.73904103889555E-2</v>
      </c>
      <c r="M1056" s="135">
        <v>3.7921757343178202E-2</v>
      </c>
      <c r="N1056" s="135">
        <v>4.2893446772633299E-2</v>
      </c>
      <c r="O1056" s="135">
        <v>4.0317796620390998E-2</v>
      </c>
      <c r="P1056" s="135">
        <v>3.9478177652496498E-2</v>
      </c>
      <c r="Q1056" s="135">
        <v>4.1562998294850599E-2</v>
      </c>
      <c r="R1056" s="135">
        <v>4.2947465511646299E-2</v>
      </c>
      <c r="S1056" s="135">
        <v>4.4862605457097401E-2</v>
      </c>
      <c r="T1056" s="135">
        <v>4.5843808581536402E-2</v>
      </c>
      <c r="U1056" s="135">
        <v>4.4489163191487803E-2</v>
      </c>
      <c r="V1056" s="135">
        <v>4.2673020369751603E-2</v>
      </c>
      <c r="W1056" s="135">
        <v>4.2395132214933497E-2</v>
      </c>
      <c r="X1056" s="135">
        <v>4.8196610085783E-2</v>
      </c>
      <c r="Y1056" s="135">
        <v>5.6199504371839001E-2</v>
      </c>
      <c r="Z1056" s="135">
        <v>6.4613659135555196E-2</v>
      </c>
      <c r="AA1056" s="135">
        <v>6.4950299464656094E-2</v>
      </c>
      <c r="AB1056" s="135">
        <v>5.50007011186305E-2</v>
      </c>
      <c r="AC1056" s="135">
        <v>4.13050236667949E-2</v>
      </c>
      <c r="AD1056" s="135">
        <v>3.14877897221401E-2</v>
      </c>
      <c r="AF1056" s="243">
        <f t="shared" si="21"/>
        <v>0.30477419362130365</v>
      </c>
      <c r="AG1056" s="275">
        <f t="shared" si="22"/>
        <v>0.48781577223662509</v>
      </c>
      <c r="AH1056" s="391">
        <f t="shared" si="23"/>
        <v>0.4961606590284815</v>
      </c>
      <c r="AI1056" s="135">
        <f t="shared" si="24"/>
        <v>0.98397643126510659</v>
      </c>
    </row>
    <row r="1057" spans="1:35" ht="12.6">
      <c r="A1057" s="10" t="s">
        <v>63</v>
      </c>
      <c r="B1057" s="10">
        <v>326</v>
      </c>
      <c r="C1057" s="10" t="s">
        <v>1515</v>
      </c>
      <c r="D1057" s="388">
        <v>45252</v>
      </c>
      <c r="E1057" s="389">
        <v>45252</v>
      </c>
      <c r="F1057" s="390" t="str">
        <f t="shared" si="20"/>
        <v>Other</v>
      </c>
      <c r="G1057" s="135">
        <v>2.7461416298379501E-2</v>
      </c>
      <c r="H1057" s="135">
        <v>2.59817916427377E-2</v>
      </c>
      <c r="I1057" s="135">
        <v>2.5486616498992101E-2</v>
      </c>
      <c r="J1057" s="135">
        <v>2.49925256423561E-2</v>
      </c>
      <c r="K1057" s="135">
        <v>2.5524711218284198E-2</v>
      </c>
      <c r="L1057" s="135">
        <v>2.73904103889555E-2</v>
      </c>
      <c r="M1057" s="135">
        <v>3.7921757343178202E-2</v>
      </c>
      <c r="N1057" s="135">
        <v>4.2893446772633299E-2</v>
      </c>
      <c r="O1057" s="135">
        <v>4.0317796620390998E-2</v>
      </c>
      <c r="P1057" s="135">
        <v>3.9478177652496498E-2</v>
      </c>
      <c r="Q1057" s="135">
        <v>4.1562998294850599E-2</v>
      </c>
      <c r="R1057" s="135">
        <v>4.2947465511646299E-2</v>
      </c>
      <c r="S1057" s="135">
        <v>4.4862605457097401E-2</v>
      </c>
      <c r="T1057" s="135">
        <v>4.5843808581536402E-2</v>
      </c>
      <c r="U1057" s="135">
        <v>4.4489163191487803E-2</v>
      </c>
      <c r="V1057" s="135">
        <v>4.2673020369751603E-2</v>
      </c>
      <c r="W1057" s="135">
        <v>4.2395132214933497E-2</v>
      </c>
      <c r="X1057" s="135">
        <v>4.8196610085783E-2</v>
      </c>
      <c r="Y1057" s="135">
        <v>5.6199504371839001E-2</v>
      </c>
      <c r="Z1057" s="135">
        <v>6.4613659135555196E-2</v>
      </c>
      <c r="AA1057" s="135">
        <v>6.4950299464656094E-2</v>
      </c>
      <c r="AB1057" s="135">
        <v>5.50007011186305E-2</v>
      </c>
      <c r="AC1057" s="135">
        <v>4.13050236667949E-2</v>
      </c>
      <c r="AD1057" s="135">
        <v>3.14877897221401E-2</v>
      </c>
      <c r="AF1057" s="243">
        <f t="shared" si="21"/>
        <v>0.30477419362130365</v>
      </c>
      <c r="AG1057" s="275">
        <f t="shared" si="22"/>
        <v>0.48781577223662509</v>
      </c>
      <c r="AH1057" s="391">
        <f t="shared" si="23"/>
        <v>0.4961606590284815</v>
      </c>
      <c r="AI1057" s="135">
        <f t="shared" si="24"/>
        <v>0.98397643126510659</v>
      </c>
    </row>
    <row r="1058" spans="1:35" ht="12.6">
      <c r="A1058" s="10" t="s">
        <v>63</v>
      </c>
      <c r="B1058" s="10">
        <v>327</v>
      </c>
      <c r="C1058" s="10" t="s">
        <v>1515</v>
      </c>
      <c r="D1058" s="388">
        <v>45253</v>
      </c>
      <c r="E1058" s="389">
        <v>45253</v>
      </c>
      <c r="F1058" s="390" t="str">
        <f t="shared" si="20"/>
        <v>Other</v>
      </c>
      <c r="G1058" s="135">
        <v>2.7461416298379501E-2</v>
      </c>
      <c r="H1058" s="135">
        <v>2.59817916427377E-2</v>
      </c>
      <c r="I1058" s="135">
        <v>2.5486616498992101E-2</v>
      </c>
      <c r="J1058" s="135">
        <v>2.49925256423561E-2</v>
      </c>
      <c r="K1058" s="135">
        <v>2.5524711218284198E-2</v>
      </c>
      <c r="L1058" s="135">
        <v>2.73904103889555E-2</v>
      </c>
      <c r="M1058" s="135">
        <v>3.7921757343178202E-2</v>
      </c>
      <c r="N1058" s="135">
        <v>4.2893446772633299E-2</v>
      </c>
      <c r="O1058" s="135">
        <v>4.0317796620390998E-2</v>
      </c>
      <c r="P1058" s="135">
        <v>3.9478177652496498E-2</v>
      </c>
      <c r="Q1058" s="135">
        <v>4.1562998294850599E-2</v>
      </c>
      <c r="R1058" s="135">
        <v>4.2947465511646299E-2</v>
      </c>
      <c r="S1058" s="135">
        <v>4.4862605457097401E-2</v>
      </c>
      <c r="T1058" s="135">
        <v>4.5843808581536402E-2</v>
      </c>
      <c r="U1058" s="135">
        <v>4.4489163191487803E-2</v>
      </c>
      <c r="V1058" s="135">
        <v>4.2673020369751603E-2</v>
      </c>
      <c r="W1058" s="135">
        <v>4.2395132214933497E-2</v>
      </c>
      <c r="X1058" s="135">
        <v>4.8196610085783E-2</v>
      </c>
      <c r="Y1058" s="135">
        <v>5.6199504371839001E-2</v>
      </c>
      <c r="Z1058" s="135">
        <v>6.4613659135555196E-2</v>
      </c>
      <c r="AA1058" s="135">
        <v>6.4950299464656094E-2</v>
      </c>
      <c r="AB1058" s="135">
        <v>5.50007011186305E-2</v>
      </c>
      <c r="AC1058" s="135">
        <v>4.13050236667949E-2</v>
      </c>
      <c r="AD1058" s="135">
        <v>3.14877897221401E-2</v>
      </c>
      <c r="AF1058" s="243">
        <f t="shared" si="21"/>
        <v>0.30477419362130365</v>
      </c>
      <c r="AG1058" s="275">
        <f t="shared" si="22"/>
        <v>0.48781577223662509</v>
      </c>
      <c r="AH1058" s="391">
        <f t="shared" si="23"/>
        <v>0.4961606590284815</v>
      </c>
      <c r="AI1058" s="135">
        <f t="shared" si="24"/>
        <v>0.98397643126510659</v>
      </c>
    </row>
    <row r="1059" spans="1:35" ht="12.6">
      <c r="A1059" s="10" t="s">
        <v>63</v>
      </c>
      <c r="B1059" s="10">
        <v>328</v>
      </c>
      <c r="C1059" s="10" t="s">
        <v>1515</v>
      </c>
      <c r="D1059" s="388">
        <v>45254</v>
      </c>
      <c r="E1059" s="389">
        <v>45254</v>
      </c>
      <c r="F1059" s="390" t="str">
        <f t="shared" si="20"/>
        <v>Other</v>
      </c>
      <c r="G1059" s="135">
        <v>2.7461416298379501E-2</v>
      </c>
      <c r="H1059" s="135">
        <v>2.59817916427377E-2</v>
      </c>
      <c r="I1059" s="135">
        <v>2.5486616498992101E-2</v>
      </c>
      <c r="J1059" s="135">
        <v>2.49925256423561E-2</v>
      </c>
      <c r="K1059" s="135">
        <v>2.5524711218284198E-2</v>
      </c>
      <c r="L1059" s="135">
        <v>2.73904103889555E-2</v>
      </c>
      <c r="M1059" s="135">
        <v>3.7921757343178202E-2</v>
      </c>
      <c r="N1059" s="135">
        <v>4.2893446772633299E-2</v>
      </c>
      <c r="O1059" s="135">
        <v>4.0317796620390998E-2</v>
      </c>
      <c r="P1059" s="135">
        <v>3.9478177652496498E-2</v>
      </c>
      <c r="Q1059" s="135">
        <v>4.1562998294850599E-2</v>
      </c>
      <c r="R1059" s="135">
        <v>4.2947465511646299E-2</v>
      </c>
      <c r="S1059" s="135">
        <v>4.4862605457097401E-2</v>
      </c>
      <c r="T1059" s="135">
        <v>4.5843808581536402E-2</v>
      </c>
      <c r="U1059" s="135">
        <v>4.4489163191487803E-2</v>
      </c>
      <c r="V1059" s="135">
        <v>4.2673020369751603E-2</v>
      </c>
      <c r="W1059" s="135">
        <v>4.2395132214933497E-2</v>
      </c>
      <c r="X1059" s="135">
        <v>4.8196610085783E-2</v>
      </c>
      <c r="Y1059" s="135">
        <v>5.6199504371839001E-2</v>
      </c>
      <c r="Z1059" s="135">
        <v>6.4613659135555196E-2</v>
      </c>
      <c r="AA1059" s="135">
        <v>6.4950299464656094E-2</v>
      </c>
      <c r="AB1059" s="135">
        <v>5.50007011186305E-2</v>
      </c>
      <c r="AC1059" s="135">
        <v>4.13050236667949E-2</v>
      </c>
      <c r="AD1059" s="135">
        <v>3.14877897221401E-2</v>
      </c>
      <c r="AF1059" s="243">
        <f t="shared" si="21"/>
        <v>0.30477419362130365</v>
      </c>
      <c r="AG1059" s="275">
        <f t="shared" si="22"/>
        <v>0.48781577223662509</v>
      </c>
      <c r="AH1059" s="391">
        <f t="shared" si="23"/>
        <v>0.4961606590284815</v>
      </c>
      <c r="AI1059" s="135">
        <f t="shared" si="24"/>
        <v>0.98397643126510659</v>
      </c>
    </row>
    <row r="1060" spans="1:35" ht="12.6">
      <c r="A1060" s="10" t="s">
        <v>63</v>
      </c>
      <c r="B1060" s="10">
        <v>329</v>
      </c>
      <c r="C1060" s="10" t="s">
        <v>1515</v>
      </c>
      <c r="D1060" s="388">
        <v>45255</v>
      </c>
      <c r="E1060" s="389">
        <v>45255</v>
      </c>
      <c r="F1060" s="390" t="str">
        <f t="shared" si="20"/>
        <v>Other</v>
      </c>
      <c r="G1060" s="135">
        <v>3.0131338339630699E-2</v>
      </c>
      <c r="H1060" s="135">
        <v>2.6410819320413299E-2</v>
      </c>
      <c r="I1060" s="135">
        <v>2.5136055432186399E-2</v>
      </c>
      <c r="J1060" s="135">
        <v>2.4529545065448102E-2</v>
      </c>
      <c r="K1060" s="135">
        <v>2.5221946107423E-2</v>
      </c>
      <c r="L1060" s="135">
        <v>2.6564070267563099E-2</v>
      </c>
      <c r="M1060" s="135">
        <v>3.2872190317752799E-2</v>
      </c>
      <c r="N1060" s="135">
        <v>4.2324309975772301E-2</v>
      </c>
      <c r="O1060" s="135">
        <v>4.14663838977141E-2</v>
      </c>
      <c r="P1060" s="135">
        <v>4.34798560122251E-2</v>
      </c>
      <c r="Q1060" s="135">
        <v>4.7324490082932699E-2</v>
      </c>
      <c r="R1060" s="135">
        <v>4.9828625181992298E-2</v>
      </c>
      <c r="S1060" s="135">
        <v>4.9605494107248002E-2</v>
      </c>
      <c r="T1060" s="135">
        <v>5.0983369720472398E-2</v>
      </c>
      <c r="U1060" s="135">
        <v>5.19831141230018E-2</v>
      </c>
      <c r="V1060" s="135">
        <v>5.24576200462748E-2</v>
      </c>
      <c r="W1060" s="135">
        <v>5.1441253870066303E-2</v>
      </c>
      <c r="X1060" s="135">
        <v>5.3034988802493001E-2</v>
      </c>
      <c r="Y1060" s="135">
        <v>5.86267608479508E-2</v>
      </c>
      <c r="Z1060" s="135">
        <v>6.4340363281778307E-2</v>
      </c>
      <c r="AA1060" s="135">
        <v>6.3432368544790493E-2</v>
      </c>
      <c r="AB1060" s="135">
        <v>5.4123944283965303E-2</v>
      </c>
      <c r="AC1060" s="135">
        <v>4.1312537475999798E-2</v>
      </c>
      <c r="AD1060" s="135">
        <v>3.3610892724618001E-2</v>
      </c>
      <c r="AF1060" s="243">
        <f t="shared" si="21"/>
        <v>0.35362396713198835</v>
      </c>
      <c r="AG1060" s="275">
        <f t="shared" si="22"/>
        <v>0.52226024691809836</v>
      </c>
      <c r="AH1060" s="391">
        <f t="shared" si="23"/>
        <v>0.5179820909116144</v>
      </c>
      <c r="AI1060" s="135">
        <f t="shared" si="24"/>
        <v>1.0402423378297128</v>
      </c>
    </row>
    <row r="1061" spans="1:35" ht="12.6">
      <c r="A1061" s="10" t="s">
        <v>63</v>
      </c>
      <c r="B1061" s="10">
        <v>330</v>
      </c>
      <c r="C1061" s="10" t="s">
        <v>1515</v>
      </c>
      <c r="D1061" s="388">
        <v>45256</v>
      </c>
      <c r="E1061" s="389">
        <v>45256</v>
      </c>
      <c r="F1061" s="390" t="str">
        <f t="shared" si="20"/>
        <v>Other</v>
      </c>
      <c r="G1061" s="135">
        <v>3.0131338339630699E-2</v>
      </c>
      <c r="H1061" s="135">
        <v>2.6410819320413299E-2</v>
      </c>
      <c r="I1061" s="135">
        <v>2.5136055432186399E-2</v>
      </c>
      <c r="J1061" s="135">
        <v>2.4529545065448102E-2</v>
      </c>
      <c r="K1061" s="135">
        <v>2.5221946107423E-2</v>
      </c>
      <c r="L1061" s="135">
        <v>2.6564070267563099E-2</v>
      </c>
      <c r="M1061" s="135">
        <v>3.2872190317752799E-2</v>
      </c>
      <c r="N1061" s="135">
        <v>4.2324309975772301E-2</v>
      </c>
      <c r="O1061" s="135">
        <v>4.14663838977141E-2</v>
      </c>
      <c r="P1061" s="135">
        <v>4.34798560122251E-2</v>
      </c>
      <c r="Q1061" s="135">
        <v>4.7324490082932699E-2</v>
      </c>
      <c r="R1061" s="135">
        <v>4.9828625181992298E-2</v>
      </c>
      <c r="S1061" s="135">
        <v>4.9605494107248002E-2</v>
      </c>
      <c r="T1061" s="135">
        <v>5.0983369720472398E-2</v>
      </c>
      <c r="U1061" s="135">
        <v>5.19831141230018E-2</v>
      </c>
      <c r="V1061" s="135">
        <v>5.24576200462748E-2</v>
      </c>
      <c r="W1061" s="135">
        <v>5.1441253870066303E-2</v>
      </c>
      <c r="X1061" s="135">
        <v>5.3034988802493001E-2</v>
      </c>
      <c r="Y1061" s="135">
        <v>5.86267608479508E-2</v>
      </c>
      <c r="Z1061" s="135">
        <v>6.4340363281778307E-2</v>
      </c>
      <c r="AA1061" s="135">
        <v>6.3432368544790493E-2</v>
      </c>
      <c r="AB1061" s="135">
        <v>5.4123944283965303E-2</v>
      </c>
      <c r="AC1061" s="135">
        <v>4.1312537475999798E-2</v>
      </c>
      <c r="AD1061" s="135">
        <v>3.3610892724618001E-2</v>
      </c>
      <c r="AF1061" s="243">
        <f t="shared" si="21"/>
        <v>0.35362396713198835</v>
      </c>
      <c r="AG1061" s="275">
        <f t="shared" si="22"/>
        <v>0.52226024691809836</v>
      </c>
      <c r="AH1061" s="391">
        <f t="shared" si="23"/>
        <v>0.5179820909116144</v>
      </c>
      <c r="AI1061" s="135">
        <f t="shared" si="24"/>
        <v>1.0402423378297128</v>
      </c>
    </row>
    <row r="1062" spans="1:35" ht="12.6">
      <c r="A1062" s="10" t="s">
        <v>63</v>
      </c>
      <c r="B1062" s="10">
        <v>331</v>
      </c>
      <c r="C1062" s="10" t="s">
        <v>1515</v>
      </c>
      <c r="D1062" s="388">
        <v>45257</v>
      </c>
      <c r="E1062" s="389">
        <v>45257</v>
      </c>
      <c r="F1062" s="390" t="str">
        <f t="shared" si="20"/>
        <v>Other</v>
      </c>
      <c r="G1062" s="135">
        <v>2.7461416298379501E-2</v>
      </c>
      <c r="H1062" s="135">
        <v>2.59817916427377E-2</v>
      </c>
      <c r="I1062" s="135">
        <v>2.5486616498992101E-2</v>
      </c>
      <c r="J1062" s="135">
        <v>2.49925256423561E-2</v>
      </c>
      <c r="K1062" s="135">
        <v>2.5524711218284198E-2</v>
      </c>
      <c r="L1062" s="135">
        <v>2.73904103889555E-2</v>
      </c>
      <c r="M1062" s="135">
        <v>3.7921757343178202E-2</v>
      </c>
      <c r="N1062" s="135">
        <v>4.2893446772633299E-2</v>
      </c>
      <c r="O1062" s="135">
        <v>4.0317796620390998E-2</v>
      </c>
      <c r="P1062" s="135">
        <v>3.9478177652496498E-2</v>
      </c>
      <c r="Q1062" s="135">
        <v>4.1562998294850599E-2</v>
      </c>
      <c r="R1062" s="135">
        <v>4.2947465511646299E-2</v>
      </c>
      <c r="S1062" s="135">
        <v>4.4862605457097401E-2</v>
      </c>
      <c r="T1062" s="135">
        <v>4.5843808581536402E-2</v>
      </c>
      <c r="U1062" s="135">
        <v>4.4489163191487803E-2</v>
      </c>
      <c r="V1062" s="135">
        <v>4.2673020369751603E-2</v>
      </c>
      <c r="W1062" s="135">
        <v>4.2395132214933497E-2</v>
      </c>
      <c r="X1062" s="135">
        <v>4.8196610085783E-2</v>
      </c>
      <c r="Y1062" s="135">
        <v>5.6199504371839001E-2</v>
      </c>
      <c r="Z1062" s="135">
        <v>6.4613659135555196E-2</v>
      </c>
      <c r="AA1062" s="135">
        <v>6.4950299464656094E-2</v>
      </c>
      <c r="AB1062" s="135">
        <v>5.50007011186305E-2</v>
      </c>
      <c r="AC1062" s="135">
        <v>4.13050236667949E-2</v>
      </c>
      <c r="AD1062" s="135">
        <v>3.14877897221401E-2</v>
      </c>
      <c r="AF1062" s="243">
        <f t="shared" si="21"/>
        <v>0.30477419362130365</v>
      </c>
      <c r="AG1062" s="275">
        <f t="shared" si="22"/>
        <v>0.48781577223662509</v>
      </c>
      <c r="AH1062" s="391">
        <f t="shared" si="23"/>
        <v>0.4961606590284815</v>
      </c>
      <c r="AI1062" s="135">
        <f t="shared" si="24"/>
        <v>0.98397643126510659</v>
      </c>
    </row>
    <row r="1063" spans="1:35" ht="12.6">
      <c r="A1063" s="10" t="s">
        <v>63</v>
      </c>
      <c r="B1063" s="10">
        <v>332</v>
      </c>
      <c r="C1063" s="10" t="s">
        <v>1515</v>
      </c>
      <c r="D1063" s="388">
        <v>45258</v>
      </c>
      <c r="E1063" s="389">
        <v>45258</v>
      </c>
      <c r="F1063" s="390" t="str">
        <f t="shared" si="20"/>
        <v>Other</v>
      </c>
      <c r="G1063" s="135">
        <v>2.7461416298379501E-2</v>
      </c>
      <c r="H1063" s="135">
        <v>2.59817916427377E-2</v>
      </c>
      <c r="I1063" s="135">
        <v>2.5486616498992101E-2</v>
      </c>
      <c r="J1063" s="135">
        <v>2.49925256423561E-2</v>
      </c>
      <c r="K1063" s="135">
        <v>2.5524711218284198E-2</v>
      </c>
      <c r="L1063" s="135">
        <v>2.73904103889555E-2</v>
      </c>
      <c r="M1063" s="135">
        <v>3.7921757343178202E-2</v>
      </c>
      <c r="N1063" s="135">
        <v>4.2893446772633299E-2</v>
      </c>
      <c r="O1063" s="135">
        <v>4.0317796620390998E-2</v>
      </c>
      <c r="P1063" s="135">
        <v>3.9478177652496498E-2</v>
      </c>
      <c r="Q1063" s="135">
        <v>4.1562998294850599E-2</v>
      </c>
      <c r="R1063" s="135">
        <v>4.2947465511646299E-2</v>
      </c>
      <c r="S1063" s="135">
        <v>4.4862605457097401E-2</v>
      </c>
      <c r="T1063" s="135">
        <v>4.5843808581536402E-2</v>
      </c>
      <c r="U1063" s="135">
        <v>4.4489163191487803E-2</v>
      </c>
      <c r="V1063" s="135">
        <v>4.2673020369751603E-2</v>
      </c>
      <c r="W1063" s="135">
        <v>4.2395132214933497E-2</v>
      </c>
      <c r="X1063" s="135">
        <v>4.8196610085783E-2</v>
      </c>
      <c r="Y1063" s="135">
        <v>5.6199504371839001E-2</v>
      </c>
      <c r="Z1063" s="135">
        <v>6.4613659135555196E-2</v>
      </c>
      <c r="AA1063" s="135">
        <v>6.4950299464656094E-2</v>
      </c>
      <c r="AB1063" s="135">
        <v>5.50007011186305E-2</v>
      </c>
      <c r="AC1063" s="135">
        <v>4.13050236667949E-2</v>
      </c>
      <c r="AD1063" s="135">
        <v>3.14877897221401E-2</v>
      </c>
      <c r="AF1063" s="243">
        <f t="shared" si="21"/>
        <v>0.30477419362130365</v>
      </c>
      <c r="AG1063" s="275">
        <f t="shared" si="22"/>
        <v>0.48781577223662509</v>
      </c>
      <c r="AH1063" s="391">
        <f t="shared" si="23"/>
        <v>0.4961606590284815</v>
      </c>
      <c r="AI1063" s="135">
        <f t="shared" si="24"/>
        <v>0.98397643126510659</v>
      </c>
    </row>
    <row r="1064" spans="1:35" ht="12.6">
      <c r="A1064" s="10" t="s">
        <v>63</v>
      </c>
      <c r="B1064" s="10">
        <v>333</v>
      </c>
      <c r="C1064" s="10" t="s">
        <v>1515</v>
      </c>
      <c r="D1064" s="388">
        <v>45259</v>
      </c>
      <c r="E1064" s="389">
        <v>45259</v>
      </c>
      <c r="F1064" s="390" t="str">
        <f t="shared" si="20"/>
        <v>Other</v>
      </c>
      <c r="G1064" s="135">
        <v>2.7461416298379501E-2</v>
      </c>
      <c r="H1064" s="135">
        <v>2.59817916427377E-2</v>
      </c>
      <c r="I1064" s="135">
        <v>2.5486616498992101E-2</v>
      </c>
      <c r="J1064" s="135">
        <v>2.49925256423561E-2</v>
      </c>
      <c r="K1064" s="135">
        <v>2.5524711218284198E-2</v>
      </c>
      <c r="L1064" s="135">
        <v>2.73904103889555E-2</v>
      </c>
      <c r="M1064" s="135">
        <v>3.7921757343178202E-2</v>
      </c>
      <c r="N1064" s="135">
        <v>4.2893446772633299E-2</v>
      </c>
      <c r="O1064" s="135">
        <v>4.0317796620390998E-2</v>
      </c>
      <c r="P1064" s="135">
        <v>3.9478177652496498E-2</v>
      </c>
      <c r="Q1064" s="135">
        <v>4.1562998294850599E-2</v>
      </c>
      <c r="R1064" s="135">
        <v>4.2947465511646299E-2</v>
      </c>
      <c r="S1064" s="135">
        <v>4.4862605457097401E-2</v>
      </c>
      <c r="T1064" s="135">
        <v>4.5843808581536402E-2</v>
      </c>
      <c r="U1064" s="135">
        <v>4.4489163191487803E-2</v>
      </c>
      <c r="V1064" s="135">
        <v>4.2673020369751603E-2</v>
      </c>
      <c r="W1064" s="135">
        <v>4.2395132214933497E-2</v>
      </c>
      <c r="X1064" s="135">
        <v>4.8196610085783E-2</v>
      </c>
      <c r="Y1064" s="135">
        <v>5.6199504371839001E-2</v>
      </c>
      <c r="Z1064" s="135">
        <v>6.4613659135555196E-2</v>
      </c>
      <c r="AA1064" s="135">
        <v>6.4950299464656094E-2</v>
      </c>
      <c r="AB1064" s="135">
        <v>5.50007011186305E-2</v>
      </c>
      <c r="AC1064" s="135">
        <v>4.13050236667949E-2</v>
      </c>
      <c r="AD1064" s="135">
        <v>3.14877897221401E-2</v>
      </c>
      <c r="AF1064" s="243">
        <f t="shared" si="21"/>
        <v>0.30477419362130365</v>
      </c>
      <c r="AG1064" s="275">
        <f t="shared" si="22"/>
        <v>0.48781577223662509</v>
      </c>
      <c r="AH1064" s="391">
        <f t="shared" si="23"/>
        <v>0.4961606590284815</v>
      </c>
      <c r="AI1064" s="135">
        <f t="shared" si="24"/>
        <v>0.98397643126510659</v>
      </c>
    </row>
    <row r="1065" spans="1:35" ht="12.6">
      <c r="A1065" s="10" t="s">
        <v>63</v>
      </c>
      <c r="B1065" s="10">
        <v>334</v>
      </c>
      <c r="C1065" s="10" t="s">
        <v>1515</v>
      </c>
      <c r="D1065" s="388">
        <v>45260</v>
      </c>
      <c r="E1065" s="389">
        <v>45260</v>
      </c>
      <c r="F1065" s="390" t="str">
        <f t="shared" si="20"/>
        <v>Other</v>
      </c>
      <c r="G1065" s="135">
        <v>2.7461416298379501E-2</v>
      </c>
      <c r="H1065" s="135">
        <v>2.59817916427377E-2</v>
      </c>
      <c r="I1065" s="135">
        <v>2.5486616498992101E-2</v>
      </c>
      <c r="J1065" s="135">
        <v>2.49925256423561E-2</v>
      </c>
      <c r="K1065" s="135">
        <v>2.5524711218284198E-2</v>
      </c>
      <c r="L1065" s="135">
        <v>2.73904103889555E-2</v>
      </c>
      <c r="M1065" s="135">
        <v>3.7921757343178202E-2</v>
      </c>
      <c r="N1065" s="135">
        <v>4.2893446772633299E-2</v>
      </c>
      <c r="O1065" s="135">
        <v>4.0317796620390998E-2</v>
      </c>
      <c r="P1065" s="135">
        <v>3.9478177652496498E-2</v>
      </c>
      <c r="Q1065" s="135">
        <v>4.1562998294850599E-2</v>
      </c>
      <c r="R1065" s="135">
        <v>4.2947465511646299E-2</v>
      </c>
      <c r="S1065" s="135">
        <v>4.4862605457097401E-2</v>
      </c>
      <c r="T1065" s="135">
        <v>4.5843808581536402E-2</v>
      </c>
      <c r="U1065" s="135">
        <v>4.4489163191487803E-2</v>
      </c>
      <c r="V1065" s="135">
        <v>4.2673020369751603E-2</v>
      </c>
      <c r="W1065" s="135">
        <v>4.2395132214933497E-2</v>
      </c>
      <c r="X1065" s="135">
        <v>4.8196610085783E-2</v>
      </c>
      <c r="Y1065" s="135">
        <v>5.6199504371839001E-2</v>
      </c>
      <c r="Z1065" s="135">
        <v>6.4613659135555196E-2</v>
      </c>
      <c r="AA1065" s="135">
        <v>6.4950299464656094E-2</v>
      </c>
      <c r="AB1065" s="135">
        <v>5.50007011186305E-2</v>
      </c>
      <c r="AC1065" s="135">
        <v>4.13050236667949E-2</v>
      </c>
      <c r="AD1065" s="135">
        <v>3.14877897221401E-2</v>
      </c>
      <c r="AF1065" s="243">
        <f t="shared" si="21"/>
        <v>0.30477419362130365</v>
      </c>
      <c r="AG1065" s="275">
        <f t="shared" si="22"/>
        <v>0.48781577223662509</v>
      </c>
      <c r="AH1065" s="391">
        <f t="shared" si="23"/>
        <v>0.4961606590284815</v>
      </c>
      <c r="AI1065" s="135">
        <f t="shared" si="24"/>
        <v>0.98397643126510659</v>
      </c>
    </row>
    <row r="1066" spans="1:35" ht="12.6">
      <c r="A1066" s="10" t="s">
        <v>63</v>
      </c>
      <c r="B1066" s="10">
        <v>335</v>
      </c>
      <c r="C1066" s="10" t="s">
        <v>1512</v>
      </c>
      <c r="D1066" s="388">
        <v>45261</v>
      </c>
      <c r="E1066" s="389">
        <v>45261</v>
      </c>
      <c r="F1066" s="390" t="str">
        <f t="shared" si="20"/>
        <v>Other</v>
      </c>
      <c r="G1066" s="135">
        <v>2.76471081710787E-2</v>
      </c>
      <c r="H1066" s="135">
        <v>2.62785744672847E-2</v>
      </c>
      <c r="I1066" s="135">
        <v>2.5584710009458798E-2</v>
      </c>
      <c r="J1066" s="135">
        <v>2.50025532640499E-2</v>
      </c>
      <c r="K1066" s="135">
        <v>2.5344650769859998E-2</v>
      </c>
      <c r="L1066" s="135">
        <v>2.6624930448429101E-2</v>
      </c>
      <c r="M1066" s="135">
        <v>3.6965692830214697E-2</v>
      </c>
      <c r="N1066" s="135">
        <v>4.1650935857578099E-2</v>
      </c>
      <c r="O1066" s="135">
        <v>3.9367301375182899E-2</v>
      </c>
      <c r="P1066" s="135">
        <v>3.9639629856922598E-2</v>
      </c>
      <c r="Q1066" s="135">
        <v>4.1695948106080002E-2</v>
      </c>
      <c r="R1066" s="135">
        <v>4.2887060569663502E-2</v>
      </c>
      <c r="S1066" s="135">
        <v>4.4997726855643197E-2</v>
      </c>
      <c r="T1066" s="135">
        <v>4.6101486388439701E-2</v>
      </c>
      <c r="U1066" s="135">
        <v>4.5909271975321402E-2</v>
      </c>
      <c r="V1066" s="135">
        <v>4.4657319004925498E-2</v>
      </c>
      <c r="W1066" s="135">
        <v>4.4619800546701498E-2</v>
      </c>
      <c r="X1066" s="135">
        <v>4.9978881294706803E-2</v>
      </c>
      <c r="Y1066" s="135">
        <v>5.6592795244331501E-2</v>
      </c>
      <c r="Z1066" s="135">
        <v>6.3854259874512501E-2</v>
      </c>
      <c r="AA1066" s="135">
        <v>6.3994189688477796E-2</v>
      </c>
      <c r="AB1066" s="135">
        <v>5.4461888869153902E-2</v>
      </c>
      <c r="AC1066" s="135">
        <v>4.0694171473124097E-2</v>
      </c>
      <c r="AD1066" s="135">
        <v>3.1521698900089899E-2</v>
      </c>
      <c r="AF1066" s="243">
        <f t="shared" si="21"/>
        <v>0.3108686134467748</v>
      </c>
      <c r="AG1066" s="275">
        <f t="shared" si="22"/>
        <v>0.49194969510462139</v>
      </c>
      <c r="AH1066" s="391">
        <f t="shared" si="23"/>
        <v>0.49412289073660953</v>
      </c>
      <c r="AI1066" s="135">
        <f t="shared" si="24"/>
        <v>0.98607258584123092</v>
      </c>
    </row>
    <row r="1067" spans="1:35" ht="12.6">
      <c r="A1067" s="10" t="s">
        <v>63</v>
      </c>
      <c r="B1067" s="10">
        <v>336</v>
      </c>
      <c r="C1067" s="10" t="s">
        <v>1512</v>
      </c>
      <c r="D1067" s="388">
        <v>45262</v>
      </c>
      <c r="E1067" s="389">
        <v>45262</v>
      </c>
      <c r="F1067" s="390" t="str">
        <f t="shared" si="20"/>
        <v>Other</v>
      </c>
      <c r="G1067" s="135">
        <v>3.02249236828823E-2</v>
      </c>
      <c r="H1067" s="135">
        <v>2.65288462772971E-2</v>
      </c>
      <c r="I1067" s="135">
        <v>2.5145917074864601E-2</v>
      </c>
      <c r="J1067" s="135">
        <v>2.4408777352441499E-2</v>
      </c>
      <c r="K1067" s="135">
        <v>2.4842477171432301E-2</v>
      </c>
      <c r="L1067" s="135">
        <v>2.5530836650180001E-2</v>
      </c>
      <c r="M1067" s="135">
        <v>3.1791489082233497E-2</v>
      </c>
      <c r="N1067" s="135">
        <v>4.0981642760216798E-2</v>
      </c>
      <c r="O1067" s="135">
        <v>3.9671341845700203E-2</v>
      </c>
      <c r="P1067" s="135">
        <v>4.2385623903080698E-2</v>
      </c>
      <c r="Q1067" s="135">
        <v>4.6226801762819E-2</v>
      </c>
      <c r="R1067" s="135">
        <v>4.8969350413243802E-2</v>
      </c>
      <c r="S1067" s="135">
        <v>4.8684292656016502E-2</v>
      </c>
      <c r="T1067" s="135">
        <v>5.10937011472168E-2</v>
      </c>
      <c r="U1067" s="135">
        <v>5.2849881605689097E-2</v>
      </c>
      <c r="V1067" s="135">
        <v>5.2864630338031598E-2</v>
      </c>
      <c r="W1067" s="135">
        <v>5.2114686921837301E-2</v>
      </c>
      <c r="X1067" s="135">
        <v>5.3932536426095398E-2</v>
      </c>
      <c r="Y1067" s="135">
        <v>5.8168722198650699E-2</v>
      </c>
      <c r="Z1067" s="135">
        <v>6.2348960693243902E-2</v>
      </c>
      <c r="AA1067" s="135">
        <v>6.1459218411883898E-2</v>
      </c>
      <c r="AB1067" s="135">
        <v>5.2533760995209601E-2</v>
      </c>
      <c r="AC1067" s="135">
        <v>4.0061294496834599E-2</v>
      </c>
      <c r="AD1067" s="135">
        <v>3.3219280801326898E-2</v>
      </c>
      <c r="AF1067" s="243">
        <f t="shared" si="21"/>
        <v>0.35280334484485409</v>
      </c>
      <c r="AG1067" s="275">
        <f t="shared" si="22"/>
        <v>0.51936103525828403</v>
      </c>
      <c r="AH1067" s="391">
        <f t="shared" si="23"/>
        <v>0.50667795941014404</v>
      </c>
      <c r="AI1067" s="135">
        <f t="shared" si="24"/>
        <v>1.0260389946684281</v>
      </c>
    </row>
    <row r="1068" spans="1:35" ht="12.6">
      <c r="A1068" s="10" t="s">
        <v>63</v>
      </c>
      <c r="B1068" s="10">
        <v>337</v>
      </c>
      <c r="C1068" s="10" t="s">
        <v>1512</v>
      </c>
      <c r="D1068" s="388">
        <v>45263</v>
      </c>
      <c r="E1068" s="389">
        <v>45263</v>
      </c>
      <c r="F1068" s="390" t="str">
        <f t="shared" si="20"/>
        <v>Other</v>
      </c>
      <c r="G1068" s="135">
        <v>3.02249236828823E-2</v>
      </c>
      <c r="H1068" s="135">
        <v>2.65288462772971E-2</v>
      </c>
      <c r="I1068" s="135">
        <v>2.5145917074864601E-2</v>
      </c>
      <c r="J1068" s="135">
        <v>2.4408777352441499E-2</v>
      </c>
      <c r="K1068" s="135">
        <v>2.4842477171432301E-2</v>
      </c>
      <c r="L1068" s="135">
        <v>2.5530836650180001E-2</v>
      </c>
      <c r="M1068" s="135">
        <v>3.1791489082233497E-2</v>
      </c>
      <c r="N1068" s="135">
        <v>4.0981642760216798E-2</v>
      </c>
      <c r="O1068" s="135">
        <v>3.9671341845700203E-2</v>
      </c>
      <c r="P1068" s="135">
        <v>4.2385623903080698E-2</v>
      </c>
      <c r="Q1068" s="135">
        <v>4.6226801762819E-2</v>
      </c>
      <c r="R1068" s="135">
        <v>4.8969350413243802E-2</v>
      </c>
      <c r="S1068" s="135">
        <v>4.8684292656016502E-2</v>
      </c>
      <c r="T1068" s="135">
        <v>5.10937011472168E-2</v>
      </c>
      <c r="U1068" s="135">
        <v>5.2849881605689097E-2</v>
      </c>
      <c r="V1068" s="135">
        <v>5.2864630338031598E-2</v>
      </c>
      <c r="W1068" s="135">
        <v>5.2114686921837301E-2</v>
      </c>
      <c r="X1068" s="135">
        <v>5.3932536426095398E-2</v>
      </c>
      <c r="Y1068" s="135">
        <v>5.8168722198650699E-2</v>
      </c>
      <c r="Z1068" s="135">
        <v>6.2348960693243902E-2</v>
      </c>
      <c r="AA1068" s="135">
        <v>6.1459218411883898E-2</v>
      </c>
      <c r="AB1068" s="135">
        <v>5.2533760995209601E-2</v>
      </c>
      <c r="AC1068" s="135">
        <v>4.0061294496834599E-2</v>
      </c>
      <c r="AD1068" s="135">
        <v>3.3219280801326898E-2</v>
      </c>
      <c r="AF1068" s="243">
        <f t="shared" si="21"/>
        <v>0.35280334484485409</v>
      </c>
      <c r="AG1068" s="275">
        <f t="shared" si="22"/>
        <v>0.51936103525828403</v>
      </c>
      <c r="AH1068" s="391">
        <f t="shared" si="23"/>
        <v>0.50667795941014404</v>
      </c>
      <c r="AI1068" s="135">
        <f t="shared" si="24"/>
        <v>1.0260389946684281</v>
      </c>
    </row>
    <row r="1069" spans="1:35" ht="12.6">
      <c r="A1069" s="10" t="s">
        <v>63</v>
      </c>
      <c r="B1069" s="10">
        <v>338</v>
      </c>
      <c r="C1069" s="10" t="s">
        <v>1512</v>
      </c>
      <c r="D1069" s="388">
        <v>45264</v>
      </c>
      <c r="E1069" s="389">
        <v>45264</v>
      </c>
      <c r="F1069" s="390" t="str">
        <f t="shared" si="20"/>
        <v>Other</v>
      </c>
      <c r="G1069" s="135">
        <v>2.76471081710787E-2</v>
      </c>
      <c r="H1069" s="135">
        <v>2.62785744672847E-2</v>
      </c>
      <c r="I1069" s="135">
        <v>2.5584710009458798E-2</v>
      </c>
      <c r="J1069" s="135">
        <v>2.50025532640499E-2</v>
      </c>
      <c r="K1069" s="135">
        <v>2.5344650769859998E-2</v>
      </c>
      <c r="L1069" s="135">
        <v>2.6624930448429101E-2</v>
      </c>
      <c r="M1069" s="135">
        <v>3.6965692830214697E-2</v>
      </c>
      <c r="N1069" s="135">
        <v>4.1650935857578099E-2</v>
      </c>
      <c r="O1069" s="135">
        <v>3.9367301375182899E-2</v>
      </c>
      <c r="P1069" s="135">
        <v>3.9639629856922598E-2</v>
      </c>
      <c r="Q1069" s="135">
        <v>4.1695948106080002E-2</v>
      </c>
      <c r="R1069" s="135">
        <v>4.2887060569663502E-2</v>
      </c>
      <c r="S1069" s="135">
        <v>4.4997726855643197E-2</v>
      </c>
      <c r="T1069" s="135">
        <v>4.6101486388439701E-2</v>
      </c>
      <c r="U1069" s="135">
        <v>4.5909271975321402E-2</v>
      </c>
      <c r="V1069" s="135">
        <v>4.4657319004925498E-2</v>
      </c>
      <c r="W1069" s="135">
        <v>4.4619800546701498E-2</v>
      </c>
      <c r="X1069" s="135">
        <v>4.9978881294706803E-2</v>
      </c>
      <c r="Y1069" s="135">
        <v>5.6592795244331501E-2</v>
      </c>
      <c r="Z1069" s="135">
        <v>6.3854259874512501E-2</v>
      </c>
      <c r="AA1069" s="135">
        <v>6.3994189688477796E-2</v>
      </c>
      <c r="AB1069" s="135">
        <v>5.4461888869153902E-2</v>
      </c>
      <c r="AC1069" s="135">
        <v>4.0694171473124097E-2</v>
      </c>
      <c r="AD1069" s="135">
        <v>3.1521698900089899E-2</v>
      </c>
      <c r="AF1069" s="243">
        <f t="shared" si="21"/>
        <v>0.3108686134467748</v>
      </c>
      <c r="AG1069" s="275">
        <f t="shared" si="22"/>
        <v>0.49194969510462139</v>
      </c>
      <c r="AH1069" s="391">
        <f t="shared" si="23"/>
        <v>0.49412289073660953</v>
      </c>
      <c r="AI1069" s="135">
        <f t="shared" si="24"/>
        <v>0.98607258584123092</v>
      </c>
    </row>
    <row r="1070" spans="1:35" ht="12.6">
      <c r="A1070" s="10" t="s">
        <v>63</v>
      </c>
      <c r="B1070" s="10">
        <v>339</v>
      </c>
      <c r="C1070" s="10" t="s">
        <v>1512</v>
      </c>
      <c r="D1070" s="388">
        <v>45265</v>
      </c>
      <c r="E1070" s="389">
        <v>45265</v>
      </c>
      <c r="F1070" s="390" t="str">
        <f t="shared" si="20"/>
        <v>Other</v>
      </c>
      <c r="G1070" s="135">
        <v>2.76471081710787E-2</v>
      </c>
      <c r="H1070" s="135">
        <v>2.62785744672847E-2</v>
      </c>
      <c r="I1070" s="135">
        <v>2.5584710009458798E-2</v>
      </c>
      <c r="J1070" s="135">
        <v>2.50025532640499E-2</v>
      </c>
      <c r="K1070" s="135">
        <v>2.5344650769859998E-2</v>
      </c>
      <c r="L1070" s="135">
        <v>2.6624930448429101E-2</v>
      </c>
      <c r="M1070" s="135">
        <v>3.6965692830214697E-2</v>
      </c>
      <c r="N1070" s="135">
        <v>4.1650935857578099E-2</v>
      </c>
      <c r="O1070" s="135">
        <v>3.9367301375182899E-2</v>
      </c>
      <c r="P1070" s="135">
        <v>3.9639629856922598E-2</v>
      </c>
      <c r="Q1070" s="135">
        <v>4.1695948106080002E-2</v>
      </c>
      <c r="R1070" s="135">
        <v>4.2887060569663502E-2</v>
      </c>
      <c r="S1070" s="135">
        <v>4.4997726855643197E-2</v>
      </c>
      <c r="T1070" s="135">
        <v>4.6101486388439701E-2</v>
      </c>
      <c r="U1070" s="135">
        <v>4.5909271975321402E-2</v>
      </c>
      <c r="V1070" s="135">
        <v>4.4657319004925498E-2</v>
      </c>
      <c r="W1070" s="135">
        <v>4.4619800546701498E-2</v>
      </c>
      <c r="X1070" s="135">
        <v>4.9978881294706803E-2</v>
      </c>
      <c r="Y1070" s="135">
        <v>5.6592795244331501E-2</v>
      </c>
      <c r="Z1070" s="135">
        <v>6.3854259874512501E-2</v>
      </c>
      <c r="AA1070" s="135">
        <v>6.3994189688477796E-2</v>
      </c>
      <c r="AB1070" s="135">
        <v>5.4461888869153902E-2</v>
      </c>
      <c r="AC1070" s="135">
        <v>4.0694171473124097E-2</v>
      </c>
      <c r="AD1070" s="135">
        <v>3.1521698900089899E-2</v>
      </c>
      <c r="AF1070" s="243">
        <f t="shared" si="21"/>
        <v>0.3108686134467748</v>
      </c>
      <c r="AG1070" s="275">
        <f t="shared" si="22"/>
        <v>0.49194969510462139</v>
      </c>
      <c r="AH1070" s="391">
        <f t="shared" si="23"/>
        <v>0.49412289073660953</v>
      </c>
      <c r="AI1070" s="135">
        <f t="shared" si="24"/>
        <v>0.98607258584123092</v>
      </c>
    </row>
    <row r="1071" spans="1:35" ht="12.6">
      <c r="A1071" s="10" t="s">
        <v>63</v>
      </c>
      <c r="B1071" s="10">
        <v>340</v>
      </c>
      <c r="C1071" s="10" t="s">
        <v>1512</v>
      </c>
      <c r="D1071" s="388">
        <v>45266</v>
      </c>
      <c r="E1071" s="389">
        <v>45266</v>
      </c>
      <c r="F1071" s="390" t="str">
        <f t="shared" si="20"/>
        <v>Other</v>
      </c>
      <c r="G1071" s="135">
        <v>2.76471081710787E-2</v>
      </c>
      <c r="H1071" s="135">
        <v>2.62785744672847E-2</v>
      </c>
      <c r="I1071" s="135">
        <v>2.5584710009458798E-2</v>
      </c>
      <c r="J1071" s="135">
        <v>2.50025532640499E-2</v>
      </c>
      <c r="K1071" s="135">
        <v>2.5344650769859998E-2</v>
      </c>
      <c r="L1071" s="135">
        <v>2.6624930448429101E-2</v>
      </c>
      <c r="M1071" s="135">
        <v>3.6965692830214697E-2</v>
      </c>
      <c r="N1071" s="135">
        <v>4.1650935857578099E-2</v>
      </c>
      <c r="O1071" s="135">
        <v>3.9367301375182899E-2</v>
      </c>
      <c r="P1071" s="135">
        <v>3.9639629856922598E-2</v>
      </c>
      <c r="Q1071" s="135">
        <v>4.1695948106080002E-2</v>
      </c>
      <c r="R1071" s="135">
        <v>4.2887060569663502E-2</v>
      </c>
      <c r="S1071" s="135">
        <v>4.4997726855643197E-2</v>
      </c>
      <c r="T1071" s="135">
        <v>4.6101486388439701E-2</v>
      </c>
      <c r="U1071" s="135">
        <v>4.5909271975321402E-2</v>
      </c>
      <c r="V1071" s="135">
        <v>4.4657319004925498E-2</v>
      </c>
      <c r="W1071" s="135">
        <v>4.4619800546701498E-2</v>
      </c>
      <c r="X1071" s="135">
        <v>4.9978881294706803E-2</v>
      </c>
      <c r="Y1071" s="135">
        <v>5.6592795244331501E-2</v>
      </c>
      <c r="Z1071" s="135">
        <v>6.3854259874512501E-2</v>
      </c>
      <c r="AA1071" s="135">
        <v>6.3994189688477796E-2</v>
      </c>
      <c r="AB1071" s="135">
        <v>5.4461888869153902E-2</v>
      </c>
      <c r="AC1071" s="135">
        <v>4.0694171473124097E-2</v>
      </c>
      <c r="AD1071" s="135">
        <v>3.1521698900089899E-2</v>
      </c>
      <c r="AF1071" s="243">
        <f t="shared" si="21"/>
        <v>0.3108686134467748</v>
      </c>
      <c r="AG1071" s="275">
        <f t="shared" si="22"/>
        <v>0.49194969510462139</v>
      </c>
      <c r="AH1071" s="391">
        <f t="shared" si="23"/>
        <v>0.49412289073660953</v>
      </c>
      <c r="AI1071" s="135">
        <f t="shared" si="24"/>
        <v>0.98607258584123092</v>
      </c>
    </row>
    <row r="1072" spans="1:35" ht="12.6">
      <c r="A1072" s="10" t="s">
        <v>63</v>
      </c>
      <c r="B1072" s="10">
        <v>341</v>
      </c>
      <c r="C1072" s="10" t="s">
        <v>1512</v>
      </c>
      <c r="D1072" s="388">
        <v>45267</v>
      </c>
      <c r="E1072" s="389">
        <v>45267</v>
      </c>
      <c r="F1072" s="390" t="str">
        <f t="shared" si="20"/>
        <v>Other</v>
      </c>
      <c r="G1072" s="135">
        <v>2.76471081710787E-2</v>
      </c>
      <c r="H1072" s="135">
        <v>2.62785744672847E-2</v>
      </c>
      <c r="I1072" s="135">
        <v>2.5584710009458798E-2</v>
      </c>
      <c r="J1072" s="135">
        <v>2.50025532640499E-2</v>
      </c>
      <c r="K1072" s="135">
        <v>2.5344650769859998E-2</v>
      </c>
      <c r="L1072" s="135">
        <v>2.6624930448429101E-2</v>
      </c>
      <c r="M1072" s="135">
        <v>3.6965692830214697E-2</v>
      </c>
      <c r="N1072" s="135">
        <v>4.1650935857578099E-2</v>
      </c>
      <c r="O1072" s="135">
        <v>3.9367301375182899E-2</v>
      </c>
      <c r="P1072" s="135">
        <v>3.9639629856922598E-2</v>
      </c>
      <c r="Q1072" s="135">
        <v>4.1695948106080002E-2</v>
      </c>
      <c r="R1072" s="135">
        <v>4.2887060569663502E-2</v>
      </c>
      <c r="S1072" s="135">
        <v>4.4997726855643197E-2</v>
      </c>
      <c r="T1072" s="135">
        <v>4.6101486388439701E-2</v>
      </c>
      <c r="U1072" s="135">
        <v>4.5909271975321402E-2</v>
      </c>
      <c r="V1072" s="135">
        <v>4.4657319004925498E-2</v>
      </c>
      <c r="W1072" s="135">
        <v>4.4619800546701498E-2</v>
      </c>
      <c r="X1072" s="135">
        <v>4.9978881294706803E-2</v>
      </c>
      <c r="Y1072" s="135">
        <v>5.6592795244331501E-2</v>
      </c>
      <c r="Z1072" s="135">
        <v>6.3854259874512501E-2</v>
      </c>
      <c r="AA1072" s="135">
        <v>6.3994189688477796E-2</v>
      </c>
      <c r="AB1072" s="135">
        <v>5.4461888869153902E-2</v>
      </c>
      <c r="AC1072" s="135">
        <v>4.0694171473124097E-2</v>
      </c>
      <c r="AD1072" s="135">
        <v>3.1521698900089899E-2</v>
      </c>
      <c r="AF1072" s="243">
        <f t="shared" si="21"/>
        <v>0.3108686134467748</v>
      </c>
      <c r="AG1072" s="275">
        <f t="shared" si="22"/>
        <v>0.49194969510462139</v>
      </c>
      <c r="AH1072" s="391">
        <f t="shared" si="23"/>
        <v>0.49412289073660953</v>
      </c>
      <c r="AI1072" s="135">
        <f t="shared" si="24"/>
        <v>0.98607258584123092</v>
      </c>
    </row>
    <row r="1073" spans="1:35" ht="12.6">
      <c r="A1073" s="10" t="s">
        <v>63</v>
      </c>
      <c r="B1073" s="10">
        <v>342</v>
      </c>
      <c r="C1073" s="10" t="s">
        <v>1512</v>
      </c>
      <c r="D1073" s="388">
        <v>45268</v>
      </c>
      <c r="E1073" s="389">
        <v>45268</v>
      </c>
      <c r="F1073" s="390" t="str">
        <f t="shared" si="20"/>
        <v>Other</v>
      </c>
      <c r="G1073" s="135">
        <v>2.76471081710787E-2</v>
      </c>
      <c r="H1073" s="135">
        <v>2.62785744672847E-2</v>
      </c>
      <c r="I1073" s="135">
        <v>2.5584710009458798E-2</v>
      </c>
      <c r="J1073" s="135">
        <v>2.50025532640499E-2</v>
      </c>
      <c r="K1073" s="135">
        <v>2.5344650769859998E-2</v>
      </c>
      <c r="L1073" s="135">
        <v>2.6624930448429101E-2</v>
      </c>
      <c r="M1073" s="135">
        <v>3.6965692830214697E-2</v>
      </c>
      <c r="N1073" s="135">
        <v>4.1650935857578099E-2</v>
      </c>
      <c r="O1073" s="135">
        <v>3.9367301375182899E-2</v>
      </c>
      <c r="P1073" s="135">
        <v>3.9639629856922598E-2</v>
      </c>
      <c r="Q1073" s="135">
        <v>4.1695948106080002E-2</v>
      </c>
      <c r="R1073" s="135">
        <v>4.2887060569663502E-2</v>
      </c>
      <c r="S1073" s="135">
        <v>4.4997726855643197E-2</v>
      </c>
      <c r="T1073" s="135">
        <v>4.6101486388439701E-2</v>
      </c>
      <c r="U1073" s="135">
        <v>4.5909271975321402E-2</v>
      </c>
      <c r="V1073" s="135">
        <v>4.4657319004925498E-2</v>
      </c>
      <c r="W1073" s="135">
        <v>4.4619800546701498E-2</v>
      </c>
      <c r="X1073" s="135">
        <v>4.9978881294706803E-2</v>
      </c>
      <c r="Y1073" s="135">
        <v>5.6592795244331501E-2</v>
      </c>
      <c r="Z1073" s="135">
        <v>6.3854259874512501E-2</v>
      </c>
      <c r="AA1073" s="135">
        <v>6.3994189688477796E-2</v>
      </c>
      <c r="AB1073" s="135">
        <v>5.4461888869153902E-2</v>
      </c>
      <c r="AC1073" s="135">
        <v>4.0694171473124097E-2</v>
      </c>
      <c r="AD1073" s="135">
        <v>3.1521698900089899E-2</v>
      </c>
      <c r="AF1073" s="243">
        <f t="shared" si="21"/>
        <v>0.3108686134467748</v>
      </c>
      <c r="AG1073" s="275">
        <f t="shared" si="22"/>
        <v>0.49194969510462139</v>
      </c>
      <c r="AH1073" s="391">
        <f t="shared" si="23"/>
        <v>0.49412289073660953</v>
      </c>
      <c r="AI1073" s="135">
        <f t="shared" si="24"/>
        <v>0.98607258584123092</v>
      </c>
    </row>
    <row r="1074" spans="1:35" ht="12.6">
      <c r="A1074" s="10" t="s">
        <v>63</v>
      </c>
      <c r="B1074" s="10">
        <v>343</v>
      </c>
      <c r="C1074" s="10" t="s">
        <v>1512</v>
      </c>
      <c r="D1074" s="388">
        <v>45269</v>
      </c>
      <c r="E1074" s="389">
        <v>45269</v>
      </c>
      <c r="F1074" s="390" t="str">
        <f t="shared" si="20"/>
        <v>Other</v>
      </c>
      <c r="G1074" s="135">
        <v>3.02249236828823E-2</v>
      </c>
      <c r="H1074" s="135">
        <v>2.65288462772971E-2</v>
      </c>
      <c r="I1074" s="135">
        <v>2.5145917074864601E-2</v>
      </c>
      <c r="J1074" s="135">
        <v>2.4408777352441499E-2</v>
      </c>
      <c r="K1074" s="135">
        <v>2.4842477171432301E-2</v>
      </c>
      <c r="L1074" s="135">
        <v>2.5530836650180001E-2</v>
      </c>
      <c r="M1074" s="135">
        <v>3.1791489082233497E-2</v>
      </c>
      <c r="N1074" s="135">
        <v>4.0981642760216798E-2</v>
      </c>
      <c r="O1074" s="135">
        <v>3.9671341845700203E-2</v>
      </c>
      <c r="P1074" s="135">
        <v>4.2385623903080698E-2</v>
      </c>
      <c r="Q1074" s="135">
        <v>4.6226801762819E-2</v>
      </c>
      <c r="R1074" s="135">
        <v>4.8969350413243802E-2</v>
      </c>
      <c r="S1074" s="135">
        <v>4.8684292656016502E-2</v>
      </c>
      <c r="T1074" s="135">
        <v>5.10937011472168E-2</v>
      </c>
      <c r="U1074" s="135">
        <v>5.2849881605689097E-2</v>
      </c>
      <c r="V1074" s="135">
        <v>5.2864630338031598E-2</v>
      </c>
      <c r="W1074" s="135">
        <v>5.2114686921837301E-2</v>
      </c>
      <c r="X1074" s="135">
        <v>5.3932536426095398E-2</v>
      </c>
      <c r="Y1074" s="135">
        <v>5.8168722198650699E-2</v>
      </c>
      <c r="Z1074" s="135">
        <v>6.2348960693243902E-2</v>
      </c>
      <c r="AA1074" s="135">
        <v>6.1459218411883898E-2</v>
      </c>
      <c r="AB1074" s="135">
        <v>5.2533760995209601E-2</v>
      </c>
      <c r="AC1074" s="135">
        <v>4.0061294496834599E-2</v>
      </c>
      <c r="AD1074" s="135">
        <v>3.3219280801326898E-2</v>
      </c>
      <c r="AF1074" s="243">
        <f t="shared" si="21"/>
        <v>0.35280334484485409</v>
      </c>
      <c r="AG1074" s="275">
        <f t="shared" si="22"/>
        <v>0.51936103525828403</v>
      </c>
      <c r="AH1074" s="391">
        <f t="shared" si="23"/>
        <v>0.50667795941014404</v>
      </c>
      <c r="AI1074" s="135">
        <f t="shared" si="24"/>
        <v>1.0260389946684281</v>
      </c>
    </row>
    <row r="1075" spans="1:35" ht="12.6">
      <c r="A1075" s="10" t="s">
        <v>63</v>
      </c>
      <c r="B1075" s="10">
        <v>344</v>
      </c>
      <c r="C1075" s="10" t="s">
        <v>1512</v>
      </c>
      <c r="D1075" s="388">
        <v>45270</v>
      </c>
      <c r="E1075" s="389">
        <v>45270</v>
      </c>
      <c r="F1075" s="390" t="str">
        <f t="shared" si="20"/>
        <v>Other</v>
      </c>
      <c r="G1075" s="135">
        <v>3.02249236828823E-2</v>
      </c>
      <c r="H1075" s="135">
        <v>2.65288462772971E-2</v>
      </c>
      <c r="I1075" s="135">
        <v>2.5145917074864601E-2</v>
      </c>
      <c r="J1075" s="135">
        <v>2.4408777352441499E-2</v>
      </c>
      <c r="K1075" s="135">
        <v>2.4842477171432301E-2</v>
      </c>
      <c r="L1075" s="135">
        <v>2.5530836650180001E-2</v>
      </c>
      <c r="M1075" s="135">
        <v>3.1791489082233497E-2</v>
      </c>
      <c r="N1075" s="135">
        <v>4.0981642760216798E-2</v>
      </c>
      <c r="O1075" s="135">
        <v>3.9671341845700203E-2</v>
      </c>
      <c r="P1075" s="135">
        <v>4.2385623903080698E-2</v>
      </c>
      <c r="Q1075" s="135">
        <v>4.6226801762819E-2</v>
      </c>
      <c r="R1075" s="135">
        <v>4.8969350413243802E-2</v>
      </c>
      <c r="S1075" s="135">
        <v>4.8684292656016502E-2</v>
      </c>
      <c r="T1075" s="135">
        <v>5.10937011472168E-2</v>
      </c>
      <c r="U1075" s="135">
        <v>5.2849881605689097E-2</v>
      </c>
      <c r="V1075" s="135">
        <v>5.2864630338031598E-2</v>
      </c>
      <c r="W1075" s="135">
        <v>5.2114686921837301E-2</v>
      </c>
      <c r="X1075" s="135">
        <v>5.3932536426095398E-2</v>
      </c>
      <c r="Y1075" s="135">
        <v>5.8168722198650699E-2</v>
      </c>
      <c r="Z1075" s="135">
        <v>6.2348960693243902E-2</v>
      </c>
      <c r="AA1075" s="135">
        <v>6.1459218411883898E-2</v>
      </c>
      <c r="AB1075" s="135">
        <v>5.2533760995209601E-2</v>
      </c>
      <c r="AC1075" s="135">
        <v>4.0061294496834599E-2</v>
      </c>
      <c r="AD1075" s="135">
        <v>3.3219280801326898E-2</v>
      </c>
      <c r="AF1075" s="243">
        <f t="shared" si="21"/>
        <v>0.35280334484485409</v>
      </c>
      <c r="AG1075" s="275">
        <f t="shared" si="22"/>
        <v>0.51936103525828403</v>
      </c>
      <c r="AH1075" s="391">
        <f t="shared" si="23"/>
        <v>0.50667795941014404</v>
      </c>
      <c r="AI1075" s="135">
        <f t="shared" si="24"/>
        <v>1.0260389946684281</v>
      </c>
    </row>
    <row r="1076" spans="1:35" ht="12.6">
      <c r="A1076" s="10" t="s">
        <v>63</v>
      </c>
      <c r="B1076" s="10">
        <v>345</v>
      </c>
      <c r="C1076" s="10" t="s">
        <v>1512</v>
      </c>
      <c r="D1076" s="388">
        <v>45271</v>
      </c>
      <c r="E1076" s="389">
        <v>45271</v>
      </c>
      <c r="F1076" s="390" t="str">
        <f t="shared" si="20"/>
        <v>Other</v>
      </c>
      <c r="G1076" s="135">
        <v>2.76471081710787E-2</v>
      </c>
      <c r="H1076" s="135">
        <v>2.62785744672847E-2</v>
      </c>
      <c r="I1076" s="135">
        <v>2.5584710009458798E-2</v>
      </c>
      <c r="J1076" s="135">
        <v>2.50025532640499E-2</v>
      </c>
      <c r="K1076" s="135">
        <v>2.5344650769859998E-2</v>
      </c>
      <c r="L1076" s="135">
        <v>2.6624930448429101E-2</v>
      </c>
      <c r="M1076" s="135">
        <v>3.6965692830214697E-2</v>
      </c>
      <c r="N1076" s="135">
        <v>4.1650935857578099E-2</v>
      </c>
      <c r="O1076" s="135">
        <v>3.9367301375182899E-2</v>
      </c>
      <c r="P1076" s="135">
        <v>3.9639629856922598E-2</v>
      </c>
      <c r="Q1076" s="135">
        <v>4.1695948106080002E-2</v>
      </c>
      <c r="R1076" s="135">
        <v>4.2887060569663502E-2</v>
      </c>
      <c r="S1076" s="135">
        <v>4.4997726855643197E-2</v>
      </c>
      <c r="T1076" s="135">
        <v>4.6101486388439701E-2</v>
      </c>
      <c r="U1076" s="135">
        <v>4.5909271975321402E-2</v>
      </c>
      <c r="V1076" s="135">
        <v>4.4657319004925498E-2</v>
      </c>
      <c r="W1076" s="135">
        <v>4.4619800546701498E-2</v>
      </c>
      <c r="X1076" s="135">
        <v>4.9978881294706803E-2</v>
      </c>
      <c r="Y1076" s="135">
        <v>5.6592795244331501E-2</v>
      </c>
      <c r="Z1076" s="135">
        <v>6.3854259874512501E-2</v>
      </c>
      <c r="AA1076" s="135">
        <v>6.3994189688477796E-2</v>
      </c>
      <c r="AB1076" s="135">
        <v>5.4461888869153902E-2</v>
      </c>
      <c r="AC1076" s="135">
        <v>4.0694171473124097E-2</v>
      </c>
      <c r="AD1076" s="135">
        <v>3.1521698900089899E-2</v>
      </c>
      <c r="AF1076" s="243">
        <f t="shared" si="21"/>
        <v>0.3108686134467748</v>
      </c>
      <c r="AG1076" s="275">
        <f t="shared" si="22"/>
        <v>0.49194969510462139</v>
      </c>
      <c r="AH1076" s="391">
        <f t="shared" si="23"/>
        <v>0.49412289073660953</v>
      </c>
      <c r="AI1076" s="135">
        <f t="shared" si="24"/>
        <v>0.98607258584123092</v>
      </c>
    </row>
    <row r="1077" spans="1:35" ht="12.6">
      <c r="A1077" s="10" t="s">
        <v>63</v>
      </c>
      <c r="B1077" s="10">
        <v>346</v>
      </c>
      <c r="C1077" s="10" t="s">
        <v>1512</v>
      </c>
      <c r="D1077" s="388">
        <v>45272</v>
      </c>
      <c r="E1077" s="389">
        <v>45272</v>
      </c>
      <c r="F1077" s="390" t="str">
        <f t="shared" si="20"/>
        <v>Other</v>
      </c>
      <c r="G1077" s="135">
        <v>2.76471081710787E-2</v>
      </c>
      <c r="H1077" s="135">
        <v>2.62785744672847E-2</v>
      </c>
      <c r="I1077" s="135">
        <v>2.5584710009458798E-2</v>
      </c>
      <c r="J1077" s="135">
        <v>2.50025532640499E-2</v>
      </c>
      <c r="K1077" s="135">
        <v>2.5344650769859998E-2</v>
      </c>
      <c r="L1077" s="135">
        <v>2.6624930448429101E-2</v>
      </c>
      <c r="M1077" s="135">
        <v>3.6965692830214697E-2</v>
      </c>
      <c r="N1077" s="135">
        <v>4.1650935857578099E-2</v>
      </c>
      <c r="O1077" s="135">
        <v>3.9367301375182899E-2</v>
      </c>
      <c r="P1077" s="135">
        <v>3.9639629856922598E-2</v>
      </c>
      <c r="Q1077" s="135">
        <v>4.1695948106080002E-2</v>
      </c>
      <c r="R1077" s="135">
        <v>4.2887060569663502E-2</v>
      </c>
      <c r="S1077" s="135">
        <v>4.4997726855643197E-2</v>
      </c>
      <c r="T1077" s="135">
        <v>4.6101486388439701E-2</v>
      </c>
      <c r="U1077" s="135">
        <v>4.5909271975321402E-2</v>
      </c>
      <c r="V1077" s="135">
        <v>4.4657319004925498E-2</v>
      </c>
      <c r="W1077" s="135">
        <v>4.4619800546701498E-2</v>
      </c>
      <c r="X1077" s="135">
        <v>4.9978881294706803E-2</v>
      </c>
      <c r="Y1077" s="135">
        <v>5.6592795244331501E-2</v>
      </c>
      <c r="Z1077" s="135">
        <v>6.3854259874512501E-2</v>
      </c>
      <c r="AA1077" s="135">
        <v>6.3994189688477796E-2</v>
      </c>
      <c r="AB1077" s="135">
        <v>5.4461888869153902E-2</v>
      </c>
      <c r="AC1077" s="135">
        <v>4.0694171473124097E-2</v>
      </c>
      <c r="AD1077" s="135">
        <v>3.1521698900089899E-2</v>
      </c>
      <c r="AF1077" s="243">
        <f t="shared" si="21"/>
        <v>0.3108686134467748</v>
      </c>
      <c r="AG1077" s="275">
        <f t="shared" si="22"/>
        <v>0.49194969510462139</v>
      </c>
      <c r="AH1077" s="391">
        <f t="shared" si="23"/>
        <v>0.49412289073660953</v>
      </c>
      <c r="AI1077" s="135">
        <f t="shared" si="24"/>
        <v>0.98607258584123092</v>
      </c>
    </row>
    <row r="1078" spans="1:35" ht="12.6">
      <c r="A1078" s="10" t="s">
        <v>63</v>
      </c>
      <c r="B1078" s="10">
        <v>347</v>
      </c>
      <c r="C1078" s="10" t="s">
        <v>1512</v>
      </c>
      <c r="D1078" s="388">
        <v>45273</v>
      </c>
      <c r="E1078" s="389">
        <v>45273</v>
      </c>
      <c r="F1078" s="390" t="str">
        <f t="shared" si="20"/>
        <v>Other</v>
      </c>
      <c r="G1078" s="135">
        <v>2.76471081710787E-2</v>
      </c>
      <c r="H1078" s="135">
        <v>2.62785744672847E-2</v>
      </c>
      <c r="I1078" s="135">
        <v>2.5584710009458798E-2</v>
      </c>
      <c r="J1078" s="135">
        <v>2.50025532640499E-2</v>
      </c>
      <c r="K1078" s="135">
        <v>2.5344650769859998E-2</v>
      </c>
      <c r="L1078" s="135">
        <v>2.6624930448429101E-2</v>
      </c>
      <c r="M1078" s="135">
        <v>3.6965692830214697E-2</v>
      </c>
      <c r="N1078" s="135">
        <v>4.1650935857578099E-2</v>
      </c>
      <c r="O1078" s="135">
        <v>3.9367301375182899E-2</v>
      </c>
      <c r="P1078" s="135">
        <v>3.9639629856922598E-2</v>
      </c>
      <c r="Q1078" s="135">
        <v>4.1695948106080002E-2</v>
      </c>
      <c r="R1078" s="135">
        <v>4.2887060569663502E-2</v>
      </c>
      <c r="S1078" s="135">
        <v>4.4997726855643197E-2</v>
      </c>
      <c r="T1078" s="135">
        <v>4.6101486388439701E-2</v>
      </c>
      <c r="U1078" s="135">
        <v>4.5909271975321402E-2</v>
      </c>
      <c r="V1078" s="135">
        <v>4.4657319004925498E-2</v>
      </c>
      <c r="W1078" s="135">
        <v>4.4619800546701498E-2</v>
      </c>
      <c r="X1078" s="135">
        <v>4.9978881294706803E-2</v>
      </c>
      <c r="Y1078" s="135">
        <v>5.6592795244331501E-2</v>
      </c>
      <c r="Z1078" s="135">
        <v>6.3854259874512501E-2</v>
      </c>
      <c r="AA1078" s="135">
        <v>6.3994189688477796E-2</v>
      </c>
      <c r="AB1078" s="135">
        <v>5.4461888869153902E-2</v>
      </c>
      <c r="AC1078" s="135">
        <v>4.0694171473124097E-2</v>
      </c>
      <c r="AD1078" s="135">
        <v>3.1521698900089899E-2</v>
      </c>
      <c r="AF1078" s="243">
        <f t="shared" si="21"/>
        <v>0.3108686134467748</v>
      </c>
      <c r="AG1078" s="275">
        <f t="shared" si="22"/>
        <v>0.49194969510462139</v>
      </c>
      <c r="AH1078" s="391">
        <f t="shared" si="23"/>
        <v>0.49412289073660953</v>
      </c>
      <c r="AI1078" s="135">
        <f t="shared" si="24"/>
        <v>0.98607258584123092</v>
      </c>
    </row>
    <row r="1079" spans="1:35" ht="12.6">
      <c r="A1079" s="10" t="s">
        <v>63</v>
      </c>
      <c r="B1079" s="10">
        <v>348</v>
      </c>
      <c r="C1079" s="10" t="s">
        <v>1512</v>
      </c>
      <c r="D1079" s="388">
        <v>45274</v>
      </c>
      <c r="E1079" s="389">
        <v>45274</v>
      </c>
      <c r="F1079" s="390" t="str">
        <f t="shared" si="20"/>
        <v>Other</v>
      </c>
      <c r="G1079" s="135">
        <v>2.76471081710787E-2</v>
      </c>
      <c r="H1079" s="135">
        <v>2.62785744672847E-2</v>
      </c>
      <c r="I1079" s="135">
        <v>2.5584710009458798E-2</v>
      </c>
      <c r="J1079" s="135">
        <v>2.50025532640499E-2</v>
      </c>
      <c r="K1079" s="135">
        <v>2.5344650769859998E-2</v>
      </c>
      <c r="L1079" s="135">
        <v>2.6624930448429101E-2</v>
      </c>
      <c r="M1079" s="135">
        <v>3.6965692830214697E-2</v>
      </c>
      <c r="N1079" s="135">
        <v>4.1650935857578099E-2</v>
      </c>
      <c r="O1079" s="135">
        <v>3.9367301375182899E-2</v>
      </c>
      <c r="P1079" s="135">
        <v>3.9639629856922598E-2</v>
      </c>
      <c r="Q1079" s="135">
        <v>4.1695948106080002E-2</v>
      </c>
      <c r="R1079" s="135">
        <v>4.2887060569663502E-2</v>
      </c>
      <c r="S1079" s="135">
        <v>4.4997726855643197E-2</v>
      </c>
      <c r="T1079" s="135">
        <v>4.6101486388439701E-2</v>
      </c>
      <c r="U1079" s="135">
        <v>4.5909271975321402E-2</v>
      </c>
      <c r="V1079" s="135">
        <v>4.4657319004925498E-2</v>
      </c>
      <c r="W1079" s="135">
        <v>4.4619800546701498E-2</v>
      </c>
      <c r="X1079" s="135">
        <v>4.9978881294706803E-2</v>
      </c>
      <c r="Y1079" s="135">
        <v>5.6592795244331501E-2</v>
      </c>
      <c r="Z1079" s="135">
        <v>6.3854259874512501E-2</v>
      </c>
      <c r="AA1079" s="135">
        <v>6.3994189688477796E-2</v>
      </c>
      <c r="AB1079" s="135">
        <v>5.4461888869153902E-2</v>
      </c>
      <c r="AC1079" s="135">
        <v>4.0694171473124097E-2</v>
      </c>
      <c r="AD1079" s="135">
        <v>3.1521698900089899E-2</v>
      </c>
      <c r="AF1079" s="243">
        <f t="shared" si="21"/>
        <v>0.3108686134467748</v>
      </c>
      <c r="AG1079" s="275">
        <f t="shared" si="22"/>
        <v>0.49194969510462139</v>
      </c>
      <c r="AH1079" s="391">
        <f t="shared" si="23"/>
        <v>0.49412289073660953</v>
      </c>
      <c r="AI1079" s="135">
        <f t="shared" si="24"/>
        <v>0.98607258584123092</v>
      </c>
    </row>
    <row r="1080" spans="1:35" ht="12.6">
      <c r="A1080" s="10" t="s">
        <v>63</v>
      </c>
      <c r="B1080" s="10">
        <v>349</v>
      </c>
      <c r="C1080" s="10" t="s">
        <v>1512</v>
      </c>
      <c r="D1080" s="388">
        <v>45275</v>
      </c>
      <c r="E1080" s="389">
        <v>45275</v>
      </c>
      <c r="F1080" s="390" t="str">
        <f t="shared" si="20"/>
        <v>Other</v>
      </c>
      <c r="G1080" s="135">
        <v>2.76471081710787E-2</v>
      </c>
      <c r="H1080" s="135">
        <v>2.62785744672847E-2</v>
      </c>
      <c r="I1080" s="135">
        <v>2.5584710009458798E-2</v>
      </c>
      <c r="J1080" s="135">
        <v>2.50025532640499E-2</v>
      </c>
      <c r="K1080" s="135">
        <v>2.5344650769859998E-2</v>
      </c>
      <c r="L1080" s="135">
        <v>2.6624930448429101E-2</v>
      </c>
      <c r="M1080" s="135">
        <v>3.6965692830214697E-2</v>
      </c>
      <c r="N1080" s="135">
        <v>4.1650935857578099E-2</v>
      </c>
      <c r="O1080" s="135">
        <v>3.9367301375182899E-2</v>
      </c>
      <c r="P1080" s="135">
        <v>3.9639629856922598E-2</v>
      </c>
      <c r="Q1080" s="135">
        <v>4.1695948106080002E-2</v>
      </c>
      <c r="R1080" s="135">
        <v>4.2887060569663502E-2</v>
      </c>
      <c r="S1080" s="135">
        <v>4.4997726855643197E-2</v>
      </c>
      <c r="T1080" s="135">
        <v>4.6101486388439701E-2</v>
      </c>
      <c r="U1080" s="135">
        <v>4.5909271975321402E-2</v>
      </c>
      <c r="V1080" s="135">
        <v>4.4657319004925498E-2</v>
      </c>
      <c r="W1080" s="135">
        <v>4.4619800546701498E-2</v>
      </c>
      <c r="X1080" s="135">
        <v>4.9978881294706803E-2</v>
      </c>
      <c r="Y1080" s="135">
        <v>5.6592795244331501E-2</v>
      </c>
      <c r="Z1080" s="135">
        <v>6.3854259874512501E-2</v>
      </c>
      <c r="AA1080" s="135">
        <v>6.3994189688477796E-2</v>
      </c>
      <c r="AB1080" s="135">
        <v>5.4461888869153902E-2</v>
      </c>
      <c r="AC1080" s="135">
        <v>4.0694171473124097E-2</v>
      </c>
      <c r="AD1080" s="135">
        <v>3.1521698900089899E-2</v>
      </c>
      <c r="AF1080" s="243">
        <f t="shared" si="21"/>
        <v>0.3108686134467748</v>
      </c>
      <c r="AG1080" s="275">
        <f t="shared" si="22"/>
        <v>0.49194969510462139</v>
      </c>
      <c r="AH1080" s="391">
        <f t="shared" si="23"/>
        <v>0.49412289073660953</v>
      </c>
      <c r="AI1080" s="135">
        <f t="shared" si="24"/>
        <v>0.98607258584123092</v>
      </c>
    </row>
    <row r="1081" spans="1:35" ht="12.6">
      <c r="A1081" s="10" t="s">
        <v>63</v>
      </c>
      <c r="B1081" s="10">
        <v>350</v>
      </c>
      <c r="C1081" s="10" t="s">
        <v>1512</v>
      </c>
      <c r="D1081" s="388">
        <v>45276</v>
      </c>
      <c r="E1081" s="389">
        <v>45276</v>
      </c>
      <c r="F1081" s="390" t="str">
        <f t="shared" si="20"/>
        <v>Other</v>
      </c>
      <c r="G1081" s="135">
        <v>3.02249236828823E-2</v>
      </c>
      <c r="H1081" s="135">
        <v>2.65288462772971E-2</v>
      </c>
      <c r="I1081" s="135">
        <v>2.5145917074864601E-2</v>
      </c>
      <c r="J1081" s="135">
        <v>2.4408777352441499E-2</v>
      </c>
      <c r="K1081" s="135">
        <v>2.4842477171432301E-2</v>
      </c>
      <c r="L1081" s="135">
        <v>2.5530836650180001E-2</v>
      </c>
      <c r="M1081" s="135">
        <v>3.1791489082233497E-2</v>
      </c>
      <c r="N1081" s="135">
        <v>4.0981642760216798E-2</v>
      </c>
      <c r="O1081" s="135">
        <v>3.9671341845700203E-2</v>
      </c>
      <c r="P1081" s="135">
        <v>4.2385623903080698E-2</v>
      </c>
      <c r="Q1081" s="135">
        <v>4.6226801762819E-2</v>
      </c>
      <c r="R1081" s="135">
        <v>4.8969350413243802E-2</v>
      </c>
      <c r="S1081" s="135">
        <v>4.8684292656016502E-2</v>
      </c>
      <c r="T1081" s="135">
        <v>5.10937011472168E-2</v>
      </c>
      <c r="U1081" s="135">
        <v>5.2849881605689097E-2</v>
      </c>
      <c r="V1081" s="135">
        <v>5.2864630338031598E-2</v>
      </c>
      <c r="W1081" s="135">
        <v>5.2114686921837301E-2</v>
      </c>
      <c r="X1081" s="135">
        <v>5.3932536426095398E-2</v>
      </c>
      <c r="Y1081" s="135">
        <v>5.8168722198650699E-2</v>
      </c>
      <c r="Z1081" s="135">
        <v>6.2348960693243902E-2</v>
      </c>
      <c r="AA1081" s="135">
        <v>6.1459218411883898E-2</v>
      </c>
      <c r="AB1081" s="135">
        <v>5.2533760995209601E-2</v>
      </c>
      <c r="AC1081" s="135">
        <v>4.0061294496834599E-2</v>
      </c>
      <c r="AD1081" s="135">
        <v>3.3219280801326898E-2</v>
      </c>
      <c r="AF1081" s="243">
        <f t="shared" si="21"/>
        <v>0.35280334484485409</v>
      </c>
      <c r="AG1081" s="275">
        <f t="shared" si="22"/>
        <v>0.51936103525828403</v>
      </c>
      <c r="AH1081" s="391">
        <f t="shared" si="23"/>
        <v>0.50667795941014404</v>
      </c>
      <c r="AI1081" s="135">
        <f t="shared" si="24"/>
        <v>1.0260389946684281</v>
      </c>
    </row>
    <row r="1082" spans="1:35" ht="12.6">
      <c r="A1082" s="10" t="s">
        <v>63</v>
      </c>
      <c r="B1082" s="10">
        <v>351</v>
      </c>
      <c r="C1082" s="10" t="s">
        <v>1512</v>
      </c>
      <c r="D1082" s="388">
        <v>45277</v>
      </c>
      <c r="E1082" s="389">
        <v>45277</v>
      </c>
      <c r="F1082" s="390" t="str">
        <f t="shared" si="20"/>
        <v>Other</v>
      </c>
      <c r="G1082" s="135">
        <v>3.02249236828823E-2</v>
      </c>
      <c r="H1082" s="135">
        <v>2.65288462772971E-2</v>
      </c>
      <c r="I1082" s="135">
        <v>2.5145917074864601E-2</v>
      </c>
      <c r="J1082" s="135">
        <v>2.4408777352441499E-2</v>
      </c>
      <c r="K1082" s="135">
        <v>2.4842477171432301E-2</v>
      </c>
      <c r="L1082" s="135">
        <v>2.5530836650180001E-2</v>
      </c>
      <c r="M1082" s="135">
        <v>3.1791489082233497E-2</v>
      </c>
      <c r="N1082" s="135">
        <v>4.0981642760216798E-2</v>
      </c>
      <c r="O1082" s="135">
        <v>3.9671341845700203E-2</v>
      </c>
      <c r="P1082" s="135">
        <v>4.2385623903080698E-2</v>
      </c>
      <c r="Q1082" s="135">
        <v>4.6226801762819E-2</v>
      </c>
      <c r="R1082" s="135">
        <v>4.8969350413243802E-2</v>
      </c>
      <c r="S1082" s="135">
        <v>4.8684292656016502E-2</v>
      </c>
      <c r="T1082" s="135">
        <v>5.10937011472168E-2</v>
      </c>
      <c r="U1082" s="135">
        <v>5.2849881605689097E-2</v>
      </c>
      <c r="V1082" s="135">
        <v>5.2864630338031598E-2</v>
      </c>
      <c r="W1082" s="135">
        <v>5.2114686921837301E-2</v>
      </c>
      <c r="X1082" s="135">
        <v>5.3932536426095398E-2</v>
      </c>
      <c r="Y1082" s="135">
        <v>5.8168722198650699E-2</v>
      </c>
      <c r="Z1082" s="135">
        <v>6.2348960693243902E-2</v>
      </c>
      <c r="AA1082" s="135">
        <v>6.1459218411883898E-2</v>
      </c>
      <c r="AB1082" s="135">
        <v>5.2533760995209601E-2</v>
      </c>
      <c r="AC1082" s="135">
        <v>4.0061294496834599E-2</v>
      </c>
      <c r="AD1082" s="135">
        <v>3.3219280801326898E-2</v>
      </c>
      <c r="AF1082" s="243">
        <f t="shared" si="21"/>
        <v>0.35280334484485409</v>
      </c>
      <c r="AG1082" s="275">
        <f t="shared" si="22"/>
        <v>0.51936103525828403</v>
      </c>
      <c r="AH1082" s="391">
        <f t="shared" si="23"/>
        <v>0.50667795941014404</v>
      </c>
      <c r="AI1082" s="135">
        <f t="shared" si="24"/>
        <v>1.0260389946684281</v>
      </c>
    </row>
    <row r="1083" spans="1:35" ht="12.6">
      <c r="A1083" s="10" t="s">
        <v>63</v>
      </c>
      <c r="B1083" s="10">
        <v>352</v>
      </c>
      <c r="C1083" s="10" t="s">
        <v>1512</v>
      </c>
      <c r="D1083" s="388">
        <v>45278</v>
      </c>
      <c r="E1083" s="389">
        <v>45278</v>
      </c>
      <c r="F1083" s="390" t="str">
        <f t="shared" si="20"/>
        <v>Other</v>
      </c>
      <c r="G1083" s="135">
        <v>2.76471081710787E-2</v>
      </c>
      <c r="H1083" s="135">
        <v>2.62785744672847E-2</v>
      </c>
      <c r="I1083" s="135">
        <v>2.5584710009458798E-2</v>
      </c>
      <c r="J1083" s="135">
        <v>2.50025532640499E-2</v>
      </c>
      <c r="K1083" s="135">
        <v>2.5344650769859998E-2</v>
      </c>
      <c r="L1083" s="135">
        <v>2.6624930448429101E-2</v>
      </c>
      <c r="M1083" s="135">
        <v>3.6965692830214697E-2</v>
      </c>
      <c r="N1083" s="135">
        <v>4.1650935857578099E-2</v>
      </c>
      <c r="O1083" s="135">
        <v>3.9367301375182899E-2</v>
      </c>
      <c r="P1083" s="135">
        <v>3.9639629856922598E-2</v>
      </c>
      <c r="Q1083" s="135">
        <v>4.1695948106080002E-2</v>
      </c>
      <c r="R1083" s="135">
        <v>4.2887060569663502E-2</v>
      </c>
      <c r="S1083" s="135">
        <v>4.4997726855643197E-2</v>
      </c>
      <c r="T1083" s="135">
        <v>4.6101486388439701E-2</v>
      </c>
      <c r="U1083" s="135">
        <v>4.5909271975321402E-2</v>
      </c>
      <c r="V1083" s="135">
        <v>4.4657319004925498E-2</v>
      </c>
      <c r="W1083" s="135">
        <v>4.4619800546701498E-2</v>
      </c>
      <c r="X1083" s="135">
        <v>4.9978881294706803E-2</v>
      </c>
      <c r="Y1083" s="135">
        <v>5.6592795244331501E-2</v>
      </c>
      <c r="Z1083" s="135">
        <v>6.3854259874512501E-2</v>
      </c>
      <c r="AA1083" s="135">
        <v>6.3994189688477796E-2</v>
      </c>
      <c r="AB1083" s="135">
        <v>5.4461888869153902E-2</v>
      </c>
      <c r="AC1083" s="135">
        <v>4.0694171473124097E-2</v>
      </c>
      <c r="AD1083" s="135">
        <v>3.1521698900089899E-2</v>
      </c>
      <c r="AF1083" s="243">
        <f t="shared" si="21"/>
        <v>0.3108686134467748</v>
      </c>
      <c r="AG1083" s="275">
        <f t="shared" si="22"/>
        <v>0.49194969510462139</v>
      </c>
      <c r="AH1083" s="391">
        <f t="shared" si="23"/>
        <v>0.49412289073660953</v>
      </c>
      <c r="AI1083" s="135">
        <f t="shared" si="24"/>
        <v>0.98607258584123092</v>
      </c>
    </row>
    <row r="1084" spans="1:35" ht="12.6">
      <c r="A1084" s="10" t="s">
        <v>63</v>
      </c>
      <c r="B1084" s="10">
        <v>353</v>
      </c>
      <c r="C1084" s="10" t="s">
        <v>1512</v>
      </c>
      <c r="D1084" s="388">
        <v>45279</v>
      </c>
      <c r="E1084" s="389">
        <v>45279</v>
      </c>
      <c r="F1084" s="390" t="str">
        <f t="shared" si="20"/>
        <v>Other</v>
      </c>
      <c r="G1084" s="135">
        <v>2.76471081710787E-2</v>
      </c>
      <c r="H1084" s="135">
        <v>2.62785744672847E-2</v>
      </c>
      <c r="I1084" s="135">
        <v>2.5584710009458798E-2</v>
      </c>
      <c r="J1084" s="135">
        <v>2.50025532640499E-2</v>
      </c>
      <c r="K1084" s="135">
        <v>2.5344650769859998E-2</v>
      </c>
      <c r="L1084" s="135">
        <v>2.6624930448429101E-2</v>
      </c>
      <c r="M1084" s="135">
        <v>3.6965692830214697E-2</v>
      </c>
      <c r="N1084" s="135">
        <v>4.1650935857578099E-2</v>
      </c>
      <c r="O1084" s="135">
        <v>3.9367301375182899E-2</v>
      </c>
      <c r="P1084" s="135">
        <v>3.9639629856922598E-2</v>
      </c>
      <c r="Q1084" s="135">
        <v>4.1695948106080002E-2</v>
      </c>
      <c r="R1084" s="135">
        <v>4.2887060569663502E-2</v>
      </c>
      <c r="S1084" s="135">
        <v>4.4997726855643197E-2</v>
      </c>
      <c r="T1084" s="135">
        <v>4.6101486388439701E-2</v>
      </c>
      <c r="U1084" s="135">
        <v>4.5909271975321402E-2</v>
      </c>
      <c r="V1084" s="135">
        <v>4.4657319004925498E-2</v>
      </c>
      <c r="W1084" s="135">
        <v>4.4619800546701498E-2</v>
      </c>
      <c r="X1084" s="135">
        <v>4.9978881294706803E-2</v>
      </c>
      <c r="Y1084" s="135">
        <v>5.6592795244331501E-2</v>
      </c>
      <c r="Z1084" s="135">
        <v>6.3854259874512501E-2</v>
      </c>
      <c r="AA1084" s="135">
        <v>6.3994189688477796E-2</v>
      </c>
      <c r="AB1084" s="135">
        <v>5.4461888869153902E-2</v>
      </c>
      <c r="AC1084" s="135">
        <v>4.0694171473124097E-2</v>
      </c>
      <c r="AD1084" s="135">
        <v>3.1521698900089899E-2</v>
      </c>
      <c r="AF1084" s="243">
        <f t="shared" si="21"/>
        <v>0.3108686134467748</v>
      </c>
      <c r="AG1084" s="275">
        <f t="shared" si="22"/>
        <v>0.49194969510462139</v>
      </c>
      <c r="AH1084" s="391">
        <f t="shared" si="23"/>
        <v>0.49412289073660953</v>
      </c>
      <c r="AI1084" s="135">
        <f t="shared" si="24"/>
        <v>0.98607258584123092</v>
      </c>
    </row>
    <row r="1085" spans="1:35" ht="12.6">
      <c r="A1085" s="10" t="s">
        <v>63</v>
      </c>
      <c r="B1085" s="10">
        <v>354</v>
      </c>
      <c r="C1085" s="10" t="s">
        <v>1512</v>
      </c>
      <c r="D1085" s="388">
        <v>45280</v>
      </c>
      <c r="E1085" s="389">
        <v>45280</v>
      </c>
      <c r="F1085" s="390" t="str">
        <f t="shared" si="20"/>
        <v>Other</v>
      </c>
      <c r="G1085" s="135">
        <v>2.76471081710787E-2</v>
      </c>
      <c r="H1085" s="135">
        <v>2.62785744672847E-2</v>
      </c>
      <c r="I1085" s="135">
        <v>2.5584710009458798E-2</v>
      </c>
      <c r="J1085" s="135">
        <v>2.50025532640499E-2</v>
      </c>
      <c r="K1085" s="135">
        <v>2.5344650769859998E-2</v>
      </c>
      <c r="L1085" s="135">
        <v>2.6624930448429101E-2</v>
      </c>
      <c r="M1085" s="135">
        <v>3.6965692830214697E-2</v>
      </c>
      <c r="N1085" s="135">
        <v>4.1650935857578099E-2</v>
      </c>
      <c r="O1085" s="135">
        <v>3.9367301375182899E-2</v>
      </c>
      <c r="P1085" s="135">
        <v>3.9639629856922598E-2</v>
      </c>
      <c r="Q1085" s="135">
        <v>4.1695948106080002E-2</v>
      </c>
      <c r="R1085" s="135">
        <v>4.2887060569663502E-2</v>
      </c>
      <c r="S1085" s="135">
        <v>4.4997726855643197E-2</v>
      </c>
      <c r="T1085" s="135">
        <v>4.6101486388439701E-2</v>
      </c>
      <c r="U1085" s="135">
        <v>4.5909271975321402E-2</v>
      </c>
      <c r="V1085" s="135">
        <v>4.4657319004925498E-2</v>
      </c>
      <c r="W1085" s="135">
        <v>4.4619800546701498E-2</v>
      </c>
      <c r="X1085" s="135">
        <v>4.9978881294706803E-2</v>
      </c>
      <c r="Y1085" s="135">
        <v>5.6592795244331501E-2</v>
      </c>
      <c r="Z1085" s="135">
        <v>6.3854259874512501E-2</v>
      </c>
      <c r="AA1085" s="135">
        <v>6.3994189688477796E-2</v>
      </c>
      <c r="AB1085" s="135">
        <v>5.4461888869153902E-2</v>
      </c>
      <c r="AC1085" s="135">
        <v>4.0694171473124097E-2</v>
      </c>
      <c r="AD1085" s="135">
        <v>3.1521698900089899E-2</v>
      </c>
      <c r="AF1085" s="243">
        <f t="shared" si="21"/>
        <v>0.3108686134467748</v>
      </c>
      <c r="AG1085" s="275">
        <f t="shared" si="22"/>
        <v>0.49194969510462139</v>
      </c>
      <c r="AH1085" s="391">
        <f t="shared" si="23"/>
        <v>0.49412289073660953</v>
      </c>
      <c r="AI1085" s="135">
        <f t="shared" si="24"/>
        <v>0.98607258584123092</v>
      </c>
    </row>
    <row r="1086" spans="1:35" ht="12.6">
      <c r="A1086" s="10" t="s">
        <v>63</v>
      </c>
      <c r="B1086" s="10">
        <v>355</v>
      </c>
      <c r="C1086" s="10" t="s">
        <v>1512</v>
      </c>
      <c r="D1086" s="388">
        <v>45281</v>
      </c>
      <c r="E1086" s="389">
        <v>45281</v>
      </c>
      <c r="F1086" s="390" t="str">
        <f t="shared" si="20"/>
        <v>Other</v>
      </c>
      <c r="G1086" s="135">
        <v>2.76471081710787E-2</v>
      </c>
      <c r="H1086" s="135">
        <v>2.62785744672847E-2</v>
      </c>
      <c r="I1086" s="135">
        <v>2.5584710009458798E-2</v>
      </c>
      <c r="J1086" s="135">
        <v>2.50025532640499E-2</v>
      </c>
      <c r="K1086" s="135">
        <v>2.5344650769859998E-2</v>
      </c>
      <c r="L1086" s="135">
        <v>2.6624930448429101E-2</v>
      </c>
      <c r="M1086" s="135">
        <v>3.6965692830214697E-2</v>
      </c>
      <c r="N1086" s="135">
        <v>4.1650935857578099E-2</v>
      </c>
      <c r="O1086" s="135">
        <v>3.9367301375182899E-2</v>
      </c>
      <c r="P1086" s="135">
        <v>3.9639629856922598E-2</v>
      </c>
      <c r="Q1086" s="135">
        <v>4.1695948106080002E-2</v>
      </c>
      <c r="R1086" s="135">
        <v>4.2887060569663502E-2</v>
      </c>
      <c r="S1086" s="135">
        <v>4.4997726855643197E-2</v>
      </c>
      <c r="T1086" s="135">
        <v>4.6101486388439701E-2</v>
      </c>
      <c r="U1086" s="135">
        <v>4.5909271975321402E-2</v>
      </c>
      <c r="V1086" s="135">
        <v>4.4657319004925498E-2</v>
      </c>
      <c r="W1086" s="135">
        <v>4.4619800546701498E-2</v>
      </c>
      <c r="X1086" s="135">
        <v>4.9978881294706803E-2</v>
      </c>
      <c r="Y1086" s="135">
        <v>5.6592795244331501E-2</v>
      </c>
      <c r="Z1086" s="135">
        <v>6.3854259874512501E-2</v>
      </c>
      <c r="AA1086" s="135">
        <v>6.3994189688477796E-2</v>
      </c>
      <c r="AB1086" s="135">
        <v>5.4461888869153902E-2</v>
      </c>
      <c r="AC1086" s="135">
        <v>4.0694171473124097E-2</v>
      </c>
      <c r="AD1086" s="135">
        <v>3.1521698900089899E-2</v>
      </c>
      <c r="AF1086" s="243">
        <f t="shared" si="21"/>
        <v>0.3108686134467748</v>
      </c>
      <c r="AG1086" s="275">
        <f t="shared" si="22"/>
        <v>0.49194969510462139</v>
      </c>
      <c r="AH1086" s="391">
        <f t="shared" si="23"/>
        <v>0.49412289073660953</v>
      </c>
      <c r="AI1086" s="135">
        <f t="shared" si="24"/>
        <v>0.98607258584123092</v>
      </c>
    </row>
    <row r="1087" spans="1:35" ht="12.6">
      <c r="A1087" s="10" t="s">
        <v>63</v>
      </c>
      <c r="B1087" s="10">
        <v>356</v>
      </c>
      <c r="C1087" s="10" t="s">
        <v>1512</v>
      </c>
      <c r="D1087" s="388">
        <v>45282</v>
      </c>
      <c r="E1087" s="389">
        <v>45282</v>
      </c>
      <c r="F1087" s="390" t="str">
        <f t="shared" si="20"/>
        <v>Other</v>
      </c>
      <c r="G1087" s="135">
        <v>2.76471081710787E-2</v>
      </c>
      <c r="H1087" s="135">
        <v>2.62785744672847E-2</v>
      </c>
      <c r="I1087" s="135">
        <v>2.5584710009458798E-2</v>
      </c>
      <c r="J1087" s="135">
        <v>2.50025532640499E-2</v>
      </c>
      <c r="K1087" s="135">
        <v>2.5344650769859998E-2</v>
      </c>
      <c r="L1087" s="135">
        <v>2.6624930448429101E-2</v>
      </c>
      <c r="M1087" s="135">
        <v>3.6965692830214697E-2</v>
      </c>
      <c r="N1087" s="135">
        <v>4.1650935857578099E-2</v>
      </c>
      <c r="O1087" s="135">
        <v>3.9367301375182899E-2</v>
      </c>
      <c r="P1087" s="135">
        <v>3.9639629856922598E-2</v>
      </c>
      <c r="Q1087" s="135">
        <v>4.1695948106080002E-2</v>
      </c>
      <c r="R1087" s="135">
        <v>4.2887060569663502E-2</v>
      </c>
      <c r="S1087" s="135">
        <v>4.4997726855643197E-2</v>
      </c>
      <c r="T1087" s="135">
        <v>4.6101486388439701E-2</v>
      </c>
      <c r="U1087" s="135">
        <v>4.5909271975321402E-2</v>
      </c>
      <c r="V1087" s="135">
        <v>4.4657319004925498E-2</v>
      </c>
      <c r="W1087" s="135">
        <v>4.4619800546701498E-2</v>
      </c>
      <c r="X1087" s="135">
        <v>4.9978881294706803E-2</v>
      </c>
      <c r="Y1087" s="135">
        <v>5.6592795244331501E-2</v>
      </c>
      <c r="Z1087" s="135">
        <v>6.3854259874512501E-2</v>
      </c>
      <c r="AA1087" s="135">
        <v>6.3994189688477796E-2</v>
      </c>
      <c r="AB1087" s="135">
        <v>5.4461888869153902E-2</v>
      </c>
      <c r="AC1087" s="135">
        <v>4.0694171473124097E-2</v>
      </c>
      <c r="AD1087" s="135">
        <v>3.1521698900089899E-2</v>
      </c>
      <c r="AF1087" s="243">
        <f t="shared" si="21"/>
        <v>0.3108686134467748</v>
      </c>
      <c r="AG1087" s="275">
        <f t="shared" si="22"/>
        <v>0.49194969510462139</v>
      </c>
      <c r="AH1087" s="391">
        <f t="shared" si="23"/>
        <v>0.49412289073660953</v>
      </c>
      <c r="AI1087" s="135">
        <f t="shared" si="24"/>
        <v>0.98607258584123092</v>
      </c>
    </row>
    <row r="1088" spans="1:35" ht="12.6">
      <c r="A1088" s="10" t="s">
        <v>63</v>
      </c>
      <c r="B1088" s="10">
        <v>357</v>
      </c>
      <c r="C1088" s="10" t="s">
        <v>1512</v>
      </c>
      <c r="D1088" s="388">
        <v>45283</v>
      </c>
      <c r="E1088" s="389">
        <v>45283</v>
      </c>
      <c r="F1088" s="390" t="str">
        <f t="shared" si="20"/>
        <v>Other</v>
      </c>
      <c r="G1088" s="135">
        <v>3.02249236828823E-2</v>
      </c>
      <c r="H1088" s="135">
        <v>2.65288462772971E-2</v>
      </c>
      <c r="I1088" s="135">
        <v>2.5145917074864601E-2</v>
      </c>
      <c r="J1088" s="135">
        <v>2.4408777352441499E-2</v>
      </c>
      <c r="K1088" s="135">
        <v>2.4842477171432301E-2</v>
      </c>
      <c r="L1088" s="135">
        <v>2.5530836650180001E-2</v>
      </c>
      <c r="M1088" s="135">
        <v>3.1791489082233497E-2</v>
      </c>
      <c r="N1088" s="135">
        <v>4.0981642760216798E-2</v>
      </c>
      <c r="O1088" s="135">
        <v>3.9671341845700203E-2</v>
      </c>
      <c r="P1088" s="135">
        <v>4.2385623903080698E-2</v>
      </c>
      <c r="Q1088" s="135">
        <v>4.6226801762819E-2</v>
      </c>
      <c r="R1088" s="135">
        <v>4.8969350413243802E-2</v>
      </c>
      <c r="S1088" s="135">
        <v>4.8684292656016502E-2</v>
      </c>
      <c r="T1088" s="135">
        <v>5.10937011472168E-2</v>
      </c>
      <c r="U1088" s="135">
        <v>5.2849881605689097E-2</v>
      </c>
      <c r="V1088" s="135">
        <v>5.2864630338031598E-2</v>
      </c>
      <c r="W1088" s="135">
        <v>5.2114686921837301E-2</v>
      </c>
      <c r="X1088" s="135">
        <v>5.3932536426095398E-2</v>
      </c>
      <c r="Y1088" s="135">
        <v>5.8168722198650699E-2</v>
      </c>
      <c r="Z1088" s="135">
        <v>6.2348960693243902E-2</v>
      </c>
      <c r="AA1088" s="135">
        <v>6.1459218411883898E-2</v>
      </c>
      <c r="AB1088" s="135">
        <v>5.2533760995209601E-2</v>
      </c>
      <c r="AC1088" s="135">
        <v>4.0061294496834599E-2</v>
      </c>
      <c r="AD1088" s="135">
        <v>3.3219280801326898E-2</v>
      </c>
      <c r="AF1088" s="243">
        <f t="shared" si="21"/>
        <v>0.35280334484485409</v>
      </c>
      <c r="AG1088" s="275">
        <f t="shared" si="22"/>
        <v>0.51936103525828403</v>
      </c>
      <c r="AH1088" s="391">
        <f t="shared" si="23"/>
        <v>0.50667795941014404</v>
      </c>
      <c r="AI1088" s="135">
        <f t="shared" si="24"/>
        <v>1.0260389946684281</v>
      </c>
    </row>
    <row r="1089" spans="1:35" ht="12.6">
      <c r="A1089" s="10" t="s">
        <v>63</v>
      </c>
      <c r="B1089" s="10">
        <v>358</v>
      </c>
      <c r="C1089" s="10" t="s">
        <v>1512</v>
      </c>
      <c r="D1089" s="388">
        <v>45284</v>
      </c>
      <c r="E1089" s="389">
        <v>45284</v>
      </c>
      <c r="F1089" s="390" t="str">
        <f t="shared" si="20"/>
        <v>Other</v>
      </c>
      <c r="G1089" s="135">
        <v>3.02249236828823E-2</v>
      </c>
      <c r="H1089" s="135">
        <v>2.65288462772971E-2</v>
      </c>
      <c r="I1089" s="135">
        <v>2.5145917074864601E-2</v>
      </c>
      <c r="J1089" s="135">
        <v>2.4408777352441499E-2</v>
      </c>
      <c r="K1089" s="135">
        <v>2.4842477171432301E-2</v>
      </c>
      <c r="L1089" s="135">
        <v>2.5530836650180001E-2</v>
      </c>
      <c r="M1089" s="135">
        <v>3.1791489082233497E-2</v>
      </c>
      <c r="N1089" s="135">
        <v>4.0981642760216798E-2</v>
      </c>
      <c r="O1089" s="135">
        <v>3.9671341845700203E-2</v>
      </c>
      <c r="P1089" s="135">
        <v>4.2385623903080698E-2</v>
      </c>
      <c r="Q1089" s="135">
        <v>4.6226801762819E-2</v>
      </c>
      <c r="R1089" s="135">
        <v>4.8969350413243802E-2</v>
      </c>
      <c r="S1089" s="135">
        <v>4.8684292656016502E-2</v>
      </c>
      <c r="T1089" s="135">
        <v>5.10937011472168E-2</v>
      </c>
      <c r="U1089" s="135">
        <v>5.2849881605689097E-2</v>
      </c>
      <c r="V1089" s="135">
        <v>5.2864630338031598E-2</v>
      </c>
      <c r="W1089" s="135">
        <v>5.2114686921837301E-2</v>
      </c>
      <c r="X1089" s="135">
        <v>5.3932536426095398E-2</v>
      </c>
      <c r="Y1089" s="135">
        <v>5.8168722198650699E-2</v>
      </c>
      <c r="Z1089" s="135">
        <v>6.2348960693243902E-2</v>
      </c>
      <c r="AA1089" s="135">
        <v>6.1459218411883898E-2</v>
      </c>
      <c r="AB1089" s="135">
        <v>5.2533760995209601E-2</v>
      </c>
      <c r="AC1089" s="135">
        <v>4.0061294496834599E-2</v>
      </c>
      <c r="AD1089" s="135">
        <v>3.3219280801326898E-2</v>
      </c>
      <c r="AF1089" s="243">
        <f t="shared" si="21"/>
        <v>0.35280334484485409</v>
      </c>
      <c r="AG1089" s="275">
        <f t="shared" si="22"/>
        <v>0.51936103525828403</v>
      </c>
      <c r="AH1089" s="391">
        <f t="shared" si="23"/>
        <v>0.50667795941014404</v>
      </c>
      <c r="AI1089" s="135">
        <f t="shared" si="24"/>
        <v>1.0260389946684281</v>
      </c>
    </row>
    <row r="1090" spans="1:35" ht="12.6">
      <c r="A1090" s="10" t="s">
        <v>63</v>
      </c>
      <c r="B1090" s="10">
        <v>359</v>
      </c>
      <c r="C1090" s="10" t="s">
        <v>1512</v>
      </c>
      <c r="D1090" s="388">
        <v>45285</v>
      </c>
      <c r="E1090" s="389">
        <v>45285</v>
      </c>
      <c r="F1090" s="390" t="str">
        <f t="shared" si="20"/>
        <v>Other</v>
      </c>
      <c r="G1090" s="135">
        <v>2.76471081710787E-2</v>
      </c>
      <c r="H1090" s="135">
        <v>2.62785744672847E-2</v>
      </c>
      <c r="I1090" s="135">
        <v>2.5584710009458798E-2</v>
      </c>
      <c r="J1090" s="135">
        <v>2.50025532640499E-2</v>
      </c>
      <c r="K1090" s="135">
        <v>2.5344650769859998E-2</v>
      </c>
      <c r="L1090" s="135">
        <v>2.6624930448429101E-2</v>
      </c>
      <c r="M1090" s="135">
        <v>3.6965692830214697E-2</v>
      </c>
      <c r="N1090" s="135">
        <v>4.1650935857578099E-2</v>
      </c>
      <c r="O1090" s="135">
        <v>3.9367301375182899E-2</v>
      </c>
      <c r="P1090" s="135">
        <v>3.9639629856922598E-2</v>
      </c>
      <c r="Q1090" s="135">
        <v>4.1695948106080002E-2</v>
      </c>
      <c r="R1090" s="135">
        <v>4.2887060569663502E-2</v>
      </c>
      <c r="S1090" s="135">
        <v>4.4997726855643197E-2</v>
      </c>
      <c r="T1090" s="135">
        <v>4.6101486388439701E-2</v>
      </c>
      <c r="U1090" s="135">
        <v>4.5909271975321402E-2</v>
      </c>
      <c r="V1090" s="135">
        <v>4.4657319004925498E-2</v>
      </c>
      <c r="W1090" s="135">
        <v>4.4619800546701498E-2</v>
      </c>
      <c r="X1090" s="135">
        <v>4.9978881294706803E-2</v>
      </c>
      <c r="Y1090" s="135">
        <v>5.6592795244331501E-2</v>
      </c>
      <c r="Z1090" s="135">
        <v>6.3854259874512501E-2</v>
      </c>
      <c r="AA1090" s="135">
        <v>6.3994189688477796E-2</v>
      </c>
      <c r="AB1090" s="135">
        <v>5.4461888869153902E-2</v>
      </c>
      <c r="AC1090" s="135">
        <v>4.0694171473124097E-2</v>
      </c>
      <c r="AD1090" s="135">
        <v>3.1521698900089899E-2</v>
      </c>
      <c r="AF1090" s="243">
        <f t="shared" si="21"/>
        <v>0.3108686134467748</v>
      </c>
      <c r="AG1090" s="275">
        <f t="shared" si="22"/>
        <v>0.49194969510462139</v>
      </c>
      <c r="AH1090" s="391">
        <f t="shared" si="23"/>
        <v>0.49412289073660953</v>
      </c>
      <c r="AI1090" s="135">
        <f t="shared" si="24"/>
        <v>0.98607258584123092</v>
      </c>
    </row>
    <row r="1091" spans="1:35" ht="12.6">
      <c r="A1091" s="10" t="s">
        <v>63</v>
      </c>
      <c r="B1091" s="10">
        <v>360</v>
      </c>
      <c r="C1091" s="10" t="s">
        <v>1512</v>
      </c>
      <c r="D1091" s="388">
        <v>45286</v>
      </c>
      <c r="E1091" s="389">
        <v>45286</v>
      </c>
      <c r="F1091" s="390" t="str">
        <f t="shared" si="20"/>
        <v>Other</v>
      </c>
      <c r="G1091" s="135">
        <v>2.76471081710787E-2</v>
      </c>
      <c r="H1091" s="135">
        <v>2.62785744672847E-2</v>
      </c>
      <c r="I1091" s="135">
        <v>2.5584710009458798E-2</v>
      </c>
      <c r="J1091" s="135">
        <v>2.50025532640499E-2</v>
      </c>
      <c r="K1091" s="135">
        <v>2.5344650769859998E-2</v>
      </c>
      <c r="L1091" s="135">
        <v>2.6624930448429101E-2</v>
      </c>
      <c r="M1091" s="135">
        <v>3.6965692830214697E-2</v>
      </c>
      <c r="N1091" s="135">
        <v>4.1650935857578099E-2</v>
      </c>
      <c r="O1091" s="135">
        <v>3.9367301375182899E-2</v>
      </c>
      <c r="P1091" s="135">
        <v>3.9639629856922598E-2</v>
      </c>
      <c r="Q1091" s="135">
        <v>4.1695948106080002E-2</v>
      </c>
      <c r="R1091" s="135">
        <v>4.2887060569663502E-2</v>
      </c>
      <c r="S1091" s="135">
        <v>4.4997726855643197E-2</v>
      </c>
      <c r="T1091" s="135">
        <v>4.6101486388439701E-2</v>
      </c>
      <c r="U1091" s="135">
        <v>4.5909271975321402E-2</v>
      </c>
      <c r="V1091" s="135">
        <v>4.4657319004925498E-2</v>
      </c>
      <c r="W1091" s="135">
        <v>4.4619800546701498E-2</v>
      </c>
      <c r="X1091" s="135">
        <v>4.9978881294706803E-2</v>
      </c>
      <c r="Y1091" s="135">
        <v>5.6592795244331501E-2</v>
      </c>
      <c r="Z1091" s="135">
        <v>6.3854259874512501E-2</v>
      </c>
      <c r="AA1091" s="135">
        <v>6.3994189688477796E-2</v>
      </c>
      <c r="AB1091" s="135">
        <v>5.4461888869153902E-2</v>
      </c>
      <c r="AC1091" s="135">
        <v>4.0694171473124097E-2</v>
      </c>
      <c r="AD1091" s="135">
        <v>3.1521698900089899E-2</v>
      </c>
      <c r="AF1091" s="243">
        <f t="shared" si="21"/>
        <v>0.3108686134467748</v>
      </c>
      <c r="AG1091" s="275">
        <f t="shared" si="22"/>
        <v>0.49194969510462139</v>
      </c>
      <c r="AH1091" s="391">
        <f t="shared" si="23"/>
        <v>0.49412289073660953</v>
      </c>
      <c r="AI1091" s="135">
        <f t="shared" si="24"/>
        <v>0.98607258584123092</v>
      </c>
    </row>
    <row r="1092" spans="1:35" ht="12.6">
      <c r="A1092" s="10" t="s">
        <v>63</v>
      </c>
      <c r="B1092" s="10">
        <v>361</v>
      </c>
      <c r="C1092" s="10" t="s">
        <v>1512</v>
      </c>
      <c r="D1092" s="388">
        <v>45287</v>
      </c>
      <c r="E1092" s="389">
        <v>45287</v>
      </c>
      <c r="F1092" s="390" t="str">
        <f t="shared" si="20"/>
        <v>Other</v>
      </c>
      <c r="G1092" s="135">
        <v>2.76471081710787E-2</v>
      </c>
      <c r="H1092" s="135">
        <v>2.62785744672847E-2</v>
      </c>
      <c r="I1092" s="135">
        <v>2.5584710009458798E-2</v>
      </c>
      <c r="J1092" s="135">
        <v>2.50025532640499E-2</v>
      </c>
      <c r="K1092" s="135">
        <v>2.5344650769859998E-2</v>
      </c>
      <c r="L1092" s="135">
        <v>2.6624930448429101E-2</v>
      </c>
      <c r="M1092" s="135">
        <v>3.6965692830214697E-2</v>
      </c>
      <c r="N1092" s="135">
        <v>4.1650935857578099E-2</v>
      </c>
      <c r="O1092" s="135">
        <v>3.9367301375182899E-2</v>
      </c>
      <c r="P1092" s="135">
        <v>3.9639629856922598E-2</v>
      </c>
      <c r="Q1092" s="135">
        <v>4.1695948106080002E-2</v>
      </c>
      <c r="R1092" s="135">
        <v>4.2887060569663502E-2</v>
      </c>
      <c r="S1092" s="135">
        <v>4.4997726855643197E-2</v>
      </c>
      <c r="T1092" s="135">
        <v>4.6101486388439701E-2</v>
      </c>
      <c r="U1092" s="135">
        <v>4.5909271975321402E-2</v>
      </c>
      <c r="V1092" s="135">
        <v>4.4657319004925498E-2</v>
      </c>
      <c r="W1092" s="135">
        <v>4.4619800546701498E-2</v>
      </c>
      <c r="X1092" s="135">
        <v>4.9978881294706803E-2</v>
      </c>
      <c r="Y1092" s="135">
        <v>5.6592795244331501E-2</v>
      </c>
      <c r="Z1092" s="135">
        <v>6.3854259874512501E-2</v>
      </c>
      <c r="AA1092" s="135">
        <v>6.3994189688477796E-2</v>
      </c>
      <c r="AB1092" s="135">
        <v>5.4461888869153902E-2</v>
      </c>
      <c r="AC1092" s="135">
        <v>4.0694171473124097E-2</v>
      </c>
      <c r="AD1092" s="135">
        <v>3.1521698900089899E-2</v>
      </c>
      <c r="AF1092" s="243">
        <f t="shared" si="21"/>
        <v>0.3108686134467748</v>
      </c>
      <c r="AG1092" s="275">
        <f t="shared" si="22"/>
        <v>0.49194969510462139</v>
      </c>
      <c r="AH1092" s="391">
        <f t="shared" si="23"/>
        <v>0.49412289073660953</v>
      </c>
      <c r="AI1092" s="135">
        <f t="shared" si="24"/>
        <v>0.98607258584123092</v>
      </c>
    </row>
    <row r="1093" spans="1:35" ht="12.6">
      <c r="A1093" s="10" t="s">
        <v>63</v>
      </c>
      <c r="B1093" s="10">
        <v>362</v>
      </c>
      <c r="C1093" s="10" t="s">
        <v>1512</v>
      </c>
      <c r="D1093" s="388">
        <v>45288</v>
      </c>
      <c r="E1093" s="389">
        <v>45288</v>
      </c>
      <c r="F1093" s="390" t="str">
        <f t="shared" si="20"/>
        <v>Other</v>
      </c>
      <c r="G1093" s="135">
        <v>2.76471081710787E-2</v>
      </c>
      <c r="H1093" s="135">
        <v>2.62785744672847E-2</v>
      </c>
      <c r="I1093" s="135">
        <v>2.5584710009458798E-2</v>
      </c>
      <c r="J1093" s="135">
        <v>2.50025532640499E-2</v>
      </c>
      <c r="K1093" s="135">
        <v>2.5344650769859998E-2</v>
      </c>
      <c r="L1093" s="135">
        <v>2.6624930448429101E-2</v>
      </c>
      <c r="M1093" s="135">
        <v>3.6965692830214697E-2</v>
      </c>
      <c r="N1093" s="135">
        <v>4.1650935857578099E-2</v>
      </c>
      <c r="O1093" s="135">
        <v>3.9367301375182899E-2</v>
      </c>
      <c r="P1093" s="135">
        <v>3.9639629856922598E-2</v>
      </c>
      <c r="Q1093" s="135">
        <v>4.1695948106080002E-2</v>
      </c>
      <c r="R1093" s="135">
        <v>4.2887060569663502E-2</v>
      </c>
      <c r="S1093" s="135">
        <v>4.4997726855643197E-2</v>
      </c>
      <c r="T1093" s="135">
        <v>4.6101486388439701E-2</v>
      </c>
      <c r="U1093" s="135">
        <v>4.5909271975321402E-2</v>
      </c>
      <c r="V1093" s="135">
        <v>4.4657319004925498E-2</v>
      </c>
      <c r="W1093" s="135">
        <v>4.4619800546701498E-2</v>
      </c>
      <c r="X1093" s="135">
        <v>4.9978881294706803E-2</v>
      </c>
      <c r="Y1093" s="135">
        <v>5.6592795244331501E-2</v>
      </c>
      <c r="Z1093" s="135">
        <v>6.3854259874512501E-2</v>
      </c>
      <c r="AA1093" s="135">
        <v>6.3994189688477796E-2</v>
      </c>
      <c r="AB1093" s="135">
        <v>5.4461888869153902E-2</v>
      </c>
      <c r="AC1093" s="135">
        <v>4.0694171473124097E-2</v>
      </c>
      <c r="AD1093" s="135">
        <v>3.1521698900089899E-2</v>
      </c>
      <c r="AF1093" s="243">
        <f t="shared" si="21"/>
        <v>0.3108686134467748</v>
      </c>
      <c r="AG1093" s="275">
        <f t="shared" si="22"/>
        <v>0.49194969510462139</v>
      </c>
      <c r="AH1093" s="391">
        <f t="shared" si="23"/>
        <v>0.49412289073660953</v>
      </c>
      <c r="AI1093" s="135">
        <f t="shared" si="24"/>
        <v>0.98607258584123092</v>
      </c>
    </row>
    <row r="1094" spans="1:35" ht="12.6">
      <c r="A1094" s="10" t="s">
        <v>63</v>
      </c>
      <c r="B1094" s="10">
        <v>363</v>
      </c>
      <c r="C1094" s="10" t="s">
        <v>1512</v>
      </c>
      <c r="D1094" s="388">
        <v>45289</v>
      </c>
      <c r="E1094" s="389">
        <v>45289</v>
      </c>
      <c r="F1094" s="390" t="str">
        <f t="shared" si="20"/>
        <v>Other</v>
      </c>
      <c r="G1094" s="135">
        <v>2.76471081710787E-2</v>
      </c>
      <c r="H1094" s="135">
        <v>2.62785744672847E-2</v>
      </c>
      <c r="I1094" s="135">
        <v>2.5584710009458798E-2</v>
      </c>
      <c r="J1094" s="135">
        <v>2.50025532640499E-2</v>
      </c>
      <c r="K1094" s="135">
        <v>2.5344650769859998E-2</v>
      </c>
      <c r="L1094" s="135">
        <v>2.6624930448429101E-2</v>
      </c>
      <c r="M1094" s="135">
        <v>3.6965692830214697E-2</v>
      </c>
      <c r="N1094" s="135">
        <v>4.1650935857578099E-2</v>
      </c>
      <c r="O1094" s="135">
        <v>3.9367301375182899E-2</v>
      </c>
      <c r="P1094" s="135">
        <v>3.9639629856922598E-2</v>
      </c>
      <c r="Q1094" s="135">
        <v>4.1695948106080002E-2</v>
      </c>
      <c r="R1094" s="135">
        <v>4.2887060569663502E-2</v>
      </c>
      <c r="S1094" s="135">
        <v>4.4997726855643197E-2</v>
      </c>
      <c r="T1094" s="135">
        <v>4.6101486388439701E-2</v>
      </c>
      <c r="U1094" s="135">
        <v>4.5909271975321402E-2</v>
      </c>
      <c r="V1094" s="135">
        <v>4.4657319004925498E-2</v>
      </c>
      <c r="W1094" s="135">
        <v>4.4619800546701498E-2</v>
      </c>
      <c r="X1094" s="135">
        <v>4.9978881294706803E-2</v>
      </c>
      <c r="Y1094" s="135">
        <v>5.6592795244331501E-2</v>
      </c>
      <c r="Z1094" s="135">
        <v>6.3854259874512501E-2</v>
      </c>
      <c r="AA1094" s="135">
        <v>6.3994189688477796E-2</v>
      </c>
      <c r="AB1094" s="135">
        <v>5.4461888869153902E-2</v>
      </c>
      <c r="AC1094" s="135">
        <v>4.0694171473124097E-2</v>
      </c>
      <c r="AD1094" s="135">
        <v>3.1521698900089899E-2</v>
      </c>
      <c r="AF1094" s="243">
        <f t="shared" si="21"/>
        <v>0.3108686134467748</v>
      </c>
      <c r="AG1094" s="275">
        <f t="shared" si="22"/>
        <v>0.49194969510462139</v>
      </c>
      <c r="AH1094" s="391">
        <f t="shared" si="23"/>
        <v>0.49412289073660953</v>
      </c>
      <c r="AI1094" s="135">
        <f t="shared" si="24"/>
        <v>0.98607258584123092</v>
      </c>
    </row>
    <row r="1095" spans="1:35" ht="12.6">
      <c r="A1095" s="10" t="s">
        <v>63</v>
      </c>
      <c r="B1095" s="10">
        <v>364</v>
      </c>
      <c r="C1095" s="10" t="s">
        <v>1512</v>
      </c>
      <c r="D1095" s="388">
        <v>45290</v>
      </c>
      <c r="E1095" s="389">
        <v>45290</v>
      </c>
      <c r="F1095" s="390" t="str">
        <f t="shared" si="20"/>
        <v>Other</v>
      </c>
      <c r="G1095" s="135">
        <v>3.02249236828823E-2</v>
      </c>
      <c r="H1095" s="135">
        <v>2.65288462772971E-2</v>
      </c>
      <c r="I1095" s="135">
        <v>2.5145917074864601E-2</v>
      </c>
      <c r="J1095" s="135">
        <v>2.4408777352441499E-2</v>
      </c>
      <c r="K1095" s="135">
        <v>2.4842477171432301E-2</v>
      </c>
      <c r="L1095" s="135">
        <v>2.5530836650180001E-2</v>
      </c>
      <c r="M1095" s="135">
        <v>3.1791489082233497E-2</v>
      </c>
      <c r="N1095" s="135">
        <v>4.0981642760216798E-2</v>
      </c>
      <c r="O1095" s="135">
        <v>3.9671341845700203E-2</v>
      </c>
      <c r="P1095" s="135">
        <v>4.2385623903080698E-2</v>
      </c>
      <c r="Q1095" s="135">
        <v>4.6226801762819E-2</v>
      </c>
      <c r="R1095" s="135">
        <v>4.8969350413243802E-2</v>
      </c>
      <c r="S1095" s="135">
        <v>4.8684292656016502E-2</v>
      </c>
      <c r="T1095" s="135">
        <v>5.10937011472168E-2</v>
      </c>
      <c r="U1095" s="135">
        <v>5.2849881605689097E-2</v>
      </c>
      <c r="V1095" s="135">
        <v>5.2864630338031598E-2</v>
      </c>
      <c r="W1095" s="135">
        <v>5.2114686921837301E-2</v>
      </c>
      <c r="X1095" s="135">
        <v>5.3932536426095398E-2</v>
      </c>
      <c r="Y1095" s="135">
        <v>5.8168722198650699E-2</v>
      </c>
      <c r="Z1095" s="135">
        <v>6.2348960693243902E-2</v>
      </c>
      <c r="AA1095" s="135">
        <v>6.1459218411883898E-2</v>
      </c>
      <c r="AB1095" s="135">
        <v>5.2533760995209601E-2</v>
      </c>
      <c r="AC1095" s="135">
        <v>4.0061294496834599E-2</v>
      </c>
      <c r="AD1095" s="135">
        <v>3.3219280801326898E-2</v>
      </c>
      <c r="AF1095" s="243">
        <f t="shared" si="21"/>
        <v>0.35280334484485409</v>
      </c>
      <c r="AG1095" s="275">
        <f t="shared" si="22"/>
        <v>0.51936103525828403</v>
      </c>
      <c r="AH1095" s="391">
        <f t="shared" si="23"/>
        <v>0.50667795941014404</v>
      </c>
      <c r="AI1095" s="135">
        <f t="shared" si="24"/>
        <v>1.0260389946684281</v>
      </c>
    </row>
    <row r="1096" spans="1:35" ht="12.6">
      <c r="A1096" s="10" t="s">
        <v>63</v>
      </c>
      <c r="B1096" s="10">
        <v>365</v>
      </c>
      <c r="C1096" s="10" t="s">
        <v>1512</v>
      </c>
      <c r="D1096" s="388">
        <v>45291</v>
      </c>
      <c r="E1096" s="389">
        <v>45291</v>
      </c>
      <c r="F1096" s="390" t="str">
        <f t="shared" si="20"/>
        <v>Other</v>
      </c>
      <c r="G1096" s="135">
        <v>3.02249236828823E-2</v>
      </c>
      <c r="H1096" s="135">
        <v>2.65288462772971E-2</v>
      </c>
      <c r="I1096" s="135">
        <v>2.5145917074864601E-2</v>
      </c>
      <c r="J1096" s="135">
        <v>2.4408777352441499E-2</v>
      </c>
      <c r="K1096" s="135">
        <v>2.4842477171432301E-2</v>
      </c>
      <c r="L1096" s="135">
        <v>2.5530836650180001E-2</v>
      </c>
      <c r="M1096" s="135">
        <v>3.1791489082233497E-2</v>
      </c>
      <c r="N1096" s="135">
        <v>4.0981642760216798E-2</v>
      </c>
      <c r="O1096" s="135">
        <v>3.9671341845700203E-2</v>
      </c>
      <c r="P1096" s="135">
        <v>4.2385623903080698E-2</v>
      </c>
      <c r="Q1096" s="135">
        <v>4.6226801762819E-2</v>
      </c>
      <c r="R1096" s="135">
        <v>4.8969350413243802E-2</v>
      </c>
      <c r="S1096" s="135">
        <v>4.8684292656016502E-2</v>
      </c>
      <c r="T1096" s="135">
        <v>5.10937011472168E-2</v>
      </c>
      <c r="U1096" s="135">
        <v>5.2849881605689097E-2</v>
      </c>
      <c r="V1096" s="135">
        <v>5.2864630338031598E-2</v>
      </c>
      <c r="W1096" s="135">
        <v>5.2114686921837301E-2</v>
      </c>
      <c r="X1096" s="135">
        <v>5.3932536426095398E-2</v>
      </c>
      <c r="Y1096" s="135">
        <v>5.8168722198650699E-2</v>
      </c>
      <c r="Z1096" s="135">
        <v>6.2348960693243902E-2</v>
      </c>
      <c r="AA1096" s="135">
        <v>6.1459218411883898E-2</v>
      </c>
      <c r="AB1096" s="135">
        <v>5.2533760995209601E-2</v>
      </c>
      <c r="AC1096" s="135">
        <v>4.0061294496834599E-2</v>
      </c>
      <c r="AD1096" s="135">
        <v>3.3219280801326898E-2</v>
      </c>
      <c r="AF1096" s="243">
        <f t="shared" si="21"/>
        <v>0.35280334484485409</v>
      </c>
      <c r="AG1096" s="275">
        <f t="shared" si="22"/>
        <v>0.51936103525828403</v>
      </c>
      <c r="AH1096" s="391">
        <f t="shared" si="23"/>
        <v>0.50667795941014404</v>
      </c>
      <c r="AI1096" s="135">
        <f t="shared" si="24"/>
        <v>1.0260389946684281</v>
      </c>
    </row>
    <row r="1097" spans="1:35" ht="12.6">
      <c r="A1097" s="10" t="s">
        <v>1516</v>
      </c>
      <c r="B1097" s="10">
        <v>1</v>
      </c>
      <c r="C1097" s="10" t="s">
        <v>1512</v>
      </c>
      <c r="D1097" s="388">
        <v>44927</v>
      </c>
      <c r="E1097" s="389">
        <v>44927</v>
      </c>
      <c r="F1097" s="390" t="str">
        <f t="shared" si="20"/>
        <v>Space heating &amp; cooling</v>
      </c>
      <c r="G1097" s="135">
        <v>7.3042221050607804E-3</v>
      </c>
      <c r="H1097" s="135">
        <v>7.9860453334460804E-3</v>
      </c>
      <c r="I1097" s="135">
        <v>8.2067902760984308E-3</v>
      </c>
      <c r="J1097" s="135">
        <v>9.3749866615557998E-3</v>
      </c>
      <c r="K1097" s="135">
        <v>9.2645336050987299E-3</v>
      </c>
      <c r="L1097" s="135">
        <v>9.6349493269929799E-3</v>
      </c>
      <c r="M1097" s="135">
        <v>8.3405229864516699E-3</v>
      </c>
      <c r="N1097" s="135">
        <v>6.0454666879825704E-3</v>
      </c>
      <c r="O1097" s="135">
        <v>7.9840599698071495E-3</v>
      </c>
      <c r="P1097" s="135">
        <v>9.1141018722067802E-3</v>
      </c>
      <c r="Q1097" s="135">
        <v>8.9484741912523608E-3</v>
      </c>
      <c r="R1097" s="135">
        <v>1.2309643634535501E-2</v>
      </c>
      <c r="S1097" s="135">
        <v>1.9128368451632901E-2</v>
      </c>
      <c r="T1097" s="135">
        <v>2.8000139427327101E-2</v>
      </c>
      <c r="U1097" s="135">
        <v>5.04285740920506E-2</v>
      </c>
      <c r="V1097" s="135">
        <v>5.3460177738221301E-2</v>
      </c>
      <c r="W1097" s="135">
        <v>5.1854687043523098E-2</v>
      </c>
      <c r="X1097" s="135">
        <v>3.8054831227056801E-2</v>
      </c>
      <c r="Y1097" s="135">
        <v>3.0808022173456E-2</v>
      </c>
      <c r="Z1097" s="135">
        <v>2.8021319669542501E-2</v>
      </c>
      <c r="AA1097" s="135">
        <v>2.4835408297673701E-2</v>
      </c>
      <c r="AB1097" s="135">
        <v>1.3768829918079E-2</v>
      </c>
      <c r="AC1097" s="135">
        <v>7.5681054157869599E-3</v>
      </c>
      <c r="AD1097" s="135">
        <v>7.20527428759506E-3</v>
      </c>
      <c r="AF1097" s="243">
        <f t="shared" si="21"/>
        <v>0.22413006457854284</v>
      </c>
      <c r="AG1097" s="275">
        <f t="shared" si="22"/>
        <v>0.2777573767508415</v>
      </c>
      <c r="AH1097" s="391">
        <f t="shared" si="23"/>
        <v>0.17989015764159239</v>
      </c>
      <c r="AI1097" s="135">
        <f t="shared" si="24"/>
        <v>0.45764753439243389</v>
      </c>
    </row>
    <row r="1098" spans="1:35" ht="12.6">
      <c r="A1098" s="10" t="s">
        <v>1516</v>
      </c>
      <c r="B1098" s="10">
        <v>2</v>
      </c>
      <c r="C1098" s="10" t="s">
        <v>1512</v>
      </c>
      <c r="D1098" s="388">
        <v>44928</v>
      </c>
      <c r="E1098" s="389">
        <v>44928</v>
      </c>
      <c r="F1098" s="390" t="str">
        <f t="shared" si="20"/>
        <v>Space heating &amp; cooling</v>
      </c>
      <c r="G1098" s="135">
        <v>7.9953571716747905E-3</v>
      </c>
      <c r="H1098" s="135">
        <v>7.8245831116129094E-3</v>
      </c>
      <c r="I1098" s="135">
        <v>8.0300339165570792E-3</v>
      </c>
      <c r="J1098" s="135">
        <v>8.4416246859035302E-3</v>
      </c>
      <c r="K1098" s="135">
        <v>8.97309956887417E-3</v>
      </c>
      <c r="L1098" s="135">
        <v>9.6802006859900806E-3</v>
      </c>
      <c r="M1098" s="135">
        <v>7.4874400160792999E-3</v>
      </c>
      <c r="N1098" s="135">
        <v>5.5926251676814004E-3</v>
      </c>
      <c r="O1098" s="135">
        <v>5.0911588033517603E-3</v>
      </c>
      <c r="P1098" s="135">
        <v>5.6938699301580702E-3</v>
      </c>
      <c r="Q1098" s="135">
        <v>6.4300445804596398E-3</v>
      </c>
      <c r="R1098" s="135">
        <v>1.0969740341545501E-2</v>
      </c>
      <c r="S1098" s="135">
        <v>1.38866577700715E-2</v>
      </c>
      <c r="T1098" s="135">
        <v>2.3836397515582201E-2</v>
      </c>
      <c r="U1098" s="135">
        <v>3.8825545760309499E-2</v>
      </c>
      <c r="V1098" s="135">
        <v>4.9716714272106499E-2</v>
      </c>
      <c r="W1098" s="135">
        <v>5.5850918839803303E-2</v>
      </c>
      <c r="X1098" s="135">
        <v>5.4135627227204997E-2</v>
      </c>
      <c r="Y1098" s="135">
        <v>5.0544177007237699E-2</v>
      </c>
      <c r="Z1098" s="135">
        <v>3.3339036030354E-2</v>
      </c>
      <c r="AA1098" s="135">
        <v>2.4565604873120199E-2</v>
      </c>
      <c r="AB1098" s="135">
        <v>1.8129659040456301E-2</v>
      </c>
      <c r="AC1098" s="135">
        <v>1.1319737988053399E-2</v>
      </c>
      <c r="AD1098" s="135">
        <v>1.0202793425540001E-2</v>
      </c>
      <c r="AF1098" s="243">
        <f t="shared" si="21"/>
        <v>0.19951601907987815</v>
      </c>
      <c r="AG1098" s="275">
        <f t="shared" si="22"/>
        <v>0.26207110472815831</v>
      </c>
      <c r="AH1098" s="391">
        <f t="shared" si="23"/>
        <v>0.21449154300156956</v>
      </c>
      <c r="AI1098" s="135">
        <f t="shared" si="24"/>
        <v>0.47656264772972784</v>
      </c>
    </row>
    <row r="1099" spans="1:35" ht="12.6">
      <c r="A1099" s="10" t="s">
        <v>1516</v>
      </c>
      <c r="B1099" s="10">
        <v>3</v>
      </c>
      <c r="C1099" s="10" t="s">
        <v>1512</v>
      </c>
      <c r="D1099" s="388">
        <v>44929</v>
      </c>
      <c r="E1099" s="389">
        <v>44929</v>
      </c>
      <c r="F1099" s="390" t="str">
        <f t="shared" si="20"/>
        <v>Space heating &amp; cooling</v>
      </c>
      <c r="G1099" s="135">
        <v>7.9953571716747905E-3</v>
      </c>
      <c r="H1099" s="135">
        <v>7.8245831116129094E-3</v>
      </c>
      <c r="I1099" s="135">
        <v>8.0300339165570792E-3</v>
      </c>
      <c r="J1099" s="135">
        <v>8.4416246859035302E-3</v>
      </c>
      <c r="K1099" s="135">
        <v>8.97309956887417E-3</v>
      </c>
      <c r="L1099" s="135">
        <v>9.6802006859900806E-3</v>
      </c>
      <c r="M1099" s="135">
        <v>7.4874400160792999E-3</v>
      </c>
      <c r="N1099" s="135">
        <v>5.5926251676814004E-3</v>
      </c>
      <c r="O1099" s="135">
        <v>5.0911588033517603E-3</v>
      </c>
      <c r="P1099" s="135">
        <v>5.6938699301580702E-3</v>
      </c>
      <c r="Q1099" s="135">
        <v>6.4300445804596398E-3</v>
      </c>
      <c r="R1099" s="135">
        <v>1.0969740341545501E-2</v>
      </c>
      <c r="S1099" s="135">
        <v>1.38866577700715E-2</v>
      </c>
      <c r="T1099" s="135">
        <v>2.3836397515582201E-2</v>
      </c>
      <c r="U1099" s="135">
        <v>3.8825545760309499E-2</v>
      </c>
      <c r="V1099" s="135">
        <v>4.9716714272106499E-2</v>
      </c>
      <c r="W1099" s="135">
        <v>5.5850918839803303E-2</v>
      </c>
      <c r="X1099" s="135">
        <v>5.4135627227204997E-2</v>
      </c>
      <c r="Y1099" s="135">
        <v>5.0544177007237699E-2</v>
      </c>
      <c r="Z1099" s="135">
        <v>3.3339036030354E-2</v>
      </c>
      <c r="AA1099" s="135">
        <v>2.4565604873120199E-2</v>
      </c>
      <c r="AB1099" s="135">
        <v>1.8129659040456301E-2</v>
      </c>
      <c r="AC1099" s="135">
        <v>1.1319737988053399E-2</v>
      </c>
      <c r="AD1099" s="135">
        <v>1.0202793425540001E-2</v>
      </c>
      <c r="AF1099" s="243">
        <f t="shared" si="21"/>
        <v>0.19951601907987815</v>
      </c>
      <c r="AG1099" s="275">
        <f t="shared" si="22"/>
        <v>0.26207110472815831</v>
      </c>
      <c r="AH1099" s="391">
        <f t="shared" si="23"/>
        <v>0.21449154300156956</v>
      </c>
      <c r="AI1099" s="135">
        <f t="shared" si="24"/>
        <v>0.47656264772972784</v>
      </c>
    </row>
    <row r="1100" spans="1:35" ht="12.6">
      <c r="A1100" s="10" t="s">
        <v>1516</v>
      </c>
      <c r="B1100" s="10">
        <v>4</v>
      </c>
      <c r="C1100" s="10" t="s">
        <v>1512</v>
      </c>
      <c r="D1100" s="388">
        <v>44930</v>
      </c>
      <c r="E1100" s="389">
        <v>44930</v>
      </c>
      <c r="F1100" s="390" t="str">
        <f t="shared" si="20"/>
        <v>Space heating &amp; cooling</v>
      </c>
      <c r="G1100" s="135">
        <v>7.9953571716747905E-3</v>
      </c>
      <c r="H1100" s="135">
        <v>7.8245831116129094E-3</v>
      </c>
      <c r="I1100" s="135">
        <v>8.0300339165570792E-3</v>
      </c>
      <c r="J1100" s="135">
        <v>8.4416246859035302E-3</v>
      </c>
      <c r="K1100" s="135">
        <v>8.97309956887417E-3</v>
      </c>
      <c r="L1100" s="135">
        <v>9.6802006859900806E-3</v>
      </c>
      <c r="M1100" s="135">
        <v>7.4874400160792999E-3</v>
      </c>
      <c r="N1100" s="135">
        <v>5.5926251676814004E-3</v>
      </c>
      <c r="O1100" s="135">
        <v>5.0911588033517603E-3</v>
      </c>
      <c r="P1100" s="135">
        <v>5.6938699301580702E-3</v>
      </c>
      <c r="Q1100" s="135">
        <v>6.4300445804596398E-3</v>
      </c>
      <c r="R1100" s="135">
        <v>1.0969740341545501E-2</v>
      </c>
      <c r="S1100" s="135">
        <v>1.38866577700715E-2</v>
      </c>
      <c r="T1100" s="135">
        <v>2.3836397515582201E-2</v>
      </c>
      <c r="U1100" s="135">
        <v>3.8825545760309499E-2</v>
      </c>
      <c r="V1100" s="135">
        <v>4.9716714272106499E-2</v>
      </c>
      <c r="W1100" s="135">
        <v>5.5850918839803303E-2</v>
      </c>
      <c r="X1100" s="135">
        <v>5.4135627227204997E-2</v>
      </c>
      <c r="Y1100" s="135">
        <v>5.0544177007237699E-2</v>
      </c>
      <c r="Z1100" s="135">
        <v>3.3339036030354E-2</v>
      </c>
      <c r="AA1100" s="135">
        <v>2.4565604873120199E-2</v>
      </c>
      <c r="AB1100" s="135">
        <v>1.8129659040456301E-2</v>
      </c>
      <c r="AC1100" s="135">
        <v>1.1319737988053399E-2</v>
      </c>
      <c r="AD1100" s="135">
        <v>1.0202793425540001E-2</v>
      </c>
      <c r="AF1100" s="243">
        <f t="shared" si="21"/>
        <v>0.19951601907987815</v>
      </c>
      <c r="AG1100" s="275">
        <f t="shared" si="22"/>
        <v>0.26207110472815831</v>
      </c>
      <c r="AH1100" s="391">
        <f t="shared" si="23"/>
        <v>0.21449154300156956</v>
      </c>
      <c r="AI1100" s="135">
        <f t="shared" si="24"/>
        <v>0.47656264772972784</v>
      </c>
    </row>
    <row r="1101" spans="1:35" ht="12.6">
      <c r="A1101" s="10" t="s">
        <v>1516</v>
      </c>
      <c r="B1101" s="10">
        <v>5</v>
      </c>
      <c r="C1101" s="10" t="s">
        <v>1512</v>
      </c>
      <c r="D1101" s="388">
        <v>44931</v>
      </c>
      <c r="E1101" s="389">
        <v>44931</v>
      </c>
      <c r="F1101" s="390" t="str">
        <f t="shared" si="20"/>
        <v>Space heating &amp; cooling</v>
      </c>
      <c r="G1101" s="135">
        <v>7.9953571716747905E-3</v>
      </c>
      <c r="H1101" s="135">
        <v>7.8245831116129094E-3</v>
      </c>
      <c r="I1101" s="135">
        <v>8.0300339165570792E-3</v>
      </c>
      <c r="J1101" s="135">
        <v>8.4416246859035302E-3</v>
      </c>
      <c r="K1101" s="135">
        <v>8.97309956887417E-3</v>
      </c>
      <c r="L1101" s="135">
        <v>9.6802006859900806E-3</v>
      </c>
      <c r="M1101" s="135">
        <v>7.4874400160792999E-3</v>
      </c>
      <c r="N1101" s="135">
        <v>5.5926251676814004E-3</v>
      </c>
      <c r="O1101" s="135">
        <v>5.0911588033517603E-3</v>
      </c>
      <c r="P1101" s="135">
        <v>5.6938699301580702E-3</v>
      </c>
      <c r="Q1101" s="135">
        <v>6.4300445804596398E-3</v>
      </c>
      <c r="R1101" s="135">
        <v>1.0969740341545501E-2</v>
      </c>
      <c r="S1101" s="135">
        <v>1.38866577700715E-2</v>
      </c>
      <c r="T1101" s="135">
        <v>2.3836397515582201E-2</v>
      </c>
      <c r="U1101" s="135">
        <v>3.8825545760309499E-2</v>
      </c>
      <c r="V1101" s="135">
        <v>4.9716714272106499E-2</v>
      </c>
      <c r="W1101" s="135">
        <v>5.5850918839803303E-2</v>
      </c>
      <c r="X1101" s="135">
        <v>5.4135627227204997E-2</v>
      </c>
      <c r="Y1101" s="135">
        <v>5.0544177007237699E-2</v>
      </c>
      <c r="Z1101" s="135">
        <v>3.3339036030354E-2</v>
      </c>
      <c r="AA1101" s="135">
        <v>2.4565604873120199E-2</v>
      </c>
      <c r="AB1101" s="135">
        <v>1.8129659040456301E-2</v>
      </c>
      <c r="AC1101" s="135">
        <v>1.1319737988053399E-2</v>
      </c>
      <c r="AD1101" s="135">
        <v>1.0202793425540001E-2</v>
      </c>
      <c r="AF1101" s="243">
        <f t="shared" si="21"/>
        <v>0.19951601907987815</v>
      </c>
      <c r="AG1101" s="275">
        <f t="shared" si="22"/>
        <v>0.26207110472815831</v>
      </c>
      <c r="AH1101" s="391">
        <f t="shared" si="23"/>
        <v>0.21449154300156956</v>
      </c>
      <c r="AI1101" s="135">
        <f t="shared" si="24"/>
        <v>0.47656264772972784</v>
      </c>
    </row>
    <row r="1102" spans="1:35" ht="12.6">
      <c r="A1102" s="10" t="s">
        <v>1516</v>
      </c>
      <c r="B1102" s="10">
        <v>6</v>
      </c>
      <c r="C1102" s="10" t="s">
        <v>1512</v>
      </c>
      <c r="D1102" s="388">
        <v>44932</v>
      </c>
      <c r="E1102" s="389">
        <v>44932</v>
      </c>
      <c r="F1102" s="390" t="str">
        <f t="shared" si="20"/>
        <v>Space heating &amp; cooling</v>
      </c>
      <c r="G1102" s="135">
        <v>7.9953571716747905E-3</v>
      </c>
      <c r="H1102" s="135">
        <v>7.8245831116129094E-3</v>
      </c>
      <c r="I1102" s="135">
        <v>8.0300339165570792E-3</v>
      </c>
      <c r="J1102" s="135">
        <v>8.4416246859035302E-3</v>
      </c>
      <c r="K1102" s="135">
        <v>8.97309956887417E-3</v>
      </c>
      <c r="L1102" s="135">
        <v>9.6802006859900806E-3</v>
      </c>
      <c r="M1102" s="135">
        <v>7.4874400160792999E-3</v>
      </c>
      <c r="N1102" s="135">
        <v>5.5926251676814004E-3</v>
      </c>
      <c r="O1102" s="135">
        <v>5.0911588033517603E-3</v>
      </c>
      <c r="P1102" s="135">
        <v>5.6938699301580702E-3</v>
      </c>
      <c r="Q1102" s="135">
        <v>6.4300445804596398E-3</v>
      </c>
      <c r="R1102" s="135">
        <v>1.0969740341545501E-2</v>
      </c>
      <c r="S1102" s="135">
        <v>1.38866577700715E-2</v>
      </c>
      <c r="T1102" s="135">
        <v>2.3836397515582201E-2</v>
      </c>
      <c r="U1102" s="135">
        <v>3.8825545760309499E-2</v>
      </c>
      <c r="V1102" s="135">
        <v>4.9716714272106499E-2</v>
      </c>
      <c r="W1102" s="135">
        <v>5.5850918839803303E-2</v>
      </c>
      <c r="X1102" s="135">
        <v>5.4135627227204997E-2</v>
      </c>
      <c r="Y1102" s="135">
        <v>5.0544177007237699E-2</v>
      </c>
      <c r="Z1102" s="135">
        <v>3.3339036030354E-2</v>
      </c>
      <c r="AA1102" s="135">
        <v>2.4565604873120199E-2</v>
      </c>
      <c r="AB1102" s="135">
        <v>1.8129659040456301E-2</v>
      </c>
      <c r="AC1102" s="135">
        <v>1.1319737988053399E-2</v>
      </c>
      <c r="AD1102" s="135">
        <v>1.0202793425540001E-2</v>
      </c>
      <c r="AF1102" s="243">
        <f t="shared" si="21"/>
        <v>0.19951601907987815</v>
      </c>
      <c r="AG1102" s="275">
        <f t="shared" si="22"/>
        <v>0.26207110472815831</v>
      </c>
      <c r="AH1102" s="391">
        <f t="shared" si="23"/>
        <v>0.21449154300156956</v>
      </c>
      <c r="AI1102" s="135">
        <f t="shared" si="24"/>
        <v>0.47656264772972784</v>
      </c>
    </row>
    <row r="1103" spans="1:35" ht="12.6">
      <c r="A1103" s="10" t="s">
        <v>1516</v>
      </c>
      <c r="B1103" s="10">
        <v>7</v>
      </c>
      <c r="C1103" s="10" t="s">
        <v>1512</v>
      </c>
      <c r="D1103" s="388">
        <v>44933</v>
      </c>
      <c r="E1103" s="389">
        <v>44933</v>
      </c>
      <c r="F1103" s="390" t="str">
        <f t="shared" si="20"/>
        <v>Space heating &amp; cooling</v>
      </c>
      <c r="G1103" s="135">
        <v>7.3042221050607804E-3</v>
      </c>
      <c r="H1103" s="135">
        <v>7.9860453334460804E-3</v>
      </c>
      <c r="I1103" s="135">
        <v>8.2067902760984308E-3</v>
      </c>
      <c r="J1103" s="135">
        <v>9.3749866615557998E-3</v>
      </c>
      <c r="K1103" s="135">
        <v>9.2645336050987299E-3</v>
      </c>
      <c r="L1103" s="135">
        <v>9.6349493269929799E-3</v>
      </c>
      <c r="M1103" s="135">
        <v>8.3405229864516699E-3</v>
      </c>
      <c r="N1103" s="135">
        <v>6.0454666879825704E-3</v>
      </c>
      <c r="O1103" s="135">
        <v>7.9840599698071495E-3</v>
      </c>
      <c r="P1103" s="135">
        <v>9.1141018722067802E-3</v>
      </c>
      <c r="Q1103" s="135">
        <v>8.9484741912523608E-3</v>
      </c>
      <c r="R1103" s="135">
        <v>1.2309643634535501E-2</v>
      </c>
      <c r="S1103" s="135">
        <v>1.9128368451632901E-2</v>
      </c>
      <c r="T1103" s="135">
        <v>2.8000139427327101E-2</v>
      </c>
      <c r="U1103" s="135">
        <v>5.04285740920506E-2</v>
      </c>
      <c r="V1103" s="135">
        <v>5.3460177738221301E-2</v>
      </c>
      <c r="W1103" s="135">
        <v>5.1854687043523098E-2</v>
      </c>
      <c r="X1103" s="135">
        <v>3.8054831227056801E-2</v>
      </c>
      <c r="Y1103" s="135">
        <v>3.0808022173456E-2</v>
      </c>
      <c r="Z1103" s="135">
        <v>2.8021319669542501E-2</v>
      </c>
      <c r="AA1103" s="135">
        <v>2.4835408297673701E-2</v>
      </c>
      <c r="AB1103" s="135">
        <v>1.3768829918079E-2</v>
      </c>
      <c r="AC1103" s="135">
        <v>7.5681054157869599E-3</v>
      </c>
      <c r="AD1103" s="135">
        <v>7.20527428759506E-3</v>
      </c>
      <c r="AF1103" s="243">
        <f t="shared" si="21"/>
        <v>0.22413006457854284</v>
      </c>
      <c r="AG1103" s="275">
        <f t="shared" si="22"/>
        <v>0.2777573767508415</v>
      </c>
      <c r="AH1103" s="391">
        <f t="shared" si="23"/>
        <v>0.17989015764159239</v>
      </c>
      <c r="AI1103" s="135">
        <f t="shared" si="24"/>
        <v>0.45764753439243389</v>
      </c>
    </row>
    <row r="1104" spans="1:35" ht="12.6">
      <c r="A1104" s="10" t="s">
        <v>1516</v>
      </c>
      <c r="B1104" s="10">
        <v>8</v>
      </c>
      <c r="C1104" s="10" t="s">
        <v>1512</v>
      </c>
      <c r="D1104" s="388">
        <v>44934</v>
      </c>
      <c r="E1104" s="389">
        <v>44934</v>
      </c>
      <c r="F1104" s="390" t="str">
        <f t="shared" si="20"/>
        <v>Space heating &amp; cooling</v>
      </c>
      <c r="G1104" s="135">
        <v>7.3042221050607804E-3</v>
      </c>
      <c r="H1104" s="135">
        <v>7.9860453334460804E-3</v>
      </c>
      <c r="I1104" s="135">
        <v>8.2067902760984308E-3</v>
      </c>
      <c r="J1104" s="135">
        <v>9.3749866615557998E-3</v>
      </c>
      <c r="K1104" s="135">
        <v>9.2645336050987299E-3</v>
      </c>
      <c r="L1104" s="135">
        <v>9.6349493269929799E-3</v>
      </c>
      <c r="M1104" s="135">
        <v>8.3405229864516699E-3</v>
      </c>
      <c r="N1104" s="135">
        <v>6.0454666879825704E-3</v>
      </c>
      <c r="O1104" s="135">
        <v>7.9840599698071495E-3</v>
      </c>
      <c r="P1104" s="135">
        <v>9.1141018722067802E-3</v>
      </c>
      <c r="Q1104" s="135">
        <v>8.9484741912523608E-3</v>
      </c>
      <c r="R1104" s="135">
        <v>1.2309643634535501E-2</v>
      </c>
      <c r="S1104" s="135">
        <v>1.9128368451632901E-2</v>
      </c>
      <c r="T1104" s="135">
        <v>2.8000139427327101E-2</v>
      </c>
      <c r="U1104" s="135">
        <v>5.04285740920506E-2</v>
      </c>
      <c r="V1104" s="135">
        <v>5.3460177738221301E-2</v>
      </c>
      <c r="W1104" s="135">
        <v>5.1854687043523098E-2</v>
      </c>
      <c r="X1104" s="135">
        <v>3.8054831227056801E-2</v>
      </c>
      <c r="Y1104" s="135">
        <v>3.0808022173456E-2</v>
      </c>
      <c r="Z1104" s="135">
        <v>2.8021319669542501E-2</v>
      </c>
      <c r="AA1104" s="135">
        <v>2.4835408297673701E-2</v>
      </c>
      <c r="AB1104" s="135">
        <v>1.3768829918079E-2</v>
      </c>
      <c r="AC1104" s="135">
        <v>7.5681054157869599E-3</v>
      </c>
      <c r="AD1104" s="135">
        <v>7.20527428759506E-3</v>
      </c>
      <c r="AF1104" s="243">
        <f t="shared" si="21"/>
        <v>0.22413006457854284</v>
      </c>
      <c r="AG1104" s="275">
        <f t="shared" si="22"/>
        <v>0.2777573767508415</v>
      </c>
      <c r="AH1104" s="391">
        <f t="shared" si="23"/>
        <v>0.17989015764159239</v>
      </c>
      <c r="AI1104" s="135">
        <f t="shared" si="24"/>
        <v>0.45764753439243389</v>
      </c>
    </row>
    <row r="1105" spans="1:35" ht="12.6">
      <c r="A1105" s="10" t="s">
        <v>1516</v>
      </c>
      <c r="B1105" s="10">
        <v>9</v>
      </c>
      <c r="C1105" s="10" t="s">
        <v>1512</v>
      </c>
      <c r="D1105" s="388">
        <v>44935</v>
      </c>
      <c r="E1105" s="389">
        <v>44935</v>
      </c>
      <c r="F1105" s="390" t="str">
        <f t="shared" si="20"/>
        <v>Space heating &amp; cooling</v>
      </c>
      <c r="G1105" s="135">
        <v>7.9953571716747905E-3</v>
      </c>
      <c r="H1105" s="135">
        <v>7.8245831116129094E-3</v>
      </c>
      <c r="I1105" s="135">
        <v>8.0300339165570792E-3</v>
      </c>
      <c r="J1105" s="135">
        <v>8.4416246859035302E-3</v>
      </c>
      <c r="K1105" s="135">
        <v>8.97309956887417E-3</v>
      </c>
      <c r="L1105" s="135">
        <v>9.6802006859900806E-3</v>
      </c>
      <c r="M1105" s="135">
        <v>7.4874400160792999E-3</v>
      </c>
      <c r="N1105" s="135">
        <v>5.5926251676814004E-3</v>
      </c>
      <c r="O1105" s="135">
        <v>5.0911588033517603E-3</v>
      </c>
      <c r="P1105" s="135">
        <v>5.6938699301580702E-3</v>
      </c>
      <c r="Q1105" s="135">
        <v>6.4300445804596398E-3</v>
      </c>
      <c r="R1105" s="135">
        <v>1.0969740341545501E-2</v>
      </c>
      <c r="S1105" s="135">
        <v>1.38866577700715E-2</v>
      </c>
      <c r="T1105" s="135">
        <v>2.3836397515582201E-2</v>
      </c>
      <c r="U1105" s="135">
        <v>3.8825545760309499E-2</v>
      </c>
      <c r="V1105" s="135">
        <v>4.9716714272106499E-2</v>
      </c>
      <c r="W1105" s="135">
        <v>5.5850918839803303E-2</v>
      </c>
      <c r="X1105" s="135">
        <v>5.4135627227204997E-2</v>
      </c>
      <c r="Y1105" s="135">
        <v>5.0544177007237699E-2</v>
      </c>
      <c r="Z1105" s="135">
        <v>3.3339036030354E-2</v>
      </c>
      <c r="AA1105" s="135">
        <v>2.4565604873120199E-2</v>
      </c>
      <c r="AB1105" s="135">
        <v>1.8129659040456301E-2</v>
      </c>
      <c r="AC1105" s="135">
        <v>1.1319737988053399E-2</v>
      </c>
      <c r="AD1105" s="135">
        <v>1.0202793425540001E-2</v>
      </c>
      <c r="AF1105" s="243">
        <f t="shared" si="21"/>
        <v>0.19951601907987815</v>
      </c>
      <c r="AG1105" s="275">
        <f t="shared" si="22"/>
        <v>0.26207110472815831</v>
      </c>
      <c r="AH1105" s="391">
        <f t="shared" si="23"/>
        <v>0.21449154300156956</v>
      </c>
      <c r="AI1105" s="135">
        <f t="shared" si="24"/>
        <v>0.47656264772972784</v>
      </c>
    </row>
    <row r="1106" spans="1:35" ht="12.6">
      <c r="A1106" s="10" t="s">
        <v>1516</v>
      </c>
      <c r="B1106" s="10">
        <v>10</v>
      </c>
      <c r="C1106" s="10" t="s">
        <v>1512</v>
      </c>
      <c r="D1106" s="388">
        <v>44936</v>
      </c>
      <c r="E1106" s="389">
        <v>44936</v>
      </c>
      <c r="F1106" s="390" t="str">
        <f t="shared" si="20"/>
        <v>Space heating &amp; cooling</v>
      </c>
      <c r="G1106" s="135">
        <v>7.9953571716747905E-3</v>
      </c>
      <c r="H1106" s="135">
        <v>7.8245831116129094E-3</v>
      </c>
      <c r="I1106" s="135">
        <v>8.0300339165570792E-3</v>
      </c>
      <c r="J1106" s="135">
        <v>8.4416246859035302E-3</v>
      </c>
      <c r="K1106" s="135">
        <v>8.97309956887417E-3</v>
      </c>
      <c r="L1106" s="135">
        <v>9.6802006859900806E-3</v>
      </c>
      <c r="M1106" s="135">
        <v>7.4874400160792999E-3</v>
      </c>
      <c r="N1106" s="135">
        <v>5.5926251676814004E-3</v>
      </c>
      <c r="O1106" s="135">
        <v>5.0911588033517603E-3</v>
      </c>
      <c r="P1106" s="135">
        <v>5.6938699301580702E-3</v>
      </c>
      <c r="Q1106" s="135">
        <v>6.4300445804596398E-3</v>
      </c>
      <c r="R1106" s="135">
        <v>1.0969740341545501E-2</v>
      </c>
      <c r="S1106" s="135">
        <v>1.38866577700715E-2</v>
      </c>
      <c r="T1106" s="135">
        <v>2.3836397515582201E-2</v>
      </c>
      <c r="U1106" s="135">
        <v>3.8825545760309499E-2</v>
      </c>
      <c r="V1106" s="135">
        <v>4.9716714272106499E-2</v>
      </c>
      <c r="W1106" s="135">
        <v>5.5850918839803303E-2</v>
      </c>
      <c r="X1106" s="135">
        <v>5.4135627227204997E-2</v>
      </c>
      <c r="Y1106" s="135">
        <v>5.0544177007237699E-2</v>
      </c>
      <c r="Z1106" s="135">
        <v>3.3339036030354E-2</v>
      </c>
      <c r="AA1106" s="135">
        <v>2.4565604873120199E-2</v>
      </c>
      <c r="AB1106" s="135">
        <v>1.8129659040456301E-2</v>
      </c>
      <c r="AC1106" s="135">
        <v>1.1319737988053399E-2</v>
      </c>
      <c r="AD1106" s="135">
        <v>1.0202793425540001E-2</v>
      </c>
      <c r="AF1106" s="243">
        <f t="shared" si="21"/>
        <v>0.19951601907987815</v>
      </c>
      <c r="AG1106" s="275">
        <f t="shared" si="22"/>
        <v>0.26207110472815831</v>
      </c>
      <c r="AH1106" s="391">
        <f t="shared" si="23"/>
        <v>0.21449154300156956</v>
      </c>
      <c r="AI1106" s="135">
        <f t="shared" si="24"/>
        <v>0.47656264772972784</v>
      </c>
    </row>
    <row r="1107" spans="1:35" ht="12.6">
      <c r="A1107" s="10" t="s">
        <v>1516</v>
      </c>
      <c r="B1107" s="10">
        <v>11</v>
      </c>
      <c r="C1107" s="10" t="s">
        <v>1512</v>
      </c>
      <c r="D1107" s="388">
        <v>44937</v>
      </c>
      <c r="E1107" s="389">
        <v>44937</v>
      </c>
      <c r="F1107" s="390" t="str">
        <f t="shared" si="20"/>
        <v>Space heating &amp; cooling</v>
      </c>
      <c r="G1107" s="135">
        <v>7.9953571716747905E-3</v>
      </c>
      <c r="H1107" s="135">
        <v>7.8245831116129094E-3</v>
      </c>
      <c r="I1107" s="135">
        <v>8.0300339165570792E-3</v>
      </c>
      <c r="J1107" s="135">
        <v>8.4416246859035302E-3</v>
      </c>
      <c r="K1107" s="135">
        <v>8.97309956887417E-3</v>
      </c>
      <c r="L1107" s="135">
        <v>9.6802006859900806E-3</v>
      </c>
      <c r="M1107" s="135">
        <v>7.4874400160792999E-3</v>
      </c>
      <c r="N1107" s="135">
        <v>5.5926251676814004E-3</v>
      </c>
      <c r="O1107" s="135">
        <v>5.0911588033517603E-3</v>
      </c>
      <c r="P1107" s="135">
        <v>5.6938699301580702E-3</v>
      </c>
      <c r="Q1107" s="135">
        <v>6.4300445804596398E-3</v>
      </c>
      <c r="R1107" s="135">
        <v>1.0969740341545501E-2</v>
      </c>
      <c r="S1107" s="135">
        <v>1.38866577700715E-2</v>
      </c>
      <c r="T1107" s="135">
        <v>2.3836397515582201E-2</v>
      </c>
      <c r="U1107" s="135">
        <v>3.8825545760309499E-2</v>
      </c>
      <c r="V1107" s="135">
        <v>4.9716714272106499E-2</v>
      </c>
      <c r="W1107" s="135">
        <v>5.5850918839803303E-2</v>
      </c>
      <c r="X1107" s="135">
        <v>5.4135627227204997E-2</v>
      </c>
      <c r="Y1107" s="135">
        <v>5.0544177007237699E-2</v>
      </c>
      <c r="Z1107" s="135">
        <v>3.3339036030354E-2</v>
      </c>
      <c r="AA1107" s="135">
        <v>2.4565604873120199E-2</v>
      </c>
      <c r="AB1107" s="135">
        <v>1.8129659040456301E-2</v>
      </c>
      <c r="AC1107" s="135">
        <v>1.1319737988053399E-2</v>
      </c>
      <c r="AD1107" s="135">
        <v>1.0202793425540001E-2</v>
      </c>
      <c r="AF1107" s="243">
        <f t="shared" si="21"/>
        <v>0.19951601907987815</v>
      </c>
      <c r="AG1107" s="275">
        <f t="shared" si="22"/>
        <v>0.26207110472815831</v>
      </c>
      <c r="AH1107" s="391">
        <f t="shared" si="23"/>
        <v>0.21449154300156956</v>
      </c>
      <c r="AI1107" s="135">
        <f t="shared" si="24"/>
        <v>0.47656264772972784</v>
      </c>
    </row>
    <row r="1108" spans="1:35" ht="12.6">
      <c r="A1108" s="10" t="s">
        <v>1516</v>
      </c>
      <c r="B1108" s="10">
        <v>12</v>
      </c>
      <c r="C1108" s="10" t="s">
        <v>1512</v>
      </c>
      <c r="D1108" s="388">
        <v>44938</v>
      </c>
      <c r="E1108" s="389">
        <v>44938</v>
      </c>
      <c r="F1108" s="390" t="str">
        <f t="shared" si="20"/>
        <v>Space heating &amp; cooling</v>
      </c>
      <c r="G1108" s="135">
        <v>7.9953571716747905E-3</v>
      </c>
      <c r="H1108" s="135">
        <v>7.8245831116129094E-3</v>
      </c>
      <c r="I1108" s="135">
        <v>8.0300339165570792E-3</v>
      </c>
      <c r="J1108" s="135">
        <v>8.4416246859035302E-3</v>
      </c>
      <c r="K1108" s="135">
        <v>8.97309956887417E-3</v>
      </c>
      <c r="L1108" s="135">
        <v>9.6802006859900806E-3</v>
      </c>
      <c r="M1108" s="135">
        <v>7.4874400160792999E-3</v>
      </c>
      <c r="N1108" s="135">
        <v>5.5926251676814004E-3</v>
      </c>
      <c r="O1108" s="135">
        <v>5.0911588033517603E-3</v>
      </c>
      <c r="P1108" s="135">
        <v>5.6938699301580702E-3</v>
      </c>
      <c r="Q1108" s="135">
        <v>6.4300445804596398E-3</v>
      </c>
      <c r="R1108" s="135">
        <v>1.0969740341545501E-2</v>
      </c>
      <c r="S1108" s="135">
        <v>1.38866577700715E-2</v>
      </c>
      <c r="T1108" s="135">
        <v>2.3836397515582201E-2</v>
      </c>
      <c r="U1108" s="135">
        <v>3.8825545760309499E-2</v>
      </c>
      <c r="V1108" s="135">
        <v>4.9716714272106499E-2</v>
      </c>
      <c r="W1108" s="135">
        <v>5.5850918839803303E-2</v>
      </c>
      <c r="X1108" s="135">
        <v>5.4135627227204997E-2</v>
      </c>
      <c r="Y1108" s="135">
        <v>5.0544177007237699E-2</v>
      </c>
      <c r="Z1108" s="135">
        <v>3.3339036030354E-2</v>
      </c>
      <c r="AA1108" s="135">
        <v>2.4565604873120199E-2</v>
      </c>
      <c r="AB1108" s="135">
        <v>1.8129659040456301E-2</v>
      </c>
      <c r="AC1108" s="135">
        <v>1.1319737988053399E-2</v>
      </c>
      <c r="AD1108" s="135">
        <v>1.0202793425540001E-2</v>
      </c>
      <c r="AF1108" s="243">
        <f t="shared" si="21"/>
        <v>0.19951601907987815</v>
      </c>
      <c r="AG1108" s="275">
        <f t="shared" si="22"/>
        <v>0.26207110472815831</v>
      </c>
      <c r="AH1108" s="391">
        <f t="shared" si="23"/>
        <v>0.21449154300156956</v>
      </c>
      <c r="AI1108" s="135">
        <f t="shared" si="24"/>
        <v>0.47656264772972784</v>
      </c>
    </row>
    <row r="1109" spans="1:35" ht="12.6">
      <c r="A1109" s="10" t="s">
        <v>1516</v>
      </c>
      <c r="B1109" s="10">
        <v>13</v>
      </c>
      <c r="C1109" s="10" t="s">
        <v>1512</v>
      </c>
      <c r="D1109" s="388">
        <v>44939</v>
      </c>
      <c r="E1109" s="389">
        <v>44939</v>
      </c>
      <c r="F1109" s="390" t="str">
        <f t="shared" si="20"/>
        <v>Space heating &amp; cooling</v>
      </c>
      <c r="G1109" s="135">
        <v>7.9953571716747905E-3</v>
      </c>
      <c r="H1109" s="135">
        <v>7.8245831116129094E-3</v>
      </c>
      <c r="I1109" s="135">
        <v>8.0300339165570792E-3</v>
      </c>
      <c r="J1109" s="135">
        <v>8.4416246859035302E-3</v>
      </c>
      <c r="K1109" s="135">
        <v>8.97309956887417E-3</v>
      </c>
      <c r="L1109" s="135">
        <v>9.6802006859900806E-3</v>
      </c>
      <c r="M1109" s="135">
        <v>7.4874400160792999E-3</v>
      </c>
      <c r="N1109" s="135">
        <v>5.5926251676814004E-3</v>
      </c>
      <c r="O1109" s="135">
        <v>5.0911588033517603E-3</v>
      </c>
      <c r="P1109" s="135">
        <v>5.6938699301580702E-3</v>
      </c>
      <c r="Q1109" s="135">
        <v>6.4300445804596398E-3</v>
      </c>
      <c r="R1109" s="135">
        <v>1.0969740341545501E-2</v>
      </c>
      <c r="S1109" s="135">
        <v>1.38866577700715E-2</v>
      </c>
      <c r="T1109" s="135">
        <v>2.3836397515582201E-2</v>
      </c>
      <c r="U1109" s="135">
        <v>3.8825545760309499E-2</v>
      </c>
      <c r="V1109" s="135">
        <v>4.9716714272106499E-2</v>
      </c>
      <c r="W1109" s="135">
        <v>5.5850918839803303E-2</v>
      </c>
      <c r="X1109" s="135">
        <v>5.4135627227204997E-2</v>
      </c>
      <c r="Y1109" s="135">
        <v>5.0544177007237699E-2</v>
      </c>
      <c r="Z1109" s="135">
        <v>3.3339036030354E-2</v>
      </c>
      <c r="AA1109" s="135">
        <v>2.4565604873120199E-2</v>
      </c>
      <c r="AB1109" s="135">
        <v>1.8129659040456301E-2</v>
      </c>
      <c r="AC1109" s="135">
        <v>1.1319737988053399E-2</v>
      </c>
      <c r="AD1109" s="135">
        <v>1.0202793425540001E-2</v>
      </c>
      <c r="AF1109" s="243">
        <f t="shared" si="21"/>
        <v>0.19951601907987815</v>
      </c>
      <c r="AG1109" s="275">
        <f t="shared" si="22"/>
        <v>0.26207110472815831</v>
      </c>
      <c r="AH1109" s="391">
        <f t="shared" si="23"/>
        <v>0.21449154300156956</v>
      </c>
      <c r="AI1109" s="135">
        <f t="shared" si="24"/>
        <v>0.47656264772972784</v>
      </c>
    </row>
    <row r="1110" spans="1:35" ht="12.6">
      <c r="A1110" s="10" t="s">
        <v>1516</v>
      </c>
      <c r="B1110" s="10">
        <v>14</v>
      </c>
      <c r="C1110" s="10" t="s">
        <v>1512</v>
      </c>
      <c r="D1110" s="388">
        <v>44940</v>
      </c>
      <c r="E1110" s="389">
        <v>44940</v>
      </c>
      <c r="F1110" s="390" t="str">
        <f t="shared" si="20"/>
        <v>Space heating &amp; cooling</v>
      </c>
      <c r="G1110" s="135">
        <v>7.3042221050607804E-3</v>
      </c>
      <c r="H1110" s="135">
        <v>7.9860453334460804E-3</v>
      </c>
      <c r="I1110" s="135">
        <v>8.2067902760984308E-3</v>
      </c>
      <c r="J1110" s="135">
        <v>9.3749866615557998E-3</v>
      </c>
      <c r="K1110" s="135">
        <v>9.2645336050987299E-3</v>
      </c>
      <c r="L1110" s="135">
        <v>9.6349493269929799E-3</v>
      </c>
      <c r="M1110" s="135">
        <v>8.3405229864516699E-3</v>
      </c>
      <c r="N1110" s="135">
        <v>6.0454666879825704E-3</v>
      </c>
      <c r="O1110" s="135">
        <v>7.9840599698071495E-3</v>
      </c>
      <c r="P1110" s="135">
        <v>9.1141018722067802E-3</v>
      </c>
      <c r="Q1110" s="135">
        <v>8.9484741912523608E-3</v>
      </c>
      <c r="R1110" s="135">
        <v>1.2309643634535501E-2</v>
      </c>
      <c r="S1110" s="135">
        <v>1.9128368451632901E-2</v>
      </c>
      <c r="T1110" s="135">
        <v>2.8000139427327101E-2</v>
      </c>
      <c r="U1110" s="135">
        <v>5.04285740920506E-2</v>
      </c>
      <c r="V1110" s="135">
        <v>5.3460177738221301E-2</v>
      </c>
      <c r="W1110" s="135">
        <v>5.1854687043523098E-2</v>
      </c>
      <c r="X1110" s="135">
        <v>3.8054831227056801E-2</v>
      </c>
      <c r="Y1110" s="135">
        <v>3.0808022173456E-2</v>
      </c>
      <c r="Z1110" s="135">
        <v>2.8021319669542501E-2</v>
      </c>
      <c r="AA1110" s="135">
        <v>2.4835408297673701E-2</v>
      </c>
      <c r="AB1110" s="135">
        <v>1.3768829918079E-2</v>
      </c>
      <c r="AC1110" s="135">
        <v>7.5681054157869599E-3</v>
      </c>
      <c r="AD1110" s="135">
        <v>7.20527428759506E-3</v>
      </c>
      <c r="AF1110" s="243">
        <f t="shared" si="21"/>
        <v>0.22413006457854284</v>
      </c>
      <c r="AG1110" s="275">
        <f t="shared" si="22"/>
        <v>0.2777573767508415</v>
      </c>
      <c r="AH1110" s="391">
        <f t="shared" si="23"/>
        <v>0.17989015764159239</v>
      </c>
      <c r="AI1110" s="135">
        <f t="shared" si="24"/>
        <v>0.45764753439243389</v>
      </c>
    </row>
    <row r="1111" spans="1:35" ht="12.6">
      <c r="A1111" s="10" t="s">
        <v>1516</v>
      </c>
      <c r="B1111" s="10">
        <v>15</v>
      </c>
      <c r="C1111" s="10" t="s">
        <v>1512</v>
      </c>
      <c r="D1111" s="388">
        <v>44941</v>
      </c>
      <c r="E1111" s="389">
        <v>44941</v>
      </c>
      <c r="F1111" s="390" t="str">
        <f t="shared" si="20"/>
        <v>Space heating &amp; cooling</v>
      </c>
      <c r="G1111" s="135">
        <v>7.3042221050607804E-3</v>
      </c>
      <c r="H1111" s="135">
        <v>7.9860453334460804E-3</v>
      </c>
      <c r="I1111" s="135">
        <v>8.2067902760984308E-3</v>
      </c>
      <c r="J1111" s="135">
        <v>9.3749866615557998E-3</v>
      </c>
      <c r="K1111" s="135">
        <v>9.2645336050987299E-3</v>
      </c>
      <c r="L1111" s="135">
        <v>9.6349493269929799E-3</v>
      </c>
      <c r="M1111" s="135">
        <v>8.3405229864516699E-3</v>
      </c>
      <c r="N1111" s="135">
        <v>6.0454666879825704E-3</v>
      </c>
      <c r="O1111" s="135">
        <v>7.9840599698071495E-3</v>
      </c>
      <c r="P1111" s="135">
        <v>9.1141018722067802E-3</v>
      </c>
      <c r="Q1111" s="135">
        <v>8.9484741912523608E-3</v>
      </c>
      <c r="R1111" s="135">
        <v>1.2309643634535501E-2</v>
      </c>
      <c r="S1111" s="135">
        <v>1.9128368451632901E-2</v>
      </c>
      <c r="T1111" s="135">
        <v>2.8000139427327101E-2</v>
      </c>
      <c r="U1111" s="135">
        <v>5.04285740920506E-2</v>
      </c>
      <c r="V1111" s="135">
        <v>5.3460177738221301E-2</v>
      </c>
      <c r="W1111" s="135">
        <v>5.1854687043523098E-2</v>
      </c>
      <c r="X1111" s="135">
        <v>3.8054831227056801E-2</v>
      </c>
      <c r="Y1111" s="135">
        <v>3.0808022173456E-2</v>
      </c>
      <c r="Z1111" s="135">
        <v>2.8021319669542501E-2</v>
      </c>
      <c r="AA1111" s="135">
        <v>2.4835408297673701E-2</v>
      </c>
      <c r="AB1111" s="135">
        <v>1.3768829918079E-2</v>
      </c>
      <c r="AC1111" s="135">
        <v>7.5681054157869599E-3</v>
      </c>
      <c r="AD1111" s="135">
        <v>7.20527428759506E-3</v>
      </c>
      <c r="AF1111" s="243">
        <f t="shared" si="21"/>
        <v>0.22413006457854284</v>
      </c>
      <c r="AG1111" s="275">
        <f t="shared" si="22"/>
        <v>0.2777573767508415</v>
      </c>
      <c r="AH1111" s="391">
        <f t="shared" si="23"/>
        <v>0.17989015764159239</v>
      </c>
      <c r="AI1111" s="135">
        <f t="shared" si="24"/>
        <v>0.45764753439243389</v>
      </c>
    </row>
    <row r="1112" spans="1:35" ht="12.6">
      <c r="A1112" s="10" t="s">
        <v>1516</v>
      </c>
      <c r="B1112" s="10">
        <v>16</v>
      </c>
      <c r="C1112" s="10" t="s">
        <v>1512</v>
      </c>
      <c r="D1112" s="388">
        <v>44942</v>
      </c>
      <c r="E1112" s="389">
        <v>44942</v>
      </c>
      <c r="F1112" s="390" t="str">
        <f t="shared" si="20"/>
        <v>Space heating &amp; cooling</v>
      </c>
      <c r="G1112" s="135">
        <v>7.9953571716747905E-3</v>
      </c>
      <c r="H1112" s="135">
        <v>7.8245831116129094E-3</v>
      </c>
      <c r="I1112" s="135">
        <v>8.0300339165570792E-3</v>
      </c>
      <c r="J1112" s="135">
        <v>8.4416246859035302E-3</v>
      </c>
      <c r="K1112" s="135">
        <v>8.97309956887417E-3</v>
      </c>
      <c r="L1112" s="135">
        <v>9.6802006859900806E-3</v>
      </c>
      <c r="M1112" s="135">
        <v>7.4874400160792999E-3</v>
      </c>
      <c r="N1112" s="135">
        <v>5.5926251676814004E-3</v>
      </c>
      <c r="O1112" s="135">
        <v>5.0911588033517603E-3</v>
      </c>
      <c r="P1112" s="135">
        <v>5.6938699301580702E-3</v>
      </c>
      <c r="Q1112" s="135">
        <v>6.4300445804596398E-3</v>
      </c>
      <c r="R1112" s="135">
        <v>1.0969740341545501E-2</v>
      </c>
      <c r="S1112" s="135">
        <v>1.38866577700715E-2</v>
      </c>
      <c r="T1112" s="135">
        <v>2.3836397515582201E-2</v>
      </c>
      <c r="U1112" s="135">
        <v>3.8825545760309499E-2</v>
      </c>
      <c r="V1112" s="135">
        <v>4.9716714272106499E-2</v>
      </c>
      <c r="W1112" s="135">
        <v>5.5850918839803303E-2</v>
      </c>
      <c r="X1112" s="135">
        <v>5.4135627227204997E-2</v>
      </c>
      <c r="Y1112" s="135">
        <v>5.0544177007237699E-2</v>
      </c>
      <c r="Z1112" s="135">
        <v>3.3339036030354E-2</v>
      </c>
      <c r="AA1112" s="135">
        <v>2.4565604873120199E-2</v>
      </c>
      <c r="AB1112" s="135">
        <v>1.8129659040456301E-2</v>
      </c>
      <c r="AC1112" s="135">
        <v>1.1319737988053399E-2</v>
      </c>
      <c r="AD1112" s="135">
        <v>1.0202793425540001E-2</v>
      </c>
      <c r="AF1112" s="243">
        <f t="shared" si="21"/>
        <v>0.19951601907987815</v>
      </c>
      <c r="AG1112" s="275">
        <f t="shared" si="22"/>
        <v>0.26207110472815831</v>
      </c>
      <c r="AH1112" s="391">
        <f t="shared" si="23"/>
        <v>0.21449154300156956</v>
      </c>
      <c r="AI1112" s="135">
        <f t="shared" si="24"/>
        <v>0.47656264772972784</v>
      </c>
    </row>
    <row r="1113" spans="1:35" ht="12.6">
      <c r="A1113" s="10" t="s">
        <v>1516</v>
      </c>
      <c r="B1113" s="10">
        <v>17</v>
      </c>
      <c r="C1113" s="10" t="s">
        <v>1512</v>
      </c>
      <c r="D1113" s="388">
        <v>44943</v>
      </c>
      <c r="E1113" s="389">
        <v>44943</v>
      </c>
      <c r="F1113" s="390" t="str">
        <f t="shared" si="20"/>
        <v>Space heating &amp; cooling</v>
      </c>
      <c r="G1113" s="135">
        <v>7.9953571716747905E-3</v>
      </c>
      <c r="H1113" s="135">
        <v>7.8245831116129094E-3</v>
      </c>
      <c r="I1113" s="135">
        <v>8.0300339165570792E-3</v>
      </c>
      <c r="J1113" s="135">
        <v>8.4416246859035302E-3</v>
      </c>
      <c r="K1113" s="135">
        <v>8.97309956887417E-3</v>
      </c>
      <c r="L1113" s="135">
        <v>9.6802006859900806E-3</v>
      </c>
      <c r="M1113" s="135">
        <v>7.4874400160792999E-3</v>
      </c>
      <c r="N1113" s="135">
        <v>5.5926251676814004E-3</v>
      </c>
      <c r="O1113" s="135">
        <v>5.0911588033517603E-3</v>
      </c>
      <c r="P1113" s="135">
        <v>5.6938699301580702E-3</v>
      </c>
      <c r="Q1113" s="135">
        <v>6.4300445804596398E-3</v>
      </c>
      <c r="R1113" s="135">
        <v>1.0969740341545501E-2</v>
      </c>
      <c r="S1113" s="135">
        <v>1.38866577700715E-2</v>
      </c>
      <c r="T1113" s="135">
        <v>2.3836397515582201E-2</v>
      </c>
      <c r="U1113" s="135">
        <v>3.8825545760309499E-2</v>
      </c>
      <c r="V1113" s="135">
        <v>4.9716714272106499E-2</v>
      </c>
      <c r="W1113" s="135">
        <v>5.5850918839803303E-2</v>
      </c>
      <c r="X1113" s="135">
        <v>5.4135627227204997E-2</v>
      </c>
      <c r="Y1113" s="135">
        <v>5.0544177007237699E-2</v>
      </c>
      <c r="Z1113" s="135">
        <v>3.3339036030354E-2</v>
      </c>
      <c r="AA1113" s="135">
        <v>2.4565604873120199E-2</v>
      </c>
      <c r="AB1113" s="135">
        <v>1.8129659040456301E-2</v>
      </c>
      <c r="AC1113" s="135">
        <v>1.1319737988053399E-2</v>
      </c>
      <c r="AD1113" s="135">
        <v>1.0202793425540001E-2</v>
      </c>
      <c r="AF1113" s="243">
        <f t="shared" si="21"/>
        <v>0.19951601907987815</v>
      </c>
      <c r="AG1113" s="275">
        <f t="shared" si="22"/>
        <v>0.26207110472815831</v>
      </c>
      <c r="AH1113" s="391">
        <f t="shared" si="23"/>
        <v>0.21449154300156956</v>
      </c>
      <c r="AI1113" s="135">
        <f t="shared" si="24"/>
        <v>0.47656264772972784</v>
      </c>
    </row>
    <row r="1114" spans="1:35" ht="12.6">
      <c r="A1114" s="10" t="s">
        <v>1516</v>
      </c>
      <c r="B1114" s="10">
        <v>18</v>
      </c>
      <c r="C1114" s="10" t="s">
        <v>1512</v>
      </c>
      <c r="D1114" s="388">
        <v>44944</v>
      </c>
      <c r="E1114" s="389">
        <v>44944</v>
      </c>
      <c r="F1114" s="390" t="str">
        <f t="shared" si="20"/>
        <v>Space heating &amp; cooling</v>
      </c>
      <c r="G1114" s="135">
        <v>7.9953571716747905E-3</v>
      </c>
      <c r="H1114" s="135">
        <v>7.8245831116129094E-3</v>
      </c>
      <c r="I1114" s="135">
        <v>8.0300339165570792E-3</v>
      </c>
      <c r="J1114" s="135">
        <v>8.4416246859035302E-3</v>
      </c>
      <c r="K1114" s="135">
        <v>8.97309956887417E-3</v>
      </c>
      <c r="L1114" s="135">
        <v>9.6802006859900806E-3</v>
      </c>
      <c r="M1114" s="135">
        <v>7.4874400160792999E-3</v>
      </c>
      <c r="N1114" s="135">
        <v>5.5926251676814004E-3</v>
      </c>
      <c r="O1114" s="135">
        <v>5.0911588033517603E-3</v>
      </c>
      <c r="P1114" s="135">
        <v>5.6938699301580702E-3</v>
      </c>
      <c r="Q1114" s="135">
        <v>6.4300445804596398E-3</v>
      </c>
      <c r="R1114" s="135">
        <v>1.0969740341545501E-2</v>
      </c>
      <c r="S1114" s="135">
        <v>1.38866577700715E-2</v>
      </c>
      <c r="T1114" s="135">
        <v>2.3836397515582201E-2</v>
      </c>
      <c r="U1114" s="135">
        <v>3.8825545760309499E-2</v>
      </c>
      <c r="V1114" s="135">
        <v>4.9716714272106499E-2</v>
      </c>
      <c r="W1114" s="135">
        <v>5.5850918839803303E-2</v>
      </c>
      <c r="X1114" s="135">
        <v>5.4135627227204997E-2</v>
      </c>
      <c r="Y1114" s="135">
        <v>5.0544177007237699E-2</v>
      </c>
      <c r="Z1114" s="135">
        <v>3.3339036030354E-2</v>
      </c>
      <c r="AA1114" s="135">
        <v>2.4565604873120199E-2</v>
      </c>
      <c r="AB1114" s="135">
        <v>1.8129659040456301E-2</v>
      </c>
      <c r="AC1114" s="135">
        <v>1.1319737988053399E-2</v>
      </c>
      <c r="AD1114" s="135">
        <v>1.0202793425540001E-2</v>
      </c>
      <c r="AF1114" s="243">
        <f t="shared" si="21"/>
        <v>0.19951601907987815</v>
      </c>
      <c r="AG1114" s="275">
        <f t="shared" si="22"/>
        <v>0.26207110472815831</v>
      </c>
      <c r="AH1114" s="391">
        <f t="shared" si="23"/>
        <v>0.21449154300156956</v>
      </c>
      <c r="AI1114" s="135">
        <f t="shared" si="24"/>
        <v>0.47656264772972784</v>
      </c>
    </row>
    <row r="1115" spans="1:35" ht="12.6">
      <c r="A1115" s="10" t="s">
        <v>1516</v>
      </c>
      <c r="B1115" s="10">
        <v>19</v>
      </c>
      <c r="C1115" s="10" t="s">
        <v>1512</v>
      </c>
      <c r="D1115" s="388">
        <v>44945</v>
      </c>
      <c r="E1115" s="389">
        <v>44945</v>
      </c>
      <c r="F1115" s="390" t="str">
        <f t="shared" si="20"/>
        <v>Space heating &amp; cooling</v>
      </c>
      <c r="G1115" s="135">
        <v>7.9953571716747905E-3</v>
      </c>
      <c r="H1115" s="135">
        <v>7.8245831116129094E-3</v>
      </c>
      <c r="I1115" s="135">
        <v>8.0300339165570792E-3</v>
      </c>
      <c r="J1115" s="135">
        <v>8.4416246859035302E-3</v>
      </c>
      <c r="K1115" s="135">
        <v>8.97309956887417E-3</v>
      </c>
      <c r="L1115" s="135">
        <v>9.6802006859900806E-3</v>
      </c>
      <c r="M1115" s="135">
        <v>7.4874400160792999E-3</v>
      </c>
      <c r="N1115" s="135">
        <v>5.5926251676814004E-3</v>
      </c>
      <c r="O1115" s="135">
        <v>5.0911588033517603E-3</v>
      </c>
      <c r="P1115" s="135">
        <v>5.6938699301580702E-3</v>
      </c>
      <c r="Q1115" s="135">
        <v>6.4300445804596398E-3</v>
      </c>
      <c r="R1115" s="135">
        <v>1.0969740341545501E-2</v>
      </c>
      <c r="S1115" s="135">
        <v>1.38866577700715E-2</v>
      </c>
      <c r="T1115" s="135">
        <v>2.3836397515582201E-2</v>
      </c>
      <c r="U1115" s="135">
        <v>3.8825545760309499E-2</v>
      </c>
      <c r="V1115" s="135">
        <v>4.9716714272106499E-2</v>
      </c>
      <c r="W1115" s="135">
        <v>5.5850918839803303E-2</v>
      </c>
      <c r="X1115" s="135">
        <v>5.4135627227204997E-2</v>
      </c>
      <c r="Y1115" s="135">
        <v>5.0544177007237699E-2</v>
      </c>
      <c r="Z1115" s="135">
        <v>3.3339036030354E-2</v>
      </c>
      <c r="AA1115" s="135">
        <v>2.4565604873120199E-2</v>
      </c>
      <c r="AB1115" s="135">
        <v>1.8129659040456301E-2</v>
      </c>
      <c r="AC1115" s="135">
        <v>1.1319737988053399E-2</v>
      </c>
      <c r="AD1115" s="135">
        <v>1.0202793425540001E-2</v>
      </c>
      <c r="AF1115" s="243">
        <f t="shared" si="21"/>
        <v>0.19951601907987815</v>
      </c>
      <c r="AG1115" s="275">
        <f t="shared" si="22"/>
        <v>0.26207110472815831</v>
      </c>
      <c r="AH1115" s="391">
        <f t="shared" si="23"/>
        <v>0.21449154300156956</v>
      </c>
      <c r="AI1115" s="135">
        <f t="shared" si="24"/>
        <v>0.47656264772972784</v>
      </c>
    </row>
    <row r="1116" spans="1:35" ht="12.6">
      <c r="A1116" s="10" t="s">
        <v>1516</v>
      </c>
      <c r="B1116" s="10">
        <v>20</v>
      </c>
      <c r="C1116" s="10" t="s">
        <v>1512</v>
      </c>
      <c r="D1116" s="388">
        <v>44946</v>
      </c>
      <c r="E1116" s="389">
        <v>44946</v>
      </c>
      <c r="F1116" s="390" t="str">
        <f t="shared" si="20"/>
        <v>Space heating &amp; cooling</v>
      </c>
      <c r="G1116" s="135">
        <v>7.9953571716747905E-3</v>
      </c>
      <c r="H1116" s="135">
        <v>7.8245831116129094E-3</v>
      </c>
      <c r="I1116" s="135">
        <v>8.0300339165570792E-3</v>
      </c>
      <c r="J1116" s="135">
        <v>8.4416246859035302E-3</v>
      </c>
      <c r="K1116" s="135">
        <v>8.97309956887417E-3</v>
      </c>
      <c r="L1116" s="135">
        <v>9.6802006859900806E-3</v>
      </c>
      <c r="M1116" s="135">
        <v>7.4874400160792999E-3</v>
      </c>
      <c r="N1116" s="135">
        <v>5.5926251676814004E-3</v>
      </c>
      <c r="O1116" s="135">
        <v>5.0911588033517603E-3</v>
      </c>
      <c r="P1116" s="135">
        <v>5.6938699301580702E-3</v>
      </c>
      <c r="Q1116" s="135">
        <v>6.4300445804596398E-3</v>
      </c>
      <c r="R1116" s="135">
        <v>1.0969740341545501E-2</v>
      </c>
      <c r="S1116" s="135">
        <v>1.38866577700715E-2</v>
      </c>
      <c r="T1116" s="135">
        <v>2.3836397515582201E-2</v>
      </c>
      <c r="U1116" s="135">
        <v>3.8825545760309499E-2</v>
      </c>
      <c r="V1116" s="135">
        <v>4.9716714272106499E-2</v>
      </c>
      <c r="W1116" s="135">
        <v>5.5850918839803303E-2</v>
      </c>
      <c r="X1116" s="135">
        <v>5.4135627227204997E-2</v>
      </c>
      <c r="Y1116" s="135">
        <v>5.0544177007237699E-2</v>
      </c>
      <c r="Z1116" s="135">
        <v>3.3339036030354E-2</v>
      </c>
      <c r="AA1116" s="135">
        <v>2.4565604873120199E-2</v>
      </c>
      <c r="AB1116" s="135">
        <v>1.8129659040456301E-2</v>
      </c>
      <c r="AC1116" s="135">
        <v>1.1319737988053399E-2</v>
      </c>
      <c r="AD1116" s="135">
        <v>1.0202793425540001E-2</v>
      </c>
      <c r="AF1116" s="243">
        <f t="shared" si="21"/>
        <v>0.19951601907987815</v>
      </c>
      <c r="AG1116" s="275">
        <f t="shared" si="22"/>
        <v>0.26207110472815831</v>
      </c>
      <c r="AH1116" s="391">
        <f t="shared" si="23"/>
        <v>0.21449154300156956</v>
      </c>
      <c r="AI1116" s="135">
        <f t="shared" si="24"/>
        <v>0.47656264772972784</v>
      </c>
    </row>
    <row r="1117" spans="1:35" ht="12.6">
      <c r="A1117" s="10" t="s">
        <v>1516</v>
      </c>
      <c r="B1117" s="10">
        <v>21</v>
      </c>
      <c r="C1117" s="10" t="s">
        <v>1512</v>
      </c>
      <c r="D1117" s="388">
        <v>44947</v>
      </c>
      <c r="E1117" s="389">
        <v>44947</v>
      </c>
      <c r="F1117" s="390" t="str">
        <f t="shared" si="20"/>
        <v>Space heating &amp; cooling</v>
      </c>
      <c r="G1117" s="135">
        <v>7.3042221050607804E-3</v>
      </c>
      <c r="H1117" s="135">
        <v>7.9860453334460804E-3</v>
      </c>
      <c r="I1117" s="135">
        <v>8.2067902760984308E-3</v>
      </c>
      <c r="J1117" s="135">
        <v>9.3749866615557998E-3</v>
      </c>
      <c r="K1117" s="135">
        <v>9.2645336050987299E-3</v>
      </c>
      <c r="L1117" s="135">
        <v>9.6349493269929799E-3</v>
      </c>
      <c r="M1117" s="135">
        <v>8.3405229864516699E-3</v>
      </c>
      <c r="N1117" s="135">
        <v>6.0454666879825704E-3</v>
      </c>
      <c r="O1117" s="135">
        <v>7.9840599698071495E-3</v>
      </c>
      <c r="P1117" s="135">
        <v>9.1141018722067802E-3</v>
      </c>
      <c r="Q1117" s="135">
        <v>8.9484741912523608E-3</v>
      </c>
      <c r="R1117" s="135">
        <v>1.2309643634535501E-2</v>
      </c>
      <c r="S1117" s="135">
        <v>1.9128368451632901E-2</v>
      </c>
      <c r="T1117" s="135">
        <v>2.8000139427327101E-2</v>
      </c>
      <c r="U1117" s="135">
        <v>5.04285740920506E-2</v>
      </c>
      <c r="V1117" s="135">
        <v>5.3460177738221301E-2</v>
      </c>
      <c r="W1117" s="135">
        <v>5.1854687043523098E-2</v>
      </c>
      <c r="X1117" s="135">
        <v>3.8054831227056801E-2</v>
      </c>
      <c r="Y1117" s="135">
        <v>3.0808022173456E-2</v>
      </c>
      <c r="Z1117" s="135">
        <v>2.8021319669542501E-2</v>
      </c>
      <c r="AA1117" s="135">
        <v>2.4835408297673701E-2</v>
      </c>
      <c r="AB1117" s="135">
        <v>1.3768829918079E-2</v>
      </c>
      <c r="AC1117" s="135">
        <v>7.5681054157869599E-3</v>
      </c>
      <c r="AD1117" s="135">
        <v>7.20527428759506E-3</v>
      </c>
      <c r="AF1117" s="243">
        <f t="shared" si="21"/>
        <v>0.22413006457854284</v>
      </c>
      <c r="AG1117" s="275">
        <f t="shared" si="22"/>
        <v>0.2777573767508415</v>
      </c>
      <c r="AH1117" s="391">
        <f t="shared" si="23"/>
        <v>0.17989015764159239</v>
      </c>
      <c r="AI1117" s="135">
        <f t="shared" si="24"/>
        <v>0.45764753439243389</v>
      </c>
    </row>
    <row r="1118" spans="1:35" ht="12.6">
      <c r="A1118" s="10" t="s">
        <v>1516</v>
      </c>
      <c r="B1118" s="10">
        <v>22</v>
      </c>
      <c r="C1118" s="10" t="s">
        <v>1512</v>
      </c>
      <c r="D1118" s="388">
        <v>44948</v>
      </c>
      <c r="E1118" s="389">
        <v>44948</v>
      </c>
      <c r="F1118" s="390" t="str">
        <f t="shared" si="20"/>
        <v>Space heating &amp; cooling</v>
      </c>
      <c r="G1118" s="135">
        <v>7.3042221050607804E-3</v>
      </c>
      <c r="H1118" s="135">
        <v>7.9860453334460804E-3</v>
      </c>
      <c r="I1118" s="135">
        <v>8.2067902760984308E-3</v>
      </c>
      <c r="J1118" s="135">
        <v>9.3749866615557998E-3</v>
      </c>
      <c r="K1118" s="135">
        <v>9.2645336050987299E-3</v>
      </c>
      <c r="L1118" s="135">
        <v>9.6349493269929799E-3</v>
      </c>
      <c r="M1118" s="135">
        <v>8.3405229864516699E-3</v>
      </c>
      <c r="N1118" s="135">
        <v>6.0454666879825704E-3</v>
      </c>
      <c r="O1118" s="135">
        <v>7.9840599698071495E-3</v>
      </c>
      <c r="P1118" s="135">
        <v>9.1141018722067802E-3</v>
      </c>
      <c r="Q1118" s="135">
        <v>8.9484741912523608E-3</v>
      </c>
      <c r="R1118" s="135">
        <v>1.2309643634535501E-2</v>
      </c>
      <c r="S1118" s="135">
        <v>1.9128368451632901E-2</v>
      </c>
      <c r="T1118" s="135">
        <v>2.8000139427327101E-2</v>
      </c>
      <c r="U1118" s="135">
        <v>5.04285740920506E-2</v>
      </c>
      <c r="V1118" s="135">
        <v>5.3460177738221301E-2</v>
      </c>
      <c r="W1118" s="135">
        <v>5.1854687043523098E-2</v>
      </c>
      <c r="X1118" s="135">
        <v>3.8054831227056801E-2</v>
      </c>
      <c r="Y1118" s="135">
        <v>3.0808022173456E-2</v>
      </c>
      <c r="Z1118" s="135">
        <v>2.8021319669542501E-2</v>
      </c>
      <c r="AA1118" s="135">
        <v>2.4835408297673701E-2</v>
      </c>
      <c r="AB1118" s="135">
        <v>1.3768829918079E-2</v>
      </c>
      <c r="AC1118" s="135">
        <v>7.5681054157869599E-3</v>
      </c>
      <c r="AD1118" s="135">
        <v>7.20527428759506E-3</v>
      </c>
      <c r="AF1118" s="243">
        <f t="shared" si="21"/>
        <v>0.22413006457854284</v>
      </c>
      <c r="AG1118" s="275">
        <f t="shared" si="22"/>
        <v>0.2777573767508415</v>
      </c>
      <c r="AH1118" s="391">
        <f t="shared" si="23"/>
        <v>0.17989015764159239</v>
      </c>
      <c r="AI1118" s="135">
        <f t="shared" si="24"/>
        <v>0.45764753439243389</v>
      </c>
    </row>
    <row r="1119" spans="1:35" ht="12.6">
      <c r="A1119" s="10" t="s">
        <v>1516</v>
      </c>
      <c r="B1119" s="10">
        <v>23</v>
      </c>
      <c r="C1119" s="10" t="s">
        <v>1512</v>
      </c>
      <c r="D1119" s="388">
        <v>44949</v>
      </c>
      <c r="E1119" s="389">
        <v>44949</v>
      </c>
      <c r="F1119" s="390" t="str">
        <f t="shared" si="20"/>
        <v>Space heating &amp; cooling</v>
      </c>
      <c r="G1119" s="135">
        <v>7.9953571716747905E-3</v>
      </c>
      <c r="H1119" s="135">
        <v>7.8245831116129094E-3</v>
      </c>
      <c r="I1119" s="135">
        <v>8.0300339165570792E-3</v>
      </c>
      <c r="J1119" s="135">
        <v>8.4416246859035302E-3</v>
      </c>
      <c r="K1119" s="135">
        <v>8.97309956887417E-3</v>
      </c>
      <c r="L1119" s="135">
        <v>9.6802006859900806E-3</v>
      </c>
      <c r="M1119" s="135">
        <v>7.4874400160792999E-3</v>
      </c>
      <c r="N1119" s="135">
        <v>5.5926251676814004E-3</v>
      </c>
      <c r="O1119" s="135">
        <v>5.0911588033517603E-3</v>
      </c>
      <c r="P1119" s="135">
        <v>5.6938699301580702E-3</v>
      </c>
      <c r="Q1119" s="135">
        <v>6.4300445804596398E-3</v>
      </c>
      <c r="R1119" s="135">
        <v>1.0969740341545501E-2</v>
      </c>
      <c r="S1119" s="135">
        <v>1.38866577700715E-2</v>
      </c>
      <c r="T1119" s="135">
        <v>2.3836397515582201E-2</v>
      </c>
      <c r="U1119" s="135">
        <v>3.8825545760309499E-2</v>
      </c>
      <c r="V1119" s="135">
        <v>4.9716714272106499E-2</v>
      </c>
      <c r="W1119" s="135">
        <v>5.5850918839803303E-2</v>
      </c>
      <c r="X1119" s="135">
        <v>5.4135627227204997E-2</v>
      </c>
      <c r="Y1119" s="135">
        <v>5.0544177007237699E-2</v>
      </c>
      <c r="Z1119" s="135">
        <v>3.3339036030354E-2</v>
      </c>
      <c r="AA1119" s="135">
        <v>2.4565604873120199E-2</v>
      </c>
      <c r="AB1119" s="135">
        <v>1.8129659040456301E-2</v>
      </c>
      <c r="AC1119" s="135">
        <v>1.1319737988053399E-2</v>
      </c>
      <c r="AD1119" s="135">
        <v>1.0202793425540001E-2</v>
      </c>
      <c r="AF1119" s="243">
        <f t="shared" si="21"/>
        <v>0.19951601907987815</v>
      </c>
      <c r="AG1119" s="275">
        <f t="shared" si="22"/>
        <v>0.26207110472815831</v>
      </c>
      <c r="AH1119" s="391">
        <f t="shared" si="23"/>
        <v>0.21449154300156956</v>
      </c>
      <c r="AI1119" s="135">
        <f t="shared" si="24"/>
        <v>0.47656264772972784</v>
      </c>
    </row>
    <row r="1120" spans="1:35" ht="12.6">
      <c r="A1120" s="10" t="s">
        <v>1516</v>
      </c>
      <c r="B1120" s="10">
        <v>24</v>
      </c>
      <c r="C1120" s="10" t="s">
        <v>1512</v>
      </c>
      <c r="D1120" s="388">
        <v>44950</v>
      </c>
      <c r="E1120" s="389">
        <v>44950</v>
      </c>
      <c r="F1120" s="390" t="str">
        <f t="shared" si="20"/>
        <v>Space heating &amp; cooling</v>
      </c>
      <c r="G1120" s="135">
        <v>7.9953571716747905E-3</v>
      </c>
      <c r="H1120" s="135">
        <v>7.8245831116129094E-3</v>
      </c>
      <c r="I1120" s="135">
        <v>8.0300339165570792E-3</v>
      </c>
      <c r="J1120" s="135">
        <v>8.4416246859035302E-3</v>
      </c>
      <c r="K1120" s="135">
        <v>8.97309956887417E-3</v>
      </c>
      <c r="L1120" s="135">
        <v>9.6802006859900806E-3</v>
      </c>
      <c r="M1120" s="135">
        <v>7.4874400160792999E-3</v>
      </c>
      <c r="N1120" s="135">
        <v>5.5926251676814004E-3</v>
      </c>
      <c r="O1120" s="135">
        <v>5.0911588033517603E-3</v>
      </c>
      <c r="P1120" s="135">
        <v>5.6938699301580702E-3</v>
      </c>
      <c r="Q1120" s="135">
        <v>6.4300445804596398E-3</v>
      </c>
      <c r="R1120" s="135">
        <v>1.0969740341545501E-2</v>
      </c>
      <c r="S1120" s="135">
        <v>1.38866577700715E-2</v>
      </c>
      <c r="T1120" s="135">
        <v>2.3836397515582201E-2</v>
      </c>
      <c r="U1120" s="135">
        <v>3.8825545760309499E-2</v>
      </c>
      <c r="V1120" s="135">
        <v>4.9716714272106499E-2</v>
      </c>
      <c r="W1120" s="135">
        <v>5.5850918839803303E-2</v>
      </c>
      <c r="X1120" s="135">
        <v>5.4135627227204997E-2</v>
      </c>
      <c r="Y1120" s="135">
        <v>5.0544177007237699E-2</v>
      </c>
      <c r="Z1120" s="135">
        <v>3.3339036030354E-2</v>
      </c>
      <c r="AA1120" s="135">
        <v>2.4565604873120199E-2</v>
      </c>
      <c r="AB1120" s="135">
        <v>1.8129659040456301E-2</v>
      </c>
      <c r="AC1120" s="135">
        <v>1.1319737988053399E-2</v>
      </c>
      <c r="AD1120" s="135">
        <v>1.0202793425540001E-2</v>
      </c>
      <c r="AF1120" s="243">
        <f t="shared" si="21"/>
        <v>0.19951601907987815</v>
      </c>
      <c r="AG1120" s="275">
        <f t="shared" si="22"/>
        <v>0.26207110472815831</v>
      </c>
      <c r="AH1120" s="391">
        <f t="shared" si="23"/>
        <v>0.21449154300156956</v>
      </c>
      <c r="AI1120" s="135">
        <f t="shared" si="24"/>
        <v>0.47656264772972784</v>
      </c>
    </row>
    <row r="1121" spans="1:35" ht="12.6">
      <c r="A1121" s="10" t="s">
        <v>1516</v>
      </c>
      <c r="B1121" s="10">
        <v>25</v>
      </c>
      <c r="C1121" s="10" t="s">
        <v>1512</v>
      </c>
      <c r="D1121" s="388">
        <v>44951</v>
      </c>
      <c r="E1121" s="389">
        <v>44951</v>
      </c>
      <c r="F1121" s="390" t="str">
        <f t="shared" si="20"/>
        <v>Space heating &amp; cooling</v>
      </c>
      <c r="G1121" s="135">
        <v>7.9953571716747905E-3</v>
      </c>
      <c r="H1121" s="135">
        <v>7.8245831116129094E-3</v>
      </c>
      <c r="I1121" s="135">
        <v>8.0300339165570792E-3</v>
      </c>
      <c r="J1121" s="135">
        <v>8.4416246859035302E-3</v>
      </c>
      <c r="K1121" s="135">
        <v>8.97309956887417E-3</v>
      </c>
      <c r="L1121" s="135">
        <v>9.6802006859900806E-3</v>
      </c>
      <c r="M1121" s="135">
        <v>7.4874400160792999E-3</v>
      </c>
      <c r="N1121" s="135">
        <v>5.5926251676814004E-3</v>
      </c>
      <c r="O1121" s="135">
        <v>5.0911588033517603E-3</v>
      </c>
      <c r="P1121" s="135">
        <v>5.6938699301580702E-3</v>
      </c>
      <c r="Q1121" s="135">
        <v>6.4300445804596398E-3</v>
      </c>
      <c r="R1121" s="135">
        <v>1.0969740341545501E-2</v>
      </c>
      <c r="S1121" s="135">
        <v>1.38866577700715E-2</v>
      </c>
      <c r="T1121" s="135">
        <v>2.3836397515582201E-2</v>
      </c>
      <c r="U1121" s="135">
        <v>3.8825545760309499E-2</v>
      </c>
      <c r="V1121" s="135">
        <v>4.9716714272106499E-2</v>
      </c>
      <c r="W1121" s="135">
        <v>5.5850918839803303E-2</v>
      </c>
      <c r="X1121" s="135">
        <v>5.4135627227204997E-2</v>
      </c>
      <c r="Y1121" s="135">
        <v>5.0544177007237699E-2</v>
      </c>
      <c r="Z1121" s="135">
        <v>3.3339036030354E-2</v>
      </c>
      <c r="AA1121" s="135">
        <v>2.4565604873120199E-2</v>
      </c>
      <c r="AB1121" s="135">
        <v>1.8129659040456301E-2</v>
      </c>
      <c r="AC1121" s="135">
        <v>1.1319737988053399E-2</v>
      </c>
      <c r="AD1121" s="135">
        <v>1.0202793425540001E-2</v>
      </c>
      <c r="AF1121" s="243">
        <f t="shared" si="21"/>
        <v>0.19951601907987815</v>
      </c>
      <c r="AG1121" s="275">
        <f t="shared" si="22"/>
        <v>0.26207110472815831</v>
      </c>
      <c r="AH1121" s="391">
        <f t="shared" si="23"/>
        <v>0.21449154300156956</v>
      </c>
      <c r="AI1121" s="135">
        <f t="shared" si="24"/>
        <v>0.47656264772972784</v>
      </c>
    </row>
    <row r="1122" spans="1:35" ht="12.6">
      <c r="A1122" s="10" t="s">
        <v>1516</v>
      </c>
      <c r="B1122" s="10">
        <v>26</v>
      </c>
      <c r="C1122" s="10" t="s">
        <v>1512</v>
      </c>
      <c r="D1122" s="388">
        <v>44952</v>
      </c>
      <c r="E1122" s="389">
        <v>44952</v>
      </c>
      <c r="F1122" s="390" t="str">
        <f t="shared" si="20"/>
        <v>Space heating &amp; cooling</v>
      </c>
      <c r="G1122" s="135">
        <v>7.9953571716747905E-3</v>
      </c>
      <c r="H1122" s="135">
        <v>7.8245831116129094E-3</v>
      </c>
      <c r="I1122" s="135">
        <v>8.0300339165570792E-3</v>
      </c>
      <c r="J1122" s="135">
        <v>8.4416246859035302E-3</v>
      </c>
      <c r="K1122" s="135">
        <v>8.97309956887417E-3</v>
      </c>
      <c r="L1122" s="135">
        <v>9.6802006859900806E-3</v>
      </c>
      <c r="M1122" s="135">
        <v>7.4874400160792999E-3</v>
      </c>
      <c r="N1122" s="135">
        <v>5.5926251676814004E-3</v>
      </c>
      <c r="O1122" s="135">
        <v>5.0911588033517603E-3</v>
      </c>
      <c r="P1122" s="135">
        <v>5.6938699301580702E-3</v>
      </c>
      <c r="Q1122" s="135">
        <v>6.4300445804596398E-3</v>
      </c>
      <c r="R1122" s="135">
        <v>1.0969740341545501E-2</v>
      </c>
      <c r="S1122" s="135">
        <v>1.38866577700715E-2</v>
      </c>
      <c r="T1122" s="135">
        <v>2.3836397515582201E-2</v>
      </c>
      <c r="U1122" s="135">
        <v>3.8825545760309499E-2</v>
      </c>
      <c r="V1122" s="135">
        <v>4.9716714272106499E-2</v>
      </c>
      <c r="W1122" s="135">
        <v>5.5850918839803303E-2</v>
      </c>
      <c r="X1122" s="135">
        <v>5.4135627227204997E-2</v>
      </c>
      <c r="Y1122" s="135">
        <v>5.0544177007237699E-2</v>
      </c>
      <c r="Z1122" s="135">
        <v>3.3339036030354E-2</v>
      </c>
      <c r="AA1122" s="135">
        <v>2.4565604873120199E-2</v>
      </c>
      <c r="AB1122" s="135">
        <v>1.8129659040456301E-2</v>
      </c>
      <c r="AC1122" s="135">
        <v>1.1319737988053399E-2</v>
      </c>
      <c r="AD1122" s="135">
        <v>1.0202793425540001E-2</v>
      </c>
      <c r="AF1122" s="243">
        <f t="shared" si="21"/>
        <v>0.19951601907987815</v>
      </c>
      <c r="AG1122" s="275">
        <f t="shared" si="22"/>
        <v>0.26207110472815831</v>
      </c>
      <c r="AH1122" s="391">
        <f t="shared" si="23"/>
        <v>0.21449154300156956</v>
      </c>
      <c r="AI1122" s="135">
        <f t="shared" si="24"/>
        <v>0.47656264772972784</v>
      </c>
    </row>
    <row r="1123" spans="1:35" ht="12.6">
      <c r="A1123" s="10" t="s">
        <v>1516</v>
      </c>
      <c r="B1123" s="10">
        <v>27</v>
      </c>
      <c r="C1123" s="10" t="s">
        <v>1512</v>
      </c>
      <c r="D1123" s="388">
        <v>44953</v>
      </c>
      <c r="E1123" s="389">
        <v>44953</v>
      </c>
      <c r="F1123" s="390" t="str">
        <f t="shared" si="20"/>
        <v>Space heating &amp; cooling</v>
      </c>
      <c r="G1123" s="135">
        <v>7.9953571716747905E-3</v>
      </c>
      <c r="H1123" s="135">
        <v>7.8245831116129094E-3</v>
      </c>
      <c r="I1123" s="135">
        <v>8.0300339165570792E-3</v>
      </c>
      <c r="J1123" s="135">
        <v>8.4416246859035302E-3</v>
      </c>
      <c r="K1123" s="135">
        <v>8.97309956887417E-3</v>
      </c>
      <c r="L1123" s="135">
        <v>9.6802006859900806E-3</v>
      </c>
      <c r="M1123" s="135">
        <v>7.4874400160792999E-3</v>
      </c>
      <c r="N1123" s="135">
        <v>5.5926251676814004E-3</v>
      </c>
      <c r="O1123" s="135">
        <v>5.0911588033517603E-3</v>
      </c>
      <c r="P1123" s="135">
        <v>5.6938699301580702E-3</v>
      </c>
      <c r="Q1123" s="135">
        <v>6.4300445804596398E-3</v>
      </c>
      <c r="R1123" s="135">
        <v>1.0969740341545501E-2</v>
      </c>
      <c r="S1123" s="135">
        <v>1.38866577700715E-2</v>
      </c>
      <c r="T1123" s="135">
        <v>2.3836397515582201E-2</v>
      </c>
      <c r="U1123" s="135">
        <v>3.8825545760309499E-2</v>
      </c>
      <c r="V1123" s="135">
        <v>4.9716714272106499E-2</v>
      </c>
      <c r="W1123" s="135">
        <v>5.5850918839803303E-2</v>
      </c>
      <c r="X1123" s="135">
        <v>5.4135627227204997E-2</v>
      </c>
      <c r="Y1123" s="135">
        <v>5.0544177007237699E-2</v>
      </c>
      <c r="Z1123" s="135">
        <v>3.3339036030354E-2</v>
      </c>
      <c r="AA1123" s="135">
        <v>2.4565604873120199E-2</v>
      </c>
      <c r="AB1123" s="135">
        <v>1.8129659040456301E-2</v>
      </c>
      <c r="AC1123" s="135">
        <v>1.1319737988053399E-2</v>
      </c>
      <c r="AD1123" s="135">
        <v>1.0202793425540001E-2</v>
      </c>
      <c r="AF1123" s="243">
        <f t="shared" si="21"/>
        <v>0.19951601907987815</v>
      </c>
      <c r="AG1123" s="275">
        <f t="shared" si="22"/>
        <v>0.26207110472815831</v>
      </c>
      <c r="AH1123" s="391">
        <f t="shared" si="23"/>
        <v>0.21449154300156956</v>
      </c>
      <c r="AI1123" s="135">
        <f t="shared" si="24"/>
        <v>0.47656264772972784</v>
      </c>
    </row>
    <row r="1124" spans="1:35" ht="12.6">
      <c r="A1124" s="10" t="s">
        <v>1516</v>
      </c>
      <c r="B1124" s="10">
        <v>28</v>
      </c>
      <c r="C1124" s="10" t="s">
        <v>1512</v>
      </c>
      <c r="D1124" s="388">
        <v>44954</v>
      </c>
      <c r="E1124" s="389">
        <v>44954</v>
      </c>
      <c r="F1124" s="390" t="str">
        <f t="shared" si="20"/>
        <v>Space heating &amp; cooling</v>
      </c>
      <c r="G1124" s="135">
        <v>7.3042221050607804E-3</v>
      </c>
      <c r="H1124" s="135">
        <v>7.9860453334460804E-3</v>
      </c>
      <c r="I1124" s="135">
        <v>8.2067902760984308E-3</v>
      </c>
      <c r="J1124" s="135">
        <v>9.3749866615557998E-3</v>
      </c>
      <c r="K1124" s="135">
        <v>9.2645336050987299E-3</v>
      </c>
      <c r="L1124" s="135">
        <v>9.6349493269929799E-3</v>
      </c>
      <c r="M1124" s="135">
        <v>8.3405229864516699E-3</v>
      </c>
      <c r="N1124" s="135">
        <v>6.0454666879825704E-3</v>
      </c>
      <c r="O1124" s="135">
        <v>7.9840599698071495E-3</v>
      </c>
      <c r="P1124" s="135">
        <v>9.1141018722067802E-3</v>
      </c>
      <c r="Q1124" s="135">
        <v>8.9484741912523608E-3</v>
      </c>
      <c r="R1124" s="135">
        <v>1.2309643634535501E-2</v>
      </c>
      <c r="S1124" s="135">
        <v>1.9128368451632901E-2</v>
      </c>
      <c r="T1124" s="135">
        <v>2.8000139427327101E-2</v>
      </c>
      <c r="U1124" s="135">
        <v>5.04285740920506E-2</v>
      </c>
      <c r="V1124" s="135">
        <v>5.3460177738221301E-2</v>
      </c>
      <c r="W1124" s="135">
        <v>5.1854687043523098E-2</v>
      </c>
      <c r="X1124" s="135">
        <v>3.8054831227056801E-2</v>
      </c>
      <c r="Y1124" s="135">
        <v>3.0808022173456E-2</v>
      </c>
      <c r="Z1124" s="135">
        <v>2.8021319669542501E-2</v>
      </c>
      <c r="AA1124" s="135">
        <v>2.4835408297673701E-2</v>
      </c>
      <c r="AB1124" s="135">
        <v>1.3768829918079E-2</v>
      </c>
      <c r="AC1124" s="135">
        <v>7.5681054157869599E-3</v>
      </c>
      <c r="AD1124" s="135">
        <v>7.20527428759506E-3</v>
      </c>
      <c r="AF1124" s="243">
        <f t="shared" si="21"/>
        <v>0.22413006457854284</v>
      </c>
      <c r="AG1124" s="275">
        <f t="shared" si="22"/>
        <v>0.2777573767508415</v>
      </c>
      <c r="AH1124" s="391">
        <f t="shared" si="23"/>
        <v>0.17989015764159239</v>
      </c>
      <c r="AI1124" s="135">
        <f t="shared" si="24"/>
        <v>0.45764753439243389</v>
      </c>
    </row>
    <row r="1125" spans="1:35" ht="12.6">
      <c r="A1125" s="10" t="s">
        <v>1516</v>
      </c>
      <c r="B1125" s="10">
        <v>29</v>
      </c>
      <c r="C1125" s="10" t="s">
        <v>1512</v>
      </c>
      <c r="D1125" s="388">
        <v>44955</v>
      </c>
      <c r="E1125" s="389">
        <v>44955</v>
      </c>
      <c r="F1125" s="390" t="str">
        <f t="shared" si="20"/>
        <v>Space heating &amp; cooling</v>
      </c>
      <c r="G1125" s="135">
        <v>7.3042221050607804E-3</v>
      </c>
      <c r="H1125" s="135">
        <v>7.9860453334460804E-3</v>
      </c>
      <c r="I1125" s="135">
        <v>8.2067902760984308E-3</v>
      </c>
      <c r="J1125" s="135">
        <v>9.3749866615557998E-3</v>
      </c>
      <c r="K1125" s="135">
        <v>9.2645336050987299E-3</v>
      </c>
      <c r="L1125" s="135">
        <v>9.6349493269929799E-3</v>
      </c>
      <c r="M1125" s="135">
        <v>8.3405229864516699E-3</v>
      </c>
      <c r="N1125" s="135">
        <v>6.0454666879825704E-3</v>
      </c>
      <c r="O1125" s="135">
        <v>7.9840599698071495E-3</v>
      </c>
      <c r="P1125" s="135">
        <v>9.1141018722067802E-3</v>
      </c>
      <c r="Q1125" s="135">
        <v>8.9484741912523608E-3</v>
      </c>
      <c r="R1125" s="135">
        <v>1.2309643634535501E-2</v>
      </c>
      <c r="S1125" s="135">
        <v>1.9128368451632901E-2</v>
      </c>
      <c r="T1125" s="135">
        <v>2.8000139427327101E-2</v>
      </c>
      <c r="U1125" s="135">
        <v>5.04285740920506E-2</v>
      </c>
      <c r="V1125" s="135">
        <v>5.3460177738221301E-2</v>
      </c>
      <c r="W1125" s="135">
        <v>5.1854687043523098E-2</v>
      </c>
      <c r="X1125" s="135">
        <v>3.8054831227056801E-2</v>
      </c>
      <c r="Y1125" s="135">
        <v>3.0808022173456E-2</v>
      </c>
      <c r="Z1125" s="135">
        <v>2.8021319669542501E-2</v>
      </c>
      <c r="AA1125" s="135">
        <v>2.4835408297673701E-2</v>
      </c>
      <c r="AB1125" s="135">
        <v>1.3768829918079E-2</v>
      </c>
      <c r="AC1125" s="135">
        <v>7.5681054157869599E-3</v>
      </c>
      <c r="AD1125" s="135">
        <v>7.20527428759506E-3</v>
      </c>
      <c r="AF1125" s="243">
        <f t="shared" si="21"/>
        <v>0.22413006457854284</v>
      </c>
      <c r="AG1125" s="275">
        <f t="shared" si="22"/>
        <v>0.2777573767508415</v>
      </c>
      <c r="AH1125" s="391">
        <f t="shared" si="23"/>
        <v>0.17989015764159239</v>
      </c>
      <c r="AI1125" s="135">
        <f t="shared" si="24"/>
        <v>0.45764753439243389</v>
      </c>
    </row>
    <row r="1126" spans="1:35" ht="12.6">
      <c r="A1126" s="10" t="s">
        <v>1516</v>
      </c>
      <c r="B1126" s="10">
        <v>30</v>
      </c>
      <c r="C1126" s="10" t="s">
        <v>1512</v>
      </c>
      <c r="D1126" s="388">
        <v>44956</v>
      </c>
      <c r="E1126" s="389">
        <v>44956</v>
      </c>
      <c r="F1126" s="390" t="str">
        <f t="shared" si="20"/>
        <v>Space heating &amp; cooling</v>
      </c>
      <c r="G1126" s="135">
        <v>7.9953571716747905E-3</v>
      </c>
      <c r="H1126" s="135">
        <v>7.8245831116129094E-3</v>
      </c>
      <c r="I1126" s="135">
        <v>8.0300339165570792E-3</v>
      </c>
      <c r="J1126" s="135">
        <v>8.4416246859035302E-3</v>
      </c>
      <c r="K1126" s="135">
        <v>8.97309956887417E-3</v>
      </c>
      <c r="L1126" s="135">
        <v>9.6802006859900806E-3</v>
      </c>
      <c r="M1126" s="135">
        <v>7.4874400160792999E-3</v>
      </c>
      <c r="N1126" s="135">
        <v>5.5926251676814004E-3</v>
      </c>
      <c r="O1126" s="135">
        <v>5.0911588033517603E-3</v>
      </c>
      <c r="P1126" s="135">
        <v>5.6938699301580702E-3</v>
      </c>
      <c r="Q1126" s="135">
        <v>6.4300445804596398E-3</v>
      </c>
      <c r="R1126" s="135">
        <v>1.0969740341545501E-2</v>
      </c>
      <c r="S1126" s="135">
        <v>1.38866577700715E-2</v>
      </c>
      <c r="T1126" s="135">
        <v>2.3836397515582201E-2</v>
      </c>
      <c r="U1126" s="135">
        <v>3.8825545760309499E-2</v>
      </c>
      <c r="V1126" s="135">
        <v>4.9716714272106499E-2</v>
      </c>
      <c r="W1126" s="135">
        <v>5.5850918839803303E-2</v>
      </c>
      <c r="X1126" s="135">
        <v>5.4135627227204997E-2</v>
      </c>
      <c r="Y1126" s="135">
        <v>5.0544177007237699E-2</v>
      </c>
      <c r="Z1126" s="135">
        <v>3.3339036030354E-2</v>
      </c>
      <c r="AA1126" s="135">
        <v>2.4565604873120199E-2</v>
      </c>
      <c r="AB1126" s="135">
        <v>1.8129659040456301E-2</v>
      </c>
      <c r="AC1126" s="135">
        <v>1.1319737988053399E-2</v>
      </c>
      <c r="AD1126" s="135">
        <v>1.0202793425540001E-2</v>
      </c>
      <c r="AF1126" s="243">
        <f t="shared" si="21"/>
        <v>0.19951601907987815</v>
      </c>
      <c r="AG1126" s="275">
        <f t="shared" si="22"/>
        <v>0.26207110472815831</v>
      </c>
      <c r="AH1126" s="391">
        <f t="shared" si="23"/>
        <v>0.21449154300156956</v>
      </c>
      <c r="AI1126" s="135">
        <f t="shared" si="24"/>
        <v>0.47656264772972784</v>
      </c>
    </row>
    <row r="1127" spans="1:35" ht="12.6">
      <c r="A1127" s="10" t="s">
        <v>1516</v>
      </c>
      <c r="B1127" s="10">
        <v>31</v>
      </c>
      <c r="C1127" s="10" t="s">
        <v>1512</v>
      </c>
      <c r="D1127" s="388">
        <v>44957</v>
      </c>
      <c r="E1127" s="389">
        <v>44957</v>
      </c>
      <c r="F1127" s="390" t="str">
        <f t="shared" si="20"/>
        <v>Space heating &amp; cooling</v>
      </c>
      <c r="G1127" s="135">
        <v>7.9953571716747905E-3</v>
      </c>
      <c r="H1127" s="135">
        <v>7.8245831116129094E-3</v>
      </c>
      <c r="I1127" s="135">
        <v>8.0300339165570792E-3</v>
      </c>
      <c r="J1127" s="135">
        <v>8.4416246859035302E-3</v>
      </c>
      <c r="K1127" s="135">
        <v>8.97309956887417E-3</v>
      </c>
      <c r="L1127" s="135">
        <v>9.6802006859900806E-3</v>
      </c>
      <c r="M1127" s="135">
        <v>7.4874400160792999E-3</v>
      </c>
      <c r="N1127" s="135">
        <v>5.5926251676814004E-3</v>
      </c>
      <c r="O1127" s="135">
        <v>5.0911588033517603E-3</v>
      </c>
      <c r="P1127" s="135">
        <v>5.6938699301580702E-3</v>
      </c>
      <c r="Q1127" s="135">
        <v>6.4300445804596398E-3</v>
      </c>
      <c r="R1127" s="135">
        <v>1.0969740341545501E-2</v>
      </c>
      <c r="S1127" s="135">
        <v>1.38866577700715E-2</v>
      </c>
      <c r="T1127" s="135">
        <v>2.3836397515582201E-2</v>
      </c>
      <c r="U1127" s="135">
        <v>3.8825545760309499E-2</v>
      </c>
      <c r="V1127" s="135">
        <v>4.9716714272106499E-2</v>
      </c>
      <c r="W1127" s="135">
        <v>5.5850918839803303E-2</v>
      </c>
      <c r="X1127" s="135">
        <v>5.4135627227204997E-2</v>
      </c>
      <c r="Y1127" s="135">
        <v>5.0544177007237699E-2</v>
      </c>
      <c r="Z1127" s="135">
        <v>3.3339036030354E-2</v>
      </c>
      <c r="AA1127" s="135">
        <v>2.4565604873120199E-2</v>
      </c>
      <c r="AB1127" s="135">
        <v>1.8129659040456301E-2</v>
      </c>
      <c r="AC1127" s="135">
        <v>1.1319737988053399E-2</v>
      </c>
      <c r="AD1127" s="135">
        <v>1.0202793425540001E-2</v>
      </c>
      <c r="AF1127" s="243">
        <f t="shared" si="21"/>
        <v>0.19951601907987815</v>
      </c>
      <c r="AG1127" s="275">
        <f t="shared" si="22"/>
        <v>0.26207110472815831</v>
      </c>
      <c r="AH1127" s="391">
        <f t="shared" si="23"/>
        <v>0.21449154300156956</v>
      </c>
      <c r="AI1127" s="135">
        <f t="shared" si="24"/>
        <v>0.47656264772972784</v>
      </c>
    </row>
    <row r="1128" spans="1:35" ht="12.6">
      <c r="A1128" s="10" t="s">
        <v>1516</v>
      </c>
      <c r="B1128" s="10">
        <v>32</v>
      </c>
      <c r="C1128" s="10" t="s">
        <v>1512</v>
      </c>
      <c r="D1128" s="388">
        <v>44958</v>
      </c>
      <c r="E1128" s="389">
        <v>44958</v>
      </c>
      <c r="F1128" s="390" t="str">
        <f t="shared" si="20"/>
        <v>Space heating &amp; cooling</v>
      </c>
      <c r="G1128" s="135">
        <v>7.9953571716747905E-3</v>
      </c>
      <c r="H1128" s="135">
        <v>7.8245831116129094E-3</v>
      </c>
      <c r="I1128" s="135">
        <v>8.0300339165570792E-3</v>
      </c>
      <c r="J1128" s="135">
        <v>8.4416246859035302E-3</v>
      </c>
      <c r="K1128" s="135">
        <v>8.97309956887417E-3</v>
      </c>
      <c r="L1128" s="135">
        <v>9.6802006859900806E-3</v>
      </c>
      <c r="M1128" s="135">
        <v>7.4874400160792999E-3</v>
      </c>
      <c r="N1128" s="135">
        <v>5.5926251676814004E-3</v>
      </c>
      <c r="O1128" s="135">
        <v>5.0911588033517603E-3</v>
      </c>
      <c r="P1128" s="135">
        <v>5.6938699301580702E-3</v>
      </c>
      <c r="Q1128" s="135">
        <v>6.4300445804596398E-3</v>
      </c>
      <c r="R1128" s="135">
        <v>1.0969740341545501E-2</v>
      </c>
      <c r="S1128" s="135">
        <v>1.38866577700715E-2</v>
      </c>
      <c r="T1128" s="135">
        <v>2.3836397515582201E-2</v>
      </c>
      <c r="U1128" s="135">
        <v>3.8825545760309499E-2</v>
      </c>
      <c r="V1128" s="135">
        <v>4.9716714272106499E-2</v>
      </c>
      <c r="W1128" s="135">
        <v>5.5850918839803303E-2</v>
      </c>
      <c r="X1128" s="135">
        <v>5.4135627227204997E-2</v>
      </c>
      <c r="Y1128" s="135">
        <v>5.0544177007237699E-2</v>
      </c>
      <c r="Z1128" s="135">
        <v>3.3339036030354E-2</v>
      </c>
      <c r="AA1128" s="135">
        <v>2.4565604873120199E-2</v>
      </c>
      <c r="AB1128" s="135">
        <v>1.8129659040456301E-2</v>
      </c>
      <c r="AC1128" s="135">
        <v>1.1319737988053399E-2</v>
      </c>
      <c r="AD1128" s="135">
        <v>1.0202793425540001E-2</v>
      </c>
      <c r="AF1128" s="243">
        <f t="shared" si="21"/>
        <v>0.19951601907987815</v>
      </c>
      <c r="AG1128" s="275">
        <f t="shared" si="22"/>
        <v>0.26207110472815831</v>
      </c>
      <c r="AH1128" s="391">
        <f t="shared" si="23"/>
        <v>0.21449154300156956</v>
      </c>
      <c r="AI1128" s="135">
        <f t="shared" si="24"/>
        <v>0.47656264772972784</v>
      </c>
    </row>
    <row r="1129" spans="1:35" ht="12.6">
      <c r="A1129" s="10" t="s">
        <v>1516</v>
      </c>
      <c r="B1129" s="10">
        <v>33</v>
      </c>
      <c r="C1129" s="10" t="s">
        <v>1512</v>
      </c>
      <c r="D1129" s="388">
        <v>44959</v>
      </c>
      <c r="E1129" s="389">
        <v>44959</v>
      </c>
      <c r="F1129" s="390" t="str">
        <f t="shared" si="20"/>
        <v>Space heating &amp; cooling</v>
      </c>
      <c r="G1129" s="135">
        <v>7.9953571716747905E-3</v>
      </c>
      <c r="H1129" s="135">
        <v>7.8245831116129094E-3</v>
      </c>
      <c r="I1129" s="135">
        <v>8.0300339165570792E-3</v>
      </c>
      <c r="J1129" s="135">
        <v>8.4416246859035302E-3</v>
      </c>
      <c r="K1129" s="135">
        <v>8.97309956887417E-3</v>
      </c>
      <c r="L1129" s="135">
        <v>9.6802006859900806E-3</v>
      </c>
      <c r="M1129" s="135">
        <v>7.4874400160792999E-3</v>
      </c>
      <c r="N1129" s="135">
        <v>5.5926251676814004E-3</v>
      </c>
      <c r="O1129" s="135">
        <v>5.0911588033517603E-3</v>
      </c>
      <c r="P1129" s="135">
        <v>5.6938699301580702E-3</v>
      </c>
      <c r="Q1129" s="135">
        <v>6.4300445804596398E-3</v>
      </c>
      <c r="R1129" s="135">
        <v>1.0969740341545501E-2</v>
      </c>
      <c r="S1129" s="135">
        <v>1.38866577700715E-2</v>
      </c>
      <c r="T1129" s="135">
        <v>2.3836397515582201E-2</v>
      </c>
      <c r="U1129" s="135">
        <v>3.8825545760309499E-2</v>
      </c>
      <c r="V1129" s="135">
        <v>4.9716714272106499E-2</v>
      </c>
      <c r="W1129" s="135">
        <v>5.5850918839803303E-2</v>
      </c>
      <c r="X1129" s="135">
        <v>5.4135627227204997E-2</v>
      </c>
      <c r="Y1129" s="135">
        <v>5.0544177007237699E-2</v>
      </c>
      <c r="Z1129" s="135">
        <v>3.3339036030354E-2</v>
      </c>
      <c r="AA1129" s="135">
        <v>2.4565604873120199E-2</v>
      </c>
      <c r="AB1129" s="135">
        <v>1.8129659040456301E-2</v>
      </c>
      <c r="AC1129" s="135">
        <v>1.1319737988053399E-2</v>
      </c>
      <c r="AD1129" s="135">
        <v>1.0202793425540001E-2</v>
      </c>
      <c r="AF1129" s="243">
        <f t="shared" si="21"/>
        <v>0.19951601907987815</v>
      </c>
      <c r="AG1129" s="275">
        <f t="shared" si="22"/>
        <v>0.26207110472815831</v>
      </c>
      <c r="AH1129" s="391">
        <f t="shared" si="23"/>
        <v>0.21449154300156956</v>
      </c>
      <c r="AI1129" s="135">
        <f t="shared" si="24"/>
        <v>0.47656264772972784</v>
      </c>
    </row>
    <row r="1130" spans="1:35" ht="12.6">
      <c r="A1130" s="10" t="s">
        <v>1516</v>
      </c>
      <c r="B1130" s="10">
        <v>34</v>
      </c>
      <c r="C1130" s="10" t="s">
        <v>1512</v>
      </c>
      <c r="D1130" s="388">
        <v>44960</v>
      </c>
      <c r="E1130" s="389">
        <v>44960</v>
      </c>
      <c r="F1130" s="390" t="str">
        <f t="shared" si="20"/>
        <v>Space heating &amp; cooling</v>
      </c>
      <c r="G1130" s="135">
        <v>7.9953571716747905E-3</v>
      </c>
      <c r="H1130" s="135">
        <v>7.8245831116129094E-3</v>
      </c>
      <c r="I1130" s="135">
        <v>8.0300339165570792E-3</v>
      </c>
      <c r="J1130" s="135">
        <v>8.4416246859035302E-3</v>
      </c>
      <c r="K1130" s="135">
        <v>8.97309956887417E-3</v>
      </c>
      <c r="L1130" s="135">
        <v>9.6802006859900806E-3</v>
      </c>
      <c r="M1130" s="135">
        <v>7.4874400160792999E-3</v>
      </c>
      <c r="N1130" s="135">
        <v>5.5926251676814004E-3</v>
      </c>
      <c r="O1130" s="135">
        <v>5.0911588033517603E-3</v>
      </c>
      <c r="P1130" s="135">
        <v>5.6938699301580702E-3</v>
      </c>
      <c r="Q1130" s="135">
        <v>6.4300445804596398E-3</v>
      </c>
      <c r="R1130" s="135">
        <v>1.0969740341545501E-2</v>
      </c>
      <c r="S1130" s="135">
        <v>1.38866577700715E-2</v>
      </c>
      <c r="T1130" s="135">
        <v>2.3836397515582201E-2</v>
      </c>
      <c r="U1130" s="135">
        <v>3.8825545760309499E-2</v>
      </c>
      <c r="V1130" s="135">
        <v>4.9716714272106499E-2</v>
      </c>
      <c r="W1130" s="135">
        <v>5.5850918839803303E-2</v>
      </c>
      <c r="X1130" s="135">
        <v>5.4135627227204997E-2</v>
      </c>
      <c r="Y1130" s="135">
        <v>5.0544177007237699E-2</v>
      </c>
      <c r="Z1130" s="135">
        <v>3.3339036030354E-2</v>
      </c>
      <c r="AA1130" s="135">
        <v>2.4565604873120199E-2</v>
      </c>
      <c r="AB1130" s="135">
        <v>1.8129659040456301E-2</v>
      </c>
      <c r="AC1130" s="135">
        <v>1.1319737988053399E-2</v>
      </c>
      <c r="AD1130" s="135">
        <v>1.0202793425540001E-2</v>
      </c>
      <c r="AF1130" s="243">
        <f t="shared" si="21"/>
        <v>0.19951601907987815</v>
      </c>
      <c r="AG1130" s="275">
        <f t="shared" si="22"/>
        <v>0.26207110472815831</v>
      </c>
      <c r="AH1130" s="391">
        <f t="shared" si="23"/>
        <v>0.21449154300156956</v>
      </c>
      <c r="AI1130" s="135">
        <f t="shared" si="24"/>
        <v>0.47656264772972784</v>
      </c>
    </row>
    <row r="1131" spans="1:35" ht="12.6">
      <c r="A1131" s="10" t="s">
        <v>1516</v>
      </c>
      <c r="B1131" s="10">
        <v>35</v>
      </c>
      <c r="C1131" s="10" t="s">
        <v>1512</v>
      </c>
      <c r="D1131" s="388">
        <v>44961</v>
      </c>
      <c r="E1131" s="389">
        <v>44961</v>
      </c>
      <c r="F1131" s="390" t="str">
        <f t="shared" si="20"/>
        <v>Space heating &amp; cooling</v>
      </c>
      <c r="G1131" s="135">
        <v>7.3042221050607804E-3</v>
      </c>
      <c r="H1131" s="135">
        <v>7.9860453334460804E-3</v>
      </c>
      <c r="I1131" s="135">
        <v>8.2067902760984308E-3</v>
      </c>
      <c r="J1131" s="135">
        <v>9.3749866615557998E-3</v>
      </c>
      <c r="K1131" s="135">
        <v>9.2645336050987299E-3</v>
      </c>
      <c r="L1131" s="135">
        <v>9.6349493269929799E-3</v>
      </c>
      <c r="M1131" s="135">
        <v>8.3405229864516699E-3</v>
      </c>
      <c r="N1131" s="135">
        <v>6.0454666879825704E-3</v>
      </c>
      <c r="O1131" s="135">
        <v>7.9840599698071495E-3</v>
      </c>
      <c r="P1131" s="135">
        <v>9.1141018722067802E-3</v>
      </c>
      <c r="Q1131" s="135">
        <v>8.9484741912523608E-3</v>
      </c>
      <c r="R1131" s="135">
        <v>1.2309643634535501E-2</v>
      </c>
      <c r="S1131" s="135">
        <v>1.9128368451632901E-2</v>
      </c>
      <c r="T1131" s="135">
        <v>2.8000139427327101E-2</v>
      </c>
      <c r="U1131" s="135">
        <v>5.04285740920506E-2</v>
      </c>
      <c r="V1131" s="135">
        <v>5.3460177738221301E-2</v>
      </c>
      <c r="W1131" s="135">
        <v>5.1854687043523098E-2</v>
      </c>
      <c r="X1131" s="135">
        <v>3.8054831227056801E-2</v>
      </c>
      <c r="Y1131" s="135">
        <v>3.0808022173456E-2</v>
      </c>
      <c r="Z1131" s="135">
        <v>2.8021319669542501E-2</v>
      </c>
      <c r="AA1131" s="135">
        <v>2.4835408297673701E-2</v>
      </c>
      <c r="AB1131" s="135">
        <v>1.3768829918079E-2</v>
      </c>
      <c r="AC1131" s="135">
        <v>7.5681054157869599E-3</v>
      </c>
      <c r="AD1131" s="135">
        <v>7.20527428759506E-3</v>
      </c>
      <c r="AF1131" s="243">
        <f t="shared" si="21"/>
        <v>0.22413006457854284</v>
      </c>
      <c r="AG1131" s="275">
        <f t="shared" si="22"/>
        <v>0.2777573767508415</v>
      </c>
      <c r="AH1131" s="391">
        <f t="shared" si="23"/>
        <v>0.17989015764159239</v>
      </c>
      <c r="AI1131" s="135">
        <f t="shared" si="24"/>
        <v>0.45764753439243389</v>
      </c>
    </row>
    <row r="1132" spans="1:35" ht="12.6">
      <c r="A1132" s="10" t="s">
        <v>1516</v>
      </c>
      <c r="B1132" s="10">
        <v>36</v>
      </c>
      <c r="C1132" s="10" t="s">
        <v>1512</v>
      </c>
      <c r="D1132" s="388">
        <v>44962</v>
      </c>
      <c r="E1132" s="389">
        <v>44962</v>
      </c>
      <c r="F1132" s="390" t="str">
        <f t="shared" si="20"/>
        <v>Space heating &amp; cooling</v>
      </c>
      <c r="G1132" s="135">
        <v>7.3042221050607804E-3</v>
      </c>
      <c r="H1132" s="135">
        <v>7.9860453334460804E-3</v>
      </c>
      <c r="I1132" s="135">
        <v>8.2067902760984308E-3</v>
      </c>
      <c r="J1132" s="135">
        <v>9.3749866615557998E-3</v>
      </c>
      <c r="K1132" s="135">
        <v>9.2645336050987299E-3</v>
      </c>
      <c r="L1132" s="135">
        <v>9.6349493269929799E-3</v>
      </c>
      <c r="M1132" s="135">
        <v>8.3405229864516699E-3</v>
      </c>
      <c r="N1132" s="135">
        <v>6.0454666879825704E-3</v>
      </c>
      <c r="O1132" s="135">
        <v>7.9840599698071495E-3</v>
      </c>
      <c r="P1132" s="135">
        <v>9.1141018722067802E-3</v>
      </c>
      <c r="Q1132" s="135">
        <v>8.9484741912523608E-3</v>
      </c>
      <c r="R1132" s="135">
        <v>1.2309643634535501E-2</v>
      </c>
      <c r="S1132" s="135">
        <v>1.9128368451632901E-2</v>
      </c>
      <c r="T1132" s="135">
        <v>2.8000139427327101E-2</v>
      </c>
      <c r="U1132" s="135">
        <v>5.04285740920506E-2</v>
      </c>
      <c r="V1132" s="135">
        <v>5.3460177738221301E-2</v>
      </c>
      <c r="W1132" s="135">
        <v>5.1854687043523098E-2</v>
      </c>
      <c r="X1132" s="135">
        <v>3.8054831227056801E-2</v>
      </c>
      <c r="Y1132" s="135">
        <v>3.0808022173456E-2</v>
      </c>
      <c r="Z1132" s="135">
        <v>2.8021319669542501E-2</v>
      </c>
      <c r="AA1132" s="135">
        <v>2.4835408297673701E-2</v>
      </c>
      <c r="AB1132" s="135">
        <v>1.3768829918079E-2</v>
      </c>
      <c r="AC1132" s="135">
        <v>7.5681054157869599E-3</v>
      </c>
      <c r="AD1132" s="135">
        <v>7.20527428759506E-3</v>
      </c>
      <c r="AF1132" s="243">
        <f t="shared" si="21"/>
        <v>0.22413006457854284</v>
      </c>
      <c r="AG1132" s="275">
        <f t="shared" si="22"/>
        <v>0.2777573767508415</v>
      </c>
      <c r="AH1132" s="391">
        <f t="shared" si="23"/>
        <v>0.17989015764159239</v>
      </c>
      <c r="AI1132" s="135">
        <f t="shared" si="24"/>
        <v>0.45764753439243389</v>
      </c>
    </row>
    <row r="1133" spans="1:35" ht="12.6">
      <c r="A1133" s="10" t="s">
        <v>1516</v>
      </c>
      <c r="B1133" s="10">
        <v>37</v>
      </c>
      <c r="C1133" s="10" t="s">
        <v>1512</v>
      </c>
      <c r="D1133" s="388">
        <v>44963</v>
      </c>
      <c r="E1133" s="389">
        <v>44963</v>
      </c>
      <c r="F1133" s="390" t="str">
        <f t="shared" si="20"/>
        <v>Space heating &amp; cooling</v>
      </c>
      <c r="G1133" s="135">
        <v>7.9953571716747905E-3</v>
      </c>
      <c r="H1133" s="135">
        <v>7.8245831116129094E-3</v>
      </c>
      <c r="I1133" s="135">
        <v>8.0300339165570792E-3</v>
      </c>
      <c r="J1133" s="135">
        <v>8.4416246859035302E-3</v>
      </c>
      <c r="K1133" s="135">
        <v>8.97309956887417E-3</v>
      </c>
      <c r="L1133" s="135">
        <v>9.6802006859900806E-3</v>
      </c>
      <c r="M1133" s="135">
        <v>7.4874400160792999E-3</v>
      </c>
      <c r="N1133" s="135">
        <v>5.5926251676814004E-3</v>
      </c>
      <c r="O1133" s="135">
        <v>5.0911588033517603E-3</v>
      </c>
      <c r="P1133" s="135">
        <v>5.6938699301580702E-3</v>
      </c>
      <c r="Q1133" s="135">
        <v>6.4300445804596398E-3</v>
      </c>
      <c r="R1133" s="135">
        <v>1.0969740341545501E-2</v>
      </c>
      <c r="S1133" s="135">
        <v>1.38866577700715E-2</v>
      </c>
      <c r="T1133" s="135">
        <v>2.3836397515582201E-2</v>
      </c>
      <c r="U1133" s="135">
        <v>3.8825545760309499E-2</v>
      </c>
      <c r="V1133" s="135">
        <v>4.9716714272106499E-2</v>
      </c>
      <c r="W1133" s="135">
        <v>5.5850918839803303E-2</v>
      </c>
      <c r="X1133" s="135">
        <v>5.4135627227204997E-2</v>
      </c>
      <c r="Y1133" s="135">
        <v>5.0544177007237699E-2</v>
      </c>
      <c r="Z1133" s="135">
        <v>3.3339036030354E-2</v>
      </c>
      <c r="AA1133" s="135">
        <v>2.4565604873120199E-2</v>
      </c>
      <c r="AB1133" s="135">
        <v>1.8129659040456301E-2</v>
      </c>
      <c r="AC1133" s="135">
        <v>1.1319737988053399E-2</v>
      </c>
      <c r="AD1133" s="135">
        <v>1.0202793425540001E-2</v>
      </c>
      <c r="AF1133" s="243">
        <f t="shared" si="21"/>
        <v>0.19951601907987815</v>
      </c>
      <c r="AG1133" s="275">
        <f t="shared" si="22"/>
        <v>0.26207110472815831</v>
      </c>
      <c r="AH1133" s="391">
        <f t="shared" si="23"/>
        <v>0.21449154300156956</v>
      </c>
      <c r="AI1133" s="135">
        <f t="shared" si="24"/>
        <v>0.47656264772972784</v>
      </c>
    </row>
    <row r="1134" spans="1:35" ht="12.6">
      <c r="A1134" s="10" t="s">
        <v>1516</v>
      </c>
      <c r="B1134" s="10">
        <v>38</v>
      </c>
      <c r="C1134" s="10" t="s">
        <v>1512</v>
      </c>
      <c r="D1134" s="388">
        <v>44964</v>
      </c>
      <c r="E1134" s="389">
        <v>44964</v>
      </c>
      <c r="F1134" s="390" t="str">
        <f t="shared" si="20"/>
        <v>Space heating &amp; cooling</v>
      </c>
      <c r="G1134" s="135">
        <v>7.9953571716747905E-3</v>
      </c>
      <c r="H1134" s="135">
        <v>7.8245831116129094E-3</v>
      </c>
      <c r="I1134" s="135">
        <v>8.0300339165570792E-3</v>
      </c>
      <c r="J1134" s="135">
        <v>8.4416246859035302E-3</v>
      </c>
      <c r="K1134" s="135">
        <v>8.97309956887417E-3</v>
      </c>
      <c r="L1134" s="135">
        <v>9.6802006859900806E-3</v>
      </c>
      <c r="M1134" s="135">
        <v>7.4874400160792999E-3</v>
      </c>
      <c r="N1134" s="135">
        <v>5.5926251676814004E-3</v>
      </c>
      <c r="O1134" s="135">
        <v>5.0911588033517603E-3</v>
      </c>
      <c r="P1134" s="135">
        <v>5.6938699301580702E-3</v>
      </c>
      <c r="Q1134" s="135">
        <v>6.4300445804596398E-3</v>
      </c>
      <c r="R1134" s="135">
        <v>1.0969740341545501E-2</v>
      </c>
      <c r="S1134" s="135">
        <v>1.38866577700715E-2</v>
      </c>
      <c r="T1134" s="135">
        <v>2.3836397515582201E-2</v>
      </c>
      <c r="U1134" s="135">
        <v>3.8825545760309499E-2</v>
      </c>
      <c r="V1134" s="135">
        <v>4.9716714272106499E-2</v>
      </c>
      <c r="W1134" s="135">
        <v>5.5850918839803303E-2</v>
      </c>
      <c r="X1134" s="135">
        <v>5.4135627227204997E-2</v>
      </c>
      <c r="Y1134" s="135">
        <v>5.0544177007237699E-2</v>
      </c>
      <c r="Z1134" s="135">
        <v>3.3339036030354E-2</v>
      </c>
      <c r="AA1134" s="135">
        <v>2.4565604873120199E-2</v>
      </c>
      <c r="AB1134" s="135">
        <v>1.8129659040456301E-2</v>
      </c>
      <c r="AC1134" s="135">
        <v>1.1319737988053399E-2</v>
      </c>
      <c r="AD1134" s="135">
        <v>1.0202793425540001E-2</v>
      </c>
      <c r="AF1134" s="243">
        <f t="shared" si="21"/>
        <v>0.19951601907987815</v>
      </c>
      <c r="AG1134" s="275">
        <f t="shared" si="22"/>
        <v>0.26207110472815831</v>
      </c>
      <c r="AH1134" s="391">
        <f t="shared" si="23"/>
        <v>0.21449154300156956</v>
      </c>
      <c r="AI1134" s="135">
        <f t="shared" si="24"/>
        <v>0.47656264772972784</v>
      </c>
    </row>
    <row r="1135" spans="1:35" ht="12.6">
      <c r="A1135" s="10" t="s">
        <v>1516</v>
      </c>
      <c r="B1135" s="10">
        <v>39</v>
      </c>
      <c r="C1135" s="10" t="s">
        <v>1512</v>
      </c>
      <c r="D1135" s="388">
        <v>44965</v>
      </c>
      <c r="E1135" s="389">
        <v>44965</v>
      </c>
      <c r="F1135" s="390" t="str">
        <f t="shared" si="20"/>
        <v>Space heating &amp; cooling</v>
      </c>
      <c r="G1135" s="135">
        <v>7.9953571716747905E-3</v>
      </c>
      <c r="H1135" s="135">
        <v>7.8245831116129094E-3</v>
      </c>
      <c r="I1135" s="135">
        <v>8.0300339165570792E-3</v>
      </c>
      <c r="J1135" s="135">
        <v>8.4416246859035302E-3</v>
      </c>
      <c r="K1135" s="135">
        <v>8.97309956887417E-3</v>
      </c>
      <c r="L1135" s="135">
        <v>9.6802006859900806E-3</v>
      </c>
      <c r="M1135" s="135">
        <v>7.4874400160792999E-3</v>
      </c>
      <c r="N1135" s="135">
        <v>5.5926251676814004E-3</v>
      </c>
      <c r="O1135" s="135">
        <v>5.0911588033517603E-3</v>
      </c>
      <c r="P1135" s="135">
        <v>5.6938699301580702E-3</v>
      </c>
      <c r="Q1135" s="135">
        <v>6.4300445804596398E-3</v>
      </c>
      <c r="R1135" s="135">
        <v>1.0969740341545501E-2</v>
      </c>
      <c r="S1135" s="135">
        <v>1.38866577700715E-2</v>
      </c>
      <c r="T1135" s="135">
        <v>2.3836397515582201E-2</v>
      </c>
      <c r="U1135" s="135">
        <v>3.8825545760309499E-2</v>
      </c>
      <c r="V1135" s="135">
        <v>4.9716714272106499E-2</v>
      </c>
      <c r="W1135" s="135">
        <v>5.5850918839803303E-2</v>
      </c>
      <c r="X1135" s="135">
        <v>5.4135627227204997E-2</v>
      </c>
      <c r="Y1135" s="135">
        <v>5.0544177007237699E-2</v>
      </c>
      <c r="Z1135" s="135">
        <v>3.3339036030354E-2</v>
      </c>
      <c r="AA1135" s="135">
        <v>2.4565604873120199E-2</v>
      </c>
      <c r="AB1135" s="135">
        <v>1.8129659040456301E-2</v>
      </c>
      <c r="AC1135" s="135">
        <v>1.1319737988053399E-2</v>
      </c>
      <c r="AD1135" s="135">
        <v>1.0202793425540001E-2</v>
      </c>
      <c r="AF1135" s="243">
        <f t="shared" si="21"/>
        <v>0.19951601907987815</v>
      </c>
      <c r="AG1135" s="275">
        <f t="shared" si="22"/>
        <v>0.26207110472815831</v>
      </c>
      <c r="AH1135" s="391">
        <f t="shared" si="23"/>
        <v>0.21449154300156956</v>
      </c>
      <c r="AI1135" s="135">
        <f t="shared" si="24"/>
        <v>0.47656264772972784</v>
      </c>
    </row>
    <row r="1136" spans="1:35" ht="12.6">
      <c r="A1136" s="10" t="s">
        <v>1516</v>
      </c>
      <c r="B1136" s="10">
        <v>40</v>
      </c>
      <c r="C1136" s="10" t="s">
        <v>1512</v>
      </c>
      <c r="D1136" s="388">
        <v>44966</v>
      </c>
      <c r="E1136" s="389">
        <v>44966</v>
      </c>
      <c r="F1136" s="390" t="str">
        <f t="shared" si="20"/>
        <v>Space heating &amp; cooling</v>
      </c>
      <c r="G1136" s="135">
        <v>7.9953571716747905E-3</v>
      </c>
      <c r="H1136" s="135">
        <v>7.8245831116129094E-3</v>
      </c>
      <c r="I1136" s="135">
        <v>8.0300339165570792E-3</v>
      </c>
      <c r="J1136" s="135">
        <v>8.4416246859035302E-3</v>
      </c>
      <c r="K1136" s="135">
        <v>8.97309956887417E-3</v>
      </c>
      <c r="L1136" s="135">
        <v>9.6802006859900806E-3</v>
      </c>
      <c r="M1136" s="135">
        <v>7.4874400160792999E-3</v>
      </c>
      <c r="N1136" s="135">
        <v>5.5926251676814004E-3</v>
      </c>
      <c r="O1136" s="135">
        <v>5.0911588033517603E-3</v>
      </c>
      <c r="P1136" s="135">
        <v>5.6938699301580702E-3</v>
      </c>
      <c r="Q1136" s="135">
        <v>6.4300445804596398E-3</v>
      </c>
      <c r="R1136" s="135">
        <v>1.0969740341545501E-2</v>
      </c>
      <c r="S1136" s="135">
        <v>1.38866577700715E-2</v>
      </c>
      <c r="T1136" s="135">
        <v>2.3836397515582201E-2</v>
      </c>
      <c r="U1136" s="135">
        <v>3.8825545760309499E-2</v>
      </c>
      <c r="V1136" s="135">
        <v>4.9716714272106499E-2</v>
      </c>
      <c r="W1136" s="135">
        <v>5.5850918839803303E-2</v>
      </c>
      <c r="X1136" s="135">
        <v>5.4135627227204997E-2</v>
      </c>
      <c r="Y1136" s="135">
        <v>5.0544177007237699E-2</v>
      </c>
      <c r="Z1136" s="135">
        <v>3.3339036030354E-2</v>
      </c>
      <c r="AA1136" s="135">
        <v>2.4565604873120199E-2</v>
      </c>
      <c r="AB1136" s="135">
        <v>1.8129659040456301E-2</v>
      </c>
      <c r="AC1136" s="135">
        <v>1.1319737988053399E-2</v>
      </c>
      <c r="AD1136" s="135">
        <v>1.0202793425540001E-2</v>
      </c>
      <c r="AF1136" s="243">
        <f t="shared" si="21"/>
        <v>0.19951601907987815</v>
      </c>
      <c r="AG1136" s="275">
        <f t="shared" si="22"/>
        <v>0.26207110472815831</v>
      </c>
      <c r="AH1136" s="391">
        <f t="shared" si="23"/>
        <v>0.21449154300156956</v>
      </c>
      <c r="AI1136" s="135">
        <f t="shared" si="24"/>
        <v>0.47656264772972784</v>
      </c>
    </row>
    <row r="1137" spans="1:35" ht="12.6">
      <c r="A1137" s="10" t="s">
        <v>1516</v>
      </c>
      <c r="B1137" s="10">
        <v>41</v>
      </c>
      <c r="C1137" s="10" t="s">
        <v>1512</v>
      </c>
      <c r="D1137" s="388">
        <v>44967</v>
      </c>
      <c r="E1137" s="389">
        <v>44967</v>
      </c>
      <c r="F1137" s="390" t="str">
        <f t="shared" si="20"/>
        <v>Space heating &amp; cooling</v>
      </c>
      <c r="G1137" s="135">
        <v>7.9953571716747905E-3</v>
      </c>
      <c r="H1137" s="135">
        <v>7.8245831116129094E-3</v>
      </c>
      <c r="I1137" s="135">
        <v>8.0300339165570792E-3</v>
      </c>
      <c r="J1137" s="135">
        <v>8.4416246859035302E-3</v>
      </c>
      <c r="K1137" s="135">
        <v>8.97309956887417E-3</v>
      </c>
      <c r="L1137" s="135">
        <v>9.6802006859900806E-3</v>
      </c>
      <c r="M1137" s="135">
        <v>7.4874400160792999E-3</v>
      </c>
      <c r="N1137" s="135">
        <v>5.5926251676814004E-3</v>
      </c>
      <c r="O1137" s="135">
        <v>5.0911588033517603E-3</v>
      </c>
      <c r="P1137" s="135">
        <v>5.6938699301580702E-3</v>
      </c>
      <c r="Q1137" s="135">
        <v>6.4300445804596398E-3</v>
      </c>
      <c r="R1137" s="135">
        <v>1.0969740341545501E-2</v>
      </c>
      <c r="S1137" s="135">
        <v>1.38866577700715E-2</v>
      </c>
      <c r="T1137" s="135">
        <v>2.3836397515582201E-2</v>
      </c>
      <c r="U1137" s="135">
        <v>3.8825545760309499E-2</v>
      </c>
      <c r="V1137" s="135">
        <v>4.9716714272106499E-2</v>
      </c>
      <c r="W1137" s="135">
        <v>5.5850918839803303E-2</v>
      </c>
      <c r="X1137" s="135">
        <v>5.4135627227204997E-2</v>
      </c>
      <c r="Y1137" s="135">
        <v>5.0544177007237699E-2</v>
      </c>
      <c r="Z1137" s="135">
        <v>3.3339036030354E-2</v>
      </c>
      <c r="AA1137" s="135">
        <v>2.4565604873120199E-2</v>
      </c>
      <c r="AB1137" s="135">
        <v>1.8129659040456301E-2</v>
      </c>
      <c r="AC1137" s="135">
        <v>1.1319737988053399E-2</v>
      </c>
      <c r="AD1137" s="135">
        <v>1.0202793425540001E-2</v>
      </c>
      <c r="AF1137" s="243">
        <f t="shared" si="21"/>
        <v>0.19951601907987815</v>
      </c>
      <c r="AG1137" s="275">
        <f t="shared" si="22"/>
        <v>0.26207110472815831</v>
      </c>
      <c r="AH1137" s="391">
        <f t="shared" si="23"/>
        <v>0.21449154300156956</v>
      </c>
      <c r="AI1137" s="135">
        <f t="shared" si="24"/>
        <v>0.47656264772972784</v>
      </c>
    </row>
    <row r="1138" spans="1:35" ht="12.6">
      <c r="A1138" s="10" t="s">
        <v>1516</v>
      </c>
      <c r="B1138" s="10">
        <v>42</v>
      </c>
      <c r="C1138" s="10" t="s">
        <v>1512</v>
      </c>
      <c r="D1138" s="388">
        <v>44968</v>
      </c>
      <c r="E1138" s="389">
        <v>44968</v>
      </c>
      <c r="F1138" s="390" t="str">
        <f t="shared" si="20"/>
        <v>Space heating &amp; cooling</v>
      </c>
      <c r="G1138" s="135">
        <v>7.3042221050607804E-3</v>
      </c>
      <c r="H1138" s="135">
        <v>7.9860453334460804E-3</v>
      </c>
      <c r="I1138" s="135">
        <v>8.2067902760984308E-3</v>
      </c>
      <c r="J1138" s="135">
        <v>9.3749866615557998E-3</v>
      </c>
      <c r="K1138" s="135">
        <v>9.2645336050987299E-3</v>
      </c>
      <c r="L1138" s="135">
        <v>9.6349493269929799E-3</v>
      </c>
      <c r="M1138" s="135">
        <v>8.3405229864516699E-3</v>
      </c>
      <c r="N1138" s="135">
        <v>6.0454666879825704E-3</v>
      </c>
      <c r="O1138" s="135">
        <v>7.9840599698071495E-3</v>
      </c>
      <c r="P1138" s="135">
        <v>9.1141018722067802E-3</v>
      </c>
      <c r="Q1138" s="135">
        <v>8.9484741912523608E-3</v>
      </c>
      <c r="R1138" s="135">
        <v>1.2309643634535501E-2</v>
      </c>
      <c r="S1138" s="135">
        <v>1.9128368451632901E-2</v>
      </c>
      <c r="T1138" s="135">
        <v>2.8000139427327101E-2</v>
      </c>
      <c r="U1138" s="135">
        <v>5.04285740920506E-2</v>
      </c>
      <c r="V1138" s="135">
        <v>5.3460177738221301E-2</v>
      </c>
      <c r="W1138" s="135">
        <v>5.1854687043523098E-2</v>
      </c>
      <c r="X1138" s="135">
        <v>3.8054831227056801E-2</v>
      </c>
      <c r="Y1138" s="135">
        <v>3.0808022173456E-2</v>
      </c>
      <c r="Z1138" s="135">
        <v>2.8021319669542501E-2</v>
      </c>
      <c r="AA1138" s="135">
        <v>2.4835408297673701E-2</v>
      </c>
      <c r="AB1138" s="135">
        <v>1.3768829918079E-2</v>
      </c>
      <c r="AC1138" s="135">
        <v>7.5681054157869599E-3</v>
      </c>
      <c r="AD1138" s="135">
        <v>7.20527428759506E-3</v>
      </c>
      <c r="AF1138" s="243">
        <f t="shared" si="21"/>
        <v>0.22413006457854284</v>
      </c>
      <c r="AG1138" s="275">
        <f t="shared" si="22"/>
        <v>0.2777573767508415</v>
      </c>
      <c r="AH1138" s="391">
        <f t="shared" si="23"/>
        <v>0.17989015764159239</v>
      </c>
      <c r="AI1138" s="135">
        <f t="shared" si="24"/>
        <v>0.45764753439243389</v>
      </c>
    </row>
    <row r="1139" spans="1:35" ht="12.6">
      <c r="A1139" s="10" t="s">
        <v>1516</v>
      </c>
      <c r="B1139" s="10">
        <v>43</v>
      </c>
      <c r="C1139" s="10" t="s">
        <v>1512</v>
      </c>
      <c r="D1139" s="388">
        <v>44969</v>
      </c>
      <c r="E1139" s="389">
        <v>44969</v>
      </c>
      <c r="F1139" s="390" t="str">
        <f t="shared" si="20"/>
        <v>Space heating &amp; cooling</v>
      </c>
      <c r="G1139" s="135">
        <v>7.3042221050607804E-3</v>
      </c>
      <c r="H1139" s="135">
        <v>7.9860453334460804E-3</v>
      </c>
      <c r="I1139" s="135">
        <v>8.2067902760984308E-3</v>
      </c>
      <c r="J1139" s="135">
        <v>9.3749866615557998E-3</v>
      </c>
      <c r="K1139" s="135">
        <v>9.2645336050987299E-3</v>
      </c>
      <c r="L1139" s="135">
        <v>9.6349493269929799E-3</v>
      </c>
      <c r="M1139" s="135">
        <v>8.3405229864516699E-3</v>
      </c>
      <c r="N1139" s="135">
        <v>6.0454666879825704E-3</v>
      </c>
      <c r="O1139" s="135">
        <v>7.9840599698071495E-3</v>
      </c>
      <c r="P1139" s="135">
        <v>9.1141018722067802E-3</v>
      </c>
      <c r="Q1139" s="135">
        <v>8.9484741912523608E-3</v>
      </c>
      <c r="R1139" s="135">
        <v>1.2309643634535501E-2</v>
      </c>
      <c r="S1139" s="135">
        <v>1.9128368451632901E-2</v>
      </c>
      <c r="T1139" s="135">
        <v>2.8000139427327101E-2</v>
      </c>
      <c r="U1139" s="135">
        <v>5.04285740920506E-2</v>
      </c>
      <c r="V1139" s="135">
        <v>5.3460177738221301E-2</v>
      </c>
      <c r="W1139" s="135">
        <v>5.1854687043523098E-2</v>
      </c>
      <c r="X1139" s="135">
        <v>3.8054831227056801E-2</v>
      </c>
      <c r="Y1139" s="135">
        <v>3.0808022173456E-2</v>
      </c>
      <c r="Z1139" s="135">
        <v>2.8021319669542501E-2</v>
      </c>
      <c r="AA1139" s="135">
        <v>2.4835408297673701E-2</v>
      </c>
      <c r="AB1139" s="135">
        <v>1.3768829918079E-2</v>
      </c>
      <c r="AC1139" s="135">
        <v>7.5681054157869599E-3</v>
      </c>
      <c r="AD1139" s="135">
        <v>7.20527428759506E-3</v>
      </c>
      <c r="AF1139" s="243">
        <f t="shared" si="21"/>
        <v>0.22413006457854284</v>
      </c>
      <c r="AG1139" s="275">
        <f t="shared" si="22"/>
        <v>0.2777573767508415</v>
      </c>
      <c r="AH1139" s="391">
        <f t="shared" si="23"/>
        <v>0.17989015764159239</v>
      </c>
      <c r="AI1139" s="135">
        <f t="shared" si="24"/>
        <v>0.45764753439243389</v>
      </c>
    </row>
    <row r="1140" spans="1:35" ht="12.6">
      <c r="A1140" s="10" t="s">
        <v>1516</v>
      </c>
      <c r="B1140" s="10">
        <v>44</v>
      </c>
      <c r="C1140" s="10" t="s">
        <v>1512</v>
      </c>
      <c r="D1140" s="388">
        <v>44970</v>
      </c>
      <c r="E1140" s="389">
        <v>44970</v>
      </c>
      <c r="F1140" s="390" t="str">
        <f t="shared" si="20"/>
        <v>Space heating &amp; cooling</v>
      </c>
      <c r="G1140" s="135">
        <v>7.9953571716747905E-3</v>
      </c>
      <c r="H1140" s="135">
        <v>7.8245831116129094E-3</v>
      </c>
      <c r="I1140" s="135">
        <v>8.0300339165570792E-3</v>
      </c>
      <c r="J1140" s="135">
        <v>8.4416246859035302E-3</v>
      </c>
      <c r="K1140" s="135">
        <v>8.97309956887417E-3</v>
      </c>
      <c r="L1140" s="135">
        <v>9.6802006859900806E-3</v>
      </c>
      <c r="M1140" s="135">
        <v>7.4874400160792999E-3</v>
      </c>
      <c r="N1140" s="135">
        <v>5.5926251676814004E-3</v>
      </c>
      <c r="O1140" s="135">
        <v>5.0911588033517603E-3</v>
      </c>
      <c r="P1140" s="135">
        <v>5.6938699301580702E-3</v>
      </c>
      <c r="Q1140" s="135">
        <v>6.4300445804596398E-3</v>
      </c>
      <c r="R1140" s="135">
        <v>1.0969740341545501E-2</v>
      </c>
      <c r="S1140" s="135">
        <v>1.38866577700715E-2</v>
      </c>
      <c r="T1140" s="135">
        <v>2.3836397515582201E-2</v>
      </c>
      <c r="U1140" s="135">
        <v>3.8825545760309499E-2</v>
      </c>
      <c r="V1140" s="135">
        <v>4.9716714272106499E-2</v>
      </c>
      <c r="W1140" s="135">
        <v>5.5850918839803303E-2</v>
      </c>
      <c r="X1140" s="135">
        <v>5.4135627227204997E-2</v>
      </c>
      <c r="Y1140" s="135">
        <v>5.0544177007237699E-2</v>
      </c>
      <c r="Z1140" s="135">
        <v>3.3339036030354E-2</v>
      </c>
      <c r="AA1140" s="135">
        <v>2.4565604873120199E-2</v>
      </c>
      <c r="AB1140" s="135">
        <v>1.8129659040456301E-2</v>
      </c>
      <c r="AC1140" s="135">
        <v>1.1319737988053399E-2</v>
      </c>
      <c r="AD1140" s="135">
        <v>1.0202793425540001E-2</v>
      </c>
      <c r="AF1140" s="243">
        <f t="shared" si="21"/>
        <v>0.19951601907987815</v>
      </c>
      <c r="AG1140" s="275">
        <f t="shared" si="22"/>
        <v>0.26207110472815831</v>
      </c>
      <c r="AH1140" s="391">
        <f t="shared" si="23"/>
        <v>0.21449154300156956</v>
      </c>
      <c r="AI1140" s="135">
        <f t="shared" si="24"/>
        <v>0.47656264772972784</v>
      </c>
    </row>
    <row r="1141" spans="1:35" ht="12.6">
      <c r="A1141" s="10" t="s">
        <v>1516</v>
      </c>
      <c r="B1141" s="10">
        <v>45</v>
      </c>
      <c r="C1141" s="10" t="s">
        <v>1512</v>
      </c>
      <c r="D1141" s="388">
        <v>44971</v>
      </c>
      <c r="E1141" s="389">
        <v>44971</v>
      </c>
      <c r="F1141" s="390" t="str">
        <f t="shared" si="20"/>
        <v>Space heating &amp; cooling</v>
      </c>
      <c r="G1141" s="135">
        <v>7.9953571716747905E-3</v>
      </c>
      <c r="H1141" s="135">
        <v>7.8245831116129094E-3</v>
      </c>
      <c r="I1141" s="135">
        <v>8.0300339165570792E-3</v>
      </c>
      <c r="J1141" s="135">
        <v>8.4416246859035302E-3</v>
      </c>
      <c r="K1141" s="135">
        <v>8.97309956887417E-3</v>
      </c>
      <c r="L1141" s="135">
        <v>9.6802006859900806E-3</v>
      </c>
      <c r="M1141" s="135">
        <v>7.4874400160792999E-3</v>
      </c>
      <c r="N1141" s="135">
        <v>5.5926251676814004E-3</v>
      </c>
      <c r="O1141" s="135">
        <v>5.0911588033517603E-3</v>
      </c>
      <c r="P1141" s="135">
        <v>5.6938699301580702E-3</v>
      </c>
      <c r="Q1141" s="135">
        <v>6.4300445804596398E-3</v>
      </c>
      <c r="R1141" s="135">
        <v>1.0969740341545501E-2</v>
      </c>
      <c r="S1141" s="135">
        <v>1.38866577700715E-2</v>
      </c>
      <c r="T1141" s="135">
        <v>2.3836397515582201E-2</v>
      </c>
      <c r="U1141" s="135">
        <v>3.8825545760309499E-2</v>
      </c>
      <c r="V1141" s="135">
        <v>4.9716714272106499E-2</v>
      </c>
      <c r="W1141" s="135">
        <v>5.5850918839803303E-2</v>
      </c>
      <c r="X1141" s="135">
        <v>5.4135627227204997E-2</v>
      </c>
      <c r="Y1141" s="135">
        <v>5.0544177007237699E-2</v>
      </c>
      <c r="Z1141" s="135">
        <v>3.3339036030354E-2</v>
      </c>
      <c r="AA1141" s="135">
        <v>2.4565604873120199E-2</v>
      </c>
      <c r="AB1141" s="135">
        <v>1.8129659040456301E-2</v>
      </c>
      <c r="AC1141" s="135">
        <v>1.1319737988053399E-2</v>
      </c>
      <c r="AD1141" s="135">
        <v>1.0202793425540001E-2</v>
      </c>
      <c r="AF1141" s="243">
        <f t="shared" si="21"/>
        <v>0.19951601907987815</v>
      </c>
      <c r="AG1141" s="275">
        <f t="shared" si="22"/>
        <v>0.26207110472815831</v>
      </c>
      <c r="AH1141" s="391">
        <f t="shared" si="23"/>
        <v>0.21449154300156956</v>
      </c>
      <c r="AI1141" s="135">
        <f t="shared" si="24"/>
        <v>0.47656264772972784</v>
      </c>
    </row>
    <row r="1142" spans="1:35" ht="12.6">
      <c r="A1142" s="10" t="s">
        <v>1516</v>
      </c>
      <c r="B1142" s="10">
        <v>46</v>
      </c>
      <c r="C1142" s="10" t="s">
        <v>1512</v>
      </c>
      <c r="D1142" s="388">
        <v>44972</v>
      </c>
      <c r="E1142" s="389">
        <v>44972</v>
      </c>
      <c r="F1142" s="390" t="str">
        <f t="shared" si="20"/>
        <v>Space heating &amp; cooling</v>
      </c>
      <c r="G1142" s="135">
        <v>7.9953571716747905E-3</v>
      </c>
      <c r="H1142" s="135">
        <v>7.8245831116129094E-3</v>
      </c>
      <c r="I1142" s="135">
        <v>8.0300339165570792E-3</v>
      </c>
      <c r="J1142" s="135">
        <v>8.4416246859035302E-3</v>
      </c>
      <c r="K1142" s="135">
        <v>8.97309956887417E-3</v>
      </c>
      <c r="L1142" s="135">
        <v>9.6802006859900806E-3</v>
      </c>
      <c r="M1142" s="135">
        <v>7.4874400160792999E-3</v>
      </c>
      <c r="N1142" s="135">
        <v>5.5926251676814004E-3</v>
      </c>
      <c r="O1142" s="135">
        <v>5.0911588033517603E-3</v>
      </c>
      <c r="P1142" s="135">
        <v>5.6938699301580702E-3</v>
      </c>
      <c r="Q1142" s="135">
        <v>6.4300445804596398E-3</v>
      </c>
      <c r="R1142" s="135">
        <v>1.0969740341545501E-2</v>
      </c>
      <c r="S1142" s="135">
        <v>1.38866577700715E-2</v>
      </c>
      <c r="T1142" s="135">
        <v>2.3836397515582201E-2</v>
      </c>
      <c r="U1142" s="135">
        <v>3.8825545760309499E-2</v>
      </c>
      <c r="V1142" s="135">
        <v>4.9716714272106499E-2</v>
      </c>
      <c r="W1142" s="135">
        <v>5.5850918839803303E-2</v>
      </c>
      <c r="X1142" s="135">
        <v>5.4135627227204997E-2</v>
      </c>
      <c r="Y1142" s="135">
        <v>5.0544177007237699E-2</v>
      </c>
      <c r="Z1142" s="135">
        <v>3.3339036030354E-2</v>
      </c>
      <c r="AA1142" s="135">
        <v>2.4565604873120199E-2</v>
      </c>
      <c r="AB1142" s="135">
        <v>1.8129659040456301E-2</v>
      </c>
      <c r="AC1142" s="135">
        <v>1.1319737988053399E-2</v>
      </c>
      <c r="AD1142" s="135">
        <v>1.0202793425540001E-2</v>
      </c>
      <c r="AF1142" s="243">
        <f t="shared" si="21"/>
        <v>0.19951601907987815</v>
      </c>
      <c r="AG1142" s="275">
        <f t="shared" si="22"/>
        <v>0.26207110472815831</v>
      </c>
      <c r="AH1142" s="391">
        <f t="shared" si="23"/>
        <v>0.21449154300156956</v>
      </c>
      <c r="AI1142" s="135">
        <f t="shared" si="24"/>
        <v>0.47656264772972784</v>
      </c>
    </row>
    <row r="1143" spans="1:35" ht="12.6">
      <c r="A1143" s="10" t="s">
        <v>1516</v>
      </c>
      <c r="B1143" s="10">
        <v>47</v>
      </c>
      <c r="C1143" s="10" t="s">
        <v>1512</v>
      </c>
      <c r="D1143" s="388">
        <v>44973</v>
      </c>
      <c r="E1143" s="389">
        <v>44973</v>
      </c>
      <c r="F1143" s="390" t="str">
        <f t="shared" si="20"/>
        <v>Space heating &amp; cooling</v>
      </c>
      <c r="G1143" s="135">
        <v>7.9953571716747905E-3</v>
      </c>
      <c r="H1143" s="135">
        <v>7.8245831116129094E-3</v>
      </c>
      <c r="I1143" s="135">
        <v>8.0300339165570792E-3</v>
      </c>
      <c r="J1143" s="135">
        <v>8.4416246859035302E-3</v>
      </c>
      <c r="K1143" s="135">
        <v>8.97309956887417E-3</v>
      </c>
      <c r="L1143" s="135">
        <v>9.6802006859900806E-3</v>
      </c>
      <c r="M1143" s="135">
        <v>7.4874400160792999E-3</v>
      </c>
      <c r="N1143" s="135">
        <v>5.5926251676814004E-3</v>
      </c>
      <c r="O1143" s="135">
        <v>5.0911588033517603E-3</v>
      </c>
      <c r="P1143" s="135">
        <v>5.6938699301580702E-3</v>
      </c>
      <c r="Q1143" s="135">
        <v>6.4300445804596398E-3</v>
      </c>
      <c r="R1143" s="135">
        <v>1.0969740341545501E-2</v>
      </c>
      <c r="S1143" s="135">
        <v>1.38866577700715E-2</v>
      </c>
      <c r="T1143" s="135">
        <v>2.3836397515582201E-2</v>
      </c>
      <c r="U1143" s="135">
        <v>3.8825545760309499E-2</v>
      </c>
      <c r="V1143" s="135">
        <v>4.9716714272106499E-2</v>
      </c>
      <c r="W1143" s="135">
        <v>5.5850918839803303E-2</v>
      </c>
      <c r="X1143" s="135">
        <v>5.4135627227204997E-2</v>
      </c>
      <c r="Y1143" s="135">
        <v>5.0544177007237699E-2</v>
      </c>
      <c r="Z1143" s="135">
        <v>3.3339036030354E-2</v>
      </c>
      <c r="AA1143" s="135">
        <v>2.4565604873120199E-2</v>
      </c>
      <c r="AB1143" s="135">
        <v>1.8129659040456301E-2</v>
      </c>
      <c r="AC1143" s="135">
        <v>1.1319737988053399E-2</v>
      </c>
      <c r="AD1143" s="135">
        <v>1.0202793425540001E-2</v>
      </c>
      <c r="AF1143" s="243">
        <f t="shared" si="21"/>
        <v>0.19951601907987815</v>
      </c>
      <c r="AG1143" s="275">
        <f t="shared" si="22"/>
        <v>0.26207110472815831</v>
      </c>
      <c r="AH1143" s="391">
        <f t="shared" si="23"/>
        <v>0.21449154300156956</v>
      </c>
      <c r="AI1143" s="135">
        <f t="shared" si="24"/>
        <v>0.47656264772972784</v>
      </c>
    </row>
    <row r="1144" spans="1:35" ht="12.6">
      <c r="A1144" s="10" t="s">
        <v>1516</v>
      </c>
      <c r="B1144" s="10">
        <v>48</v>
      </c>
      <c r="C1144" s="10" t="s">
        <v>1512</v>
      </c>
      <c r="D1144" s="388">
        <v>44974</v>
      </c>
      <c r="E1144" s="389">
        <v>44974</v>
      </c>
      <c r="F1144" s="390" t="str">
        <f t="shared" si="20"/>
        <v>Space heating &amp; cooling</v>
      </c>
      <c r="G1144" s="135">
        <v>7.9953571716747905E-3</v>
      </c>
      <c r="H1144" s="135">
        <v>7.8245831116129094E-3</v>
      </c>
      <c r="I1144" s="135">
        <v>8.0300339165570792E-3</v>
      </c>
      <c r="J1144" s="135">
        <v>8.4416246859035302E-3</v>
      </c>
      <c r="K1144" s="135">
        <v>8.97309956887417E-3</v>
      </c>
      <c r="L1144" s="135">
        <v>9.6802006859900806E-3</v>
      </c>
      <c r="M1144" s="135">
        <v>7.4874400160792999E-3</v>
      </c>
      <c r="N1144" s="135">
        <v>5.5926251676814004E-3</v>
      </c>
      <c r="O1144" s="135">
        <v>5.0911588033517603E-3</v>
      </c>
      <c r="P1144" s="135">
        <v>5.6938699301580702E-3</v>
      </c>
      <c r="Q1144" s="135">
        <v>6.4300445804596398E-3</v>
      </c>
      <c r="R1144" s="135">
        <v>1.0969740341545501E-2</v>
      </c>
      <c r="S1144" s="135">
        <v>1.38866577700715E-2</v>
      </c>
      <c r="T1144" s="135">
        <v>2.3836397515582201E-2</v>
      </c>
      <c r="U1144" s="135">
        <v>3.8825545760309499E-2</v>
      </c>
      <c r="V1144" s="135">
        <v>4.9716714272106499E-2</v>
      </c>
      <c r="W1144" s="135">
        <v>5.5850918839803303E-2</v>
      </c>
      <c r="X1144" s="135">
        <v>5.4135627227204997E-2</v>
      </c>
      <c r="Y1144" s="135">
        <v>5.0544177007237699E-2</v>
      </c>
      <c r="Z1144" s="135">
        <v>3.3339036030354E-2</v>
      </c>
      <c r="AA1144" s="135">
        <v>2.4565604873120199E-2</v>
      </c>
      <c r="AB1144" s="135">
        <v>1.8129659040456301E-2</v>
      </c>
      <c r="AC1144" s="135">
        <v>1.1319737988053399E-2</v>
      </c>
      <c r="AD1144" s="135">
        <v>1.0202793425540001E-2</v>
      </c>
      <c r="AF1144" s="243">
        <f t="shared" si="21"/>
        <v>0.19951601907987815</v>
      </c>
      <c r="AG1144" s="275">
        <f t="shared" si="22"/>
        <v>0.26207110472815831</v>
      </c>
      <c r="AH1144" s="391">
        <f t="shared" si="23"/>
        <v>0.21449154300156956</v>
      </c>
      <c r="AI1144" s="135">
        <f t="shared" si="24"/>
        <v>0.47656264772972784</v>
      </c>
    </row>
    <row r="1145" spans="1:35" ht="12.6">
      <c r="A1145" s="10" t="s">
        <v>1516</v>
      </c>
      <c r="B1145" s="10">
        <v>49</v>
      </c>
      <c r="C1145" s="10" t="s">
        <v>1512</v>
      </c>
      <c r="D1145" s="388">
        <v>44975</v>
      </c>
      <c r="E1145" s="389">
        <v>44975</v>
      </c>
      <c r="F1145" s="390" t="str">
        <f t="shared" si="20"/>
        <v>Space heating &amp; cooling</v>
      </c>
      <c r="G1145" s="135">
        <v>7.3042221050607804E-3</v>
      </c>
      <c r="H1145" s="135">
        <v>7.9860453334460804E-3</v>
      </c>
      <c r="I1145" s="135">
        <v>8.2067902760984308E-3</v>
      </c>
      <c r="J1145" s="135">
        <v>9.3749866615557998E-3</v>
      </c>
      <c r="K1145" s="135">
        <v>9.2645336050987299E-3</v>
      </c>
      <c r="L1145" s="135">
        <v>9.6349493269929799E-3</v>
      </c>
      <c r="M1145" s="135">
        <v>8.3405229864516699E-3</v>
      </c>
      <c r="N1145" s="135">
        <v>6.0454666879825704E-3</v>
      </c>
      <c r="O1145" s="135">
        <v>7.9840599698071495E-3</v>
      </c>
      <c r="P1145" s="135">
        <v>9.1141018722067802E-3</v>
      </c>
      <c r="Q1145" s="135">
        <v>8.9484741912523608E-3</v>
      </c>
      <c r="R1145" s="135">
        <v>1.2309643634535501E-2</v>
      </c>
      <c r="S1145" s="135">
        <v>1.9128368451632901E-2</v>
      </c>
      <c r="T1145" s="135">
        <v>2.8000139427327101E-2</v>
      </c>
      <c r="U1145" s="135">
        <v>5.04285740920506E-2</v>
      </c>
      <c r="V1145" s="135">
        <v>5.3460177738221301E-2</v>
      </c>
      <c r="W1145" s="135">
        <v>5.1854687043523098E-2</v>
      </c>
      <c r="X1145" s="135">
        <v>3.8054831227056801E-2</v>
      </c>
      <c r="Y1145" s="135">
        <v>3.0808022173456E-2</v>
      </c>
      <c r="Z1145" s="135">
        <v>2.8021319669542501E-2</v>
      </c>
      <c r="AA1145" s="135">
        <v>2.4835408297673701E-2</v>
      </c>
      <c r="AB1145" s="135">
        <v>1.3768829918079E-2</v>
      </c>
      <c r="AC1145" s="135">
        <v>7.5681054157869599E-3</v>
      </c>
      <c r="AD1145" s="135">
        <v>7.20527428759506E-3</v>
      </c>
      <c r="AF1145" s="243">
        <f t="shared" si="21"/>
        <v>0.22413006457854284</v>
      </c>
      <c r="AG1145" s="275">
        <f t="shared" si="22"/>
        <v>0.2777573767508415</v>
      </c>
      <c r="AH1145" s="391">
        <f t="shared" si="23"/>
        <v>0.17989015764159239</v>
      </c>
      <c r="AI1145" s="135">
        <f t="shared" si="24"/>
        <v>0.45764753439243389</v>
      </c>
    </row>
    <row r="1146" spans="1:35" ht="12.6">
      <c r="A1146" s="10" t="s">
        <v>1516</v>
      </c>
      <c r="B1146" s="10">
        <v>50</v>
      </c>
      <c r="C1146" s="10" t="s">
        <v>1512</v>
      </c>
      <c r="D1146" s="388">
        <v>44976</v>
      </c>
      <c r="E1146" s="389">
        <v>44976</v>
      </c>
      <c r="F1146" s="390" t="str">
        <f t="shared" si="20"/>
        <v>Space heating &amp; cooling</v>
      </c>
      <c r="G1146" s="135">
        <v>7.3042221050607804E-3</v>
      </c>
      <c r="H1146" s="135">
        <v>7.9860453334460804E-3</v>
      </c>
      <c r="I1146" s="135">
        <v>8.2067902760984308E-3</v>
      </c>
      <c r="J1146" s="135">
        <v>9.3749866615557998E-3</v>
      </c>
      <c r="K1146" s="135">
        <v>9.2645336050987299E-3</v>
      </c>
      <c r="L1146" s="135">
        <v>9.6349493269929799E-3</v>
      </c>
      <c r="M1146" s="135">
        <v>8.3405229864516699E-3</v>
      </c>
      <c r="N1146" s="135">
        <v>6.0454666879825704E-3</v>
      </c>
      <c r="O1146" s="135">
        <v>7.9840599698071495E-3</v>
      </c>
      <c r="P1146" s="135">
        <v>9.1141018722067802E-3</v>
      </c>
      <c r="Q1146" s="135">
        <v>8.9484741912523608E-3</v>
      </c>
      <c r="R1146" s="135">
        <v>1.2309643634535501E-2</v>
      </c>
      <c r="S1146" s="135">
        <v>1.9128368451632901E-2</v>
      </c>
      <c r="T1146" s="135">
        <v>2.8000139427327101E-2</v>
      </c>
      <c r="U1146" s="135">
        <v>5.04285740920506E-2</v>
      </c>
      <c r="V1146" s="135">
        <v>5.3460177738221301E-2</v>
      </c>
      <c r="W1146" s="135">
        <v>5.1854687043523098E-2</v>
      </c>
      <c r="X1146" s="135">
        <v>3.8054831227056801E-2</v>
      </c>
      <c r="Y1146" s="135">
        <v>3.0808022173456E-2</v>
      </c>
      <c r="Z1146" s="135">
        <v>2.8021319669542501E-2</v>
      </c>
      <c r="AA1146" s="135">
        <v>2.4835408297673701E-2</v>
      </c>
      <c r="AB1146" s="135">
        <v>1.3768829918079E-2</v>
      </c>
      <c r="AC1146" s="135">
        <v>7.5681054157869599E-3</v>
      </c>
      <c r="AD1146" s="135">
        <v>7.20527428759506E-3</v>
      </c>
      <c r="AF1146" s="243">
        <f t="shared" si="21"/>
        <v>0.22413006457854284</v>
      </c>
      <c r="AG1146" s="275">
        <f t="shared" si="22"/>
        <v>0.2777573767508415</v>
      </c>
      <c r="AH1146" s="391">
        <f t="shared" si="23"/>
        <v>0.17989015764159239</v>
      </c>
      <c r="AI1146" s="135">
        <f t="shared" si="24"/>
        <v>0.45764753439243389</v>
      </c>
    </row>
    <row r="1147" spans="1:35" ht="12.6">
      <c r="A1147" s="10" t="s">
        <v>1516</v>
      </c>
      <c r="B1147" s="10">
        <v>51</v>
      </c>
      <c r="C1147" s="10" t="s">
        <v>1512</v>
      </c>
      <c r="D1147" s="388">
        <v>44977</v>
      </c>
      <c r="E1147" s="389">
        <v>44977</v>
      </c>
      <c r="F1147" s="390" t="str">
        <f t="shared" si="20"/>
        <v>Space heating &amp; cooling</v>
      </c>
      <c r="G1147" s="135">
        <v>7.9953571716747905E-3</v>
      </c>
      <c r="H1147" s="135">
        <v>7.8245831116129094E-3</v>
      </c>
      <c r="I1147" s="135">
        <v>8.0300339165570792E-3</v>
      </c>
      <c r="J1147" s="135">
        <v>8.4416246859035302E-3</v>
      </c>
      <c r="K1147" s="135">
        <v>8.97309956887417E-3</v>
      </c>
      <c r="L1147" s="135">
        <v>9.6802006859900806E-3</v>
      </c>
      <c r="M1147" s="135">
        <v>7.4874400160792999E-3</v>
      </c>
      <c r="N1147" s="135">
        <v>5.5926251676814004E-3</v>
      </c>
      <c r="O1147" s="135">
        <v>5.0911588033517603E-3</v>
      </c>
      <c r="P1147" s="135">
        <v>5.6938699301580702E-3</v>
      </c>
      <c r="Q1147" s="135">
        <v>6.4300445804596398E-3</v>
      </c>
      <c r="R1147" s="135">
        <v>1.0969740341545501E-2</v>
      </c>
      <c r="S1147" s="135">
        <v>1.38866577700715E-2</v>
      </c>
      <c r="T1147" s="135">
        <v>2.3836397515582201E-2</v>
      </c>
      <c r="U1147" s="135">
        <v>3.8825545760309499E-2</v>
      </c>
      <c r="V1147" s="135">
        <v>4.9716714272106499E-2</v>
      </c>
      <c r="W1147" s="135">
        <v>5.5850918839803303E-2</v>
      </c>
      <c r="X1147" s="135">
        <v>5.4135627227204997E-2</v>
      </c>
      <c r="Y1147" s="135">
        <v>5.0544177007237699E-2</v>
      </c>
      <c r="Z1147" s="135">
        <v>3.3339036030354E-2</v>
      </c>
      <c r="AA1147" s="135">
        <v>2.4565604873120199E-2</v>
      </c>
      <c r="AB1147" s="135">
        <v>1.8129659040456301E-2</v>
      </c>
      <c r="AC1147" s="135">
        <v>1.1319737988053399E-2</v>
      </c>
      <c r="AD1147" s="135">
        <v>1.0202793425540001E-2</v>
      </c>
      <c r="AF1147" s="243">
        <f t="shared" si="21"/>
        <v>0.19951601907987815</v>
      </c>
      <c r="AG1147" s="275">
        <f t="shared" si="22"/>
        <v>0.26207110472815831</v>
      </c>
      <c r="AH1147" s="391">
        <f t="shared" si="23"/>
        <v>0.21449154300156956</v>
      </c>
      <c r="AI1147" s="135">
        <f t="shared" si="24"/>
        <v>0.47656264772972784</v>
      </c>
    </row>
    <row r="1148" spans="1:35" ht="12.6">
      <c r="A1148" s="10" t="s">
        <v>1516</v>
      </c>
      <c r="B1148" s="10">
        <v>52</v>
      </c>
      <c r="C1148" s="10" t="s">
        <v>1512</v>
      </c>
      <c r="D1148" s="388">
        <v>44978</v>
      </c>
      <c r="E1148" s="389">
        <v>44978</v>
      </c>
      <c r="F1148" s="390" t="str">
        <f t="shared" si="20"/>
        <v>Space heating &amp; cooling</v>
      </c>
      <c r="G1148" s="135">
        <v>7.9953571716747905E-3</v>
      </c>
      <c r="H1148" s="135">
        <v>7.8245831116129094E-3</v>
      </c>
      <c r="I1148" s="135">
        <v>8.0300339165570792E-3</v>
      </c>
      <c r="J1148" s="135">
        <v>8.4416246859035302E-3</v>
      </c>
      <c r="K1148" s="135">
        <v>8.97309956887417E-3</v>
      </c>
      <c r="L1148" s="135">
        <v>9.6802006859900806E-3</v>
      </c>
      <c r="M1148" s="135">
        <v>7.4874400160792999E-3</v>
      </c>
      <c r="N1148" s="135">
        <v>5.5926251676814004E-3</v>
      </c>
      <c r="O1148" s="135">
        <v>5.0911588033517603E-3</v>
      </c>
      <c r="P1148" s="135">
        <v>5.6938699301580702E-3</v>
      </c>
      <c r="Q1148" s="135">
        <v>6.4300445804596398E-3</v>
      </c>
      <c r="R1148" s="135">
        <v>1.0969740341545501E-2</v>
      </c>
      <c r="S1148" s="135">
        <v>1.38866577700715E-2</v>
      </c>
      <c r="T1148" s="135">
        <v>2.3836397515582201E-2</v>
      </c>
      <c r="U1148" s="135">
        <v>3.8825545760309499E-2</v>
      </c>
      <c r="V1148" s="135">
        <v>4.9716714272106499E-2</v>
      </c>
      <c r="W1148" s="135">
        <v>5.5850918839803303E-2</v>
      </c>
      <c r="X1148" s="135">
        <v>5.4135627227204997E-2</v>
      </c>
      <c r="Y1148" s="135">
        <v>5.0544177007237699E-2</v>
      </c>
      <c r="Z1148" s="135">
        <v>3.3339036030354E-2</v>
      </c>
      <c r="AA1148" s="135">
        <v>2.4565604873120199E-2</v>
      </c>
      <c r="AB1148" s="135">
        <v>1.8129659040456301E-2</v>
      </c>
      <c r="AC1148" s="135">
        <v>1.1319737988053399E-2</v>
      </c>
      <c r="AD1148" s="135">
        <v>1.0202793425540001E-2</v>
      </c>
      <c r="AF1148" s="243">
        <f t="shared" si="21"/>
        <v>0.19951601907987815</v>
      </c>
      <c r="AG1148" s="275">
        <f t="shared" si="22"/>
        <v>0.26207110472815831</v>
      </c>
      <c r="AH1148" s="391">
        <f t="shared" si="23"/>
        <v>0.21449154300156956</v>
      </c>
      <c r="AI1148" s="135">
        <f t="shared" si="24"/>
        <v>0.47656264772972784</v>
      </c>
    </row>
    <row r="1149" spans="1:35" ht="12.6">
      <c r="A1149" s="10" t="s">
        <v>1516</v>
      </c>
      <c r="B1149" s="10">
        <v>53</v>
      </c>
      <c r="C1149" s="10" t="s">
        <v>1512</v>
      </c>
      <c r="D1149" s="388">
        <v>44979</v>
      </c>
      <c r="E1149" s="389">
        <v>44979</v>
      </c>
      <c r="F1149" s="390" t="str">
        <f t="shared" si="20"/>
        <v>Space heating &amp; cooling</v>
      </c>
      <c r="G1149" s="135">
        <v>7.9953571716747905E-3</v>
      </c>
      <c r="H1149" s="135">
        <v>7.8245831116129094E-3</v>
      </c>
      <c r="I1149" s="135">
        <v>8.0300339165570792E-3</v>
      </c>
      <c r="J1149" s="135">
        <v>8.4416246859035302E-3</v>
      </c>
      <c r="K1149" s="135">
        <v>8.97309956887417E-3</v>
      </c>
      <c r="L1149" s="135">
        <v>9.6802006859900806E-3</v>
      </c>
      <c r="M1149" s="135">
        <v>7.4874400160792999E-3</v>
      </c>
      <c r="N1149" s="135">
        <v>5.5926251676814004E-3</v>
      </c>
      <c r="O1149" s="135">
        <v>5.0911588033517603E-3</v>
      </c>
      <c r="P1149" s="135">
        <v>5.6938699301580702E-3</v>
      </c>
      <c r="Q1149" s="135">
        <v>6.4300445804596398E-3</v>
      </c>
      <c r="R1149" s="135">
        <v>1.0969740341545501E-2</v>
      </c>
      <c r="S1149" s="135">
        <v>1.38866577700715E-2</v>
      </c>
      <c r="T1149" s="135">
        <v>2.3836397515582201E-2</v>
      </c>
      <c r="U1149" s="135">
        <v>3.8825545760309499E-2</v>
      </c>
      <c r="V1149" s="135">
        <v>4.9716714272106499E-2</v>
      </c>
      <c r="W1149" s="135">
        <v>5.5850918839803303E-2</v>
      </c>
      <c r="X1149" s="135">
        <v>5.4135627227204997E-2</v>
      </c>
      <c r="Y1149" s="135">
        <v>5.0544177007237699E-2</v>
      </c>
      <c r="Z1149" s="135">
        <v>3.3339036030354E-2</v>
      </c>
      <c r="AA1149" s="135">
        <v>2.4565604873120199E-2</v>
      </c>
      <c r="AB1149" s="135">
        <v>1.8129659040456301E-2</v>
      </c>
      <c r="AC1149" s="135">
        <v>1.1319737988053399E-2</v>
      </c>
      <c r="AD1149" s="135">
        <v>1.0202793425540001E-2</v>
      </c>
      <c r="AF1149" s="243">
        <f t="shared" si="21"/>
        <v>0.19951601907987815</v>
      </c>
      <c r="AG1149" s="275">
        <f t="shared" si="22"/>
        <v>0.26207110472815831</v>
      </c>
      <c r="AH1149" s="391">
        <f t="shared" si="23"/>
        <v>0.21449154300156956</v>
      </c>
      <c r="AI1149" s="135">
        <f t="shared" si="24"/>
        <v>0.47656264772972784</v>
      </c>
    </row>
    <row r="1150" spans="1:35" ht="12.6">
      <c r="A1150" s="10" t="s">
        <v>1516</v>
      </c>
      <c r="B1150" s="10">
        <v>54</v>
      </c>
      <c r="C1150" s="10" t="s">
        <v>1512</v>
      </c>
      <c r="D1150" s="388">
        <v>44980</v>
      </c>
      <c r="E1150" s="389">
        <v>44980</v>
      </c>
      <c r="F1150" s="390" t="str">
        <f t="shared" si="20"/>
        <v>Space heating &amp; cooling</v>
      </c>
      <c r="G1150" s="135">
        <v>7.9953571716747905E-3</v>
      </c>
      <c r="H1150" s="135">
        <v>7.8245831116129094E-3</v>
      </c>
      <c r="I1150" s="135">
        <v>8.0300339165570792E-3</v>
      </c>
      <c r="J1150" s="135">
        <v>8.4416246859035302E-3</v>
      </c>
      <c r="K1150" s="135">
        <v>8.97309956887417E-3</v>
      </c>
      <c r="L1150" s="135">
        <v>9.6802006859900806E-3</v>
      </c>
      <c r="M1150" s="135">
        <v>7.4874400160792999E-3</v>
      </c>
      <c r="N1150" s="135">
        <v>5.5926251676814004E-3</v>
      </c>
      <c r="O1150" s="135">
        <v>5.0911588033517603E-3</v>
      </c>
      <c r="P1150" s="135">
        <v>5.6938699301580702E-3</v>
      </c>
      <c r="Q1150" s="135">
        <v>6.4300445804596398E-3</v>
      </c>
      <c r="R1150" s="135">
        <v>1.0969740341545501E-2</v>
      </c>
      <c r="S1150" s="135">
        <v>1.38866577700715E-2</v>
      </c>
      <c r="T1150" s="135">
        <v>2.3836397515582201E-2</v>
      </c>
      <c r="U1150" s="135">
        <v>3.8825545760309499E-2</v>
      </c>
      <c r="V1150" s="135">
        <v>4.9716714272106499E-2</v>
      </c>
      <c r="W1150" s="135">
        <v>5.5850918839803303E-2</v>
      </c>
      <c r="X1150" s="135">
        <v>5.4135627227204997E-2</v>
      </c>
      <c r="Y1150" s="135">
        <v>5.0544177007237699E-2</v>
      </c>
      <c r="Z1150" s="135">
        <v>3.3339036030354E-2</v>
      </c>
      <c r="AA1150" s="135">
        <v>2.4565604873120199E-2</v>
      </c>
      <c r="AB1150" s="135">
        <v>1.8129659040456301E-2</v>
      </c>
      <c r="AC1150" s="135">
        <v>1.1319737988053399E-2</v>
      </c>
      <c r="AD1150" s="135">
        <v>1.0202793425540001E-2</v>
      </c>
      <c r="AF1150" s="243">
        <f t="shared" si="21"/>
        <v>0.19951601907987815</v>
      </c>
      <c r="AG1150" s="275">
        <f t="shared" si="22"/>
        <v>0.26207110472815831</v>
      </c>
      <c r="AH1150" s="391">
        <f t="shared" si="23"/>
        <v>0.21449154300156956</v>
      </c>
      <c r="AI1150" s="135">
        <f t="shared" si="24"/>
        <v>0.47656264772972784</v>
      </c>
    </row>
    <row r="1151" spans="1:35" ht="12.6">
      <c r="A1151" s="10" t="s">
        <v>1516</v>
      </c>
      <c r="B1151" s="10">
        <v>55</v>
      </c>
      <c r="C1151" s="10" t="s">
        <v>1512</v>
      </c>
      <c r="D1151" s="388">
        <v>44981</v>
      </c>
      <c r="E1151" s="389">
        <v>44981</v>
      </c>
      <c r="F1151" s="390" t="str">
        <f t="shared" si="20"/>
        <v>Space heating &amp; cooling</v>
      </c>
      <c r="G1151" s="135">
        <v>7.9953571716747905E-3</v>
      </c>
      <c r="H1151" s="135">
        <v>7.8245831116129094E-3</v>
      </c>
      <c r="I1151" s="135">
        <v>8.0300339165570792E-3</v>
      </c>
      <c r="J1151" s="135">
        <v>8.4416246859035302E-3</v>
      </c>
      <c r="K1151" s="135">
        <v>8.97309956887417E-3</v>
      </c>
      <c r="L1151" s="135">
        <v>9.6802006859900806E-3</v>
      </c>
      <c r="M1151" s="135">
        <v>7.4874400160792999E-3</v>
      </c>
      <c r="N1151" s="135">
        <v>5.5926251676814004E-3</v>
      </c>
      <c r="O1151" s="135">
        <v>5.0911588033517603E-3</v>
      </c>
      <c r="P1151" s="135">
        <v>5.6938699301580702E-3</v>
      </c>
      <c r="Q1151" s="135">
        <v>6.4300445804596398E-3</v>
      </c>
      <c r="R1151" s="135">
        <v>1.0969740341545501E-2</v>
      </c>
      <c r="S1151" s="135">
        <v>1.38866577700715E-2</v>
      </c>
      <c r="T1151" s="135">
        <v>2.3836397515582201E-2</v>
      </c>
      <c r="U1151" s="135">
        <v>3.8825545760309499E-2</v>
      </c>
      <c r="V1151" s="135">
        <v>4.9716714272106499E-2</v>
      </c>
      <c r="W1151" s="135">
        <v>5.5850918839803303E-2</v>
      </c>
      <c r="X1151" s="135">
        <v>5.4135627227204997E-2</v>
      </c>
      <c r="Y1151" s="135">
        <v>5.0544177007237699E-2</v>
      </c>
      <c r="Z1151" s="135">
        <v>3.3339036030354E-2</v>
      </c>
      <c r="AA1151" s="135">
        <v>2.4565604873120199E-2</v>
      </c>
      <c r="AB1151" s="135">
        <v>1.8129659040456301E-2</v>
      </c>
      <c r="AC1151" s="135">
        <v>1.1319737988053399E-2</v>
      </c>
      <c r="AD1151" s="135">
        <v>1.0202793425540001E-2</v>
      </c>
      <c r="AF1151" s="243">
        <f t="shared" si="21"/>
        <v>0.19951601907987815</v>
      </c>
      <c r="AG1151" s="275">
        <f t="shared" si="22"/>
        <v>0.26207110472815831</v>
      </c>
      <c r="AH1151" s="391">
        <f t="shared" si="23"/>
        <v>0.21449154300156956</v>
      </c>
      <c r="AI1151" s="135">
        <f t="shared" si="24"/>
        <v>0.47656264772972784</v>
      </c>
    </row>
    <row r="1152" spans="1:35" ht="12.6">
      <c r="A1152" s="10" t="s">
        <v>1516</v>
      </c>
      <c r="B1152" s="10">
        <v>56</v>
      </c>
      <c r="C1152" s="10" t="s">
        <v>1512</v>
      </c>
      <c r="D1152" s="388">
        <v>44982</v>
      </c>
      <c r="E1152" s="389">
        <v>44982</v>
      </c>
      <c r="F1152" s="390" t="str">
        <f t="shared" si="20"/>
        <v>Space heating &amp; cooling</v>
      </c>
      <c r="G1152" s="135">
        <v>7.3042221050607804E-3</v>
      </c>
      <c r="H1152" s="135">
        <v>7.9860453334460804E-3</v>
      </c>
      <c r="I1152" s="135">
        <v>8.2067902760984308E-3</v>
      </c>
      <c r="J1152" s="135">
        <v>9.3749866615557998E-3</v>
      </c>
      <c r="K1152" s="135">
        <v>9.2645336050987299E-3</v>
      </c>
      <c r="L1152" s="135">
        <v>9.6349493269929799E-3</v>
      </c>
      <c r="M1152" s="135">
        <v>8.3405229864516699E-3</v>
      </c>
      <c r="N1152" s="135">
        <v>6.0454666879825704E-3</v>
      </c>
      <c r="O1152" s="135">
        <v>7.9840599698071495E-3</v>
      </c>
      <c r="P1152" s="135">
        <v>9.1141018722067802E-3</v>
      </c>
      <c r="Q1152" s="135">
        <v>8.9484741912523608E-3</v>
      </c>
      <c r="R1152" s="135">
        <v>1.2309643634535501E-2</v>
      </c>
      <c r="S1152" s="135">
        <v>1.9128368451632901E-2</v>
      </c>
      <c r="T1152" s="135">
        <v>2.8000139427327101E-2</v>
      </c>
      <c r="U1152" s="135">
        <v>5.04285740920506E-2</v>
      </c>
      <c r="V1152" s="135">
        <v>5.3460177738221301E-2</v>
      </c>
      <c r="W1152" s="135">
        <v>5.1854687043523098E-2</v>
      </c>
      <c r="X1152" s="135">
        <v>3.8054831227056801E-2</v>
      </c>
      <c r="Y1152" s="135">
        <v>3.0808022173456E-2</v>
      </c>
      <c r="Z1152" s="135">
        <v>2.8021319669542501E-2</v>
      </c>
      <c r="AA1152" s="135">
        <v>2.4835408297673701E-2</v>
      </c>
      <c r="AB1152" s="135">
        <v>1.3768829918079E-2</v>
      </c>
      <c r="AC1152" s="135">
        <v>7.5681054157869599E-3</v>
      </c>
      <c r="AD1152" s="135">
        <v>7.20527428759506E-3</v>
      </c>
      <c r="AF1152" s="243">
        <f t="shared" si="21"/>
        <v>0.22413006457854284</v>
      </c>
      <c r="AG1152" s="275">
        <f t="shared" si="22"/>
        <v>0.2777573767508415</v>
      </c>
      <c r="AH1152" s="391">
        <f t="shared" si="23"/>
        <v>0.17989015764159239</v>
      </c>
      <c r="AI1152" s="135">
        <f t="shared" si="24"/>
        <v>0.45764753439243389</v>
      </c>
    </row>
    <row r="1153" spans="1:35" ht="12.6">
      <c r="A1153" s="10" t="s">
        <v>1516</v>
      </c>
      <c r="B1153" s="10">
        <v>57</v>
      </c>
      <c r="C1153" s="10" t="s">
        <v>1512</v>
      </c>
      <c r="D1153" s="388">
        <v>44983</v>
      </c>
      <c r="E1153" s="389">
        <v>44983</v>
      </c>
      <c r="F1153" s="390" t="str">
        <f t="shared" si="20"/>
        <v>Space heating &amp; cooling</v>
      </c>
      <c r="G1153" s="135">
        <v>7.3042221050607804E-3</v>
      </c>
      <c r="H1153" s="135">
        <v>7.9860453334460804E-3</v>
      </c>
      <c r="I1153" s="135">
        <v>8.2067902760984308E-3</v>
      </c>
      <c r="J1153" s="135">
        <v>9.3749866615557998E-3</v>
      </c>
      <c r="K1153" s="135">
        <v>9.2645336050987299E-3</v>
      </c>
      <c r="L1153" s="135">
        <v>9.6349493269929799E-3</v>
      </c>
      <c r="M1153" s="135">
        <v>8.3405229864516699E-3</v>
      </c>
      <c r="N1153" s="135">
        <v>6.0454666879825704E-3</v>
      </c>
      <c r="O1153" s="135">
        <v>7.9840599698071495E-3</v>
      </c>
      <c r="P1153" s="135">
        <v>9.1141018722067802E-3</v>
      </c>
      <c r="Q1153" s="135">
        <v>8.9484741912523608E-3</v>
      </c>
      <c r="R1153" s="135">
        <v>1.2309643634535501E-2</v>
      </c>
      <c r="S1153" s="135">
        <v>1.9128368451632901E-2</v>
      </c>
      <c r="T1153" s="135">
        <v>2.8000139427327101E-2</v>
      </c>
      <c r="U1153" s="135">
        <v>5.04285740920506E-2</v>
      </c>
      <c r="V1153" s="135">
        <v>5.3460177738221301E-2</v>
      </c>
      <c r="W1153" s="135">
        <v>5.1854687043523098E-2</v>
      </c>
      <c r="X1153" s="135">
        <v>3.8054831227056801E-2</v>
      </c>
      <c r="Y1153" s="135">
        <v>3.0808022173456E-2</v>
      </c>
      <c r="Z1153" s="135">
        <v>2.8021319669542501E-2</v>
      </c>
      <c r="AA1153" s="135">
        <v>2.4835408297673701E-2</v>
      </c>
      <c r="AB1153" s="135">
        <v>1.3768829918079E-2</v>
      </c>
      <c r="AC1153" s="135">
        <v>7.5681054157869599E-3</v>
      </c>
      <c r="AD1153" s="135">
        <v>7.20527428759506E-3</v>
      </c>
      <c r="AF1153" s="243">
        <f t="shared" si="21"/>
        <v>0.22413006457854284</v>
      </c>
      <c r="AG1153" s="275">
        <f t="shared" si="22"/>
        <v>0.2777573767508415</v>
      </c>
      <c r="AH1153" s="391">
        <f t="shared" si="23"/>
        <v>0.17989015764159239</v>
      </c>
      <c r="AI1153" s="135">
        <f t="shared" si="24"/>
        <v>0.45764753439243389</v>
      </c>
    </row>
    <row r="1154" spans="1:35" ht="12.6">
      <c r="A1154" s="10" t="s">
        <v>1516</v>
      </c>
      <c r="B1154" s="10">
        <v>58</v>
      </c>
      <c r="C1154" s="10" t="s">
        <v>1512</v>
      </c>
      <c r="D1154" s="388">
        <v>44984</v>
      </c>
      <c r="E1154" s="389">
        <v>44984</v>
      </c>
      <c r="F1154" s="390" t="str">
        <f t="shared" si="20"/>
        <v>Space heating &amp; cooling</v>
      </c>
      <c r="G1154" s="135">
        <v>7.9953571716747905E-3</v>
      </c>
      <c r="H1154" s="135">
        <v>7.8245831116129094E-3</v>
      </c>
      <c r="I1154" s="135">
        <v>8.0300339165570792E-3</v>
      </c>
      <c r="J1154" s="135">
        <v>8.4416246859035302E-3</v>
      </c>
      <c r="K1154" s="135">
        <v>8.97309956887417E-3</v>
      </c>
      <c r="L1154" s="135">
        <v>9.6802006859900806E-3</v>
      </c>
      <c r="M1154" s="135">
        <v>7.4874400160792999E-3</v>
      </c>
      <c r="N1154" s="135">
        <v>5.5926251676814004E-3</v>
      </c>
      <c r="O1154" s="135">
        <v>5.0911588033517603E-3</v>
      </c>
      <c r="P1154" s="135">
        <v>5.6938699301580702E-3</v>
      </c>
      <c r="Q1154" s="135">
        <v>6.4300445804596398E-3</v>
      </c>
      <c r="R1154" s="135">
        <v>1.0969740341545501E-2</v>
      </c>
      <c r="S1154" s="135">
        <v>1.38866577700715E-2</v>
      </c>
      <c r="T1154" s="135">
        <v>2.3836397515582201E-2</v>
      </c>
      <c r="U1154" s="135">
        <v>3.8825545760309499E-2</v>
      </c>
      <c r="V1154" s="135">
        <v>4.9716714272106499E-2</v>
      </c>
      <c r="W1154" s="135">
        <v>5.5850918839803303E-2</v>
      </c>
      <c r="X1154" s="135">
        <v>5.4135627227204997E-2</v>
      </c>
      <c r="Y1154" s="135">
        <v>5.0544177007237699E-2</v>
      </c>
      <c r="Z1154" s="135">
        <v>3.3339036030354E-2</v>
      </c>
      <c r="AA1154" s="135">
        <v>2.4565604873120199E-2</v>
      </c>
      <c r="AB1154" s="135">
        <v>1.8129659040456301E-2</v>
      </c>
      <c r="AC1154" s="135">
        <v>1.1319737988053399E-2</v>
      </c>
      <c r="AD1154" s="135">
        <v>1.0202793425540001E-2</v>
      </c>
      <c r="AF1154" s="243">
        <f t="shared" si="21"/>
        <v>0.19951601907987815</v>
      </c>
      <c r="AG1154" s="275">
        <f t="shared" si="22"/>
        <v>0.26207110472815831</v>
      </c>
      <c r="AH1154" s="391">
        <f t="shared" si="23"/>
        <v>0.21449154300156956</v>
      </c>
      <c r="AI1154" s="135">
        <f t="shared" si="24"/>
        <v>0.47656264772972784</v>
      </c>
    </row>
    <row r="1155" spans="1:35" ht="12.6">
      <c r="A1155" s="10" t="s">
        <v>1516</v>
      </c>
      <c r="B1155" s="10">
        <v>59</v>
      </c>
      <c r="C1155" s="10" t="s">
        <v>1512</v>
      </c>
      <c r="D1155" s="388">
        <v>44985</v>
      </c>
      <c r="E1155" s="389">
        <v>44985</v>
      </c>
      <c r="F1155" s="390" t="str">
        <f t="shared" si="20"/>
        <v>Space heating &amp; cooling</v>
      </c>
      <c r="G1155" s="135">
        <v>7.9953571716747905E-3</v>
      </c>
      <c r="H1155" s="135">
        <v>7.8245831116129094E-3</v>
      </c>
      <c r="I1155" s="135">
        <v>8.0300339165570792E-3</v>
      </c>
      <c r="J1155" s="135">
        <v>8.4416246859035302E-3</v>
      </c>
      <c r="K1155" s="135">
        <v>8.97309956887417E-3</v>
      </c>
      <c r="L1155" s="135">
        <v>9.6802006859900806E-3</v>
      </c>
      <c r="M1155" s="135">
        <v>7.4874400160792999E-3</v>
      </c>
      <c r="N1155" s="135">
        <v>5.5926251676814004E-3</v>
      </c>
      <c r="O1155" s="135">
        <v>5.0911588033517603E-3</v>
      </c>
      <c r="P1155" s="135">
        <v>5.6938699301580702E-3</v>
      </c>
      <c r="Q1155" s="135">
        <v>6.4300445804596398E-3</v>
      </c>
      <c r="R1155" s="135">
        <v>1.0969740341545501E-2</v>
      </c>
      <c r="S1155" s="135">
        <v>1.38866577700715E-2</v>
      </c>
      <c r="T1155" s="135">
        <v>2.3836397515582201E-2</v>
      </c>
      <c r="U1155" s="135">
        <v>3.8825545760309499E-2</v>
      </c>
      <c r="V1155" s="135">
        <v>4.9716714272106499E-2</v>
      </c>
      <c r="W1155" s="135">
        <v>5.5850918839803303E-2</v>
      </c>
      <c r="X1155" s="135">
        <v>5.4135627227204997E-2</v>
      </c>
      <c r="Y1155" s="135">
        <v>5.0544177007237699E-2</v>
      </c>
      <c r="Z1155" s="135">
        <v>3.3339036030354E-2</v>
      </c>
      <c r="AA1155" s="135">
        <v>2.4565604873120199E-2</v>
      </c>
      <c r="AB1155" s="135">
        <v>1.8129659040456301E-2</v>
      </c>
      <c r="AC1155" s="135">
        <v>1.1319737988053399E-2</v>
      </c>
      <c r="AD1155" s="135">
        <v>1.0202793425540001E-2</v>
      </c>
      <c r="AF1155" s="243">
        <f t="shared" si="21"/>
        <v>0.19951601907987815</v>
      </c>
      <c r="AG1155" s="275">
        <f t="shared" si="22"/>
        <v>0.26207110472815831</v>
      </c>
      <c r="AH1155" s="391">
        <f t="shared" si="23"/>
        <v>0.21449154300156956</v>
      </c>
      <c r="AI1155" s="135">
        <f t="shared" si="24"/>
        <v>0.47656264772972784</v>
      </c>
    </row>
    <row r="1156" spans="1:35" ht="12.6">
      <c r="A1156" s="10" t="s">
        <v>1516</v>
      </c>
      <c r="B1156" s="10">
        <v>60</v>
      </c>
      <c r="C1156" s="10" t="s">
        <v>1513</v>
      </c>
      <c r="D1156" s="388">
        <v>44986</v>
      </c>
      <c r="E1156" s="389">
        <v>44986</v>
      </c>
      <c r="F1156" s="390" t="str">
        <f t="shared" si="20"/>
        <v>Space heating &amp; cooling</v>
      </c>
      <c r="G1156" s="135">
        <v>1.02047408638502E-2</v>
      </c>
      <c r="H1156" s="135">
        <v>1.06091008009914E-2</v>
      </c>
      <c r="I1156" s="135">
        <v>1.0314901939932499E-2</v>
      </c>
      <c r="J1156" s="135">
        <v>1.14956345272469E-2</v>
      </c>
      <c r="K1156" s="135">
        <v>1.5418561530689099E-2</v>
      </c>
      <c r="L1156" s="135">
        <v>2.6984015042972799E-2</v>
      </c>
      <c r="M1156" s="135">
        <v>6.4210113976539501E-2</v>
      </c>
      <c r="N1156" s="135">
        <v>5.1201121055468202E-2</v>
      </c>
      <c r="O1156" s="135">
        <v>1.7758816933901699E-2</v>
      </c>
      <c r="P1156" s="135">
        <v>7.8302602586143594E-3</v>
      </c>
      <c r="Q1156" s="135">
        <v>6.0948801867032202E-3</v>
      </c>
      <c r="R1156" s="135">
        <v>6.3611866896000199E-3</v>
      </c>
      <c r="S1156" s="135">
        <v>6.9639909338950097E-3</v>
      </c>
      <c r="T1156" s="135">
        <v>9.6080372699486796E-3</v>
      </c>
      <c r="U1156" s="135">
        <v>1.2860713429087799E-2</v>
      </c>
      <c r="V1156" s="135">
        <v>1.94974816098724E-2</v>
      </c>
      <c r="W1156" s="135">
        <v>2.6716767087070398E-2</v>
      </c>
      <c r="X1156" s="135">
        <v>4.6988741684763101E-2</v>
      </c>
      <c r="Y1156" s="135">
        <v>5.46292844388876E-2</v>
      </c>
      <c r="Z1156" s="135">
        <v>5.7393753737374403E-2</v>
      </c>
      <c r="AA1156" s="135">
        <v>5.3047301334796002E-2</v>
      </c>
      <c r="AB1156" s="135">
        <v>3.6988199671513199E-2</v>
      </c>
      <c r="AC1156" s="135">
        <v>1.8832840555165702E-2</v>
      </c>
      <c r="AD1156" s="135">
        <v>1.30629859432664E-2</v>
      </c>
      <c r="AF1156" s="243">
        <f t="shared" si="21"/>
        <v>8.8103057206177518E-2</v>
      </c>
      <c r="AG1156" s="275">
        <f t="shared" si="22"/>
        <v>0.25677988551052866</v>
      </c>
      <c r="AH1156" s="391">
        <f t="shared" si="23"/>
        <v>0.33829354599162176</v>
      </c>
      <c r="AI1156" s="135">
        <f t="shared" si="24"/>
        <v>0.59507343150215042</v>
      </c>
    </row>
    <row r="1157" spans="1:35" ht="12.6">
      <c r="A1157" s="10" t="s">
        <v>1516</v>
      </c>
      <c r="B1157" s="10">
        <v>61</v>
      </c>
      <c r="C1157" s="10" t="s">
        <v>1513</v>
      </c>
      <c r="D1157" s="388">
        <v>44987</v>
      </c>
      <c r="E1157" s="389">
        <v>44987</v>
      </c>
      <c r="F1157" s="390" t="str">
        <f t="shared" si="20"/>
        <v>Space heating &amp; cooling</v>
      </c>
      <c r="G1157" s="135">
        <v>1.02047408638502E-2</v>
      </c>
      <c r="H1157" s="135">
        <v>1.06091008009914E-2</v>
      </c>
      <c r="I1157" s="135">
        <v>1.0314901939932499E-2</v>
      </c>
      <c r="J1157" s="135">
        <v>1.14956345272469E-2</v>
      </c>
      <c r="K1157" s="135">
        <v>1.5418561530689099E-2</v>
      </c>
      <c r="L1157" s="135">
        <v>2.6984015042972799E-2</v>
      </c>
      <c r="M1157" s="135">
        <v>6.4210113976539501E-2</v>
      </c>
      <c r="N1157" s="135">
        <v>5.1201121055468202E-2</v>
      </c>
      <c r="O1157" s="135">
        <v>1.7758816933901699E-2</v>
      </c>
      <c r="P1157" s="135">
        <v>7.8302602586143594E-3</v>
      </c>
      <c r="Q1157" s="135">
        <v>6.0948801867032202E-3</v>
      </c>
      <c r="R1157" s="135">
        <v>6.3611866896000199E-3</v>
      </c>
      <c r="S1157" s="135">
        <v>6.9639909338950097E-3</v>
      </c>
      <c r="T1157" s="135">
        <v>9.6080372699486796E-3</v>
      </c>
      <c r="U1157" s="135">
        <v>1.2860713429087799E-2</v>
      </c>
      <c r="V1157" s="135">
        <v>1.94974816098724E-2</v>
      </c>
      <c r="W1157" s="135">
        <v>2.6716767087070398E-2</v>
      </c>
      <c r="X1157" s="135">
        <v>4.6988741684763101E-2</v>
      </c>
      <c r="Y1157" s="135">
        <v>5.46292844388876E-2</v>
      </c>
      <c r="Z1157" s="135">
        <v>5.7393753737374403E-2</v>
      </c>
      <c r="AA1157" s="135">
        <v>5.3047301334796002E-2</v>
      </c>
      <c r="AB1157" s="135">
        <v>3.6988199671513199E-2</v>
      </c>
      <c r="AC1157" s="135">
        <v>1.8832840555165702E-2</v>
      </c>
      <c r="AD1157" s="135">
        <v>1.30629859432664E-2</v>
      </c>
      <c r="AF1157" s="243">
        <f t="shared" si="21"/>
        <v>8.8103057206177518E-2</v>
      </c>
      <c r="AG1157" s="275">
        <f t="shared" si="22"/>
        <v>0.25677988551052866</v>
      </c>
      <c r="AH1157" s="391">
        <f t="shared" si="23"/>
        <v>0.33829354599162176</v>
      </c>
      <c r="AI1157" s="135">
        <f t="shared" si="24"/>
        <v>0.59507343150215042</v>
      </c>
    </row>
    <row r="1158" spans="1:35" ht="12.6">
      <c r="A1158" s="10" t="s">
        <v>1516</v>
      </c>
      <c r="B1158" s="10">
        <v>62</v>
      </c>
      <c r="C1158" s="10" t="s">
        <v>1513</v>
      </c>
      <c r="D1158" s="388">
        <v>44988</v>
      </c>
      <c r="E1158" s="389">
        <v>44988</v>
      </c>
      <c r="F1158" s="390" t="str">
        <f t="shared" si="20"/>
        <v>Space heating &amp; cooling</v>
      </c>
      <c r="G1158" s="135">
        <v>1.02047408638502E-2</v>
      </c>
      <c r="H1158" s="135">
        <v>1.06091008009914E-2</v>
      </c>
      <c r="I1158" s="135">
        <v>1.0314901939932499E-2</v>
      </c>
      <c r="J1158" s="135">
        <v>1.14956345272469E-2</v>
      </c>
      <c r="K1158" s="135">
        <v>1.5418561530689099E-2</v>
      </c>
      <c r="L1158" s="135">
        <v>2.6984015042972799E-2</v>
      </c>
      <c r="M1158" s="135">
        <v>6.4210113976539501E-2</v>
      </c>
      <c r="N1158" s="135">
        <v>5.1201121055468202E-2</v>
      </c>
      <c r="O1158" s="135">
        <v>1.7758816933901699E-2</v>
      </c>
      <c r="P1158" s="135">
        <v>7.8302602586143594E-3</v>
      </c>
      <c r="Q1158" s="135">
        <v>6.0948801867032202E-3</v>
      </c>
      <c r="R1158" s="135">
        <v>6.3611866896000199E-3</v>
      </c>
      <c r="S1158" s="135">
        <v>6.9639909338950097E-3</v>
      </c>
      <c r="T1158" s="135">
        <v>9.6080372699486796E-3</v>
      </c>
      <c r="U1158" s="135">
        <v>1.2860713429087799E-2</v>
      </c>
      <c r="V1158" s="135">
        <v>1.94974816098724E-2</v>
      </c>
      <c r="W1158" s="135">
        <v>2.6716767087070398E-2</v>
      </c>
      <c r="X1158" s="135">
        <v>4.6988741684763101E-2</v>
      </c>
      <c r="Y1158" s="135">
        <v>5.46292844388876E-2</v>
      </c>
      <c r="Z1158" s="135">
        <v>5.7393753737374403E-2</v>
      </c>
      <c r="AA1158" s="135">
        <v>5.3047301334796002E-2</v>
      </c>
      <c r="AB1158" s="135">
        <v>3.6988199671513199E-2</v>
      </c>
      <c r="AC1158" s="135">
        <v>1.8832840555165702E-2</v>
      </c>
      <c r="AD1158" s="135">
        <v>1.30629859432664E-2</v>
      </c>
      <c r="AF1158" s="243">
        <f t="shared" si="21"/>
        <v>8.8103057206177518E-2</v>
      </c>
      <c r="AG1158" s="275">
        <f t="shared" si="22"/>
        <v>0.25677988551052866</v>
      </c>
      <c r="AH1158" s="391">
        <f t="shared" si="23"/>
        <v>0.33829354599162176</v>
      </c>
      <c r="AI1158" s="135">
        <f t="shared" si="24"/>
        <v>0.59507343150215042</v>
      </c>
    </row>
    <row r="1159" spans="1:35" ht="12.6">
      <c r="A1159" s="10" t="s">
        <v>1516</v>
      </c>
      <c r="B1159" s="10">
        <v>63</v>
      </c>
      <c r="C1159" s="10" t="s">
        <v>1513</v>
      </c>
      <c r="D1159" s="388">
        <v>44989</v>
      </c>
      <c r="E1159" s="389">
        <v>44989</v>
      </c>
      <c r="F1159" s="390" t="str">
        <f t="shared" si="20"/>
        <v>Space heating &amp; cooling</v>
      </c>
      <c r="G1159" s="135">
        <v>8.7869372028316507E-3</v>
      </c>
      <c r="H1159" s="135">
        <v>8.51607902002521E-3</v>
      </c>
      <c r="I1159" s="135">
        <v>9.7324507019692294E-3</v>
      </c>
      <c r="J1159" s="135">
        <v>1.0210117766509E-2</v>
      </c>
      <c r="K1159" s="135">
        <v>1.2311891831069399E-2</v>
      </c>
      <c r="L1159" s="135">
        <v>2.0437711881693701E-2</v>
      </c>
      <c r="M1159" s="135">
        <v>3.7259471790165602E-2</v>
      </c>
      <c r="N1159" s="135">
        <v>4.81287472994507E-2</v>
      </c>
      <c r="O1159" s="135">
        <v>3.5407499175242302E-2</v>
      </c>
      <c r="P1159" s="135">
        <v>2.0528073654264602E-2</v>
      </c>
      <c r="Q1159" s="135">
        <v>1.4161754048229299E-2</v>
      </c>
      <c r="R1159" s="135">
        <v>1.7977795437861301E-2</v>
      </c>
      <c r="S1159" s="135">
        <v>2.0199474998432301E-2</v>
      </c>
      <c r="T1159" s="135">
        <v>2.1420776514346401E-2</v>
      </c>
      <c r="U1159" s="135">
        <v>2.3047899601285501E-2</v>
      </c>
      <c r="V1159" s="135">
        <v>2.01939171587644E-2</v>
      </c>
      <c r="W1159" s="135">
        <v>2.7168544383312201E-2</v>
      </c>
      <c r="X1159" s="135">
        <v>4.1922277228623302E-2</v>
      </c>
      <c r="Y1159" s="135">
        <v>4.42720525091755E-2</v>
      </c>
      <c r="Z1159" s="135">
        <v>4.6026164771830198E-2</v>
      </c>
      <c r="AA1159" s="135">
        <v>4.3777967317773302E-2</v>
      </c>
      <c r="AB1159" s="135">
        <v>3.4405093727997202E-2</v>
      </c>
      <c r="AC1159" s="135">
        <v>2.1326718263752101E-2</v>
      </c>
      <c r="AD1159" s="135">
        <v>1.42261215449142E-2</v>
      </c>
      <c r="AF1159" s="243">
        <f t="shared" si="21"/>
        <v>0.14417016214223141</v>
      </c>
      <c r="AG1159" s="275">
        <f t="shared" si="22"/>
        <v>0.2548381126590708</v>
      </c>
      <c r="AH1159" s="391">
        <f t="shared" si="23"/>
        <v>0.34660742517044768</v>
      </c>
      <c r="AI1159" s="135">
        <f t="shared" si="24"/>
        <v>0.60144553782951848</v>
      </c>
    </row>
    <row r="1160" spans="1:35" ht="12.6">
      <c r="A1160" s="10" t="s">
        <v>1516</v>
      </c>
      <c r="B1160" s="10">
        <v>64</v>
      </c>
      <c r="C1160" s="10" t="s">
        <v>1513</v>
      </c>
      <c r="D1160" s="388">
        <v>44990</v>
      </c>
      <c r="E1160" s="389">
        <v>44990</v>
      </c>
      <c r="F1160" s="390" t="str">
        <f t="shared" si="20"/>
        <v>Space heating &amp; cooling</v>
      </c>
      <c r="G1160" s="135">
        <v>8.7869372028316507E-3</v>
      </c>
      <c r="H1160" s="135">
        <v>8.51607902002521E-3</v>
      </c>
      <c r="I1160" s="135">
        <v>9.7324507019692294E-3</v>
      </c>
      <c r="J1160" s="135">
        <v>1.0210117766509E-2</v>
      </c>
      <c r="K1160" s="135">
        <v>1.2311891831069399E-2</v>
      </c>
      <c r="L1160" s="135">
        <v>2.0437711881693701E-2</v>
      </c>
      <c r="M1160" s="135">
        <v>3.7259471790165602E-2</v>
      </c>
      <c r="N1160" s="135">
        <v>4.81287472994507E-2</v>
      </c>
      <c r="O1160" s="135">
        <v>3.5407499175242302E-2</v>
      </c>
      <c r="P1160" s="135">
        <v>2.0528073654264602E-2</v>
      </c>
      <c r="Q1160" s="135">
        <v>1.4161754048229299E-2</v>
      </c>
      <c r="R1160" s="135">
        <v>1.7977795437861301E-2</v>
      </c>
      <c r="S1160" s="135">
        <v>2.0199474998432301E-2</v>
      </c>
      <c r="T1160" s="135">
        <v>2.1420776514346401E-2</v>
      </c>
      <c r="U1160" s="135">
        <v>2.3047899601285501E-2</v>
      </c>
      <c r="V1160" s="135">
        <v>2.01939171587644E-2</v>
      </c>
      <c r="W1160" s="135">
        <v>2.7168544383312201E-2</v>
      </c>
      <c r="X1160" s="135">
        <v>4.1922277228623302E-2</v>
      </c>
      <c r="Y1160" s="135">
        <v>4.42720525091755E-2</v>
      </c>
      <c r="Z1160" s="135">
        <v>4.6026164771830198E-2</v>
      </c>
      <c r="AA1160" s="135">
        <v>4.3777967317773302E-2</v>
      </c>
      <c r="AB1160" s="135">
        <v>3.4405093727997202E-2</v>
      </c>
      <c r="AC1160" s="135">
        <v>2.1326718263752101E-2</v>
      </c>
      <c r="AD1160" s="135">
        <v>1.42261215449142E-2</v>
      </c>
      <c r="AF1160" s="243">
        <f t="shared" si="21"/>
        <v>0.14417016214223141</v>
      </c>
      <c r="AG1160" s="275">
        <f t="shared" si="22"/>
        <v>0.2548381126590708</v>
      </c>
      <c r="AH1160" s="391">
        <f t="shared" si="23"/>
        <v>0.34660742517044768</v>
      </c>
      <c r="AI1160" s="135">
        <f t="shared" si="24"/>
        <v>0.60144553782951848</v>
      </c>
    </row>
    <row r="1161" spans="1:35" ht="12.6">
      <c r="A1161" s="10" t="s">
        <v>1516</v>
      </c>
      <c r="B1161" s="10">
        <v>65</v>
      </c>
      <c r="C1161" s="10" t="s">
        <v>1513</v>
      </c>
      <c r="D1161" s="388">
        <v>44991</v>
      </c>
      <c r="E1161" s="389">
        <v>44991</v>
      </c>
      <c r="F1161" s="390" t="str">
        <f t="shared" si="20"/>
        <v>Space heating &amp; cooling</v>
      </c>
      <c r="G1161" s="135">
        <v>1.02047408638502E-2</v>
      </c>
      <c r="H1161" s="135">
        <v>1.06091008009914E-2</v>
      </c>
      <c r="I1161" s="135">
        <v>1.0314901939932499E-2</v>
      </c>
      <c r="J1161" s="135">
        <v>1.14956345272469E-2</v>
      </c>
      <c r="K1161" s="135">
        <v>1.5418561530689099E-2</v>
      </c>
      <c r="L1161" s="135">
        <v>2.6984015042972799E-2</v>
      </c>
      <c r="M1161" s="135">
        <v>6.4210113976539501E-2</v>
      </c>
      <c r="N1161" s="135">
        <v>5.1201121055468202E-2</v>
      </c>
      <c r="O1161" s="135">
        <v>1.7758816933901699E-2</v>
      </c>
      <c r="P1161" s="135">
        <v>7.8302602586143594E-3</v>
      </c>
      <c r="Q1161" s="135">
        <v>6.0948801867032202E-3</v>
      </c>
      <c r="R1161" s="135">
        <v>6.3611866896000199E-3</v>
      </c>
      <c r="S1161" s="135">
        <v>6.9639909338950097E-3</v>
      </c>
      <c r="T1161" s="135">
        <v>9.6080372699486796E-3</v>
      </c>
      <c r="U1161" s="135">
        <v>1.2860713429087799E-2</v>
      </c>
      <c r="V1161" s="135">
        <v>1.94974816098724E-2</v>
      </c>
      <c r="W1161" s="135">
        <v>2.6716767087070398E-2</v>
      </c>
      <c r="X1161" s="135">
        <v>4.6988741684763101E-2</v>
      </c>
      <c r="Y1161" s="135">
        <v>5.46292844388876E-2</v>
      </c>
      <c r="Z1161" s="135">
        <v>5.7393753737374403E-2</v>
      </c>
      <c r="AA1161" s="135">
        <v>5.3047301334796002E-2</v>
      </c>
      <c r="AB1161" s="135">
        <v>3.6988199671513199E-2</v>
      </c>
      <c r="AC1161" s="135">
        <v>1.8832840555165702E-2</v>
      </c>
      <c r="AD1161" s="135">
        <v>1.30629859432664E-2</v>
      </c>
      <c r="AF1161" s="243">
        <f t="shared" si="21"/>
        <v>8.8103057206177518E-2</v>
      </c>
      <c r="AG1161" s="275">
        <f t="shared" si="22"/>
        <v>0.25677988551052866</v>
      </c>
      <c r="AH1161" s="391">
        <f t="shared" si="23"/>
        <v>0.33829354599162176</v>
      </c>
      <c r="AI1161" s="135">
        <f t="shared" si="24"/>
        <v>0.59507343150215042</v>
      </c>
    </row>
    <row r="1162" spans="1:35" ht="12.6">
      <c r="A1162" s="10" t="s">
        <v>1516</v>
      </c>
      <c r="B1162" s="10">
        <v>66</v>
      </c>
      <c r="C1162" s="10" t="s">
        <v>1513</v>
      </c>
      <c r="D1162" s="388">
        <v>44992</v>
      </c>
      <c r="E1162" s="389">
        <v>44992</v>
      </c>
      <c r="F1162" s="390" t="str">
        <f t="shared" si="20"/>
        <v>Space heating &amp; cooling</v>
      </c>
      <c r="G1162" s="135">
        <v>1.02047408638502E-2</v>
      </c>
      <c r="H1162" s="135">
        <v>1.06091008009914E-2</v>
      </c>
      <c r="I1162" s="135">
        <v>1.0314901939932499E-2</v>
      </c>
      <c r="J1162" s="135">
        <v>1.14956345272469E-2</v>
      </c>
      <c r="K1162" s="135">
        <v>1.5418561530689099E-2</v>
      </c>
      <c r="L1162" s="135">
        <v>2.6984015042972799E-2</v>
      </c>
      <c r="M1162" s="135">
        <v>6.4210113976539501E-2</v>
      </c>
      <c r="N1162" s="135">
        <v>5.1201121055468202E-2</v>
      </c>
      <c r="O1162" s="135">
        <v>1.7758816933901699E-2</v>
      </c>
      <c r="P1162" s="135">
        <v>7.8302602586143594E-3</v>
      </c>
      <c r="Q1162" s="135">
        <v>6.0948801867032202E-3</v>
      </c>
      <c r="R1162" s="135">
        <v>6.3611866896000199E-3</v>
      </c>
      <c r="S1162" s="135">
        <v>6.9639909338950097E-3</v>
      </c>
      <c r="T1162" s="135">
        <v>9.6080372699486796E-3</v>
      </c>
      <c r="U1162" s="135">
        <v>1.2860713429087799E-2</v>
      </c>
      <c r="V1162" s="135">
        <v>1.94974816098724E-2</v>
      </c>
      <c r="W1162" s="135">
        <v>2.6716767087070398E-2</v>
      </c>
      <c r="X1162" s="135">
        <v>4.6988741684763101E-2</v>
      </c>
      <c r="Y1162" s="135">
        <v>5.46292844388876E-2</v>
      </c>
      <c r="Z1162" s="135">
        <v>5.7393753737374403E-2</v>
      </c>
      <c r="AA1162" s="135">
        <v>5.3047301334796002E-2</v>
      </c>
      <c r="AB1162" s="135">
        <v>3.6988199671513199E-2</v>
      </c>
      <c r="AC1162" s="135">
        <v>1.8832840555165702E-2</v>
      </c>
      <c r="AD1162" s="135">
        <v>1.30629859432664E-2</v>
      </c>
      <c r="AF1162" s="243">
        <f t="shared" si="21"/>
        <v>8.8103057206177518E-2</v>
      </c>
      <c r="AG1162" s="275">
        <f t="shared" si="22"/>
        <v>0.25677988551052866</v>
      </c>
      <c r="AH1162" s="391">
        <f t="shared" si="23"/>
        <v>0.33829354599162176</v>
      </c>
      <c r="AI1162" s="135">
        <f t="shared" si="24"/>
        <v>0.59507343150215042</v>
      </c>
    </row>
    <row r="1163" spans="1:35" ht="12.6">
      <c r="A1163" s="10" t="s">
        <v>1516</v>
      </c>
      <c r="B1163" s="10">
        <v>67</v>
      </c>
      <c r="C1163" s="10" t="s">
        <v>1513</v>
      </c>
      <c r="D1163" s="388">
        <v>44993</v>
      </c>
      <c r="E1163" s="389">
        <v>44993</v>
      </c>
      <c r="F1163" s="390" t="str">
        <f t="shared" si="20"/>
        <v>Space heating &amp; cooling</v>
      </c>
      <c r="G1163" s="135">
        <v>1.02047408638502E-2</v>
      </c>
      <c r="H1163" s="135">
        <v>1.06091008009914E-2</v>
      </c>
      <c r="I1163" s="135">
        <v>1.0314901939932499E-2</v>
      </c>
      <c r="J1163" s="135">
        <v>1.14956345272469E-2</v>
      </c>
      <c r="K1163" s="135">
        <v>1.5418561530689099E-2</v>
      </c>
      <c r="L1163" s="135">
        <v>2.6984015042972799E-2</v>
      </c>
      <c r="M1163" s="135">
        <v>6.4210113976539501E-2</v>
      </c>
      <c r="N1163" s="135">
        <v>5.1201121055468202E-2</v>
      </c>
      <c r="O1163" s="135">
        <v>1.7758816933901699E-2</v>
      </c>
      <c r="P1163" s="135">
        <v>7.8302602586143594E-3</v>
      </c>
      <c r="Q1163" s="135">
        <v>6.0948801867032202E-3</v>
      </c>
      <c r="R1163" s="135">
        <v>6.3611866896000199E-3</v>
      </c>
      <c r="S1163" s="135">
        <v>6.9639909338950097E-3</v>
      </c>
      <c r="T1163" s="135">
        <v>9.6080372699486796E-3</v>
      </c>
      <c r="U1163" s="135">
        <v>1.2860713429087799E-2</v>
      </c>
      <c r="V1163" s="135">
        <v>1.94974816098724E-2</v>
      </c>
      <c r="W1163" s="135">
        <v>2.6716767087070398E-2</v>
      </c>
      <c r="X1163" s="135">
        <v>4.6988741684763101E-2</v>
      </c>
      <c r="Y1163" s="135">
        <v>5.46292844388876E-2</v>
      </c>
      <c r="Z1163" s="135">
        <v>5.7393753737374403E-2</v>
      </c>
      <c r="AA1163" s="135">
        <v>5.3047301334796002E-2</v>
      </c>
      <c r="AB1163" s="135">
        <v>3.6988199671513199E-2</v>
      </c>
      <c r="AC1163" s="135">
        <v>1.8832840555165702E-2</v>
      </c>
      <c r="AD1163" s="135">
        <v>1.30629859432664E-2</v>
      </c>
      <c r="AF1163" s="243">
        <f t="shared" si="21"/>
        <v>8.8103057206177518E-2</v>
      </c>
      <c r="AG1163" s="275">
        <f t="shared" si="22"/>
        <v>0.25677988551052866</v>
      </c>
      <c r="AH1163" s="391">
        <f t="shared" si="23"/>
        <v>0.33829354599162176</v>
      </c>
      <c r="AI1163" s="135">
        <f t="shared" si="24"/>
        <v>0.59507343150215042</v>
      </c>
    </row>
    <row r="1164" spans="1:35" ht="12.6">
      <c r="A1164" s="10" t="s">
        <v>1516</v>
      </c>
      <c r="B1164" s="10">
        <v>68</v>
      </c>
      <c r="C1164" s="10" t="s">
        <v>1513</v>
      </c>
      <c r="D1164" s="388">
        <v>44994</v>
      </c>
      <c r="E1164" s="389">
        <v>44994</v>
      </c>
      <c r="F1164" s="390" t="str">
        <f t="shared" si="20"/>
        <v>Space heating &amp; cooling</v>
      </c>
      <c r="G1164" s="135">
        <v>1.02047408638502E-2</v>
      </c>
      <c r="H1164" s="135">
        <v>1.06091008009914E-2</v>
      </c>
      <c r="I1164" s="135">
        <v>1.0314901939932499E-2</v>
      </c>
      <c r="J1164" s="135">
        <v>1.14956345272469E-2</v>
      </c>
      <c r="K1164" s="135">
        <v>1.5418561530689099E-2</v>
      </c>
      <c r="L1164" s="135">
        <v>2.6984015042972799E-2</v>
      </c>
      <c r="M1164" s="135">
        <v>6.4210113976539501E-2</v>
      </c>
      <c r="N1164" s="135">
        <v>5.1201121055468202E-2</v>
      </c>
      <c r="O1164" s="135">
        <v>1.7758816933901699E-2</v>
      </c>
      <c r="P1164" s="135">
        <v>7.8302602586143594E-3</v>
      </c>
      <c r="Q1164" s="135">
        <v>6.0948801867032202E-3</v>
      </c>
      <c r="R1164" s="135">
        <v>6.3611866896000199E-3</v>
      </c>
      <c r="S1164" s="135">
        <v>6.9639909338950097E-3</v>
      </c>
      <c r="T1164" s="135">
        <v>9.6080372699486796E-3</v>
      </c>
      <c r="U1164" s="135">
        <v>1.2860713429087799E-2</v>
      </c>
      <c r="V1164" s="135">
        <v>1.94974816098724E-2</v>
      </c>
      <c r="W1164" s="135">
        <v>2.6716767087070398E-2</v>
      </c>
      <c r="X1164" s="135">
        <v>4.6988741684763101E-2</v>
      </c>
      <c r="Y1164" s="135">
        <v>5.46292844388876E-2</v>
      </c>
      <c r="Z1164" s="135">
        <v>5.7393753737374403E-2</v>
      </c>
      <c r="AA1164" s="135">
        <v>5.3047301334796002E-2</v>
      </c>
      <c r="AB1164" s="135">
        <v>3.6988199671513199E-2</v>
      </c>
      <c r="AC1164" s="135">
        <v>1.8832840555165702E-2</v>
      </c>
      <c r="AD1164" s="135">
        <v>1.30629859432664E-2</v>
      </c>
      <c r="AF1164" s="243">
        <f t="shared" si="21"/>
        <v>8.8103057206177518E-2</v>
      </c>
      <c r="AG1164" s="275">
        <f t="shared" si="22"/>
        <v>0.25677988551052866</v>
      </c>
      <c r="AH1164" s="391">
        <f t="shared" si="23"/>
        <v>0.33829354599162176</v>
      </c>
      <c r="AI1164" s="135">
        <f t="shared" si="24"/>
        <v>0.59507343150215042</v>
      </c>
    </row>
    <row r="1165" spans="1:35" ht="12.6">
      <c r="A1165" s="10" t="s">
        <v>1516</v>
      </c>
      <c r="B1165" s="10">
        <v>69</v>
      </c>
      <c r="C1165" s="10" t="s">
        <v>1513</v>
      </c>
      <c r="D1165" s="388">
        <v>44995</v>
      </c>
      <c r="E1165" s="389">
        <v>44995</v>
      </c>
      <c r="F1165" s="390" t="str">
        <f t="shared" si="20"/>
        <v>Space heating &amp; cooling</v>
      </c>
      <c r="G1165" s="135">
        <v>1.02047408638502E-2</v>
      </c>
      <c r="H1165" s="135">
        <v>1.06091008009914E-2</v>
      </c>
      <c r="I1165" s="135">
        <v>1.0314901939932499E-2</v>
      </c>
      <c r="J1165" s="135">
        <v>1.14956345272469E-2</v>
      </c>
      <c r="K1165" s="135">
        <v>1.5418561530689099E-2</v>
      </c>
      <c r="L1165" s="135">
        <v>2.6984015042972799E-2</v>
      </c>
      <c r="M1165" s="135">
        <v>6.4210113976539501E-2</v>
      </c>
      <c r="N1165" s="135">
        <v>5.1201121055468202E-2</v>
      </c>
      <c r="O1165" s="135">
        <v>1.7758816933901699E-2</v>
      </c>
      <c r="P1165" s="135">
        <v>7.8302602586143594E-3</v>
      </c>
      <c r="Q1165" s="135">
        <v>6.0948801867032202E-3</v>
      </c>
      <c r="R1165" s="135">
        <v>6.3611866896000199E-3</v>
      </c>
      <c r="S1165" s="135">
        <v>6.9639909338950097E-3</v>
      </c>
      <c r="T1165" s="135">
        <v>9.6080372699486796E-3</v>
      </c>
      <c r="U1165" s="135">
        <v>1.2860713429087799E-2</v>
      </c>
      <c r="V1165" s="135">
        <v>1.94974816098724E-2</v>
      </c>
      <c r="W1165" s="135">
        <v>2.6716767087070398E-2</v>
      </c>
      <c r="X1165" s="135">
        <v>4.6988741684763101E-2</v>
      </c>
      <c r="Y1165" s="135">
        <v>5.46292844388876E-2</v>
      </c>
      <c r="Z1165" s="135">
        <v>5.7393753737374403E-2</v>
      </c>
      <c r="AA1165" s="135">
        <v>5.3047301334796002E-2</v>
      </c>
      <c r="AB1165" s="135">
        <v>3.6988199671513199E-2</v>
      </c>
      <c r="AC1165" s="135">
        <v>1.8832840555165702E-2</v>
      </c>
      <c r="AD1165" s="135">
        <v>1.30629859432664E-2</v>
      </c>
      <c r="AF1165" s="243">
        <f t="shared" si="21"/>
        <v>8.8103057206177518E-2</v>
      </c>
      <c r="AG1165" s="275">
        <f t="shared" si="22"/>
        <v>0.25677988551052866</v>
      </c>
      <c r="AH1165" s="391">
        <f t="shared" si="23"/>
        <v>0.33829354599162176</v>
      </c>
      <c r="AI1165" s="135">
        <f t="shared" si="24"/>
        <v>0.59507343150215042</v>
      </c>
    </row>
    <row r="1166" spans="1:35" ht="12.6">
      <c r="A1166" s="10" t="s">
        <v>1516</v>
      </c>
      <c r="B1166" s="10">
        <v>70</v>
      </c>
      <c r="C1166" s="10" t="s">
        <v>1513</v>
      </c>
      <c r="D1166" s="388">
        <v>44996</v>
      </c>
      <c r="E1166" s="389">
        <v>44996</v>
      </c>
      <c r="F1166" s="390" t="str">
        <f t="shared" si="20"/>
        <v>Space heating &amp; cooling</v>
      </c>
      <c r="G1166" s="135">
        <v>8.7869372028316507E-3</v>
      </c>
      <c r="H1166" s="135">
        <v>8.51607902002521E-3</v>
      </c>
      <c r="I1166" s="135">
        <v>9.7324507019692294E-3</v>
      </c>
      <c r="J1166" s="135">
        <v>1.0210117766509E-2</v>
      </c>
      <c r="K1166" s="135">
        <v>1.2311891831069399E-2</v>
      </c>
      <c r="L1166" s="135">
        <v>2.0437711881693701E-2</v>
      </c>
      <c r="M1166" s="135">
        <v>3.7259471790165602E-2</v>
      </c>
      <c r="N1166" s="135">
        <v>4.81287472994507E-2</v>
      </c>
      <c r="O1166" s="135">
        <v>3.5407499175242302E-2</v>
      </c>
      <c r="P1166" s="135">
        <v>2.0528073654264602E-2</v>
      </c>
      <c r="Q1166" s="135">
        <v>1.4161754048229299E-2</v>
      </c>
      <c r="R1166" s="135">
        <v>1.7977795437861301E-2</v>
      </c>
      <c r="S1166" s="135">
        <v>2.0199474998432301E-2</v>
      </c>
      <c r="T1166" s="135">
        <v>2.1420776514346401E-2</v>
      </c>
      <c r="U1166" s="135">
        <v>2.3047899601285501E-2</v>
      </c>
      <c r="V1166" s="135">
        <v>2.01939171587644E-2</v>
      </c>
      <c r="W1166" s="135">
        <v>2.7168544383312201E-2</v>
      </c>
      <c r="X1166" s="135">
        <v>4.1922277228623302E-2</v>
      </c>
      <c r="Y1166" s="135">
        <v>4.42720525091755E-2</v>
      </c>
      <c r="Z1166" s="135">
        <v>4.6026164771830198E-2</v>
      </c>
      <c r="AA1166" s="135">
        <v>4.3777967317773302E-2</v>
      </c>
      <c r="AB1166" s="135">
        <v>3.4405093727997202E-2</v>
      </c>
      <c r="AC1166" s="135">
        <v>2.1326718263752101E-2</v>
      </c>
      <c r="AD1166" s="135">
        <v>1.42261215449142E-2</v>
      </c>
      <c r="AF1166" s="243">
        <f t="shared" si="21"/>
        <v>0.14417016214223141</v>
      </c>
      <c r="AG1166" s="275">
        <f t="shared" si="22"/>
        <v>0.2548381126590708</v>
      </c>
      <c r="AH1166" s="391">
        <f t="shared" si="23"/>
        <v>0.34660742517044768</v>
      </c>
      <c r="AI1166" s="135">
        <f t="shared" si="24"/>
        <v>0.60144553782951848</v>
      </c>
    </row>
    <row r="1167" spans="1:35" ht="12.6">
      <c r="A1167" s="10" t="s">
        <v>1516</v>
      </c>
      <c r="B1167" s="10">
        <v>71</v>
      </c>
      <c r="C1167" s="10" t="s">
        <v>1513</v>
      </c>
      <c r="D1167" s="388">
        <v>44997</v>
      </c>
      <c r="E1167" s="389">
        <v>44997</v>
      </c>
      <c r="F1167" s="390" t="str">
        <f t="shared" si="20"/>
        <v>Space heating &amp; cooling</v>
      </c>
      <c r="G1167" s="135">
        <v>8.7869372028316507E-3</v>
      </c>
      <c r="H1167" s="135">
        <v>8.51607902002521E-3</v>
      </c>
      <c r="I1167" s="135">
        <v>9.7324507019692294E-3</v>
      </c>
      <c r="J1167" s="135">
        <v>1.0210117766509E-2</v>
      </c>
      <c r="K1167" s="135">
        <v>1.2311891831069399E-2</v>
      </c>
      <c r="L1167" s="135">
        <v>2.0437711881693701E-2</v>
      </c>
      <c r="M1167" s="135">
        <v>3.7259471790165602E-2</v>
      </c>
      <c r="N1167" s="135">
        <v>4.81287472994507E-2</v>
      </c>
      <c r="O1167" s="135">
        <v>3.5407499175242302E-2</v>
      </c>
      <c r="P1167" s="135">
        <v>2.0528073654264602E-2</v>
      </c>
      <c r="Q1167" s="135">
        <v>1.4161754048229299E-2</v>
      </c>
      <c r="R1167" s="135">
        <v>1.7977795437861301E-2</v>
      </c>
      <c r="S1167" s="135">
        <v>2.0199474998432301E-2</v>
      </c>
      <c r="T1167" s="135">
        <v>2.1420776514346401E-2</v>
      </c>
      <c r="U1167" s="135">
        <v>2.3047899601285501E-2</v>
      </c>
      <c r="V1167" s="135">
        <v>2.01939171587644E-2</v>
      </c>
      <c r="W1167" s="135">
        <v>2.7168544383312201E-2</v>
      </c>
      <c r="X1167" s="135">
        <v>4.1922277228623302E-2</v>
      </c>
      <c r="Y1167" s="135">
        <v>4.42720525091755E-2</v>
      </c>
      <c r="Z1167" s="135">
        <v>4.6026164771830198E-2</v>
      </c>
      <c r="AA1167" s="135">
        <v>4.3777967317773302E-2</v>
      </c>
      <c r="AB1167" s="135">
        <v>3.4405093727997202E-2</v>
      </c>
      <c r="AC1167" s="135">
        <v>2.1326718263752101E-2</v>
      </c>
      <c r="AD1167" s="135">
        <v>1.42261215449142E-2</v>
      </c>
      <c r="AF1167" s="243">
        <f t="shared" si="21"/>
        <v>0.14417016214223141</v>
      </c>
      <c r="AG1167" s="275">
        <f t="shared" si="22"/>
        <v>0.2548381126590708</v>
      </c>
      <c r="AH1167" s="391">
        <f t="shared" si="23"/>
        <v>0.34660742517044768</v>
      </c>
      <c r="AI1167" s="135">
        <f t="shared" si="24"/>
        <v>0.60144553782951848</v>
      </c>
    </row>
    <row r="1168" spans="1:35" ht="12.6">
      <c r="A1168" s="10" t="s">
        <v>1516</v>
      </c>
      <c r="B1168" s="10">
        <v>72</v>
      </c>
      <c r="C1168" s="10" t="s">
        <v>1513</v>
      </c>
      <c r="D1168" s="388">
        <v>44998</v>
      </c>
      <c r="E1168" s="389">
        <v>44998</v>
      </c>
      <c r="F1168" s="390" t="str">
        <f t="shared" si="20"/>
        <v>Space heating &amp; cooling</v>
      </c>
      <c r="G1168" s="135">
        <v>1.02047408638502E-2</v>
      </c>
      <c r="H1168" s="135">
        <v>1.06091008009914E-2</v>
      </c>
      <c r="I1168" s="135">
        <v>1.0314901939932499E-2</v>
      </c>
      <c r="J1168" s="135">
        <v>1.14956345272469E-2</v>
      </c>
      <c r="K1168" s="135">
        <v>1.5418561530689099E-2</v>
      </c>
      <c r="L1168" s="135">
        <v>2.6984015042972799E-2</v>
      </c>
      <c r="M1168" s="135">
        <v>6.4210113976539501E-2</v>
      </c>
      <c r="N1168" s="135">
        <v>5.1201121055468202E-2</v>
      </c>
      <c r="O1168" s="135">
        <v>1.7758816933901699E-2</v>
      </c>
      <c r="P1168" s="135">
        <v>7.8302602586143594E-3</v>
      </c>
      <c r="Q1168" s="135">
        <v>6.0948801867032202E-3</v>
      </c>
      <c r="R1168" s="135">
        <v>6.3611866896000199E-3</v>
      </c>
      <c r="S1168" s="135">
        <v>6.9639909338950097E-3</v>
      </c>
      <c r="T1168" s="135">
        <v>9.6080372699486796E-3</v>
      </c>
      <c r="U1168" s="135">
        <v>1.2860713429087799E-2</v>
      </c>
      <c r="V1168" s="135">
        <v>1.94974816098724E-2</v>
      </c>
      <c r="W1168" s="135">
        <v>2.6716767087070398E-2</v>
      </c>
      <c r="X1168" s="135">
        <v>4.6988741684763101E-2</v>
      </c>
      <c r="Y1168" s="135">
        <v>5.46292844388876E-2</v>
      </c>
      <c r="Z1168" s="135">
        <v>5.7393753737374403E-2</v>
      </c>
      <c r="AA1168" s="135">
        <v>5.3047301334796002E-2</v>
      </c>
      <c r="AB1168" s="135">
        <v>3.6988199671513199E-2</v>
      </c>
      <c r="AC1168" s="135">
        <v>1.8832840555165702E-2</v>
      </c>
      <c r="AD1168" s="135">
        <v>1.30629859432664E-2</v>
      </c>
      <c r="AF1168" s="243">
        <f t="shared" si="21"/>
        <v>8.8103057206177518E-2</v>
      </c>
      <c r="AG1168" s="275">
        <f t="shared" si="22"/>
        <v>0.25677988551052866</v>
      </c>
      <c r="AH1168" s="391">
        <f t="shared" si="23"/>
        <v>0.33829354599162176</v>
      </c>
      <c r="AI1168" s="135">
        <f t="shared" si="24"/>
        <v>0.59507343150215042</v>
      </c>
    </row>
    <row r="1169" spans="1:35" ht="12.6">
      <c r="A1169" s="10" t="s">
        <v>1516</v>
      </c>
      <c r="B1169" s="10">
        <v>73</v>
      </c>
      <c r="C1169" s="10" t="s">
        <v>1513</v>
      </c>
      <c r="D1169" s="388">
        <v>44999</v>
      </c>
      <c r="E1169" s="389">
        <v>44999</v>
      </c>
      <c r="F1169" s="390" t="str">
        <f t="shared" si="20"/>
        <v>Space heating &amp; cooling</v>
      </c>
      <c r="G1169" s="135">
        <v>1.02047408638502E-2</v>
      </c>
      <c r="H1169" s="135">
        <v>1.06091008009914E-2</v>
      </c>
      <c r="I1169" s="135">
        <v>1.0314901939932499E-2</v>
      </c>
      <c r="J1169" s="135">
        <v>1.14956345272469E-2</v>
      </c>
      <c r="K1169" s="135">
        <v>1.5418561530689099E-2</v>
      </c>
      <c r="L1169" s="135">
        <v>2.6984015042972799E-2</v>
      </c>
      <c r="M1169" s="135">
        <v>6.4210113976539501E-2</v>
      </c>
      <c r="N1169" s="135">
        <v>5.1201121055468202E-2</v>
      </c>
      <c r="O1169" s="135">
        <v>1.7758816933901699E-2</v>
      </c>
      <c r="P1169" s="135">
        <v>7.8302602586143594E-3</v>
      </c>
      <c r="Q1169" s="135">
        <v>6.0948801867032202E-3</v>
      </c>
      <c r="R1169" s="135">
        <v>6.3611866896000199E-3</v>
      </c>
      <c r="S1169" s="135">
        <v>6.9639909338950097E-3</v>
      </c>
      <c r="T1169" s="135">
        <v>9.6080372699486796E-3</v>
      </c>
      <c r="U1169" s="135">
        <v>1.2860713429087799E-2</v>
      </c>
      <c r="V1169" s="135">
        <v>1.94974816098724E-2</v>
      </c>
      <c r="W1169" s="135">
        <v>2.6716767087070398E-2</v>
      </c>
      <c r="X1169" s="135">
        <v>4.6988741684763101E-2</v>
      </c>
      <c r="Y1169" s="135">
        <v>5.46292844388876E-2</v>
      </c>
      <c r="Z1169" s="135">
        <v>5.7393753737374403E-2</v>
      </c>
      <c r="AA1169" s="135">
        <v>5.3047301334796002E-2</v>
      </c>
      <c r="AB1169" s="135">
        <v>3.6988199671513199E-2</v>
      </c>
      <c r="AC1169" s="135">
        <v>1.8832840555165702E-2</v>
      </c>
      <c r="AD1169" s="135">
        <v>1.30629859432664E-2</v>
      </c>
      <c r="AF1169" s="243">
        <f t="shared" si="21"/>
        <v>8.8103057206177518E-2</v>
      </c>
      <c r="AG1169" s="275">
        <f t="shared" si="22"/>
        <v>0.25677988551052866</v>
      </c>
      <c r="AH1169" s="391">
        <f t="shared" si="23"/>
        <v>0.33829354599162176</v>
      </c>
      <c r="AI1169" s="135">
        <f t="shared" si="24"/>
        <v>0.59507343150215042</v>
      </c>
    </row>
    <row r="1170" spans="1:35" ht="12.6">
      <c r="A1170" s="10" t="s">
        <v>1516</v>
      </c>
      <c r="B1170" s="10">
        <v>74</v>
      </c>
      <c r="C1170" s="10" t="s">
        <v>1513</v>
      </c>
      <c r="D1170" s="388">
        <v>45000</v>
      </c>
      <c r="E1170" s="389">
        <v>45000</v>
      </c>
      <c r="F1170" s="390" t="str">
        <f t="shared" si="20"/>
        <v>Space heating &amp; cooling</v>
      </c>
      <c r="G1170" s="135">
        <v>1.02047408638502E-2</v>
      </c>
      <c r="H1170" s="135">
        <v>1.06091008009914E-2</v>
      </c>
      <c r="I1170" s="135">
        <v>1.0314901939932499E-2</v>
      </c>
      <c r="J1170" s="135">
        <v>1.14956345272469E-2</v>
      </c>
      <c r="K1170" s="135">
        <v>1.5418561530689099E-2</v>
      </c>
      <c r="L1170" s="135">
        <v>2.6984015042972799E-2</v>
      </c>
      <c r="M1170" s="135">
        <v>6.4210113976539501E-2</v>
      </c>
      <c r="N1170" s="135">
        <v>5.1201121055468202E-2</v>
      </c>
      <c r="O1170" s="135">
        <v>1.7758816933901699E-2</v>
      </c>
      <c r="P1170" s="135">
        <v>7.8302602586143594E-3</v>
      </c>
      <c r="Q1170" s="135">
        <v>6.0948801867032202E-3</v>
      </c>
      <c r="R1170" s="135">
        <v>6.3611866896000199E-3</v>
      </c>
      <c r="S1170" s="135">
        <v>6.9639909338950097E-3</v>
      </c>
      <c r="T1170" s="135">
        <v>9.6080372699486796E-3</v>
      </c>
      <c r="U1170" s="135">
        <v>1.2860713429087799E-2</v>
      </c>
      <c r="V1170" s="135">
        <v>1.94974816098724E-2</v>
      </c>
      <c r="W1170" s="135">
        <v>2.6716767087070398E-2</v>
      </c>
      <c r="X1170" s="135">
        <v>4.6988741684763101E-2</v>
      </c>
      <c r="Y1170" s="135">
        <v>5.46292844388876E-2</v>
      </c>
      <c r="Z1170" s="135">
        <v>5.7393753737374403E-2</v>
      </c>
      <c r="AA1170" s="135">
        <v>5.3047301334796002E-2</v>
      </c>
      <c r="AB1170" s="135">
        <v>3.6988199671513199E-2</v>
      </c>
      <c r="AC1170" s="135">
        <v>1.8832840555165702E-2</v>
      </c>
      <c r="AD1170" s="135">
        <v>1.30629859432664E-2</v>
      </c>
      <c r="AF1170" s="243">
        <f t="shared" si="21"/>
        <v>8.8103057206177518E-2</v>
      </c>
      <c r="AG1170" s="275">
        <f t="shared" si="22"/>
        <v>0.25677988551052866</v>
      </c>
      <c r="AH1170" s="391">
        <f t="shared" si="23"/>
        <v>0.33829354599162176</v>
      </c>
      <c r="AI1170" s="135">
        <f t="shared" si="24"/>
        <v>0.59507343150215042</v>
      </c>
    </row>
    <row r="1171" spans="1:35" ht="12.6">
      <c r="A1171" s="10" t="s">
        <v>1516</v>
      </c>
      <c r="B1171" s="10">
        <v>75</v>
      </c>
      <c r="C1171" s="10" t="s">
        <v>1513</v>
      </c>
      <c r="D1171" s="388">
        <v>45001</v>
      </c>
      <c r="E1171" s="389">
        <v>45001</v>
      </c>
      <c r="F1171" s="390" t="str">
        <f t="shared" si="20"/>
        <v>Space heating &amp; cooling</v>
      </c>
      <c r="G1171" s="135">
        <v>1.02047408638502E-2</v>
      </c>
      <c r="H1171" s="135">
        <v>1.06091008009914E-2</v>
      </c>
      <c r="I1171" s="135">
        <v>1.0314901939932499E-2</v>
      </c>
      <c r="J1171" s="135">
        <v>1.14956345272469E-2</v>
      </c>
      <c r="K1171" s="135">
        <v>1.5418561530689099E-2</v>
      </c>
      <c r="L1171" s="135">
        <v>2.6984015042972799E-2</v>
      </c>
      <c r="M1171" s="135">
        <v>6.4210113976539501E-2</v>
      </c>
      <c r="N1171" s="135">
        <v>5.1201121055468202E-2</v>
      </c>
      <c r="O1171" s="135">
        <v>1.7758816933901699E-2</v>
      </c>
      <c r="P1171" s="135">
        <v>7.8302602586143594E-3</v>
      </c>
      <c r="Q1171" s="135">
        <v>6.0948801867032202E-3</v>
      </c>
      <c r="R1171" s="135">
        <v>6.3611866896000199E-3</v>
      </c>
      <c r="S1171" s="135">
        <v>6.9639909338950097E-3</v>
      </c>
      <c r="T1171" s="135">
        <v>9.6080372699486796E-3</v>
      </c>
      <c r="U1171" s="135">
        <v>1.2860713429087799E-2</v>
      </c>
      <c r="V1171" s="135">
        <v>1.94974816098724E-2</v>
      </c>
      <c r="W1171" s="135">
        <v>2.6716767087070398E-2</v>
      </c>
      <c r="X1171" s="135">
        <v>4.6988741684763101E-2</v>
      </c>
      <c r="Y1171" s="135">
        <v>5.46292844388876E-2</v>
      </c>
      <c r="Z1171" s="135">
        <v>5.7393753737374403E-2</v>
      </c>
      <c r="AA1171" s="135">
        <v>5.3047301334796002E-2</v>
      </c>
      <c r="AB1171" s="135">
        <v>3.6988199671513199E-2</v>
      </c>
      <c r="AC1171" s="135">
        <v>1.8832840555165702E-2</v>
      </c>
      <c r="AD1171" s="135">
        <v>1.30629859432664E-2</v>
      </c>
      <c r="AF1171" s="243">
        <f t="shared" si="21"/>
        <v>8.8103057206177518E-2</v>
      </c>
      <c r="AG1171" s="275">
        <f t="shared" si="22"/>
        <v>0.25677988551052866</v>
      </c>
      <c r="AH1171" s="391">
        <f t="shared" si="23"/>
        <v>0.33829354599162176</v>
      </c>
      <c r="AI1171" s="135">
        <f t="shared" si="24"/>
        <v>0.59507343150215042</v>
      </c>
    </row>
    <row r="1172" spans="1:35" ht="12.6">
      <c r="A1172" s="10" t="s">
        <v>1516</v>
      </c>
      <c r="B1172" s="10">
        <v>76</v>
      </c>
      <c r="C1172" s="10" t="s">
        <v>1513</v>
      </c>
      <c r="D1172" s="388">
        <v>45002</v>
      </c>
      <c r="E1172" s="389">
        <v>45002</v>
      </c>
      <c r="F1172" s="390" t="str">
        <f t="shared" si="20"/>
        <v>Space heating &amp; cooling</v>
      </c>
      <c r="G1172" s="135">
        <v>1.02047408638502E-2</v>
      </c>
      <c r="H1172" s="135">
        <v>1.06091008009914E-2</v>
      </c>
      <c r="I1172" s="135">
        <v>1.0314901939932499E-2</v>
      </c>
      <c r="J1172" s="135">
        <v>1.14956345272469E-2</v>
      </c>
      <c r="K1172" s="135">
        <v>1.5418561530689099E-2</v>
      </c>
      <c r="L1172" s="135">
        <v>2.6984015042972799E-2</v>
      </c>
      <c r="M1172" s="135">
        <v>6.4210113976539501E-2</v>
      </c>
      <c r="N1172" s="135">
        <v>5.1201121055468202E-2</v>
      </c>
      <c r="O1172" s="135">
        <v>1.7758816933901699E-2</v>
      </c>
      <c r="P1172" s="135">
        <v>7.8302602586143594E-3</v>
      </c>
      <c r="Q1172" s="135">
        <v>6.0948801867032202E-3</v>
      </c>
      <c r="R1172" s="135">
        <v>6.3611866896000199E-3</v>
      </c>
      <c r="S1172" s="135">
        <v>6.9639909338950097E-3</v>
      </c>
      <c r="T1172" s="135">
        <v>9.6080372699486796E-3</v>
      </c>
      <c r="U1172" s="135">
        <v>1.2860713429087799E-2</v>
      </c>
      <c r="V1172" s="135">
        <v>1.94974816098724E-2</v>
      </c>
      <c r="W1172" s="135">
        <v>2.6716767087070398E-2</v>
      </c>
      <c r="X1172" s="135">
        <v>4.6988741684763101E-2</v>
      </c>
      <c r="Y1172" s="135">
        <v>5.46292844388876E-2</v>
      </c>
      <c r="Z1172" s="135">
        <v>5.7393753737374403E-2</v>
      </c>
      <c r="AA1172" s="135">
        <v>5.3047301334796002E-2</v>
      </c>
      <c r="AB1172" s="135">
        <v>3.6988199671513199E-2</v>
      </c>
      <c r="AC1172" s="135">
        <v>1.8832840555165702E-2</v>
      </c>
      <c r="AD1172" s="135">
        <v>1.30629859432664E-2</v>
      </c>
      <c r="AF1172" s="243">
        <f t="shared" si="21"/>
        <v>8.8103057206177518E-2</v>
      </c>
      <c r="AG1172" s="275">
        <f t="shared" si="22"/>
        <v>0.25677988551052866</v>
      </c>
      <c r="AH1172" s="391">
        <f t="shared" si="23"/>
        <v>0.33829354599162176</v>
      </c>
      <c r="AI1172" s="135">
        <f t="shared" si="24"/>
        <v>0.59507343150215042</v>
      </c>
    </row>
    <row r="1173" spans="1:35" ht="12.6">
      <c r="A1173" s="10" t="s">
        <v>1516</v>
      </c>
      <c r="B1173" s="10">
        <v>77</v>
      </c>
      <c r="C1173" s="10" t="s">
        <v>1513</v>
      </c>
      <c r="D1173" s="388">
        <v>45003</v>
      </c>
      <c r="E1173" s="389">
        <v>45003</v>
      </c>
      <c r="F1173" s="390" t="str">
        <f t="shared" si="20"/>
        <v>Space heating &amp; cooling</v>
      </c>
      <c r="G1173" s="135">
        <v>8.7869372028316507E-3</v>
      </c>
      <c r="H1173" s="135">
        <v>8.51607902002521E-3</v>
      </c>
      <c r="I1173" s="135">
        <v>9.7324507019692294E-3</v>
      </c>
      <c r="J1173" s="135">
        <v>1.0210117766509E-2</v>
      </c>
      <c r="K1173" s="135">
        <v>1.2311891831069399E-2</v>
      </c>
      <c r="L1173" s="135">
        <v>2.0437711881693701E-2</v>
      </c>
      <c r="M1173" s="135">
        <v>3.7259471790165602E-2</v>
      </c>
      <c r="N1173" s="135">
        <v>4.81287472994507E-2</v>
      </c>
      <c r="O1173" s="135">
        <v>3.5407499175242302E-2</v>
      </c>
      <c r="P1173" s="135">
        <v>2.0528073654264602E-2</v>
      </c>
      <c r="Q1173" s="135">
        <v>1.4161754048229299E-2</v>
      </c>
      <c r="R1173" s="135">
        <v>1.7977795437861301E-2</v>
      </c>
      <c r="S1173" s="135">
        <v>2.0199474998432301E-2</v>
      </c>
      <c r="T1173" s="135">
        <v>2.1420776514346401E-2</v>
      </c>
      <c r="U1173" s="135">
        <v>2.3047899601285501E-2</v>
      </c>
      <c r="V1173" s="135">
        <v>2.01939171587644E-2</v>
      </c>
      <c r="W1173" s="135">
        <v>2.7168544383312201E-2</v>
      </c>
      <c r="X1173" s="135">
        <v>4.1922277228623302E-2</v>
      </c>
      <c r="Y1173" s="135">
        <v>4.42720525091755E-2</v>
      </c>
      <c r="Z1173" s="135">
        <v>4.6026164771830198E-2</v>
      </c>
      <c r="AA1173" s="135">
        <v>4.3777967317773302E-2</v>
      </c>
      <c r="AB1173" s="135">
        <v>3.4405093727997202E-2</v>
      </c>
      <c r="AC1173" s="135">
        <v>2.1326718263752101E-2</v>
      </c>
      <c r="AD1173" s="135">
        <v>1.42261215449142E-2</v>
      </c>
      <c r="AF1173" s="243">
        <f t="shared" si="21"/>
        <v>0.14417016214223141</v>
      </c>
      <c r="AG1173" s="275">
        <f t="shared" si="22"/>
        <v>0.2548381126590708</v>
      </c>
      <c r="AH1173" s="391">
        <f t="shared" si="23"/>
        <v>0.34660742517044768</v>
      </c>
      <c r="AI1173" s="135">
        <f t="shared" si="24"/>
        <v>0.60144553782951848</v>
      </c>
    </row>
    <row r="1174" spans="1:35" ht="12.6">
      <c r="A1174" s="10" t="s">
        <v>1516</v>
      </c>
      <c r="B1174" s="10">
        <v>78</v>
      </c>
      <c r="C1174" s="10" t="s">
        <v>1513</v>
      </c>
      <c r="D1174" s="388">
        <v>45004</v>
      </c>
      <c r="E1174" s="389">
        <v>45004</v>
      </c>
      <c r="F1174" s="390" t="str">
        <f t="shared" si="20"/>
        <v>Space heating &amp; cooling</v>
      </c>
      <c r="G1174" s="135">
        <v>8.7869372028316507E-3</v>
      </c>
      <c r="H1174" s="135">
        <v>8.51607902002521E-3</v>
      </c>
      <c r="I1174" s="135">
        <v>9.7324507019692294E-3</v>
      </c>
      <c r="J1174" s="135">
        <v>1.0210117766509E-2</v>
      </c>
      <c r="K1174" s="135">
        <v>1.2311891831069399E-2</v>
      </c>
      <c r="L1174" s="135">
        <v>2.0437711881693701E-2</v>
      </c>
      <c r="M1174" s="135">
        <v>3.7259471790165602E-2</v>
      </c>
      <c r="N1174" s="135">
        <v>4.81287472994507E-2</v>
      </c>
      <c r="O1174" s="135">
        <v>3.5407499175242302E-2</v>
      </c>
      <c r="P1174" s="135">
        <v>2.0528073654264602E-2</v>
      </c>
      <c r="Q1174" s="135">
        <v>1.4161754048229299E-2</v>
      </c>
      <c r="R1174" s="135">
        <v>1.7977795437861301E-2</v>
      </c>
      <c r="S1174" s="135">
        <v>2.0199474998432301E-2</v>
      </c>
      <c r="T1174" s="135">
        <v>2.1420776514346401E-2</v>
      </c>
      <c r="U1174" s="135">
        <v>2.3047899601285501E-2</v>
      </c>
      <c r="V1174" s="135">
        <v>2.01939171587644E-2</v>
      </c>
      <c r="W1174" s="135">
        <v>2.7168544383312201E-2</v>
      </c>
      <c r="X1174" s="135">
        <v>4.1922277228623302E-2</v>
      </c>
      <c r="Y1174" s="135">
        <v>4.42720525091755E-2</v>
      </c>
      <c r="Z1174" s="135">
        <v>4.6026164771830198E-2</v>
      </c>
      <c r="AA1174" s="135">
        <v>4.3777967317773302E-2</v>
      </c>
      <c r="AB1174" s="135">
        <v>3.4405093727997202E-2</v>
      </c>
      <c r="AC1174" s="135">
        <v>2.1326718263752101E-2</v>
      </c>
      <c r="AD1174" s="135">
        <v>1.42261215449142E-2</v>
      </c>
      <c r="AF1174" s="243">
        <f t="shared" si="21"/>
        <v>0.14417016214223141</v>
      </c>
      <c r="AG1174" s="275">
        <f t="shared" si="22"/>
        <v>0.2548381126590708</v>
      </c>
      <c r="AH1174" s="391">
        <f t="shared" si="23"/>
        <v>0.34660742517044768</v>
      </c>
      <c r="AI1174" s="135">
        <f t="shared" si="24"/>
        <v>0.60144553782951848</v>
      </c>
    </row>
    <row r="1175" spans="1:35" ht="12.6">
      <c r="A1175" s="10" t="s">
        <v>1516</v>
      </c>
      <c r="B1175" s="10">
        <v>79</v>
      </c>
      <c r="C1175" s="10" t="s">
        <v>1513</v>
      </c>
      <c r="D1175" s="388">
        <v>45005</v>
      </c>
      <c r="E1175" s="389">
        <v>45005</v>
      </c>
      <c r="F1175" s="390" t="str">
        <f t="shared" si="20"/>
        <v>Space heating &amp; cooling</v>
      </c>
      <c r="G1175" s="135">
        <v>1.02047408638502E-2</v>
      </c>
      <c r="H1175" s="135">
        <v>1.06091008009914E-2</v>
      </c>
      <c r="I1175" s="135">
        <v>1.0314901939932499E-2</v>
      </c>
      <c r="J1175" s="135">
        <v>1.14956345272469E-2</v>
      </c>
      <c r="K1175" s="135">
        <v>1.5418561530689099E-2</v>
      </c>
      <c r="L1175" s="135">
        <v>2.6984015042972799E-2</v>
      </c>
      <c r="M1175" s="135">
        <v>6.4210113976539501E-2</v>
      </c>
      <c r="N1175" s="135">
        <v>5.1201121055468202E-2</v>
      </c>
      <c r="O1175" s="135">
        <v>1.7758816933901699E-2</v>
      </c>
      <c r="P1175" s="135">
        <v>7.8302602586143594E-3</v>
      </c>
      <c r="Q1175" s="135">
        <v>6.0948801867032202E-3</v>
      </c>
      <c r="R1175" s="135">
        <v>6.3611866896000199E-3</v>
      </c>
      <c r="S1175" s="135">
        <v>6.9639909338950097E-3</v>
      </c>
      <c r="T1175" s="135">
        <v>9.6080372699486796E-3</v>
      </c>
      <c r="U1175" s="135">
        <v>1.2860713429087799E-2</v>
      </c>
      <c r="V1175" s="135">
        <v>1.94974816098724E-2</v>
      </c>
      <c r="W1175" s="135">
        <v>2.6716767087070398E-2</v>
      </c>
      <c r="X1175" s="135">
        <v>4.6988741684763101E-2</v>
      </c>
      <c r="Y1175" s="135">
        <v>5.46292844388876E-2</v>
      </c>
      <c r="Z1175" s="135">
        <v>5.7393753737374403E-2</v>
      </c>
      <c r="AA1175" s="135">
        <v>5.3047301334796002E-2</v>
      </c>
      <c r="AB1175" s="135">
        <v>3.6988199671513199E-2</v>
      </c>
      <c r="AC1175" s="135">
        <v>1.8832840555165702E-2</v>
      </c>
      <c r="AD1175" s="135">
        <v>1.30629859432664E-2</v>
      </c>
      <c r="AF1175" s="243">
        <f t="shared" si="21"/>
        <v>8.8103057206177518E-2</v>
      </c>
      <c r="AG1175" s="275">
        <f t="shared" si="22"/>
        <v>0.25677988551052866</v>
      </c>
      <c r="AH1175" s="391">
        <f t="shared" si="23"/>
        <v>0.33829354599162176</v>
      </c>
      <c r="AI1175" s="135">
        <f t="shared" si="24"/>
        <v>0.59507343150215042</v>
      </c>
    </row>
    <row r="1176" spans="1:35" ht="12.6">
      <c r="A1176" s="10" t="s">
        <v>1516</v>
      </c>
      <c r="B1176" s="10">
        <v>80</v>
      </c>
      <c r="C1176" s="10" t="s">
        <v>1513</v>
      </c>
      <c r="D1176" s="388">
        <v>45006</v>
      </c>
      <c r="E1176" s="389">
        <v>45006</v>
      </c>
      <c r="F1176" s="390" t="str">
        <f t="shared" si="20"/>
        <v>Space heating &amp; cooling</v>
      </c>
      <c r="G1176" s="135">
        <v>1.02047408638502E-2</v>
      </c>
      <c r="H1176" s="135">
        <v>1.06091008009914E-2</v>
      </c>
      <c r="I1176" s="135">
        <v>1.0314901939932499E-2</v>
      </c>
      <c r="J1176" s="135">
        <v>1.14956345272469E-2</v>
      </c>
      <c r="K1176" s="135">
        <v>1.5418561530689099E-2</v>
      </c>
      <c r="L1176" s="135">
        <v>2.6984015042972799E-2</v>
      </c>
      <c r="M1176" s="135">
        <v>6.4210113976539501E-2</v>
      </c>
      <c r="N1176" s="135">
        <v>5.1201121055468202E-2</v>
      </c>
      <c r="O1176" s="135">
        <v>1.7758816933901699E-2</v>
      </c>
      <c r="P1176" s="135">
        <v>7.8302602586143594E-3</v>
      </c>
      <c r="Q1176" s="135">
        <v>6.0948801867032202E-3</v>
      </c>
      <c r="R1176" s="135">
        <v>6.3611866896000199E-3</v>
      </c>
      <c r="S1176" s="135">
        <v>6.9639909338950097E-3</v>
      </c>
      <c r="T1176" s="135">
        <v>9.6080372699486796E-3</v>
      </c>
      <c r="U1176" s="135">
        <v>1.2860713429087799E-2</v>
      </c>
      <c r="V1176" s="135">
        <v>1.94974816098724E-2</v>
      </c>
      <c r="W1176" s="135">
        <v>2.6716767087070398E-2</v>
      </c>
      <c r="X1176" s="135">
        <v>4.6988741684763101E-2</v>
      </c>
      <c r="Y1176" s="135">
        <v>5.46292844388876E-2</v>
      </c>
      <c r="Z1176" s="135">
        <v>5.7393753737374403E-2</v>
      </c>
      <c r="AA1176" s="135">
        <v>5.3047301334796002E-2</v>
      </c>
      <c r="AB1176" s="135">
        <v>3.6988199671513199E-2</v>
      </c>
      <c r="AC1176" s="135">
        <v>1.8832840555165702E-2</v>
      </c>
      <c r="AD1176" s="135">
        <v>1.30629859432664E-2</v>
      </c>
      <c r="AF1176" s="243">
        <f t="shared" si="21"/>
        <v>8.8103057206177518E-2</v>
      </c>
      <c r="AG1176" s="275">
        <f t="shared" si="22"/>
        <v>0.25677988551052866</v>
      </c>
      <c r="AH1176" s="391">
        <f t="shared" si="23"/>
        <v>0.33829354599162176</v>
      </c>
      <c r="AI1176" s="135">
        <f t="shared" si="24"/>
        <v>0.59507343150215042</v>
      </c>
    </row>
    <row r="1177" spans="1:35" ht="12.6">
      <c r="A1177" s="10" t="s">
        <v>1516</v>
      </c>
      <c r="B1177" s="10">
        <v>81</v>
      </c>
      <c r="C1177" s="10" t="s">
        <v>1513</v>
      </c>
      <c r="D1177" s="388">
        <v>45007</v>
      </c>
      <c r="E1177" s="389">
        <v>45007</v>
      </c>
      <c r="F1177" s="390" t="str">
        <f t="shared" si="20"/>
        <v>Space heating &amp; cooling</v>
      </c>
      <c r="G1177" s="135">
        <v>1.02047408638502E-2</v>
      </c>
      <c r="H1177" s="135">
        <v>1.06091008009914E-2</v>
      </c>
      <c r="I1177" s="135">
        <v>1.0314901939932499E-2</v>
      </c>
      <c r="J1177" s="135">
        <v>1.14956345272469E-2</v>
      </c>
      <c r="K1177" s="135">
        <v>1.5418561530689099E-2</v>
      </c>
      <c r="L1177" s="135">
        <v>2.6984015042972799E-2</v>
      </c>
      <c r="M1177" s="135">
        <v>6.4210113976539501E-2</v>
      </c>
      <c r="N1177" s="135">
        <v>5.1201121055468202E-2</v>
      </c>
      <c r="O1177" s="135">
        <v>1.7758816933901699E-2</v>
      </c>
      <c r="P1177" s="135">
        <v>7.8302602586143594E-3</v>
      </c>
      <c r="Q1177" s="135">
        <v>6.0948801867032202E-3</v>
      </c>
      <c r="R1177" s="135">
        <v>6.3611866896000199E-3</v>
      </c>
      <c r="S1177" s="135">
        <v>6.9639909338950097E-3</v>
      </c>
      <c r="T1177" s="135">
        <v>9.6080372699486796E-3</v>
      </c>
      <c r="U1177" s="135">
        <v>1.2860713429087799E-2</v>
      </c>
      <c r="V1177" s="135">
        <v>1.94974816098724E-2</v>
      </c>
      <c r="W1177" s="135">
        <v>2.6716767087070398E-2</v>
      </c>
      <c r="X1177" s="135">
        <v>4.6988741684763101E-2</v>
      </c>
      <c r="Y1177" s="135">
        <v>5.46292844388876E-2</v>
      </c>
      <c r="Z1177" s="135">
        <v>5.7393753737374403E-2</v>
      </c>
      <c r="AA1177" s="135">
        <v>5.3047301334796002E-2</v>
      </c>
      <c r="AB1177" s="135">
        <v>3.6988199671513199E-2</v>
      </c>
      <c r="AC1177" s="135">
        <v>1.8832840555165702E-2</v>
      </c>
      <c r="AD1177" s="135">
        <v>1.30629859432664E-2</v>
      </c>
      <c r="AF1177" s="243">
        <f t="shared" si="21"/>
        <v>8.8103057206177518E-2</v>
      </c>
      <c r="AG1177" s="275">
        <f t="shared" si="22"/>
        <v>0.25677988551052866</v>
      </c>
      <c r="AH1177" s="391">
        <f t="shared" si="23"/>
        <v>0.33829354599162176</v>
      </c>
      <c r="AI1177" s="135">
        <f t="shared" si="24"/>
        <v>0.59507343150215042</v>
      </c>
    </row>
    <row r="1178" spans="1:35" ht="12.6">
      <c r="A1178" s="10" t="s">
        <v>1516</v>
      </c>
      <c r="B1178" s="10">
        <v>82</v>
      </c>
      <c r="C1178" s="10" t="s">
        <v>1513</v>
      </c>
      <c r="D1178" s="388">
        <v>45008</v>
      </c>
      <c r="E1178" s="389">
        <v>45008</v>
      </c>
      <c r="F1178" s="390" t="str">
        <f t="shared" si="20"/>
        <v>Space heating &amp; cooling</v>
      </c>
      <c r="G1178" s="135">
        <v>1.02047408638502E-2</v>
      </c>
      <c r="H1178" s="135">
        <v>1.06091008009914E-2</v>
      </c>
      <c r="I1178" s="135">
        <v>1.0314901939932499E-2</v>
      </c>
      <c r="J1178" s="135">
        <v>1.14956345272469E-2</v>
      </c>
      <c r="K1178" s="135">
        <v>1.5418561530689099E-2</v>
      </c>
      <c r="L1178" s="135">
        <v>2.6984015042972799E-2</v>
      </c>
      <c r="M1178" s="135">
        <v>6.4210113976539501E-2</v>
      </c>
      <c r="N1178" s="135">
        <v>5.1201121055468202E-2</v>
      </c>
      <c r="O1178" s="135">
        <v>1.7758816933901699E-2</v>
      </c>
      <c r="P1178" s="135">
        <v>7.8302602586143594E-3</v>
      </c>
      <c r="Q1178" s="135">
        <v>6.0948801867032202E-3</v>
      </c>
      <c r="R1178" s="135">
        <v>6.3611866896000199E-3</v>
      </c>
      <c r="S1178" s="135">
        <v>6.9639909338950097E-3</v>
      </c>
      <c r="T1178" s="135">
        <v>9.6080372699486796E-3</v>
      </c>
      <c r="U1178" s="135">
        <v>1.2860713429087799E-2</v>
      </c>
      <c r="V1178" s="135">
        <v>1.94974816098724E-2</v>
      </c>
      <c r="W1178" s="135">
        <v>2.6716767087070398E-2</v>
      </c>
      <c r="X1178" s="135">
        <v>4.6988741684763101E-2</v>
      </c>
      <c r="Y1178" s="135">
        <v>5.46292844388876E-2</v>
      </c>
      <c r="Z1178" s="135">
        <v>5.7393753737374403E-2</v>
      </c>
      <c r="AA1178" s="135">
        <v>5.3047301334796002E-2</v>
      </c>
      <c r="AB1178" s="135">
        <v>3.6988199671513199E-2</v>
      </c>
      <c r="AC1178" s="135">
        <v>1.8832840555165702E-2</v>
      </c>
      <c r="AD1178" s="135">
        <v>1.30629859432664E-2</v>
      </c>
      <c r="AF1178" s="243">
        <f t="shared" si="21"/>
        <v>8.8103057206177518E-2</v>
      </c>
      <c r="AG1178" s="275">
        <f t="shared" si="22"/>
        <v>0.25677988551052866</v>
      </c>
      <c r="AH1178" s="391">
        <f t="shared" si="23"/>
        <v>0.33829354599162176</v>
      </c>
      <c r="AI1178" s="135">
        <f t="shared" si="24"/>
        <v>0.59507343150215042</v>
      </c>
    </row>
    <row r="1179" spans="1:35" ht="12.6">
      <c r="A1179" s="10" t="s">
        <v>1516</v>
      </c>
      <c r="B1179" s="10">
        <v>83</v>
      </c>
      <c r="C1179" s="10" t="s">
        <v>1513</v>
      </c>
      <c r="D1179" s="388">
        <v>45009</v>
      </c>
      <c r="E1179" s="389">
        <v>45009</v>
      </c>
      <c r="F1179" s="390" t="str">
        <f t="shared" si="20"/>
        <v>Space heating &amp; cooling</v>
      </c>
      <c r="G1179" s="135">
        <v>1.02047408638502E-2</v>
      </c>
      <c r="H1179" s="135">
        <v>1.06091008009914E-2</v>
      </c>
      <c r="I1179" s="135">
        <v>1.0314901939932499E-2</v>
      </c>
      <c r="J1179" s="135">
        <v>1.14956345272469E-2</v>
      </c>
      <c r="K1179" s="135">
        <v>1.5418561530689099E-2</v>
      </c>
      <c r="L1179" s="135">
        <v>2.6984015042972799E-2</v>
      </c>
      <c r="M1179" s="135">
        <v>6.4210113976539501E-2</v>
      </c>
      <c r="N1179" s="135">
        <v>5.1201121055468202E-2</v>
      </c>
      <c r="O1179" s="135">
        <v>1.7758816933901699E-2</v>
      </c>
      <c r="P1179" s="135">
        <v>7.8302602586143594E-3</v>
      </c>
      <c r="Q1179" s="135">
        <v>6.0948801867032202E-3</v>
      </c>
      <c r="R1179" s="135">
        <v>6.3611866896000199E-3</v>
      </c>
      <c r="S1179" s="135">
        <v>6.9639909338950097E-3</v>
      </c>
      <c r="T1179" s="135">
        <v>9.6080372699486796E-3</v>
      </c>
      <c r="U1179" s="135">
        <v>1.2860713429087799E-2</v>
      </c>
      <c r="V1179" s="135">
        <v>1.94974816098724E-2</v>
      </c>
      <c r="W1179" s="135">
        <v>2.6716767087070398E-2</v>
      </c>
      <c r="X1179" s="135">
        <v>4.6988741684763101E-2</v>
      </c>
      <c r="Y1179" s="135">
        <v>5.46292844388876E-2</v>
      </c>
      <c r="Z1179" s="135">
        <v>5.7393753737374403E-2</v>
      </c>
      <c r="AA1179" s="135">
        <v>5.3047301334796002E-2</v>
      </c>
      <c r="AB1179" s="135">
        <v>3.6988199671513199E-2</v>
      </c>
      <c r="AC1179" s="135">
        <v>1.8832840555165702E-2</v>
      </c>
      <c r="AD1179" s="135">
        <v>1.30629859432664E-2</v>
      </c>
      <c r="AF1179" s="243">
        <f t="shared" si="21"/>
        <v>8.8103057206177518E-2</v>
      </c>
      <c r="AG1179" s="275">
        <f t="shared" si="22"/>
        <v>0.25677988551052866</v>
      </c>
      <c r="AH1179" s="391">
        <f t="shared" si="23"/>
        <v>0.33829354599162176</v>
      </c>
      <c r="AI1179" s="135">
        <f t="shared" si="24"/>
        <v>0.59507343150215042</v>
      </c>
    </row>
    <row r="1180" spans="1:35" ht="12.6">
      <c r="A1180" s="10" t="s">
        <v>1516</v>
      </c>
      <c r="B1180" s="10">
        <v>84</v>
      </c>
      <c r="C1180" s="10" t="s">
        <v>1513</v>
      </c>
      <c r="D1180" s="388">
        <v>45010</v>
      </c>
      <c r="E1180" s="389">
        <v>45010</v>
      </c>
      <c r="F1180" s="390" t="str">
        <f t="shared" si="20"/>
        <v>Space heating &amp; cooling</v>
      </c>
      <c r="G1180" s="135">
        <v>8.7869372028316507E-3</v>
      </c>
      <c r="H1180" s="135">
        <v>8.51607902002521E-3</v>
      </c>
      <c r="I1180" s="135">
        <v>9.7324507019692294E-3</v>
      </c>
      <c r="J1180" s="135">
        <v>1.0210117766509E-2</v>
      </c>
      <c r="K1180" s="135">
        <v>1.2311891831069399E-2</v>
      </c>
      <c r="L1180" s="135">
        <v>2.0437711881693701E-2</v>
      </c>
      <c r="M1180" s="135">
        <v>3.7259471790165602E-2</v>
      </c>
      <c r="N1180" s="135">
        <v>4.81287472994507E-2</v>
      </c>
      <c r="O1180" s="135">
        <v>3.5407499175242302E-2</v>
      </c>
      <c r="P1180" s="135">
        <v>2.0528073654264602E-2</v>
      </c>
      <c r="Q1180" s="135">
        <v>1.4161754048229299E-2</v>
      </c>
      <c r="R1180" s="135">
        <v>1.7977795437861301E-2</v>
      </c>
      <c r="S1180" s="135">
        <v>2.0199474998432301E-2</v>
      </c>
      <c r="T1180" s="135">
        <v>2.1420776514346401E-2</v>
      </c>
      <c r="U1180" s="135">
        <v>2.3047899601285501E-2</v>
      </c>
      <c r="V1180" s="135">
        <v>2.01939171587644E-2</v>
      </c>
      <c r="W1180" s="135">
        <v>2.7168544383312201E-2</v>
      </c>
      <c r="X1180" s="135">
        <v>4.1922277228623302E-2</v>
      </c>
      <c r="Y1180" s="135">
        <v>4.42720525091755E-2</v>
      </c>
      <c r="Z1180" s="135">
        <v>4.6026164771830198E-2</v>
      </c>
      <c r="AA1180" s="135">
        <v>4.3777967317773302E-2</v>
      </c>
      <c r="AB1180" s="135">
        <v>3.4405093727997202E-2</v>
      </c>
      <c r="AC1180" s="135">
        <v>2.1326718263752101E-2</v>
      </c>
      <c r="AD1180" s="135">
        <v>1.42261215449142E-2</v>
      </c>
      <c r="AF1180" s="243">
        <f t="shared" si="21"/>
        <v>0.14417016214223141</v>
      </c>
      <c r="AG1180" s="275">
        <f t="shared" si="22"/>
        <v>0.2548381126590708</v>
      </c>
      <c r="AH1180" s="391">
        <f t="shared" si="23"/>
        <v>0.34660742517044768</v>
      </c>
      <c r="AI1180" s="135">
        <f t="shared" si="24"/>
        <v>0.60144553782951848</v>
      </c>
    </row>
    <row r="1181" spans="1:35" ht="12.6">
      <c r="A1181" s="10" t="s">
        <v>1516</v>
      </c>
      <c r="B1181" s="10">
        <v>85</v>
      </c>
      <c r="C1181" s="10" t="s">
        <v>1513</v>
      </c>
      <c r="D1181" s="388">
        <v>45011</v>
      </c>
      <c r="E1181" s="389">
        <v>45011</v>
      </c>
      <c r="F1181" s="390" t="str">
        <f t="shared" si="20"/>
        <v>Space heating &amp; cooling</v>
      </c>
      <c r="G1181" s="135">
        <v>8.7869372028316507E-3</v>
      </c>
      <c r="H1181" s="135">
        <v>8.51607902002521E-3</v>
      </c>
      <c r="I1181" s="135">
        <v>9.7324507019692294E-3</v>
      </c>
      <c r="J1181" s="135">
        <v>1.0210117766509E-2</v>
      </c>
      <c r="K1181" s="135">
        <v>1.2311891831069399E-2</v>
      </c>
      <c r="L1181" s="135">
        <v>2.0437711881693701E-2</v>
      </c>
      <c r="M1181" s="135">
        <v>3.7259471790165602E-2</v>
      </c>
      <c r="N1181" s="135">
        <v>4.81287472994507E-2</v>
      </c>
      <c r="O1181" s="135">
        <v>3.5407499175242302E-2</v>
      </c>
      <c r="P1181" s="135">
        <v>2.0528073654264602E-2</v>
      </c>
      <c r="Q1181" s="135">
        <v>1.4161754048229299E-2</v>
      </c>
      <c r="R1181" s="135">
        <v>1.7977795437861301E-2</v>
      </c>
      <c r="S1181" s="135">
        <v>2.0199474998432301E-2</v>
      </c>
      <c r="T1181" s="135">
        <v>2.1420776514346401E-2</v>
      </c>
      <c r="U1181" s="135">
        <v>2.3047899601285501E-2</v>
      </c>
      <c r="V1181" s="135">
        <v>2.01939171587644E-2</v>
      </c>
      <c r="W1181" s="135">
        <v>2.7168544383312201E-2</v>
      </c>
      <c r="X1181" s="135">
        <v>4.1922277228623302E-2</v>
      </c>
      <c r="Y1181" s="135">
        <v>4.42720525091755E-2</v>
      </c>
      <c r="Z1181" s="135">
        <v>4.6026164771830198E-2</v>
      </c>
      <c r="AA1181" s="135">
        <v>4.3777967317773302E-2</v>
      </c>
      <c r="AB1181" s="135">
        <v>3.4405093727997202E-2</v>
      </c>
      <c r="AC1181" s="135">
        <v>2.1326718263752101E-2</v>
      </c>
      <c r="AD1181" s="135">
        <v>1.42261215449142E-2</v>
      </c>
      <c r="AF1181" s="243">
        <f t="shared" si="21"/>
        <v>0.14417016214223141</v>
      </c>
      <c r="AG1181" s="275">
        <f t="shared" si="22"/>
        <v>0.2548381126590708</v>
      </c>
      <c r="AH1181" s="391">
        <f t="shared" si="23"/>
        <v>0.34660742517044768</v>
      </c>
      <c r="AI1181" s="135">
        <f t="shared" si="24"/>
        <v>0.60144553782951848</v>
      </c>
    </row>
    <row r="1182" spans="1:35" ht="12.6">
      <c r="A1182" s="10" t="s">
        <v>1516</v>
      </c>
      <c r="B1182" s="10">
        <v>86</v>
      </c>
      <c r="C1182" s="10" t="s">
        <v>1513</v>
      </c>
      <c r="D1182" s="388">
        <v>45012</v>
      </c>
      <c r="E1182" s="389">
        <v>45012</v>
      </c>
      <c r="F1182" s="390" t="str">
        <f t="shared" si="20"/>
        <v>Space heating &amp; cooling</v>
      </c>
      <c r="G1182" s="135">
        <v>1.02047408638502E-2</v>
      </c>
      <c r="H1182" s="135">
        <v>1.06091008009914E-2</v>
      </c>
      <c r="I1182" s="135">
        <v>1.0314901939932499E-2</v>
      </c>
      <c r="J1182" s="135">
        <v>1.14956345272469E-2</v>
      </c>
      <c r="K1182" s="135">
        <v>1.5418561530689099E-2</v>
      </c>
      <c r="L1182" s="135">
        <v>2.6984015042972799E-2</v>
      </c>
      <c r="M1182" s="135">
        <v>6.4210113976539501E-2</v>
      </c>
      <c r="N1182" s="135">
        <v>5.1201121055468202E-2</v>
      </c>
      <c r="O1182" s="135">
        <v>1.7758816933901699E-2</v>
      </c>
      <c r="P1182" s="135">
        <v>7.8302602586143594E-3</v>
      </c>
      <c r="Q1182" s="135">
        <v>6.0948801867032202E-3</v>
      </c>
      <c r="R1182" s="135">
        <v>6.3611866896000199E-3</v>
      </c>
      <c r="S1182" s="135">
        <v>6.9639909338950097E-3</v>
      </c>
      <c r="T1182" s="135">
        <v>9.6080372699486796E-3</v>
      </c>
      <c r="U1182" s="135">
        <v>1.2860713429087799E-2</v>
      </c>
      <c r="V1182" s="135">
        <v>1.94974816098724E-2</v>
      </c>
      <c r="W1182" s="135">
        <v>2.6716767087070398E-2</v>
      </c>
      <c r="X1182" s="135">
        <v>4.6988741684763101E-2</v>
      </c>
      <c r="Y1182" s="135">
        <v>5.46292844388876E-2</v>
      </c>
      <c r="Z1182" s="135">
        <v>5.7393753737374403E-2</v>
      </c>
      <c r="AA1182" s="135">
        <v>5.3047301334796002E-2</v>
      </c>
      <c r="AB1182" s="135">
        <v>3.6988199671513199E-2</v>
      </c>
      <c r="AC1182" s="135">
        <v>1.8832840555165702E-2</v>
      </c>
      <c r="AD1182" s="135">
        <v>1.30629859432664E-2</v>
      </c>
      <c r="AF1182" s="243">
        <f t="shared" si="21"/>
        <v>8.8103057206177518E-2</v>
      </c>
      <c r="AG1182" s="275">
        <f t="shared" si="22"/>
        <v>0.25677988551052866</v>
      </c>
      <c r="AH1182" s="391">
        <f t="shared" si="23"/>
        <v>0.33829354599162176</v>
      </c>
      <c r="AI1182" s="135">
        <f t="shared" si="24"/>
        <v>0.59507343150215042</v>
      </c>
    </row>
    <row r="1183" spans="1:35" ht="12.6">
      <c r="A1183" s="10" t="s">
        <v>1516</v>
      </c>
      <c r="B1183" s="10">
        <v>87</v>
      </c>
      <c r="C1183" s="10" t="s">
        <v>1513</v>
      </c>
      <c r="D1183" s="388">
        <v>45013</v>
      </c>
      <c r="E1183" s="389">
        <v>45013</v>
      </c>
      <c r="F1183" s="390" t="str">
        <f t="shared" si="20"/>
        <v>Space heating &amp; cooling</v>
      </c>
      <c r="G1183" s="135">
        <v>1.02047408638502E-2</v>
      </c>
      <c r="H1183" s="135">
        <v>1.06091008009914E-2</v>
      </c>
      <c r="I1183" s="135">
        <v>1.0314901939932499E-2</v>
      </c>
      <c r="J1183" s="135">
        <v>1.14956345272469E-2</v>
      </c>
      <c r="K1183" s="135">
        <v>1.5418561530689099E-2</v>
      </c>
      <c r="L1183" s="135">
        <v>2.6984015042972799E-2</v>
      </c>
      <c r="M1183" s="135">
        <v>6.4210113976539501E-2</v>
      </c>
      <c r="N1183" s="135">
        <v>5.1201121055468202E-2</v>
      </c>
      <c r="O1183" s="135">
        <v>1.7758816933901699E-2</v>
      </c>
      <c r="P1183" s="135">
        <v>7.8302602586143594E-3</v>
      </c>
      <c r="Q1183" s="135">
        <v>6.0948801867032202E-3</v>
      </c>
      <c r="R1183" s="135">
        <v>6.3611866896000199E-3</v>
      </c>
      <c r="S1183" s="135">
        <v>6.9639909338950097E-3</v>
      </c>
      <c r="T1183" s="135">
        <v>9.6080372699486796E-3</v>
      </c>
      <c r="U1183" s="135">
        <v>1.2860713429087799E-2</v>
      </c>
      <c r="V1183" s="135">
        <v>1.94974816098724E-2</v>
      </c>
      <c r="W1183" s="135">
        <v>2.6716767087070398E-2</v>
      </c>
      <c r="X1183" s="135">
        <v>4.6988741684763101E-2</v>
      </c>
      <c r="Y1183" s="135">
        <v>5.46292844388876E-2</v>
      </c>
      <c r="Z1183" s="135">
        <v>5.7393753737374403E-2</v>
      </c>
      <c r="AA1183" s="135">
        <v>5.3047301334796002E-2</v>
      </c>
      <c r="AB1183" s="135">
        <v>3.6988199671513199E-2</v>
      </c>
      <c r="AC1183" s="135">
        <v>1.8832840555165702E-2</v>
      </c>
      <c r="AD1183" s="135">
        <v>1.30629859432664E-2</v>
      </c>
      <c r="AF1183" s="243">
        <f t="shared" si="21"/>
        <v>8.8103057206177518E-2</v>
      </c>
      <c r="AG1183" s="275">
        <f t="shared" si="22"/>
        <v>0.25677988551052866</v>
      </c>
      <c r="AH1183" s="391">
        <f t="shared" si="23"/>
        <v>0.33829354599162176</v>
      </c>
      <c r="AI1183" s="135">
        <f t="shared" si="24"/>
        <v>0.59507343150215042</v>
      </c>
    </row>
    <row r="1184" spans="1:35" ht="12.6">
      <c r="A1184" s="10" t="s">
        <v>1516</v>
      </c>
      <c r="B1184" s="10">
        <v>88</v>
      </c>
      <c r="C1184" s="10" t="s">
        <v>1513</v>
      </c>
      <c r="D1184" s="388">
        <v>45014</v>
      </c>
      <c r="E1184" s="389">
        <v>45014</v>
      </c>
      <c r="F1184" s="390" t="str">
        <f t="shared" si="20"/>
        <v>Space heating &amp; cooling</v>
      </c>
      <c r="G1184" s="135">
        <v>1.02047408638502E-2</v>
      </c>
      <c r="H1184" s="135">
        <v>1.06091008009914E-2</v>
      </c>
      <c r="I1184" s="135">
        <v>1.0314901939932499E-2</v>
      </c>
      <c r="J1184" s="135">
        <v>1.14956345272469E-2</v>
      </c>
      <c r="K1184" s="135">
        <v>1.5418561530689099E-2</v>
      </c>
      <c r="L1184" s="135">
        <v>2.6984015042972799E-2</v>
      </c>
      <c r="M1184" s="135">
        <v>6.4210113976539501E-2</v>
      </c>
      <c r="N1184" s="135">
        <v>5.1201121055468202E-2</v>
      </c>
      <c r="O1184" s="135">
        <v>1.7758816933901699E-2</v>
      </c>
      <c r="P1184" s="135">
        <v>7.8302602586143594E-3</v>
      </c>
      <c r="Q1184" s="135">
        <v>6.0948801867032202E-3</v>
      </c>
      <c r="R1184" s="135">
        <v>6.3611866896000199E-3</v>
      </c>
      <c r="S1184" s="135">
        <v>6.9639909338950097E-3</v>
      </c>
      <c r="T1184" s="135">
        <v>9.6080372699486796E-3</v>
      </c>
      <c r="U1184" s="135">
        <v>1.2860713429087799E-2</v>
      </c>
      <c r="V1184" s="135">
        <v>1.94974816098724E-2</v>
      </c>
      <c r="W1184" s="135">
        <v>2.6716767087070398E-2</v>
      </c>
      <c r="X1184" s="135">
        <v>4.6988741684763101E-2</v>
      </c>
      <c r="Y1184" s="135">
        <v>5.46292844388876E-2</v>
      </c>
      <c r="Z1184" s="135">
        <v>5.7393753737374403E-2</v>
      </c>
      <c r="AA1184" s="135">
        <v>5.3047301334796002E-2</v>
      </c>
      <c r="AB1184" s="135">
        <v>3.6988199671513199E-2</v>
      </c>
      <c r="AC1184" s="135">
        <v>1.8832840555165702E-2</v>
      </c>
      <c r="AD1184" s="135">
        <v>1.30629859432664E-2</v>
      </c>
      <c r="AF1184" s="243">
        <f t="shared" si="21"/>
        <v>8.8103057206177518E-2</v>
      </c>
      <c r="AG1184" s="275">
        <f t="shared" si="22"/>
        <v>0.25677988551052866</v>
      </c>
      <c r="AH1184" s="391">
        <f t="shared" si="23"/>
        <v>0.33829354599162176</v>
      </c>
      <c r="AI1184" s="135">
        <f t="shared" si="24"/>
        <v>0.59507343150215042</v>
      </c>
    </row>
    <row r="1185" spans="1:35" ht="12.6">
      <c r="A1185" s="10" t="s">
        <v>1516</v>
      </c>
      <c r="B1185" s="10">
        <v>89</v>
      </c>
      <c r="C1185" s="10" t="s">
        <v>1513</v>
      </c>
      <c r="D1185" s="388">
        <v>45015</v>
      </c>
      <c r="E1185" s="389">
        <v>45015</v>
      </c>
      <c r="F1185" s="390" t="str">
        <f t="shared" si="20"/>
        <v>Space heating &amp; cooling</v>
      </c>
      <c r="G1185" s="135">
        <v>1.02047408638502E-2</v>
      </c>
      <c r="H1185" s="135">
        <v>1.06091008009914E-2</v>
      </c>
      <c r="I1185" s="135">
        <v>1.0314901939932499E-2</v>
      </c>
      <c r="J1185" s="135">
        <v>1.14956345272469E-2</v>
      </c>
      <c r="K1185" s="135">
        <v>1.5418561530689099E-2</v>
      </c>
      <c r="L1185" s="135">
        <v>2.6984015042972799E-2</v>
      </c>
      <c r="M1185" s="135">
        <v>6.4210113976539501E-2</v>
      </c>
      <c r="N1185" s="135">
        <v>5.1201121055468202E-2</v>
      </c>
      <c r="O1185" s="135">
        <v>1.7758816933901699E-2</v>
      </c>
      <c r="P1185" s="135">
        <v>7.8302602586143594E-3</v>
      </c>
      <c r="Q1185" s="135">
        <v>6.0948801867032202E-3</v>
      </c>
      <c r="R1185" s="135">
        <v>6.3611866896000199E-3</v>
      </c>
      <c r="S1185" s="135">
        <v>6.9639909338950097E-3</v>
      </c>
      <c r="T1185" s="135">
        <v>9.6080372699486796E-3</v>
      </c>
      <c r="U1185" s="135">
        <v>1.2860713429087799E-2</v>
      </c>
      <c r="V1185" s="135">
        <v>1.94974816098724E-2</v>
      </c>
      <c r="W1185" s="135">
        <v>2.6716767087070398E-2</v>
      </c>
      <c r="X1185" s="135">
        <v>4.6988741684763101E-2</v>
      </c>
      <c r="Y1185" s="135">
        <v>5.46292844388876E-2</v>
      </c>
      <c r="Z1185" s="135">
        <v>5.7393753737374403E-2</v>
      </c>
      <c r="AA1185" s="135">
        <v>5.3047301334796002E-2</v>
      </c>
      <c r="AB1185" s="135">
        <v>3.6988199671513199E-2</v>
      </c>
      <c r="AC1185" s="135">
        <v>1.8832840555165702E-2</v>
      </c>
      <c r="AD1185" s="135">
        <v>1.30629859432664E-2</v>
      </c>
      <c r="AF1185" s="243">
        <f t="shared" si="21"/>
        <v>8.8103057206177518E-2</v>
      </c>
      <c r="AG1185" s="275">
        <f t="shared" si="22"/>
        <v>0.25677988551052866</v>
      </c>
      <c r="AH1185" s="391">
        <f t="shared" si="23"/>
        <v>0.33829354599162176</v>
      </c>
      <c r="AI1185" s="135">
        <f t="shared" si="24"/>
        <v>0.59507343150215042</v>
      </c>
    </row>
    <row r="1186" spans="1:35" ht="12.6">
      <c r="A1186" s="10" t="s">
        <v>1516</v>
      </c>
      <c r="B1186" s="10">
        <v>90</v>
      </c>
      <c r="C1186" s="10" t="s">
        <v>1513</v>
      </c>
      <c r="D1186" s="388">
        <v>45016</v>
      </c>
      <c r="E1186" s="389">
        <v>45016</v>
      </c>
      <c r="F1186" s="390" t="str">
        <f t="shared" si="20"/>
        <v>Space heating &amp; cooling</v>
      </c>
      <c r="G1186" s="135">
        <v>1.02047408638502E-2</v>
      </c>
      <c r="H1186" s="135">
        <v>1.06091008009914E-2</v>
      </c>
      <c r="I1186" s="135">
        <v>1.0314901939932499E-2</v>
      </c>
      <c r="J1186" s="135">
        <v>1.14956345272469E-2</v>
      </c>
      <c r="K1186" s="135">
        <v>1.5418561530689099E-2</v>
      </c>
      <c r="L1186" s="135">
        <v>2.6984015042972799E-2</v>
      </c>
      <c r="M1186" s="135">
        <v>6.4210113976539501E-2</v>
      </c>
      <c r="N1186" s="135">
        <v>5.1201121055468202E-2</v>
      </c>
      <c r="O1186" s="135">
        <v>1.7758816933901699E-2</v>
      </c>
      <c r="P1186" s="135">
        <v>7.8302602586143594E-3</v>
      </c>
      <c r="Q1186" s="135">
        <v>6.0948801867032202E-3</v>
      </c>
      <c r="R1186" s="135">
        <v>6.3611866896000199E-3</v>
      </c>
      <c r="S1186" s="135">
        <v>6.9639909338950097E-3</v>
      </c>
      <c r="T1186" s="135">
        <v>9.6080372699486796E-3</v>
      </c>
      <c r="U1186" s="135">
        <v>1.2860713429087799E-2</v>
      </c>
      <c r="V1186" s="135">
        <v>1.94974816098724E-2</v>
      </c>
      <c r="W1186" s="135">
        <v>2.6716767087070398E-2</v>
      </c>
      <c r="X1186" s="135">
        <v>4.6988741684763101E-2</v>
      </c>
      <c r="Y1186" s="135">
        <v>5.46292844388876E-2</v>
      </c>
      <c r="Z1186" s="135">
        <v>5.7393753737374403E-2</v>
      </c>
      <c r="AA1186" s="135">
        <v>5.3047301334796002E-2</v>
      </c>
      <c r="AB1186" s="135">
        <v>3.6988199671513199E-2</v>
      </c>
      <c r="AC1186" s="135">
        <v>1.8832840555165702E-2</v>
      </c>
      <c r="AD1186" s="135">
        <v>1.30629859432664E-2</v>
      </c>
      <c r="AF1186" s="243">
        <f t="shared" si="21"/>
        <v>8.8103057206177518E-2</v>
      </c>
      <c r="AG1186" s="275">
        <f t="shared" si="22"/>
        <v>0.25677988551052866</v>
      </c>
      <c r="AH1186" s="391">
        <f t="shared" si="23"/>
        <v>0.33829354599162176</v>
      </c>
      <c r="AI1186" s="135">
        <f t="shared" si="24"/>
        <v>0.59507343150215042</v>
      </c>
    </row>
    <row r="1187" spans="1:35" ht="12.6">
      <c r="A1187" s="10" t="s">
        <v>1516</v>
      </c>
      <c r="B1187" s="10">
        <v>91</v>
      </c>
      <c r="C1187" s="10" t="s">
        <v>1513</v>
      </c>
      <c r="D1187" s="388">
        <v>45017</v>
      </c>
      <c r="E1187" s="389">
        <v>45017</v>
      </c>
      <c r="F1187" s="390" t="str">
        <f t="shared" si="20"/>
        <v>Space heating &amp; cooling</v>
      </c>
      <c r="G1187" s="135">
        <v>8.7869372028316507E-3</v>
      </c>
      <c r="H1187" s="135">
        <v>8.51607902002521E-3</v>
      </c>
      <c r="I1187" s="135">
        <v>9.7324507019692294E-3</v>
      </c>
      <c r="J1187" s="135">
        <v>1.0210117766509E-2</v>
      </c>
      <c r="K1187" s="135">
        <v>1.2311891831069399E-2</v>
      </c>
      <c r="L1187" s="135">
        <v>2.0437711881693701E-2</v>
      </c>
      <c r="M1187" s="135">
        <v>3.7259471790165602E-2</v>
      </c>
      <c r="N1187" s="135">
        <v>4.81287472994507E-2</v>
      </c>
      <c r="O1187" s="135">
        <v>3.5407499175242302E-2</v>
      </c>
      <c r="P1187" s="135">
        <v>2.0528073654264602E-2</v>
      </c>
      <c r="Q1187" s="135">
        <v>1.4161754048229299E-2</v>
      </c>
      <c r="R1187" s="135">
        <v>1.7977795437861301E-2</v>
      </c>
      <c r="S1187" s="135">
        <v>2.0199474998432301E-2</v>
      </c>
      <c r="T1187" s="135">
        <v>2.1420776514346401E-2</v>
      </c>
      <c r="U1187" s="135">
        <v>2.3047899601285501E-2</v>
      </c>
      <c r="V1187" s="135">
        <v>2.01939171587644E-2</v>
      </c>
      <c r="W1187" s="135">
        <v>2.7168544383312201E-2</v>
      </c>
      <c r="X1187" s="135">
        <v>4.1922277228623302E-2</v>
      </c>
      <c r="Y1187" s="135">
        <v>4.42720525091755E-2</v>
      </c>
      <c r="Z1187" s="135">
        <v>4.6026164771830198E-2</v>
      </c>
      <c r="AA1187" s="135">
        <v>4.3777967317773302E-2</v>
      </c>
      <c r="AB1187" s="135">
        <v>3.4405093727997202E-2</v>
      </c>
      <c r="AC1187" s="135">
        <v>2.1326718263752101E-2</v>
      </c>
      <c r="AD1187" s="135">
        <v>1.42261215449142E-2</v>
      </c>
      <c r="AF1187" s="243">
        <f t="shared" si="21"/>
        <v>0.14417016214223141</v>
      </c>
      <c r="AG1187" s="275">
        <f t="shared" si="22"/>
        <v>0.2548381126590708</v>
      </c>
      <c r="AH1187" s="391">
        <f t="shared" si="23"/>
        <v>0.34660742517044768</v>
      </c>
      <c r="AI1187" s="135">
        <f t="shared" si="24"/>
        <v>0.60144553782951848</v>
      </c>
    </row>
    <row r="1188" spans="1:35" ht="12.6">
      <c r="A1188" s="10" t="s">
        <v>1516</v>
      </c>
      <c r="B1188" s="10">
        <v>92</v>
      </c>
      <c r="C1188" s="10" t="s">
        <v>1513</v>
      </c>
      <c r="D1188" s="388">
        <v>45018</v>
      </c>
      <c r="E1188" s="389">
        <v>45018</v>
      </c>
      <c r="F1188" s="390" t="str">
        <f t="shared" si="20"/>
        <v>Space heating &amp; cooling</v>
      </c>
      <c r="G1188" s="135">
        <v>8.7869372028316507E-3</v>
      </c>
      <c r="H1188" s="135">
        <v>8.51607902002521E-3</v>
      </c>
      <c r="I1188" s="135">
        <v>9.7324507019692294E-3</v>
      </c>
      <c r="J1188" s="135">
        <v>1.0210117766509E-2</v>
      </c>
      <c r="K1188" s="135">
        <v>1.2311891831069399E-2</v>
      </c>
      <c r="L1188" s="135">
        <v>2.0437711881693701E-2</v>
      </c>
      <c r="M1188" s="135">
        <v>3.7259471790165602E-2</v>
      </c>
      <c r="N1188" s="135">
        <v>4.81287472994507E-2</v>
      </c>
      <c r="O1188" s="135">
        <v>3.5407499175242302E-2</v>
      </c>
      <c r="P1188" s="135">
        <v>2.0528073654264602E-2</v>
      </c>
      <c r="Q1188" s="135">
        <v>1.4161754048229299E-2</v>
      </c>
      <c r="R1188" s="135">
        <v>1.7977795437861301E-2</v>
      </c>
      <c r="S1188" s="135">
        <v>2.0199474998432301E-2</v>
      </c>
      <c r="T1188" s="135">
        <v>2.1420776514346401E-2</v>
      </c>
      <c r="U1188" s="135">
        <v>2.3047899601285501E-2</v>
      </c>
      <c r="V1188" s="135">
        <v>2.01939171587644E-2</v>
      </c>
      <c r="W1188" s="135">
        <v>2.7168544383312201E-2</v>
      </c>
      <c r="X1188" s="135">
        <v>4.1922277228623302E-2</v>
      </c>
      <c r="Y1188" s="135">
        <v>4.42720525091755E-2</v>
      </c>
      <c r="Z1188" s="135">
        <v>4.6026164771830198E-2</v>
      </c>
      <c r="AA1188" s="135">
        <v>4.3777967317773302E-2</v>
      </c>
      <c r="AB1188" s="135">
        <v>3.4405093727997202E-2</v>
      </c>
      <c r="AC1188" s="135">
        <v>2.1326718263752101E-2</v>
      </c>
      <c r="AD1188" s="135">
        <v>1.42261215449142E-2</v>
      </c>
      <c r="AF1188" s="243">
        <f t="shared" si="21"/>
        <v>0.14417016214223141</v>
      </c>
      <c r="AG1188" s="275">
        <f t="shared" si="22"/>
        <v>0.2548381126590708</v>
      </c>
      <c r="AH1188" s="391">
        <f t="shared" si="23"/>
        <v>0.34660742517044768</v>
      </c>
      <c r="AI1188" s="135">
        <f t="shared" si="24"/>
        <v>0.60144553782951848</v>
      </c>
    </row>
    <row r="1189" spans="1:35" ht="12.6">
      <c r="A1189" s="10" t="s">
        <v>1516</v>
      </c>
      <c r="B1189" s="10">
        <v>93</v>
      </c>
      <c r="C1189" s="10" t="s">
        <v>1513</v>
      </c>
      <c r="D1189" s="388">
        <v>45019</v>
      </c>
      <c r="E1189" s="389">
        <v>45019</v>
      </c>
      <c r="F1189" s="390" t="str">
        <f t="shared" si="20"/>
        <v>Space heating &amp; cooling</v>
      </c>
      <c r="G1189" s="135">
        <v>1.02047408638502E-2</v>
      </c>
      <c r="H1189" s="135">
        <v>1.06091008009914E-2</v>
      </c>
      <c r="I1189" s="135">
        <v>1.0314901939932499E-2</v>
      </c>
      <c r="J1189" s="135">
        <v>1.14956345272469E-2</v>
      </c>
      <c r="K1189" s="135">
        <v>1.5418561530689099E-2</v>
      </c>
      <c r="L1189" s="135">
        <v>2.6984015042972799E-2</v>
      </c>
      <c r="M1189" s="135">
        <v>6.4210113976539501E-2</v>
      </c>
      <c r="N1189" s="135">
        <v>5.1201121055468202E-2</v>
      </c>
      <c r="O1189" s="135">
        <v>1.7758816933901699E-2</v>
      </c>
      <c r="P1189" s="135">
        <v>7.8302602586143594E-3</v>
      </c>
      <c r="Q1189" s="135">
        <v>6.0948801867032202E-3</v>
      </c>
      <c r="R1189" s="135">
        <v>6.3611866896000199E-3</v>
      </c>
      <c r="S1189" s="135">
        <v>6.9639909338950097E-3</v>
      </c>
      <c r="T1189" s="135">
        <v>9.6080372699486796E-3</v>
      </c>
      <c r="U1189" s="135">
        <v>1.2860713429087799E-2</v>
      </c>
      <c r="V1189" s="135">
        <v>1.94974816098724E-2</v>
      </c>
      <c r="W1189" s="135">
        <v>2.6716767087070398E-2</v>
      </c>
      <c r="X1189" s="135">
        <v>4.6988741684763101E-2</v>
      </c>
      <c r="Y1189" s="135">
        <v>5.46292844388876E-2</v>
      </c>
      <c r="Z1189" s="135">
        <v>5.7393753737374403E-2</v>
      </c>
      <c r="AA1189" s="135">
        <v>5.3047301334796002E-2</v>
      </c>
      <c r="AB1189" s="135">
        <v>3.6988199671513199E-2</v>
      </c>
      <c r="AC1189" s="135">
        <v>1.8832840555165702E-2</v>
      </c>
      <c r="AD1189" s="135">
        <v>1.30629859432664E-2</v>
      </c>
      <c r="AF1189" s="243">
        <f t="shared" si="21"/>
        <v>8.8103057206177518E-2</v>
      </c>
      <c r="AG1189" s="275">
        <f t="shared" si="22"/>
        <v>0.25677988551052866</v>
      </c>
      <c r="AH1189" s="391">
        <f t="shared" si="23"/>
        <v>0.33829354599162176</v>
      </c>
      <c r="AI1189" s="135">
        <f t="shared" si="24"/>
        <v>0.59507343150215042</v>
      </c>
    </row>
    <row r="1190" spans="1:35" ht="12.6">
      <c r="A1190" s="10" t="s">
        <v>1516</v>
      </c>
      <c r="B1190" s="10">
        <v>94</v>
      </c>
      <c r="C1190" s="10" t="s">
        <v>1513</v>
      </c>
      <c r="D1190" s="388">
        <v>45020</v>
      </c>
      <c r="E1190" s="389">
        <v>45020</v>
      </c>
      <c r="F1190" s="390" t="str">
        <f t="shared" si="20"/>
        <v>Space heating &amp; cooling</v>
      </c>
      <c r="G1190" s="135">
        <v>1.02047408638502E-2</v>
      </c>
      <c r="H1190" s="135">
        <v>1.06091008009914E-2</v>
      </c>
      <c r="I1190" s="135">
        <v>1.0314901939932499E-2</v>
      </c>
      <c r="J1190" s="135">
        <v>1.14956345272469E-2</v>
      </c>
      <c r="K1190" s="135">
        <v>1.5418561530689099E-2</v>
      </c>
      <c r="L1190" s="135">
        <v>2.6984015042972799E-2</v>
      </c>
      <c r="M1190" s="135">
        <v>6.4210113976539501E-2</v>
      </c>
      <c r="N1190" s="135">
        <v>5.1201121055468202E-2</v>
      </c>
      <c r="O1190" s="135">
        <v>1.7758816933901699E-2</v>
      </c>
      <c r="P1190" s="135">
        <v>7.8302602586143594E-3</v>
      </c>
      <c r="Q1190" s="135">
        <v>6.0948801867032202E-3</v>
      </c>
      <c r="R1190" s="135">
        <v>6.3611866896000199E-3</v>
      </c>
      <c r="S1190" s="135">
        <v>6.9639909338950097E-3</v>
      </c>
      <c r="T1190" s="135">
        <v>9.6080372699486796E-3</v>
      </c>
      <c r="U1190" s="135">
        <v>1.2860713429087799E-2</v>
      </c>
      <c r="V1190" s="135">
        <v>1.94974816098724E-2</v>
      </c>
      <c r="W1190" s="135">
        <v>2.6716767087070398E-2</v>
      </c>
      <c r="X1190" s="135">
        <v>4.6988741684763101E-2</v>
      </c>
      <c r="Y1190" s="135">
        <v>5.46292844388876E-2</v>
      </c>
      <c r="Z1190" s="135">
        <v>5.7393753737374403E-2</v>
      </c>
      <c r="AA1190" s="135">
        <v>5.3047301334796002E-2</v>
      </c>
      <c r="AB1190" s="135">
        <v>3.6988199671513199E-2</v>
      </c>
      <c r="AC1190" s="135">
        <v>1.8832840555165702E-2</v>
      </c>
      <c r="AD1190" s="135">
        <v>1.30629859432664E-2</v>
      </c>
      <c r="AF1190" s="243">
        <f t="shared" si="21"/>
        <v>8.8103057206177518E-2</v>
      </c>
      <c r="AG1190" s="275">
        <f t="shared" si="22"/>
        <v>0.25677988551052866</v>
      </c>
      <c r="AH1190" s="391">
        <f t="shared" si="23"/>
        <v>0.33829354599162176</v>
      </c>
      <c r="AI1190" s="135">
        <f t="shared" si="24"/>
        <v>0.59507343150215042</v>
      </c>
    </row>
    <row r="1191" spans="1:35" ht="12.6">
      <c r="A1191" s="10" t="s">
        <v>1516</v>
      </c>
      <c r="B1191" s="10">
        <v>95</v>
      </c>
      <c r="C1191" s="10" t="s">
        <v>1513</v>
      </c>
      <c r="D1191" s="388">
        <v>45021</v>
      </c>
      <c r="E1191" s="389">
        <v>45021</v>
      </c>
      <c r="F1191" s="390" t="str">
        <f t="shared" si="20"/>
        <v>Space heating &amp; cooling</v>
      </c>
      <c r="G1191" s="135">
        <v>1.02047408638502E-2</v>
      </c>
      <c r="H1191" s="135">
        <v>1.06091008009914E-2</v>
      </c>
      <c r="I1191" s="135">
        <v>1.0314901939932499E-2</v>
      </c>
      <c r="J1191" s="135">
        <v>1.14956345272469E-2</v>
      </c>
      <c r="K1191" s="135">
        <v>1.5418561530689099E-2</v>
      </c>
      <c r="L1191" s="135">
        <v>2.6984015042972799E-2</v>
      </c>
      <c r="M1191" s="135">
        <v>6.4210113976539501E-2</v>
      </c>
      <c r="N1191" s="135">
        <v>5.1201121055468202E-2</v>
      </c>
      <c r="O1191" s="135">
        <v>1.7758816933901699E-2</v>
      </c>
      <c r="P1191" s="135">
        <v>7.8302602586143594E-3</v>
      </c>
      <c r="Q1191" s="135">
        <v>6.0948801867032202E-3</v>
      </c>
      <c r="R1191" s="135">
        <v>6.3611866896000199E-3</v>
      </c>
      <c r="S1191" s="135">
        <v>6.9639909338950097E-3</v>
      </c>
      <c r="T1191" s="135">
        <v>9.6080372699486796E-3</v>
      </c>
      <c r="U1191" s="135">
        <v>1.2860713429087799E-2</v>
      </c>
      <c r="V1191" s="135">
        <v>1.94974816098724E-2</v>
      </c>
      <c r="W1191" s="135">
        <v>2.6716767087070398E-2</v>
      </c>
      <c r="X1191" s="135">
        <v>4.6988741684763101E-2</v>
      </c>
      <c r="Y1191" s="135">
        <v>5.46292844388876E-2</v>
      </c>
      <c r="Z1191" s="135">
        <v>5.7393753737374403E-2</v>
      </c>
      <c r="AA1191" s="135">
        <v>5.3047301334796002E-2</v>
      </c>
      <c r="AB1191" s="135">
        <v>3.6988199671513199E-2</v>
      </c>
      <c r="AC1191" s="135">
        <v>1.8832840555165702E-2</v>
      </c>
      <c r="AD1191" s="135">
        <v>1.30629859432664E-2</v>
      </c>
      <c r="AF1191" s="243">
        <f t="shared" si="21"/>
        <v>8.8103057206177518E-2</v>
      </c>
      <c r="AG1191" s="275">
        <f t="shared" si="22"/>
        <v>0.25677988551052866</v>
      </c>
      <c r="AH1191" s="391">
        <f t="shared" si="23"/>
        <v>0.33829354599162176</v>
      </c>
      <c r="AI1191" s="135">
        <f t="shared" si="24"/>
        <v>0.59507343150215042</v>
      </c>
    </row>
    <row r="1192" spans="1:35" ht="12.6">
      <c r="A1192" s="10" t="s">
        <v>1516</v>
      </c>
      <c r="B1192" s="10">
        <v>96</v>
      </c>
      <c r="C1192" s="10" t="s">
        <v>1513</v>
      </c>
      <c r="D1192" s="388">
        <v>45022</v>
      </c>
      <c r="E1192" s="389">
        <v>45022</v>
      </c>
      <c r="F1192" s="390" t="str">
        <f t="shared" si="20"/>
        <v>Space heating &amp; cooling</v>
      </c>
      <c r="G1192" s="135">
        <v>1.02047408638502E-2</v>
      </c>
      <c r="H1192" s="135">
        <v>1.06091008009914E-2</v>
      </c>
      <c r="I1192" s="135">
        <v>1.0314901939932499E-2</v>
      </c>
      <c r="J1192" s="135">
        <v>1.14956345272469E-2</v>
      </c>
      <c r="K1192" s="135">
        <v>1.5418561530689099E-2</v>
      </c>
      <c r="L1192" s="135">
        <v>2.6984015042972799E-2</v>
      </c>
      <c r="M1192" s="135">
        <v>6.4210113976539501E-2</v>
      </c>
      <c r="N1192" s="135">
        <v>5.1201121055468202E-2</v>
      </c>
      <c r="O1192" s="135">
        <v>1.7758816933901699E-2</v>
      </c>
      <c r="P1192" s="135">
        <v>7.8302602586143594E-3</v>
      </c>
      <c r="Q1192" s="135">
        <v>6.0948801867032202E-3</v>
      </c>
      <c r="R1192" s="135">
        <v>6.3611866896000199E-3</v>
      </c>
      <c r="S1192" s="135">
        <v>6.9639909338950097E-3</v>
      </c>
      <c r="T1192" s="135">
        <v>9.6080372699486796E-3</v>
      </c>
      <c r="U1192" s="135">
        <v>1.2860713429087799E-2</v>
      </c>
      <c r="V1192" s="135">
        <v>1.94974816098724E-2</v>
      </c>
      <c r="W1192" s="135">
        <v>2.6716767087070398E-2</v>
      </c>
      <c r="X1192" s="135">
        <v>4.6988741684763101E-2</v>
      </c>
      <c r="Y1192" s="135">
        <v>5.46292844388876E-2</v>
      </c>
      <c r="Z1192" s="135">
        <v>5.7393753737374403E-2</v>
      </c>
      <c r="AA1192" s="135">
        <v>5.3047301334796002E-2</v>
      </c>
      <c r="AB1192" s="135">
        <v>3.6988199671513199E-2</v>
      </c>
      <c r="AC1192" s="135">
        <v>1.8832840555165702E-2</v>
      </c>
      <c r="AD1192" s="135">
        <v>1.30629859432664E-2</v>
      </c>
      <c r="AF1192" s="243">
        <f t="shared" si="21"/>
        <v>8.8103057206177518E-2</v>
      </c>
      <c r="AG1192" s="275">
        <f t="shared" si="22"/>
        <v>0.25677988551052866</v>
      </c>
      <c r="AH1192" s="391">
        <f t="shared" si="23"/>
        <v>0.33829354599162176</v>
      </c>
      <c r="AI1192" s="135">
        <f t="shared" si="24"/>
        <v>0.59507343150215042</v>
      </c>
    </row>
    <row r="1193" spans="1:35" ht="12.6">
      <c r="A1193" s="10" t="s">
        <v>1516</v>
      </c>
      <c r="B1193" s="10">
        <v>97</v>
      </c>
      <c r="C1193" s="10" t="s">
        <v>1513</v>
      </c>
      <c r="D1193" s="388">
        <v>45023</v>
      </c>
      <c r="E1193" s="389">
        <v>45023</v>
      </c>
      <c r="F1193" s="390" t="str">
        <f t="shared" si="20"/>
        <v>Space heating &amp; cooling</v>
      </c>
      <c r="G1193" s="135">
        <v>1.02047408638502E-2</v>
      </c>
      <c r="H1193" s="135">
        <v>1.06091008009914E-2</v>
      </c>
      <c r="I1193" s="135">
        <v>1.0314901939932499E-2</v>
      </c>
      <c r="J1193" s="135">
        <v>1.14956345272469E-2</v>
      </c>
      <c r="K1193" s="135">
        <v>1.5418561530689099E-2</v>
      </c>
      <c r="L1193" s="135">
        <v>2.6984015042972799E-2</v>
      </c>
      <c r="M1193" s="135">
        <v>6.4210113976539501E-2</v>
      </c>
      <c r="N1193" s="135">
        <v>5.1201121055468202E-2</v>
      </c>
      <c r="O1193" s="135">
        <v>1.7758816933901699E-2</v>
      </c>
      <c r="P1193" s="135">
        <v>7.8302602586143594E-3</v>
      </c>
      <c r="Q1193" s="135">
        <v>6.0948801867032202E-3</v>
      </c>
      <c r="R1193" s="135">
        <v>6.3611866896000199E-3</v>
      </c>
      <c r="S1193" s="135">
        <v>6.9639909338950097E-3</v>
      </c>
      <c r="T1193" s="135">
        <v>9.6080372699486796E-3</v>
      </c>
      <c r="U1193" s="135">
        <v>1.2860713429087799E-2</v>
      </c>
      <c r="V1193" s="135">
        <v>1.94974816098724E-2</v>
      </c>
      <c r="W1193" s="135">
        <v>2.6716767087070398E-2</v>
      </c>
      <c r="X1193" s="135">
        <v>4.6988741684763101E-2</v>
      </c>
      <c r="Y1193" s="135">
        <v>5.46292844388876E-2</v>
      </c>
      <c r="Z1193" s="135">
        <v>5.7393753737374403E-2</v>
      </c>
      <c r="AA1193" s="135">
        <v>5.3047301334796002E-2</v>
      </c>
      <c r="AB1193" s="135">
        <v>3.6988199671513199E-2</v>
      </c>
      <c r="AC1193" s="135">
        <v>1.8832840555165702E-2</v>
      </c>
      <c r="AD1193" s="135">
        <v>1.30629859432664E-2</v>
      </c>
      <c r="AF1193" s="243">
        <f t="shared" si="21"/>
        <v>8.8103057206177518E-2</v>
      </c>
      <c r="AG1193" s="275">
        <f t="shared" si="22"/>
        <v>0.25677988551052866</v>
      </c>
      <c r="AH1193" s="391">
        <f t="shared" si="23"/>
        <v>0.33829354599162176</v>
      </c>
      <c r="AI1193" s="135">
        <f t="shared" si="24"/>
        <v>0.59507343150215042</v>
      </c>
    </row>
    <row r="1194" spans="1:35" ht="12.6">
      <c r="A1194" s="10" t="s">
        <v>1516</v>
      </c>
      <c r="B1194" s="10">
        <v>98</v>
      </c>
      <c r="C1194" s="10" t="s">
        <v>1513</v>
      </c>
      <c r="D1194" s="388">
        <v>45024</v>
      </c>
      <c r="E1194" s="389">
        <v>45024</v>
      </c>
      <c r="F1194" s="390" t="str">
        <f t="shared" si="20"/>
        <v>Space heating &amp; cooling</v>
      </c>
      <c r="G1194" s="135">
        <v>8.7869372028316507E-3</v>
      </c>
      <c r="H1194" s="135">
        <v>8.51607902002521E-3</v>
      </c>
      <c r="I1194" s="135">
        <v>9.7324507019692294E-3</v>
      </c>
      <c r="J1194" s="135">
        <v>1.0210117766509E-2</v>
      </c>
      <c r="K1194" s="135">
        <v>1.2311891831069399E-2</v>
      </c>
      <c r="L1194" s="135">
        <v>2.0437711881693701E-2</v>
      </c>
      <c r="M1194" s="135">
        <v>3.7259471790165602E-2</v>
      </c>
      <c r="N1194" s="135">
        <v>4.81287472994507E-2</v>
      </c>
      <c r="O1194" s="135">
        <v>3.5407499175242302E-2</v>
      </c>
      <c r="P1194" s="135">
        <v>2.0528073654264602E-2</v>
      </c>
      <c r="Q1194" s="135">
        <v>1.4161754048229299E-2</v>
      </c>
      <c r="R1194" s="135">
        <v>1.7977795437861301E-2</v>
      </c>
      <c r="S1194" s="135">
        <v>2.0199474998432301E-2</v>
      </c>
      <c r="T1194" s="135">
        <v>2.1420776514346401E-2</v>
      </c>
      <c r="U1194" s="135">
        <v>2.3047899601285501E-2</v>
      </c>
      <c r="V1194" s="135">
        <v>2.01939171587644E-2</v>
      </c>
      <c r="W1194" s="135">
        <v>2.7168544383312201E-2</v>
      </c>
      <c r="X1194" s="135">
        <v>4.1922277228623302E-2</v>
      </c>
      <c r="Y1194" s="135">
        <v>4.42720525091755E-2</v>
      </c>
      <c r="Z1194" s="135">
        <v>4.6026164771830198E-2</v>
      </c>
      <c r="AA1194" s="135">
        <v>4.3777967317773302E-2</v>
      </c>
      <c r="AB1194" s="135">
        <v>3.4405093727997202E-2</v>
      </c>
      <c r="AC1194" s="135">
        <v>2.1326718263752101E-2</v>
      </c>
      <c r="AD1194" s="135">
        <v>1.42261215449142E-2</v>
      </c>
      <c r="AF1194" s="243">
        <f t="shared" si="21"/>
        <v>0.14417016214223141</v>
      </c>
      <c r="AG1194" s="275">
        <f t="shared" si="22"/>
        <v>0.2548381126590708</v>
      </c>
      <c r="AH1194" s="391">
        <f t="shared" si="23"/>
        <v>0.34660742517044768</v>
      </c>
      <c r="AI1194" s="135">
        <f t="shared" si="24"/>
        <v>0.60144553782951848</v>
      </c>
    </row>
    <row r="1195" spans="1:35" ht="12.6">
      <c r="A1195" s="10" t="s">
        <v>1516</v>
      </c>
      <c r="B1195" s="10">
        <v>99</v>
      </c>
      <c r="C1195" s="10" t="s">
        <v>1513</v>
      </c>
      <c r="D1195" s="388">
        <v>45025</v>
      </c>
      <c r="E1195" s="389">
        <v>45025</v>
      </c>
      <c r="F1195" s="390" t="str">
        <f t="shared" si="20"/>
        <v>Space heating &amp; cooling</v>
      </c>
      <c r="G1195" s="135">
        <v>8.7869372028316507E-3</v>
      </c>
      <c r="H1195" s="135">
        <v>8.51607902002521E-3</v>
      </c>
      <c r="I1195" s="135">
        <v>9.7324507019692294E-3</v>
      </c>
      <c r="J1195" s="135">
        <v>1.0210117766509E-2</v>
      </c>
      <c r="K1195" s="135">
        <v>1.2311891831069399E-2</v>
      </c>
      <c r="L1195" s="135">
        <v>2.0437711881693701E-2</v>
      </c>
      <c r="M1195" s="135">
        <v>3.7259471790165602E-2</v>
      </c>
      <c r="N1195" s="135">
        <v>4.81287472994507E-2</v>
      </c>
      <c r="O1195" s="135">
        <v>3.5407499175242302E-2</v>
      </c>
      <c r="P1195" s="135">
        <v>2.0528073654264602E-2</v>
      </c>
      <c r="Q1195" s="135">
        <v>1.4161754048229299E-2</v>
      </c>
      <c r="R1195" s="135">
        <v>1.7977795437861301E-2</v>
      </c>
      <c r="S1195" s="135">
        <v>2.0199474998432301E-2</v>
      </c>
      <c r="T1195" s="135">
        <v>2.1420776514346401E-2</v>
      </c>
      <c r="U1195" s="135">
        <v>2.3047899601285501E-2</v>
      </c>
      <c r="V1195" s="135">
        <v>2.01939171587644E-2</v>
      </c>
      <c r="W1195" s="135">
        <v>2.7168544383312201E-2</v>
      </c>
      <c r="X1195" s="135">
        <v>4.1922277228623302E-2</v>
      </c>
      <c r="Y1195" s="135">
        <v>4.42720525091755E-2</v>
      </c>
      <c r="Z1195" s="135">
        <v>4.6026164771830198E-2</v>
      </c>
      <c r="AA1195" s="135">
        <v>4.3777967317773302E-2</v>
      </c>
      <c r="AB1195" s="135">
        <v>3.4405093727997202E-2</v>
      </c>
      <c r="AC1195" s="135">
        <v>2.1326718263752101E-2</v>
      </c>
      <c r="AD1195" s="135">
        <v>1.42261215449142E-2</v>
      </c>
      <c r="AF1195" s="243">
        <f t="shared" si="21"/>
        <v>0.14417016214223141</v>
      </c>
      <c r="AG1195" s="275">
        <f t="shared" si="22"/>
        <v>0.2548381126590708</v>
      </c>
      <c r="AH1195" s="391">
        <f t="shared" si="23"/>
        <v>0.34660742517044768</v>
      </c>
      <c r="AI1195" s="135">
        <f t="shared" si="24"/>
        <v>0.60144553782951848</v>
      </c>
    </row>
    <row r="1196" spans="1:35" ht="12.6">
      <c r="A1196" s="10" t="s">
        <v>1516</v>
      </c>
      <c r="B1196" s="10">
        <v>100</v>
      </c>
      <c r="C1196" s="10" t="s">
        <v>1513</v>
      </c>
      <c r="D1196" s="388">
        <v>45026</v>
      </c>
      <c r="E1196" s="389">
        <v>45026</v>
      </c>
      <c r="F1196" s="390" t="str">
        <f t="shared" si="20"/>
        <v>Space heating &amp; cooling</v>
      </c>
      <c r="G1196" s="135">
        <v>1.02047408638502E-2</v>
      </c>
      <c r="H1196" s="135">
        <v>1.06091008009914E-2</v>
      </c>
      <c r="I1196" s="135">
        <v>1.0314901939932499E-2</v>
      </c>
      <c r="J1196" s="135">
        <v>1.14956345272469E-2</v>
      </c>
      <c r="K1196" s="135">
        <v>1.5418561530689099E-2</v>
      </c>
      <c r="L1196" s="135">
        <v>2.6984015042972799E-2</v>
      </c>
      <c r="M1196" s="135">
        <v>6.4210113976539501E-2</v>
      </c>
      <c r="N1196" s="135">
        <v>5.1201121055468202E-2</v>
      </c>
      <c r="O1196" s="135">
        <v>1.7758816933901699E-2</v>
      </c>
      <c r="P1196" s="135">
        <v>7.8302602586143594E-3</v>
      </c>
      <c r="Q1196" s="135">
        <v>6.0948801867032202E-3</v>
      </c>
      <c r="R1196" s="135">
        <v>6.3611866896000199E-3</v>
      </c>
      <c r="S1196" s="135">
        <v>6.9639909338950097E-3</v>
      </c>
      <c r="T1196" s="135">
        <v>9.6080372699486796E-3</v>
      </c>
      <c r="U1196" s="135">
        <v>1.2860713429087799E-2</v>
      </c>
      <c r="V1196" s="135">
        <v>1.94974816098724E-2</v>
      </c>
      <c r="W1196" s="135">
        <v>2.6716767087070398E-2</v>
      </c>
      <c r="X1196" s="135">
        <v>4.6988741684763101E-2</v>
      </c>
      <c r="Y1196" s="135">
        <v>5.46292844388876E-2</v>
      </c>
      <c r="Z1196" s="135">
        <v>5.7393753737374403E-2</v>
      </c>
      <c r="AA1196" s="135">
        <v>5.3047301334796002E-2</v>
      </c>
      <c r="AB1196" s="135">
        <v>3.6988199671513199E-2</v>
      </c>
      <c r="AC1196" s="135">
        <v>1.8832840555165702E-2</v>
      </c>
      <c r="AD1196" s="135">
        <v>1.30629859432664E-2</v>
      </c>
      <c r="AF1196" s="243">
        <f t="shared" si="21"/>
        <v>8.8103057206177518E-2</v>
      </c>
      <c r="AG1196" s="275">
        <f t="shared" si="22"/>
        <v>0.25677988551052866</v>
      </c>
      <c r="AH1196" s="391">
        <f t="shared" si="23"/>
        <v>0.33829354599162176</v>
      </c>
      <c r="AI1196" s="135">
        <f t="shared" si="24"/>
        <v>0.59507343150215042</v>
      </c>
    </row>
    <row r="1197" spans="1:35" ht="12.6">
      <c r="A1197" s="10" t="s">
        <v>1516</v>
      </c>
      <c r="B1197" s="10">
        <v>101</v>
      </c>
      <c r="C1197" s="10" t="s">
        <v>1513</v>
      </c>
      <c r="D1197" s="388">
        <v>45027</v>
      </c>
      <c r="E1197" s="389">
        <v>45027</v>
      </c>
      <c r="F1197" s="390" t="str">
        <f t="shared" si="20"/>
        <v>Space heating &amp; cooling</v>
      </c>
      <c r="G1197" s="135">
        <v>1.02047408638502E-2</v>
      </c>
      <c r="H1197" s="135">
        <v>1.06091008009914E-2</v>
      </c>
      <c r="I1197" s="135">
        <v>1.0314901939932499E-2</v>
      </c>
      <c r="J1197" s="135">
        <v>1.14956345272469E-2</v>
      </c>
      <c r="K1197" s="135">
        <v>1.5418561530689099E-2</v>
      </c>
      <c r="L1197" s="135">
        <v>2.6984015042972799E-2</v>
      </c>
      <c r="M1197" s="135">
        <v>6.4210113976539501E-2</v>
      </c>
      <c r="N1197" s="135">
        <v>5.1201121055468202E-2</v>
      </c>
      <c r="O1197" s="135">
        <v>1.7758816933901699E-2</v>
      </c>
      <c r="P1197" s="135">
        <v>7.8302602586143594E-3</v>
      </c>
      <c r="Q1197" s="135">
        <v>6.0948801867032202E-3</v>
      </c>
      <c r="R1197" s="135">
        <v>6.3611866896000199E-3</v>
      </c>
      <c r="S1197" s="135">
        <v>6.9639909338950097E-3</v>
      </c>
      <c r="T1197" s="135">
        <v>9.6080372699486796E-3</v>
      </c>
      <c r="U1197" s="135">
        <v>1.2860713429087799E-2</v>
      </c>
      <c r="V1197" s="135">
        <v>1.94974816098724E-2</v>
      </c>
      <c r="W1197" s="135">
        <v>2.6716767087070398E-2</v>
      </c>
      <c r="X1197" s="135">
        <v>4.6988741684763101E-2</v>
      </c>
      <c r="Y1197" s="135">
        <v>5.46292844388876E-2</v>
      </c>
      <c r="Z1197" s="135">
        <v>5.7393753737374403E-2</v>
      </c>
      <c r="AA1197" s="135">
        <v>5.3047301334796002E-2</v>
      </c>
      <c r="AB1197" s="135">
        <v>3.6988199671513199E-2</v>
      </c>
      <c r="AC1197" s="135">
        <v>1.8832840555165702E-2</v>
      </c>
      <c r="AD1197" s="135">
        <v>1.30629859432664E-2</v>
      </c>
      <c r="AF1197" s="243">
        <f t="shared" si="21"/>
        <v>8.8103057206177518E-2</v>
      </c>
      <c r="AG1197" s="275">
        <f t="shared" si="22"/>
        <v>0.25677988551052866</v>
      </c>
      <c r="AH1197" s="391">
        <f t="shared" si="23"/>
        <v>0.33829354599162176</v>
      </c>
      <c r="AI1197" s="135">
        <f t="shared" si="24"/>
        <v>0.59507343150215042</v>
      </c>
    </row>
    <row r="1198" spans="1:35" ht="12.6">
      <c r="A1198" s="10" t="s">
        <v>1516</v>
      </c>
      <c r="B1198" s="10">
        <v>102</v>
      </c>
      <c r="C1198" s="10" t="s">
        <v>1513</v>
      </c>
      <c r="D1198" s="388">
        <v>45028</v>
      </c>
      <c r="E1198" s="389">
        <v>45028</v>
      </c>
      <c r="F1198" s="390" t="str">
        <f t="shared" si="20"/>
        <v>Space heating &amp; cooling</v>
      </c>
      <c r="G1198" s="135">
        <v>1.02047408638502E-2</v>
      </c>
      <c r="H1198" s="135">
        <v>1.06091008009914E-2</v>
      </c>
      <c r="I1198" s="135">
        <v>1.0314901939932499E-2</v>
      </c>
      <c r="J1198" s="135">
        <v>1.14956345272469E-2</v>
      </c>
      <c r="K1198" s="135">
        <v>1.5418561530689099E-2</v>
      </c>
      <c r="L1198" s="135">
        <v>2.6984015042972799E-2</v>
      </c>
      <c r="M1198" s="135">
        <v>6.4210113976539501E-2</v>
      </c>
      <c r="N1198" s="135">
        <v>5.1201121055468202E-2</v>
      </c>
      <c r="O1198" s="135">
        <v>1.7758816933901699E-2</v>
      </c>
      <c r="P1198" s="135">
        <v>7.8302602586143594E-3</v>
      </c>
      <c r="Q1198" s="135">
        <v>6.0948801867032202E-3</v>
      </c>
      <c r="R1198" s="135">
        <v>6.3611866896000199E-3</v>
      </c>
      <c r="S1198" s="135">
        <v>6.9639909338950097E-3</v>
      </c>
      <c r="T1198" s="135">
        <v>9.6080372699486796E-3</v>
      </c>
      <c r="U1198" s="135">
        <v>1.2860713429087799E-2</v>
      </c>
      <c r="V1198" s="135">
        <v>1.94974816098724E-2</v>
      </c>
      <c r="W1198" s="135">
        <v>2.6716767087070398E-2</v>
      </c>
      <c r="X1198" s="135">
        <v>4.6988741684763101E-2</v>
      </c>
      <c r="Y1198" s="135">
        <v>5.46292844388876E-2</v>
      </c>
      <c r="Z1198" s="135">
        <v>5.7393753737374403E-2</v>
      </c>
      <c r="AA1198" s="135">
        <v>5.3047301334796002E-2</v>
      </c>
      <c r="AB1198" s="135">
        <v>3.6988199671513199E-2</v>
      </c>
      <c r="AC1198" s="135">
        <v>1.8832840555165702E-2</v>
      </c>
      <c r="AD1198" s="135">
        <v>1.30629859432664E-2</v>
      </c>
      <c r="AF1198" s="243">
        <f t="shared" si="21"/>
        <v>8.8103057206177518E-2</v>
      </c>
      <c r="AG1198" s="275">
        <f t="shared" si="22"/>
        <v>0.25677988551052866</v>
      </c>
      <c r="AH1198" s="391">
        <f t="shared" si="23"/>
        <v>0.33829354599162176</v>
      </c>
      <c r="AI1198" s="135">
        <f t="shared" si="24"/>
        <v>0.59507343150215042</v>
      </c>
    </row>
    <row r="1199" spans="1:35" ht="12.6">
      <c r="A1199" s="10" t="s">
        <v>1516</v>
      </c>
      <c r="B1199" s="10">
        <v>103</v>
      </c>
      <c r="C1199" s="10" t="s">
        <v>1513</v>
      </c>
      <c r="D1199" s="388">
        <v>45029</v>
      </c>
      <c r="E1199" s="389">
        <v>45029</v>
      </c>
      <c r="F1199" s="390" t="str">
        <f t="shared" si="20"/>
        <v>Space heating &amp; cooling</v>
      </c>
      <c r="G1199" s="135">
        <v>1.02047408638502E-2</v>
      </c>
      <c r="H1199" s="135">
        <v>1.06091008009914E-2</v>
      </c>
      <c r="I1199" s="135">
        <v>1.0314901939932499E-2</v>
      </c>
      <c r="J1199" s="135">
        <v>1.14956345272469E-2</v>
      </c>
      <c r="K1199" s="135">
        <v>1.5418561530689099E-2</v>
      </c>
      <c r="L1199" s="135">
        <v>2.6984015042972799E-2</v>
      </c>
      <c r="M1199" s="135">
        <v>6.4210113976539501E-2</v>
      </c>
      <c r="N1199" s="135">
        <v>5.1201121055468202E-2</v>
      </c>
      <c r="O1199" s="135">
        <v>1.7758816933901699E-2</v>
      </c>
      <c r="P1199" s="135">
        <v>7.8302602586143594E-3</v>
      </c>
      <c r="Q1199" s="135">
        <v>6.0948801867032202E-3</v>
      </c>
      <c r="R1199" s="135">
        <v>6.3611866896000199E-3</v>
      </c>
      <c r="S1199" s="135">
        <v>6.9639909338950097E-3</v>
      </c>
      <c r="T1199" s="135">
        <v>9.6080372699486796E-3</v>
      </c>
      <c r="U1199" s="135">
        <v>1.2860713429087799E-2</v>
      </c>
      <c r="V1199" s="135">
        <v>1.94974816098724E-2</v>
      </c>
      <c r="W1199" s="135">
        <v>2.6716767087070398E-2</v>
      </c>
      <c r="X1199" s="135">
        <v>4.6988741684763101E-2</v>
      </c>
      <c r="Y1199" s="135">
        <v>5.46292844388876E-2</v>
      </c>
      <c r="Z1199" s="135">
        <v>5.7393753737374403E-2</v>
      </c>
      <c r="AA1199" s="135">
        <v>5.3047301334796002E-2</v>
      </c>
      <c r="AB1199" s="135">
        <v>3.6988199671513199E-2</v>
      </c>
      <c r="AC1199" s="135">
        <v>1.8832840555165702E-2</v>
      </c>
      <c r="AD1199" s="135">
        <v>1.30629859432664E-2</v>
      </c>
      <c r="AF1199" s="243">
        <f t="shared" si="21"/>
        <v>8.8103057206177518E-2</v>
      </c>
      <c r="AG1199" s="275">
        <f t="shared" si="22"/>
        <v>0.25677988551052866</v>
      </c>
      <c r="AH1199" s="391">
        <f t="shared" si="23"/>
        <v>0.33829354599162176</v>
      </c>
      <c r="AI1199" s="135">
        <f t="shared" si="24"/>
        <v>0.59507343150215042</v>
      </c>
    </row>
    <row r="1200" spans="1:35" ht="12.6">
      <c r="A1200" s="10" t="s">
        <v>1516</v>
      </c>
      <c r="B1200" s="10">
        <v>104</v>
      </c>
      <c r="C1200" s="10" t="s">
        <v>1513</v>
      </c>
      <c r="D1200" s="388">
        <v>45030</v>
      </c>
      <c r="E1200" s="389">
        <v>45030</v>
      </c>
      <c r="F1200" s="390" t="str">
        <f t="shared" si="20"/>
        <v>Space heating &amp; cooling</v>
      </c>
      <c r="G1200" s="135">
        <v>1.02047408638502E-2</v>
      </c>
      <c r="H1200" s="135">
        <v>1.06091008009914E-2</v>
      </c>
      <c r="I1200" s="135">
        <v>1.0314901939932499E-2</v>
      </c>
      <c r="J1200" s="135">
        <v>1.14956345272469E-2</v>
      </c>
      <c r="K1200" s="135">
        <v>1.5418561530689099E-2</v>
      </c>
      <c r="L1200" s="135">
        <v>2.6984015042972799E-2</v>
      </c>
      <c r="M1200" s="135">
        <v>6.4210113976539501E-2</v>
      </c>
      <c r="N1200" s="135">
        <v>5.1201121055468202E-2</v>
      </c>
      <c r="O1200" s="135">
        <v>1.7758816933901699E-2</v>
      </c>
      <c r="P1200" s="135">
        <v>7.8302602586143594E-3</v>
      </c>
      <c r="Q1200" s="135">
        <v>6.0948801867032202E-3</v>
      </c>
      <c r="R1200" s="135">
        <v>6.3611866896000199E-3</v>
      </c>
      <c r="S1200" s="135">
        <v>6.9639909338950097E-3</v>
      </c>
      <c r="T1200" s="135">
        <v>9.6080372699486796E-3</v>
      </c>
      <c r="U1200" s="135">
        <v>1.2860713429087799E-2</v>
      </c>
      <c r="V1200" s="135">
        <v>1.94974816098724E-2</v>
      </c>
      <c r="W1200" s="135">
        <v>2.6716767087070398E-2</v>
      </c>
      <c r="X1200" s="135">
        <v>4.6988741684763101E-2</v>
      </c>
      <c r="Y1200" s="135">
        <v>5.46292844388876E-2</v>
      </c>
      <c r="Z1200" s="135">
        <v>5.7393753737374403E-2</v>
      </c>
      <c r="AA1200" s="135">
        <v>5.3047301334796002E-2</v>
      </c>
      <c r="AB1200" s="135">
        <v>3.6988199671513199E-2</v>
      </c>
      <c r="AC1200" s="135">
        <v>1.8832840555165702E-2</v>
      </c>
      <c r="AD1200" s="135">
        <v>1.30629859432664E-2</v>
      </c>
      <c r="AF1200" s="243">
        <f t="shared" si="21"/>
        <v>8.8103057206177518E-2</v>
      </c>
      <c r="AG1200" s="275">
        <f t="shared" si="22"/>
        <v>0.25677988551052866</v>
      </c>
      <c r="AH1200" s="391">
        <f t="shared" si="23"/>
        <v>0.33829354599162176</v>
      </c>
      <c r="AI1200" s="135">
        <f t="shared" si="24"/>
        <v>0.59507343150215042</v>
      </c>
    </row>
    <row r="1201" spans="1:35" ht="12.6">
      <c r="A1201" s="10" t="s">
        <v>1516</v>
      </c>
      <c r="B1201" s="10">
        <v>105</v>
      </c>
      <c r="C1201" s="10" t="s">
        <v>1513</v>
      </c>
      <c r="D1201" s="388">
        <v>45031</v>
      </c>
      <c r="E1201" s="389">
        <v>45031</v>
      </c>
      <c r="F1201" s="390" t="str">
        <f t="shared" si="20"/>
        <v>Space heating &amp; cooling</v>
      </c>
      <c r="G1201" s="135">
        <v>8.7869372028316507E-3</v>
      </c>
      <c r="H1201" s="135">
        <v>8.51607902002521E-3</v>
      </c>
      <c r="I1201" s="135">
        <v>9.7324507019692294E-3</v>
      </c>
      <c r="J1201" s="135">
        <v>1.0210117766509E-2</v>
      </c>
      <c r="K1201" s="135">
        <v>1.2311891831069399E-2</v>
      </c>
      <c r="L1201" s="135">
        <v>2.0437711881693701E-2</v>
      </c>
      <c r="M1201" s="135">
        <v>3.7259471790165602E-2</v>
      </c>
      <c r="N1201" s="135">
        <v>4.81287472994507E-2</v>
      </c>
      <c r="O1201" s="135">
        <v>3.5407499175242302E-2</v>
      </c>
      <c r="P1201" s="135">
        <v>2.0528073654264602E-2</v>
      </c>
      <c r="Q1201" s="135">
        <v>1.4161754048229299E-2</v>
      </c>
      <c r="R1201" s="135">
        <v>1.7977795437861301E-2</v>
      </c>
      <c r="S1201" s="135">
        <v>2.0199474998432301E-2</v>
      </c>
      <c r="T1201" s="135">
        <v>2.1420776514346401E-2</v>
      </c>
      <c r="U1201" s="135">
        <v>2.3047899601285501E-2</v>
      </c>
      <c r="V1201" s="135">
        <v>2.01939171587644E-2</v>
      </c>
      <c r="W1201" s="135">
        <v>2.7168544383312201E-2</v>
      </c>
      <c r="X1201" s="135">
        <v>4.1922277228623302E-2</v>
      </c>
      <c r="Y1201" s="135">
        <v>4.42720525091755E-2</v>
      </c>
      <c r="Z1201" s="135">
        <v>4.6026164771830198E-2</v>
      </c>
      <c r="AA1201" s="135">
        <v>4.3777967317773302E-2</v>
      </c>
      <c r="AB1201" s="135">
        <v>3.4405093727997202E-2</v>
      </c>
      <c r="AC1201" s="135">
        <v>2.1326718263752101E-2</v>
      </c>
      <c r="AD1201" s="135">
        <v>1.42261215449142E-2</v>
      </c>
      <c r="AF1201" s="243">
        <f t="shared" si="21"/>
        <v>0.14417016214223141</v>
      </c>
      <c r="AG1201" s="275">
        <f t="shared" si="22"/>
        <v>0.2548381126590708</v>
      </c>
      <c r="AH1201" s="391">
        <f t="shared" si="23"/>
        <v>0.34660742517044768</v>
      </c>
      <c r="AI1201" s="135">
        <f t="shared" si="24"/>
        <v>0.60144553782951848</v>
      </c>
    </row>
    <row r="1202" spans="1:35" ht="12.6">
      <c r="A1202" s="10" t="s">
        <v>1516</v>
      </c>
      <c r="B1202" s="10">
        <v>106</v>
      </c>
      <c r="C1202" s="10" t="s">
        <v>1513</v>
      </c>
      <c r="D1202" s="388">
        <v>45032</v>
      </c>
      <c r="E1202" s="389">
        <v>45032</v>
      </c>
      <c r="F1202" s="390" t="str">
        <f t="shared" si="20"/>
        <v>Space heating &amp; cooling</v>
      </c>
      <c r="G1202" s="135">
        <v>8.7869372028316507E-3</v>
      </c>
      <c r="H1202" s="135">
        <v>8.51607902002521E-3</v>
      </c>
      <c r="I1202" s="135">
        <v>9.7324507019692294E-3</v>
      </c>
      <c r="J1202" s="135">
        <v>1.0210117766509E-2</v>
      </c>
      <c r="K1202" s="135">
        <v>1.2311891831069399E-2</v>
      </c>
      <c r="L1202" s="135">
        <v>2.0437711881693701E-2</v>
      </c>
      <c r="M1202" s="135">
        <v>3.7259471790165602E-2</v>
      </c>
      <c r="N1202" s="135">
        <v>4.81287472994507E-2</v>
      </c>
      <c r="O1202" s="135">
        <v>3.5407499175242302E-2</v>
      </c>
      <c r="P1202" s="135">
        <v>2.0528073654264602E-2</v>
      </c>
      <c r="Q1202" s="135">
        <v>1.4161754048229299E-2</v>
      </c>
      <c r="R1202" s="135">
        <v>1.7977795437861301E-2</v>
      </c>
      <c r="S1202" s="135">
        <v>2.0199474998432301E-2</v>
      </c>
      <c r="T1202" s="135">
        <v>2.1420776514346401E-2</v>
      </c>
      <c r="U1202" s="135">
        <v>2.3047899601285501E-2</v>
      </c>
      <c r="V1202" s="135">
        <v>2.01939171587644E-2</v>
      </c>
      <c r="W1202" s="135">
        <v>2.7168544383312201E-2</v>
      </c>
      <c r="X1202" s="135">
        <v>4.1922277228623302E-2</v>
      </c>
      <c r="Y1202" s="135">
        <v>4.42720525091755E-2</v>
      </c>
      <c r="Z1202" s="135">
        <v>4.6026164771830198E-2</v>
      </c>
      <c r="AA1202" s="135">
        <v>4.3777967317773302E-2</v>
      </c>
      <c r="AB1202" s="135">
        <v>3.4405093727997202E-2</v>
      </c>
      <c r="AC1202" s="135">
        <v>2.1326718263752101E-2</v>
      </c>
      <c r="AD1202" s="135">
        <v>1.42261215449142E-2</v>
      </c>
      <c r="AF1202" s="243">
        <f t="shared" si="21"/>
        <v>0.14417016214223141</v>
      </c>
      <c r="AG1202" s="275">
        <f t="shared" si="22"/>
        <v>0.2548381126590708</v>
      </c>
      <c r="AH1202" s="391">
        <f t="shared" si="23"/>
        <v>0.34660742517044768</v>
      </c>
      <c r="AI1202" s="135">
        <f t="shared" si="24"/>
        <v>0.60144553782951848</v>
      </c>
    </row>
    <row r="1203" spans="1:35" ht="12.6">
      <c r="A1203" s="10" t="s">
        <v>1516</v>
      </c>
      <c r="B1203" s="10">
        <v>107</v>
      </c>
      <c r="C1203" s="10" t="s">
        <v>1513</v>
      </c>
      <c r="D1203" s="388">
        <v>45033</v>
      </c>
      <c r="E1203" s="389">
        <v>45033</v>
      </c>
      <c r="F1203" s="390" t="str">
        <f t="shared" si="20"/>
        <v>Space heating &amp; cooling</v>
      </c>
      <c r="G1203" s="135">
        <v>1.02047408638502E-2</v>
      </c>
      <c r="H1203" s="135">
        <v>1.06091008009914E-2</v>
      </c>
      <c r="I1203" s="135">
        <v>1.0314901939932499E-2</v>
      </c>
      <c r="J1203" s="135">
        <v>1.14956345272469E-2</v>
      </c>
      <c r="K1203" s="135">
        <v>1.5418561530689099E-2</v>
      </c>
      <c r="L1203" s="135">
        <v>2.6984015042972799E-2</v>
      </c>
      <c r="M1203" s="135">
        <v>6.4210113976539501E-2</v>
      </c>
      <c r="N1203" s="135">
        <v>5.1201121055468202E-2</v>
      </c>
      <c r="O1203" s="135">
        <v>1.7758816933901699E-2</v>
      </c>
      <c r="P1203" s="135">
        <v>7.8302602586143594E-3</v>
      </c>
      <c r="Q1203" s="135">
        <v>6.0948801867032202E-3</v>
      </c>
      <c r="R1203" s="135">
        <v>6.3611866896000199E-3</v>
      </c>
      <c r="S1203" s="135">
        <v>6.9639909338950097E-3</v>
      </c>
      <c r="T1203" s="135">
        <v>9.6080372699486796E-3</v>
      </c>
      <c r="U1203" s="135">
        <v>1.2860713429087799E-2</v>
      </c>
      <c r="V1203" s="135">
        <v>1.94974816098724E-2</v>
      </c>
      <c r="W1203" s="135">
        <v>2.6716767087070398E-2</v>
      </c>
      <c r="X1203" s="135">
        <v>4.6988741684763101E-2</v>
      </c>
      <c r="Y1203" s="135">
        <v>5.46292844388876E-2</v>
      </c>
      <c r="Z1203" s="135">
        <v>5.7393753737374403E-2</v>
      </c>
      <c r="AA1203" s="135">
        <v>5.3047301334796002E-2</v>
      </c>
      <c r="AB1203" s="135">
        <v>3.6988199671513199E-2</v>
      </c>
      <c r="AC1203" s="135">
        <v>1.8832840555165702E-2</v>
      </c>
      <c r="AD1203" s="135">
        <v>1.30629859432664E-2</v>
      </c>
      <c r="AF1203" s="243">
        <f t="shared" si="21"/>
        <v>8.8103057206177518E-2</v>
      </c>
      <c r="AG1203" s="275">
        <f t="shared" si="22"/>
        <v>0.25677988551052866</v>
      </c>
      <c r="AH1203" s="391">
        <f t="shared" si="23"/>
        <v>0.33829354599162176</v>
      </c>
      <c r="AI1203" s="135">
        <f t="shared" si="24"/>
        <v>0.59507343150215042</v>
      </c>
    </row>
    <row r="1204" spans="1:35" ht="12.6">
      <c r="A1204" s="10" t="s">
        <v>1516</v>
      </c>
      <c r="B1204" s="10">
        <v>108</v>
      </c>
      <c r="C1204" s="10" t="s">
        <v>1513</v>
      </c>
      <c r="D1204" s="388">
        <v>45034</v>
      </c>
      <c r="E1204" s="389">
        <v>45034</v>
      </c>
      <c r="F1204" s="390" t="str">
        <f t="shared" si="20"/>
        <v>Space heating &amp; cooling</v>
      </c>
      <c r="G1204" s="135">
        <v>1.02047408638502E-2</v>
      </c>
      <c r="H1204" s="135">
        <v>1.06091008009914E-2</v>
      </c>
      <c r="I1204" s="135">
        <v>1.0314901939932499E-2</v>
      </c>
      <c r="J1204" s="135">
        <v>1.14956345272469E-2</v>
      </c>
      <c r="K1204" s="135">
        <v>1.5418561530689099E-2</v>
      </c>
      <c r="L1204" s="135">
        <v>2.6984015042972799E-2</v>
      </c>
      <c r="M1204" s="135">
        <v>6.4210113976539501E-2</v>
      </c>
      <c r="N1204" s="135">
        <v>5.1201121055468202E-2</v>
      </c>
      <c r="O1204" s="135">
        <v>1.7758816933901699E-2</v>
      </c>
      <c r="P1204" s="135">
        <v>7.8302602586143594E-3</v>
      </c>
      <c r="Q1204" s="135">
        <v>6.0948801867032202E-3</v>
      </c>
      <c r="R1204" s="135">
        <v>6.3611866896000199E-3</v>
      </c>
      <c r="S1204" s="135">
        <v>6.9639909338950097E-3</v>
      </c>
      <c r="T1204" s="135">
        <v>9.6080372699486796E-3</v>
      </c>
      <c r="U1204" s="135">
        <v>1.2860713429087799E-2</v>
      </c>
      <c r="V1204" s="135">
        <v>1.94974816098724E-2</v>
      </c>
      <c r="W1204" s="135">
        <v>2.6716767087070398E-2</v>
      </c>
      <c r="X1204" s="135">
        <v>4.6988741684763101E-2</v>
      </c>
      <c r="Y1204" s="135">
        <v>5.46292844388876E-2</v>
      </c>
      <c r="Z1204" s="135">
        <v>5.7393753737374403E-2</v>
      </c>
      <c r="AA1204" s="135">
        <v>5.3047301334796002E-2</v>
      </c>
      <c r="AB1204" s="135">
        <v>3.6988199671513199E-2</v>
      </c>
      <c r="AC1204" s="135">
        <v>1.8832840555165702E-2</v>
      </c>
      <c r="AD1204" s="135">
        <v>1.30629859432664E-2</v>
      </c>
      <c r="AF1204" s="243">
        <f t="shared" si="21"/>
        <v>8.8103057206177518E-2</v>
      </c>
      <c r="AG1204" s="275">
        <f t="shared" si="22"/>
        <v>0.25677988551052866</v>
      </c>
      <c r="AH1204" s="391">
        <f t="shared" si="23"/>
        <v>0.33829354599162176</v>
      </c>
      <c r="AI1204" s="135">
        <f t="shared" si="24"/>
        <v>0.59507343150215042</v>
      </c>
    </row>
    <row r="1205" spans="1:35" ht="12.6">
      <c r="A1205" s="10" t="s">
        <v>1516</v>
      </c>
      <c r="B1205" s="10">
        <v>109</v>
      </c>
      <c r="C1205" s="10" t="s">
        <v>1513</v>
      </c>
      <c r="D1205" s="388">
        <v>45035</v>
      </c>
      <c r="E1205" s="389">
        <v>45035</v>
      </c>
      <c r="F1205" s="390" t="str">
        <f t="shared" si="20"/>
        <v>Space heating &amp; cooling</v>
      </c>
      <c r="G1205" s="135">
        <v>1.02047408638502E-2</v>
      </c>
      <c r="H1205" s="135">
        <v>1.06091008009914E-2</v>
      </c>
      <c r="I1205" s="135">
        <v>1.0314901939932499E-2</v>
      </c>
      <c r="J1205" s="135">
        <v>1.14956345272469E-2</v>
      </c>
      <c r="K1205" s="135">
        <v>1.5418561530689099E-2</v>
      </c>
      <c r="L1205" s="135">
        <v>2.6984015042972799E-2</v>
      </c>
      <c r="M1205" s="135">
        <v>6.4210113976539501E-2</v>
      </c>
      <c r="N1205" s="135">
        <v>5.1201121055468202E-2</v>
      </c>
      <c r="O1205" s="135">
        <v>1.7758816933901699E-2</v>
      </c>
      <c r="P1205" s="135">
        <v>7.8302602586143594E-3</v>
      </c>
      <c r="Q1205" s="135">
        <v>6.0948801867032202E-3</v>
      </c>
      <c r="R1205" s="135">
        <v>6.3611866896000199E-3</v>
      </c>
      <c r="S1205" s="135">
        <v>6.9639909338950097E-3</v>
      </c>
      <c r="T1205" s="135">
        <v>9.6080372699486796E-3</v>
      </c>
      <c r="U1205" s="135">
        <v>1.2860713429087799E-2</v>
      </c>
      <c r="V1205" s="135">
        <v>1.94974816098724E-2</v>
      </c>
      <c r="W1205" s="135">
        <v>2.6716767087070398E-2</v>
      </c>
      <c r="X1205" s="135">
        <v>4.6988741684763101E-2</v>
      </c>
      <c r="Y1205" s="135">
        <v>5.46292844388876E-2</v>
      </c>
      <c r="Z1205" s="135">
        <v>5.7393753737374403E-2</v>
      </c>
      <c r="AA1205" s="135">
        <v>5.3047301334796002E-2</v>
      </c>
      <c r="AB1205" s="135">
        <v>3.6988199671513199E-2</v>
      </c>
      <c r="AC1205" s="135">
        <v>1.8832840555165702E-2</v>
      </c>
      <c r="AD1205" s="135">
        <v>1.30629859432664E-2</v>
      </c>
      <c r="AF1205" s="243">
        <f t="shared" si="21"/>
        <v>8.8103057206177518E-2</v>
      </c>
      <c r="AG1205" s="275">
        <f t="shared" si="22"/>
        <v>0.25677988551052866</v>
      </c>
      <c r="AH1205" s="391">
        <f t="shared" si="23"/>
        <v>0.33829354599162176</v>
      </c>
      <c r="AI1205" s="135">
        <f t="shared" si="24"/>
        <v>0.59507343150215042</v>
      </c>
    </row>
    <row r="1206" spans="1:35" ht="12.6">
      <c r="A1206" s="10" t="s">
        <v>1516</v>
      </c>
      <c r="B1206" s="10">
        <v>110</v>
      </c>
      <c r="C1206" s="10" t="s">
        <v>1513</v>
      </c>
      <c r="D1206" s="388">
        <v>45036</v>
      </c>
      <c r="E1206" s="389">
        <v>45036</v>
      </c>
      <c r="F1206" s="390" t="str">
        <f t="shared" si="20"/>
        <v>Space heating &amp; cooling</v>
      </c>
      <c r="G1206" s="135">
        <v>1.02047408638502E-2</v>
      </c>
      <c r="H1206" s="135">
        <v>1.06091008009914E-2</v>
      </c>
      <c r="I1206" s="135">
        <v>1.0314901939932499E-2</v>
      </c>
      <c r="J1206" s="135">
        <v>1.14956345272469E-2</v>
      </c>
      <c r="K1206" s="135">
        <v>1.5418561530689099E-2</v>
      </c>
      <c r="L1206" s="135">
        <v>2.6984015042972799E-2</v>
      </c>
      <c r="M1206" s="135">
        <v>6.4210113976539501E-2</v>
      </c>
      <c r="N1206" s="135">
        <v>5.1201121055468202E-2</v>
      </c>
      <c r="O1206" s="135">
        <v>1.7758816933901699E-2</v>
      </c>
      <c r="P1206" s="135">
        <v>7.8302602586143594E-3</v>
      </c>
      <c r="Q1206" s="135">
        <v>6.0948801867032202E-3</v>
      </c>
      <c r="R1206" s="135">
        <v>6.3611866896000199E-3</v>
      </c>
      <c r="S1206" s="135">
        <v>6.9639909338950097E-3</v>
      </c>
      <c r="T1206" s="135">
        <v>9.6080372699486796E-3</v>
      </c>
      <c r="U1206" s="135">
        <v>1.2860713429087799E-2</v>
      </c>
      <c r="V1206" s="135">
        <v>1.94974816098724E-2</v>
      </c>
      <c r="W1206" s="135">
        <v>2.6716767087070398E-2</v>
      </c>
      <c r="X1206" s="135">
        <v>4.6988741684763101E-2</v>
      </c>
      <c r="Y1206" s="135">
        <v>5.46292844388876E-2</v>
      </c>
      <c r="Z1206" s="135">
        <v>5.7393753737374403E-2</v>
      </c>
      <c r="AA1206" s="135">
        <v>5.3047301334796002E-2</v>
      </c>
      <c r="AB1206" s="135">
        <v>3.6988199671513199E-2</v>
      </c>
      <c r="AC1206" s="135">
        <v>1.8832840555165702E-2</v>
      </c>
      <c r="AD1206" s="135">
        <v>1.30629859432664E-2</v>
      </c>
      <c r="AF1206" s="243">
        <f t="shared" si="21"/>
        <v>8.8103057206177518E-2</v>
      </c>
      <c r="AG1206" s="275">
        <f t="shared" si="22"/>
        <v>0.25677988551052866</v>
      </c>
      <c r="AH1206" s="391">
        <f t="shared" si="23"/>
        <v>0.33829354599162176</v>
      </c>
      <c r="AI1206" s="135">
        <f t="shared" si="24"/>
        <v>0.59507343150215042</v>
      </c>
    </row>
    <row r="1207" spans="1:35" ht="12.6">
      <c r="A1207" s="10" t="s">
        <v>1516</v>
      </c>
      <c r="B1207" s="10">
        <v>111</v>
      </c>
      <c r="C1207" s="10" t="s">
        <v>1513</v>
      </c>
      <c r="D1207" s="388">
        <v>45037</v>
      </c>
      <c r="E1207" s="389">
        <v>45037</v>
      </c>
      <c r="F1207" s="390" t="str">
        <f t="shared" si="20"/>
        <v>Space heating &amp; cooling</v>
      </c>
      <c r="G1207" s="135">
        <v>1.02047408638502E-2</v>
      </c>
      <c r="H1207" s="135">
        <v>1.06091008009914E-2</v>
      </c>
      <c r="I1207" s="135">
        <v>1.0314901939932499E-2</v>
      </c>
      <c r="J1207" s="135">
        <v>1.14956345272469E-2</v>
      </c>
      <c r="K1207" s="135">
        <v>1.5418561530689099E-2</v>
      </c>
      <c r="L1207" s="135">
        <v>2.6984015042972799E-2</v>
      </c>
      <c r="M1207" s="135">
        <v>6.4210113976539501E-2</v>
      </c>
      <c r="N1207" s="135">
        <v>5.1201121055468202E-2</v>
      </c>
      <c r="O1207" s="135">
        <v>1.7758816933901699E-2</v>
      </c>
      <c r="P1207" s="135">
        <v>7.8302602586143594E-3</v>
      </c>
      <c r="Q1207" s="135">
        <v>6.0948801867032202E-3</v>
      </c>
      <c r="R1207" s="135">
        <v>6.3611866896000199E-3</v>
      </c>
      <c r="S1207" s="135">
        <v>6.9639909338950097E-3</v>
      </c>
      <c r="T1207" s="135">
        <v>9.6080372699486796E-3</v>
      </c>
      <c r="U1207" s="135">
        <v>1.2860713429087799E-2</v>
      </c>
      <c r="V1207" s="135">
        <v>1.94974816098724E-2</v>
      </c>
      <c r="W1207" s="135">
        <v>2.6716767087070398E-2</v>
      </c>
      <c r="X1207" s="135">
        <v>4.6988741684763101E-2</v>
      </c>
      <c r="Y1207" s="135">
        <v>5.46292844388876E-2</v>
      </c>
      <c r="Z1207" s="135">
        <v>5.7393753737374403E-2</v>
      </c>
      <c r="AA1207" s="135">
        <v>5.3047301334796002E-2</v>
      </c>
      <c r="AB1207" s="135">
        <v>3.6988199671513199E-2</v>
      </c>
      <c r="AC1207" s="135">
        <v>1.8832840555165702E-2</v>
      </c>
      <c r="AD1207" s="135">
        <v>1.30629859432664E-2</v>
      </c>
      <c r="AF1207" s="243">
        <f t="shared" si="21"/>
        <v>8.8103057206177518E-2</v>
      </c>
      <c r="AG1207" s="275">
        <f t="shared" si="22"/>
        <v>0.25677988551052866</v>
      </c>
      <c r="AH1207" s="391">
        <f t="shared" si="23"/>
        <v>0.33829354599162176</v>
      </c>
      <c r="AI1207" s="135">
        <f t="shared" si="24"/>
        <v>0.59507343150215042</v>
      </c>
    </row>
    <row r="1208" spans="1:35" ht="12.6">
      <c r="A1208" s="10" t="s">
        <v>1516</v>
      </c>
      <c r="B1208" s="10">
        <v>112</v>
      </c>
      <c r="C1208" s="10" t="s">
        <v>1513</v>
      </c>
      <c r="D1208" s="388">
        <v>45038</v>
      </c>
      <c r="E1208" s="389">
        <v>45038</v>
      </c>
      <c r="F1208" s="390" t="str">
        <f t="shared" si="20"/>
        <v>Space heating &amp; cooling</v>
      </c>
      <c r="G1208" s="135">
        <v>8.7869372028316507E-3</v>
      </c>
      <c r="H1208" s="135">
        <v>8.51607902002521E-3</v>
      </c>
      <c r="I1208" s="135">
        <v>9.7324507019692294E-3</v>
      </c>
      <c r="J1208" s="135">
        <v>1.0210117766509E-2</v>
      </c>
      <c r="K1208" s="135">
        <v>1.2311891831069399E-2</v>
      </c>
      <c r="L1208" s="135">
        <v>2.0437711881693701E-2</v>
      </c>
      <c r="M1208" s="135">
        <v>3.7259471790165602E-2</v>
      </c>
      <c r="N1208" s="135">
        <v>4.81287472994507E-2</v>
      </c>
      <c r="O1208" s="135">
        <v>3.5407499175242302E-2</v>
      </c>
      <c r="P1208" s="135">
        <v>2.0528073654264602E-2</v>
      </c>
      <c r="Q1208" s="135">
        <v>1.4161754048229299E-2</v>
      </c>
      <c r="R1208" s="135">
        <v>1.7977795437861301E-2</v>
      </c>
      <c r="S1208" s="135">
        <v>2.0199474998432301E-2</v>
      </c>
      <c r="T1208" s="135">
        <v>2.1420776514346401E-2</v>
      </c>
      <c r="U1208" s="135">
        <v>2.3047899601285501E-2</v>
      </c>
      <c r="V1208" s="135">
        <v>2.01939171587644E-2</v>
      </c>
      <c r="W1208" s="135">
        <v>2.7168544383312201E-2</v>
      </c>
      <c r="X1208" s="135">
        <v>4.1922277228623302E-2</v>
      </c>
      <c r="Y1208" s="135">
        <v>4.42720525091755E-2</v>
      </c>
      <c r="Z1208" s="135">
        <v>4.6026164771830198E-2</v>
      </c>
      <c r="AA1208" s="135">
        <v>4.3777967317773302E-2</v>
      </c>
      <c r="AB1208" s="135">
        <v>3.4405093727997202E-2</v>
      </c>
      <c r="AC1208" s="135">
        <v>2.1326718263752101E-2</v>
      </c>
      <c r="AD1208" s="135">
        <v>1.42261215449142E-2</v>
      </c>
      <c r="AF1208" s="243">
        <f t="shared" si="21"/>
        <v>0.14417016214223141</v>
      </c>
      <c r="AG1208" s="275">
        <f t="shared" si="22"/>
        <v>0.2548381126590708</v>
      </c>
      <c r="AH1208" s="391">
        <f t="shared" si="23"/>
        <v>0.34660742517044768</v>
      </c>
      <c r="AI1208" s="135">
        <f t="shared" si="24"/>
        <v>0.60144553782951848</v>
      </c>
    </row>
    <row r="1209" spans="1:35" ht="12.6">
      <c r="A1209" s="10" t="s">
        <v>1516</v>
      </c>
      <c r="B1209" s="10">
        <v>113</v>
      </c>
      <c r="C1209" s="10" t="s">
        <v>1513</v>
      </c>
      <c r="D1209" s="388">
        <v>45039</v>
      </c>
      <c r="E1209" s="389">
        <v>45039</v>
      </c>
      <c r="F1209" s="390" t="str">
        <f t="shared" si="20"/>
        <v>Space heating &amp; cooling</v>
      </c>
      <c r="G1209" s="135">
        <v>8.7869372028316507E-3</v>
      </c>
      <c r="H1209" s="135">
        <v>8.51607902002521E-3</v>
      </c>
      <c r="I1209" s="135">
        <v>9.7324507019692294E-3</v>
      </c>
      <c r="J1209" s="135">
        <v>1.0210117766509E-2</v>
      </c>
      <c r="K1209" s="135">
        <v>1.2311891831069399E-2</v>
      </c>
      <c r="L1209" s="135">
        <v>2.0437711881693701E-2</v>
      </c>
      <c r="M1209" s="135">
        <v>3.7259471790165602E-2</v>
      </c>
      <c r="N1209" s="135">
        <v>4.81287472994507E-2</v>
      </c>
      <c r="O1209" s="135">
        <v>3.5407499175242302E-2</v>
      </c>
      <c r="P1209" s="135">
        <v>2.0528073654264602E-2</v>
      </c>
      <c r="Q1209" s="135">
        <v>1.4161754048229299E-2</v>
      </c>
      <c r="R1209" s="135">
        <v>1.7977795437861301E-2</v>
      </c>
      <c r="S1209" s="135">
        <v>2.0199474998432301E-2</v>
      </c>
      <c r="T1209" s="135">
        <v>2.1420776514346401E-2</v>
      </c>
      <c r="U1209" s="135">
        <v>2.3047899601285501E-2</v>
      </c>
      <c r="V1209" s="135">
        <v>2.01939171587644E-2</v>
      </c>
      <c r="W1209" s="135">
        <v>2.7168544383312201E-2</v>
      </c>
      <c r="X1209" s="135">
        <v>4.1922277228623302E-2</v>
      </c>
      <c r="Y1209" s="135">
        <v>4.42720525091755E-2</v>
      </c>
      <c r="Z1209" s="135">
        <v>4.6026164771830198E-2</v>
      </c>
      <c r="AA1209" s="135">
        <v>4.3777967317773302E-2</v>
      </c>
      <c r="AB1209" s="135">
        <v>3.4405093727997202E-2</v>
      </c>
      <c r="AC1209" s="135">
        <v>2.1326718263752101E-2</v>
      </c>
      <c r="AD1209" s="135">
        <v>1.42261215449142E-2</v>
      </c>
      <c r="AF1209" s="243">
        <f t="shared" si="21"/>
        <v>0.14417016214223141</v>
      </c>
      <c r="AG1209" s="275">
        <f t="shared" si="22"/>
        <v>0.2548381126590708</v>
      </c>
      <c r="AH1209" s="391">
        <f t="shared" si="23"/>
        <v>0.34660742517044768</v>
      </c>
      <c r="AI1209" s="135">
        <f t="shared" si="24"/>
        <v>0.60144553782951848</v>
      </c>
    </row>
    <row r="1210" spans="1:35" ht="12.6">
      <c r="A1210" s="10" t="s">
        <v>1516</v>
      </c>
      <c r="B1210" s="10">
        <v>114</v>
      </c>
      <c r="C1210" s="10" t="s">
        <v>1513</v>
      </c>
      <c r="D1210" s="388">
        <v>45040</v>
      </c>
      <c r="E1210" s="389">
        <v>45040</v>
      </c>
      <c r="F1210" s="390" t="str">
        <f t="shared" si="20"/>
        <v>Space heating &amp; cooling</v>
      </c>
      <c r="G1210" s="135">
        <v>1.02047408638502E-2</v>
      </c>
      <c r="H1210" s="135">
        <v>1.06091008009914E-2</v>
      </c>
      <c r="I1210" s="135">
        <v>1.0314901939932499E-2</v>
      </c>
      <c r="J1210" s="135">
        <v>1.14956345272469E-2</v>
      </c>
      <c r="K1210" s="135">
        <v>1.5418561530689099E-2</v>
      </c>
      <c r="L1210" s="135">
        <v>2.6984015042972799E-2</v>
      </c>
      <c r="M1210" s="135">
        <v>6.4210113976539501E-2</v>
      </c>
      <c r="N1210" s="135">
        <v>5.1201121055468202E-2</v>
      </c>
      <c r="O1210" s="135">
        <v>1.7758816933901699E-2</v>
      </c>
      <c r="P1210" s="135">
        <v>7.8302602586143594E-3</v>
      </c>
      <c r="Q1210" s="135">
        <v>6.0948801867032202E-3</v>
      </c>
      <c r="R1210" s="135">
        <v>6.3611866896000199E-3</v>
      </c>
      <c r="S1210" s="135">
        <v>6.9639909338950097E-3</v>
      </c>
      <c r="T1210" s="135">
        <v>9.6080372699486796E-3</v>
      </c>
      <c r="U1210" s="135">
        <v>1.2860713429087799E-2</v>
      </c>
      <c r="V1210" s="135">
        <v>1.94974816098724E-2</v>
      </c>
      <c r="W1210" s="135">
        <v>2.6716767087070398E-2</v>
      </c>
      <c r="X1210" s="135">
        <v>4.6988741684763101E-2</v>
      </c>
      <c r="Y1210" s="135">
        <v>5.46292844388876E-2</v>
      </c>
      <c r="Z1210" s="135">
        <v>5.7393753737374403E-2</v>
      </c>
      <c r="AA1210" s="135">
        <v>5.3047301334796002E-2</v>
      </c>
      <c r="AB1210" s="135">
        <v>3.6988199671513199E-2</v>
      </c>
      <c r="AC1210" s="135">
        <v>1.8832840555165702E-2</v>
      </c>
      <c r="AD1210" s="135">
        <v>1.30629859432664E-2</v>
      </c>
      <c r="AF1210" s="243">
        <f t="shared" si="21"/>
        <v>8.8103057206177518E-2</v>
      </c>
      <c r="AG1210" s="275">
        <f t="shared" si="22"/>
        <v>0.25677988551052866</v>
      </c>
      <c r="AH1210" s="391">
        <f t="shared" si="23"/>
        <v>0.33829354599162176</v>
      </c>
      <c r="AI1210" s="135">
        <f t="shared" si="24"/>
        <v>0.59507343150215042</v>
      </c>
    </row>
    <row r="1211" spans="1:35" ht="12.6">
      <c r="A1211" s="10" t="s">
        <v>1516</v>
      </c>
      <c r="B1211" s="10">
        <v>115</v>
      </c>
      <c r="C1211" s="10" t="s">
        <v>1513</v>
      </c>
      <c r="D1211" s="388">
        <v>45041</v>
      </c>
      <c r="E1211" s="389">
        <v>45041</v>
      </c>
      <c r="F1211" s="390" t="str">
        <f t="shared" si="20"/>
        <v>Space heating &amp; cooling</v>
      </c>
      <c r="G1211" s="135">
        <v>1.02047408638502E-2</v>
      </c>
      <c r="H1211" s="135">
        <v>1.06091008009914E-2</v>
      </c>
      <c r="I1211" s="135">
        <v>1.0314901939932499E-2</v>
      </c>
      <c r="J1211" s="135">
        <v>1.14956345272469E-2</v>
      </c>
      <c r="K1211" s="135">
        <v>1.5418561530689099E-2</v>
      </c>
      <c r="L1211" s="135">
        <v>2.6984015042972799E-2</v>
      </c>
      <c r="M1211" s="135">
        <v>6.4210113976539501E-2</v>
      </c>
      <c r="N1211" s="135">
        <v>5.1201121055468202E-2</v>
      </c>
      <c r="O1211" s="135">
        <v>1.7758816933901699E-2</v>
      </c>
      <c r="P1211" s="135">
        <v>7.8302602586143594E-3</v>
      </c>
      <c r="Q1211" s="135">
        <v>6.0948801867032202E-3</v>
      </c>
      <c r="R1211" s="135">
        <v>6.3611866896000199E-3</v>
      </c>
      <c r="S1211" s="135">
        <v>6.9639909338950097E-3</v>
      </c>
      <c r="T1211" s="135">
        <v>9.6080372699486796E-3</v>
      </c>
      <c r="U1211" s="135">
        <v>1.2860713429087799E-2</v>
      </c>
      <c r="V1211" s="135">
        <v>1.94974816098724E-2</v>
      </c>
      <c r="W1211" s="135">
        <v>2.6716767087070398E-2</v>
      </c>
      <c r="X1211" s="135">
        <v>4.6988741684763101E-2</v>
      </c>
      <c r="Y1211" s="135">
        <v>5.46292844388876E-2</v>
      </c>
      <c r="Z1211" s="135">
        <v>5.7393753737374403E-2</v>
      </c>
      <c r="AA1211" s="135">
        <v>5.3047301334796002E-2</v>
      </c>
      <c r="AB1211" s="135">
        <v>3.6988199671513199E-2</v>
      </c>
      <c r="AC1211" s="135">
        <v>1.8832840555165702E-2</v>
      </c>
      <c r="AD1211" s="135">
        <v>1.30629859432664E-2</v>
      </c>
      <c r="AF1211" s="243">
        <f t="shared" si="21"/>
        <v>8.8103057206177518E-2</v>
      </c>
      <c r="AG1211" s="275">
        <f t="shared" si="22"/>
        <v>0.25677988551052866</v>
      </c>
      <c r="AH1211" s="391">
        <f t="shared" si="23"/>
        <v>0.33829354599162176</v>
      </c>
      <c r="AI1211" s="135">
        <f t="shared" si="24"/>
        <v>0.59507343150215042</v>
      </c>
    </row>
    <row r="1212" spans="1:35" ht="12.6">
      <c r="A1212" s="10" t="s">
        <v>1516</v>
      </c>
      <c r="B1212" s="10">
        <v>116</v>
      </c>
      <c r="C1212" s="10" t="s">
        <v>1513</v>
      </c>
      <c r="D1212" s="388">
        <v>45042</v>
      </c>
      <c r="E1212" s="389">
        <v>45042</v>
      </c>
      <c r="F1212" s="390" t="str">
        <f t="shared" si="20"/>
        <v>Space heating &amp; cooling</v>
      </c>
      <c r="G1212" s="135">
        <v>1.02047408638502E-2</v>
      </c>
      <c r="H1212" s="135">
        <v>1.06091008009914E-2</v>
      </c>
      <c r="I1212" s="135">
        <v>1.0314901939932499E-2</v>
      </c>
      <c r="J1212" s="135">
        <v>1.14956345272469E-2</v>
      </c>
      <c r="K1212" s="135">
        <v>1.5418561530689099E-2</v>
      </c>
      <c r="L1212" s="135">
        <v>2.6984015042972799E-2</v>
      </c>
      <c r="M1212" s="135">
        <v>6.4210113976539501E-2</v>
      </c>
      <c r="N1212" s="135">
        <v>5.1201121055468202E-2</v>
      </c>
      <c r="O1212" s="135">
        <v>1.7758816933901699E-2</v>
      </c>
      <c r="P1212" s="135">
        <v>7.8302602586143594E-3</v>
      </c>
      <c r="Q1212" s="135">
        <v>6.0948801867032202E-3</v>
      </c>
      <c r="R1212" s="135">
        <v>6.3611866896000199E-3</v>
      </c>
      <c r="S1212" s="135">
        <v>6.9639909338950097E-3</v>
      </c>
      <c r="T1212" s="135">
        <v>9.6080372699486796E-3</v>
      </c>
      <c r="U1212" s="135">
        <v>1.2860713429087799E-2</v>
      </c>
      <c r="V1212" s="135">
        <v>1.94974816098724E-2</v>
      </c>
      <c r="W1212" s="135">
        <v>2.6716767087070398E-2</v>
      </c>
      <c r="X1212" s="135">
        <v>4.6988741684763101E-2</v>
      </c>
      <c r="Y1212" s="135">
        <v>5.46292844388876E-2</v>
      </c>
      <c r="Z1212" s="135">
        <v>5.7393753737374403E-2</v>
      </c>
      <c r="AA1212" s="135">
        <v>5.3047301334796002E-2</v>
      </c>
      <c r="AB1212" s="135">
        <v>3.6988199671513199E-2</v>
      </c>
      <c r="AC1212" s="135">
        <v>1.8832840555165702E-2</v>
      </c>
      <c r="AD1212" s="135">
        <v>1.30629859432664E-2</v>
      </c>
      <c r="AF1212" s="243">
        <f t="shared" si="21"/>
        <v>8.8103057206177518E-2</v>
      </c>
      <c r="AG1212" s="275">
        <f t="shared" si="22"/>
        <v>0.25677988551052866</v>
      </c>
      <c r="AH1212" s="391">
        <f t="shared" si="23"/>
        <v>0.33829354599162176</v>
      </c>
      <c r="AI1212" s="135">
        <f t="shared" si="24"/>
        <v>0.59507343150215042</v>
      </c>
    </row>
    <row r="1213" spans="1:35" ht="12.6">
      <c r="A1213" s="10" t="s">
        <v>1516</v>
      </c>
      <c r="B1213" s="10">
        <v>117</v>
      </c>
      <c r="C1213" s="10" t="s">
        <v>1513</v>
      </c>
      <c r="D1213" s="388">
        <v>45043</v>
      </c>
      <c r="E1213" s="389">
        <v>45043</v>
      </c>
      <c r="F1213" s="390" t="str">
        <f t="shared" si="20"/>
        <v>Space heating &amp; cooling</v>
      </c>
      <c r="G1213" s="135">
        <v>1.02047408638502E-2</v>
      </c>
      <c r="H1213" s="135">
        <v>1.06091008009914E-2</v>
      </c>
      <c r="I1213" s="135">
        <v>1.0314901939932499E-2</v>
      </c>
      <c r="J1213" s="135">
        <v>1.14956345272469E-2</v>
      </c>
      <c r="K1213" s="135">
        <v>1.5418561530689099E-2</v>
      </c>
      <c r="L1213" s="135">
        <v>2.6984015042972799E-2</v>
      </c>
      <c r="M1213" s="135">
        <v>6.4210113976539501E-2</v>
      </c>
      <c r="N1213" s="135">
        <v>5.1201121055468202E-2</v>
      </c>
      <c r="O1213" s="135">
        <v>1.7758816933901699E-2</v>
      </c>
      <c r="P1213" s="135">
        <v>7.8302602586143594E-3</v>
      </c>
      <c r="Q1213" s="135">
        <v>6.0948801867032202E-3</v>
      </c>
      <c r="R1213" s="135">
        <v>6.3611866896000199E-3</v>
      </c>
      <c r="S1213" s="135">
        <v>6.9639909338950097E-3</v>
      </c>
      <c r="T1213" s="135">
        <v>9.6080372699486796E-3</v>
      </c>
      <c r="U1213" s="135">
        <v>1.2860713429087799E-2</v>
      </c>
      <c r="V1213" s="135">
        <v>1.94974816098724E-2</v>
      </c>
      <c r="W1213" s="135">
        <v>2.6716767087070398E-2</v>
      </c>
      <c r="X1213" s="135">
        <v>4.6988741684763101E-2</v>
      </c>
      <c r="Y1213" s="135">
        <v>5.46292844388876E-2</v>
      </c>
      <c r="Z1213" s="135">
        <v>5.7393753737374403E-2</v>
      </c>
      <c r="AA1213" s="135">
        <v>5.3047301334796002E-2</v>
      </c>
      <c r="AB1213" s="135">
        <v>3.6988199671513199E-2</v>
      </c>
      <c r="AC1213" s="135">
        <v>1.8832840555165702E-2</v>
      </c>
      <c r="AD1213" s="135">
        <v>1.30629859432664E-2</v>
      </c>
      <c r="AF1213" s="243">
        <f t="shared" si="21"/>
        <v>8.8103057206177518E-2</v>
      </c>
      <c r="AG1213" s="275">
        <f t="shared" si="22"/>
        <v>0.25677988551052866</v>
      </c>
      <c r="AH1213" s="391">
        <f t="shared" si="23"/>
        <v>0.33829354599162176</v>
      </c>
      <c r="AI1213" s="135">
        <f t="shared" si="24"/>
        <v>0.59507343150215042</v>
      </c>
    </row>
    <row r="1214" spans="1:35" ht="12.6">
      <c r="A1214" s="10" t="s">
        <v>1516</v>
      </c>
      <c r="B1214" s="10">
        <v>118</v>
      </c>
      <c r="C1214" s="10" t="s">
        <v>1513</v>
      </c>
      <c r="D1214" s="388">
        <v>45044</v>
      </c>
      <c r="E1214" s="389">
        <v>45044</v>
      </c>
      <c r="F1214" s="390" t="str">
        <f t="shared" si="20"/>
        <v>Space heating &amp; cooling</v>
      </c>
      <c r="G1214" s="135">
        <v>1.02047408638502E-2</v>
      </c>
      <c r="H1214" s="135">
        <v>1.06091008009914E-2</v>
      </c>
      <c r="I1214" s="135">
        <v>1.0314901939932499E-2</v>
      </c>
      <c r="J1214" s="135">
        <v>1.14956345272469E-2</v>
      </c>
      <c r="K1214" s="135">
        <v>1.5418561530689099E-2</v>
      </c>
      <c r="L1214" s="135">
        <v>2.6984015042972799E-2</v>
      </c>
      <c r="M1214" s="135">
        <v>6.4210113976539501E-2</v>
      </c>
      <c r="N1214" s="135">
        <v>5.1201121055468202E-2</v>
      </c>
      <c r="O1214" s="135">
        <v>1.7758816933901699E-2</v>
      </c>
      <c r="P1214" s="135">
        <v>7.8302602586143594E-3</v>
      </c>
      <c r="Q1214" s="135">
        <v>6.0948801867032202E-3</v>
      </c>
      <c r="R1214" s="135">
        <v>6.3611866896000199E-3</v>
      </c>
      <c r="S1214" s="135">
        <v>6.9639909338950097E-3</v>
      </c>
      <c r="T1214" s="135">
        <v>9.6080372699486796E-3</v>
      </c>
      <c r="U1214" s="135">
        <v>1.2860713429087799E-2</v>
      </c>
      <c r="V1214" s="135">
        <v>1.94974816098724E-2</v>
      </c>
      <c r="W1214" s="135">
        <v>2.6716767087070398E-2</v>
      </c>
      <c r="X1214" s="135">
        <v>4.6988741684763101E-2</v>
      </c>
      <c r="Y1214" s="135">
        <v>5.46292844388876E-2</v>
      </c>
      <c r="Z1214" s="135">
        <v>5.7393753737374403E-2</v>
      </c>
      <c r="AA1214" s="135">
        <v>5.3047301334796002E-2</v>
      </c>
      <c r="AB1214" s="135">
        <v>3.6988199671513199E-2</v>
      </c>
      <c r="AC1214" s="135">
        <v>1.8832840555165702E-2</v>
      </c>
      <c r="AD1214" s="135">
        <v>1.30629859432664E-2</v>
      </c>
      <c r="AF1214" s="243">
        <f t="shared" si="21"/>
        <v>8.8103057206177518E-2</v>
      </c>
      <c r="AG1214" s="275">
        <f t="shared" si="22"/>
        <v>0.25677988551052866</v>
      </c>
      <c r="AH1214" s="391">
        <f t="shared" si="23"/>
        <v>0.33829354599162176</v>
      </c>
      <c r="AI1214" s="135">
        <f t="shared" si="24"/>
        <v>0.59507343150215042</v>
      </c>
    </row>
    <row r="1215" spans="1:35" ht="12.6">
      <c r="A1215" s="10" t="s">
        <v>1516</v>
      </c>
      <c r="B1215" s="10">
        <v>119</v>
      </c>
      <c r="C1215" s="10" t="s">
        <v>1513</v>
      </c>
      <c r="D1215" s="388">
        <v>45045</v>
      </c>
      <c r="E1215" s="389">
        <v>45045</v>
      </c>
      <c r="F1215" s="390" t="str">
        <f t="shared" si="20"/>
        <v>Space heating &amp; cooling</v>
      </c>
      <c r="G1215" s="135">
        <v>8.7869372028316507E-3</v>
      </c>
      <c r="H1215" s="135">
        <v>8.51607902002521E-3</v>
      </c>
      <c r="I1215" s="135">
        <v>9.7324507019692294E-3</v>
      </c>
      <c r="J1215" s="135">
        <v>1.0210117766509E-2</v>
      </c>
      <c r="K1215" s="135">
        <v>1.2311891831069399E-2</v>
      </c>
      <c r="L1215" s="135">
        <v>2.0437711881693701E-2</v>
      </c>
      <c r="M1215" s="135">
        <v>3.7259471790165602E-2</v>
      </c>
      <c r="N1215" s="135">
        <v>4.81287472994507E-2</v>
      </c>
      <c r="O1215" s="135">
        <v>3.5407499175242302E-2</v>
      </c>
      <c r="P1215" s="135">
        <v>2.0528073654264602E-2</v>
      </c>
      <c r="Q1215" s="135">
        <v>1.4161754048229299E-2</v>
      </c>
      <c r="R1215" s="135">
        <v>1.7977795437861301E-2</v>
      </c>
      <c r="S1215" s="135">
        <v>2.0199474998432301E-2</v>
      </c>
      <c r="T1215" s="135">
        <v>2.1420776514346401E-2</v>
      </c>
      <c r="U1215" s="135">
        <v>2.3047899601285501E-2</v>
      </c>
      <c r="V1215" s="135">
        <v>2.01939171587644E-2</v>
      </c>
      <c r="W1215" s="135">
        <v>2.7168544383312201E-2</v>
      </c>
      <c r="X1215" s="135">
        <v>4.1922277228623302E-2</v>
      </c>
      <c r="Y1215" s="135">
        <v>4.42720525091755E-2</v>
      </c>
      <c r="Z1215" s="135">
        <v>4.6026164771830198E-2</v>
      </c>
      <c r="AA1215" s="135">
        <v>4.3777967317773302E-2</v>
      </c>
      <c r="AB1215" s="135">
        <v>3.4405093727997202E-2</v>
      </c>
      <c r="AC1215" s="135">
        <v>2.1326718263752101E-2</v>
      </c>
      <c r="AD1215" s="135">
        <v>1.42261215449142E-2</v>
      </c>
      <c r="AF1215" s="243">
        <f t="shared" si="21"/>
        <v>0.14417016214223141</v>
      </c>
      <c r="AG1215" s="275">
        <f t="shared" si="22"/>
        <v>0.2548381126590708</v>
      </c>
      <c r="AH1215" s="391">
        <f t="shared" si="23"/>
        <v>0.34660742517044768</v>
      </c>
      <c r="AI1215" s="135">
        <f t="shared" si="24"/>
        <v>0.60144553782951848</v>
      </c>
    </row>
    <row r="1216" spans="1:35" ht="12.6">
      <c r="A1216" s="10" t="s">
        <v>1516</v>
      </c>
      <c r="B1216" s="10">
        <v>120</v>
      </c>
      <c r="C1216" s="10" t="s">
        <v>1513</v>
      </c>
      <c r="D1216" s="388">
        <v>45046</v>
      </c>
      <c r="E1216" s="389">
        <v>45046</v>
      </c>
      <c r="F1216" s="390" t="str">
        <f t="shared" si="20"/>
        <v>Space heating &amp; cooling</v>
      </c>
      <c r="G1216" s="135">
        <v>8.7869372028316507E-3</v>
      </c>
      <c r="H1216" s="135">
        <v>8.51607902002521E-3</v>
      </c>
      <c r="I1216" s="135">
        <v>9.7324507019692294E-3</v>
      </c>
      <c r="J1216" s="135">
        <v>1.0210117766509E-2</v>
      </c>
      <c r="K1216" s="135">
        <v>1.2311891831069399E-2</v>
      </c>
      <c r="L1216" s="135">
        <v>2.0437711881693701E-2</v>
      </c>
      <c r="M1216" s="135">
        <v>3.7259471790165602E-2</v>
      </c>
      <c r="N1216" s="135">
        <v>4.81287472994507E-2</v>
      </c>
      <c r="O1216" s="135">
        <v>3.5407499175242302E-2</v>
      </c>
      <c r="P1216" s="135">
        <v>2.0528073654264602E-2</v>
      </c>
      <c r="Q1216" s="135">
        <v>1.4161754048229299E-2</v>
      </c>
      <c r="R1216" s="135">
        <v>1.7977795437861301E-2</v>
      </c>
      <c r="S1216" s="135">
        <v>2.0199474998432301E-2</v>
      </c>
      <c r="T1216" s="135">
        <v>2.1420776514346401E-2</v>
      </c>
      <c r="U1216" s="135">
        <v>2.3047899601285501E-2</v>
      </c>
      <c r="V1216" s="135">
        <v>2.01939171587644E-2</v>
      </c>
      <c r="W1216" s="135">
        <v>2.7168544383312201E-2</v>
      </c>
      <c r="X1216" s="135">
        <v>4.1922277228623302E-2</v>
      </c>
      <c r="Y1216" s="135">
        <v>4.42720525091755E-2</v>
      </c>
      <c r="Z1216" s="135">
        <v>4.6026164771830198E-2</v>
      </c>
      <c r="AA1216" s="135">
        <v>4.3777967317773302E-2</v>
      </c>
      <c r="AB1216" s="135">
        <v>3.4405093727997202E-2</v>
      </c>
      <c r="AC1216" s="135">
        <v>2.1326718263752101E-2</v>
      </c>
      <c r="AD1216" s="135">
        <v>1.42261215449142E-2</v>
      </c>
      <c r="AF1216" s="243">
        <f t="shared" si="21"/>
        <v>0.14417016214223141</v>
      </c>
      <c r="AG1216" s="275">
        <f t="shared" si="22"/>
        <v>0.2548381126590708</v>
      </c>
      <c r="AH1216" s="391">
        <f t="shared" si="23"/>
        <v>0.34660742517044768</v>
      </c>
      <c r="AI1216" s="135">
        <f t="shared" si="24"/>
        <v>0.60144553782951848</v>
      </c>
    </row>
    <row r="1217" spans="1:35" ht="12.6">
      <c r="A1217" s="10" t="s">
        <v>1516</v>
      </c>
      <c r="B1217" s="10">
        <v>121</v>
      </c>
      <c r="C1217" s="10" t="s">
        <v>1513</v>
      </c>
      <c r="D1217" s="388">
        <v>45047</v>
      </c>
      <c r="E1217" s="389">
        <v>45047</v>
      </c>
      <c r="F1217" s="390" t="str">
        <f t="shared" si="20"/>
        <v>Space heating &amp; cooling</v>
      </c>
      <c r="G1217" s="135">
        <v>1.02047408638502E-2</v>
      </c>
      <c r="H1217" s="135">
        <v>1.06091008009914E-2</v>
      </c>
      <c r="I1217" s="135">
        <v>1.0314901939932499E-2</v>
      </c>
      <c r="J1217" s="135">
        <v>1.14956345272469E-2</v>
      </c>
      <c r="K1217" s="135">
        <v>1.5418561530689099E-2</v>
      </c>
      <c r="L1217" s="135">
        <v>2.6984015042972799E-2</v>
      </c>
      <c r="M1217" s="135">
        <v>6.4210113976539501E-2</v>
      </c>
      <c r="N1217" s="135">
        <v>5.1201121055468202E-2</v>
      </c>
      <c r="O1217" s="135">
        <v>1.7758816933901699E-2</v>
      </c>
      <c r="P1217" s="135">
        <v>7.8302602586143594E-3</v>
      </c>
      <c r="Q1217" s="135">
        <v>6.0948801867032202E-3</v>
      </c>
      <c r="R1217" s="135">
        <v>6.3611866896000199E-3</v>
      </c>
      <c r="S1217" s="135">
        <v>6.9639909338950097E-3</v>
      </c>
      <c r="T1217" s="135">
        <v>9.6080372699486796E-3</v>
      </c>
      <c r="U1217" s="135">
        <v>1.2860713429087799E-2</v>
      </c>
      <c r="V1217" s="135">
        <v>1.94974816098724E-2</v>
      </c>
      <c r="W1217" s="135">
        <v>2.6716767087070398E-2</v>
      </c>
      <c r="X1217" s="135">
        <v>4.6988741684763101E-2</v>
      </c>
      <c r="Y1217" s="135">
        <v>5.46292844388876E-2</v>
      </c>
      <c r="Z1217" s="135">
        <v>5.7393753737374403E-2</v>
      </c>
      <c r="AA1217" s="135">
        <v>5.3047301334796002E-2</v>
      </c>
      <c r="AB1217" s="135">
        <v>3.6988199671513199E-2</v>
      </c>
      <c r="AC1217" s="135">
        <v>1.8832840555165702E-2</v>
      </c>
      <c r="AD1217" s="135">
        <v>1.30629859432664E-2</v>
      </c>
      <c r="AF1217" s="243">
        <f t="shared" si="21"/>
        <v>8.8103057206177518E-2</v>
      </c>
      <c r="AG1217" s="275">
        <f t="shared" si="22"/>
        <v>0.25677988551052866</v>
      </c>
      <c r="AH1217" s="391">
        <f t="shared" si="23"/>
        <v>0.33829354599162176</v>
      </c>
      <c r="AI1217" s="135">
        <f t="shared" si="24"/>
        <v>0.59507343150215042</v>
      </c>
    </row>
    <row r="1218" spans="1:35" ht="12.6">
      <c r="A1218" s="10" t="s">
        <v>1516</v>
      </c>
      <c r="B1218" s="10">
        <v>122</v>
      </c>
      <c r="C1218" s="10" t="s">
        <v>1513</v>
      </c>
      <c r="D1218" s="388">
        <v>45048</v>
      </c>
      <c r="E1218" s="389">
        <v>45048</v>
      </c>
      <c r="F1218" s="390" t="str">
        <f t="shared" si="20"/>
        <v>Space heating &amp; cooling</v>
      </c>
      <c r="G1218" s="135">
        <v>1.02047408638502E-2</v>
      </c>
      <c r="H1218" s="135">
        <v>1.06091008009914E-2</v>
      </c>
      <c r="I1218" s="135">
        <v>1.0314901939932499E-2</v>
      </c>
      <c r="J1218" s="135">
        <v>1.14956345272469E-2</v>
      </c>
      <c r="K1218" s="135">
        <v>1.5418561530689099E-2</v>
      </c>
      <c r="L1218" s="135">
        <v>2.6984015042972799E-2</v>
      </c>
      <c r="M1218" s="135">
        <v>6.4210113976539501E-2</v>
      </c>
      <c r="N1218" s="135">
        <v>5.1201121055468202E-2</v>
      </c>
      <c r="O1218" s="135">
        <v>1.7758816933901699E-2</v>
      </c>
      <c r="P1218" s="135">
        <v>7.8302602586143594E-3</v>
      </c>
      <c r="Q1218" s="135">
        <v>6.0948801867032202E-3</v>
      </c>
      <c r="R1218" s="135">
        <v>6.3611866896000199E-3</v>
      </c>
      <c r="S1218" s="135">
        <v>6.9639909338950097E-3</v>
      </c>
      <c r="T1218" s="135">
        <v>9.6080372699486796E-3</v>
      </c>
      <c r="U1218" s="135">
        <v>1.2860713429087799E-2</v>
      </c>
      <c r="V1218" s="135">
        <v>1.94974816098724E-2</v>
      </c>
      <c r="W1218" s="135">
        <v>2.6716767087070398E-2</v>
      </c>
      <c r="X1218" s="135">
        <v>4.6988741684763101E-2</v>
      </c>
      <c r="Y1218" s="135">
        <v>5.46292844388876E-2</v>
      </c>
      <c r="Z1218" s="135">
        <v>5.7393753737374403E-2</v>
      </c>
      <c r="AA1218" s="135">
        <v>5.3047301334796002E-2</v>
      </c>
      <c r="AB1218" s="135">
        <v>3.6988199671513199E-2</v>
      </c>
      <c r="AC1218" s="135">
        <v>1.8832840555165702E-2</v>
      </c>
      <c r="AD1218" s="135">
        <v>1.30629859432664E-2</v>
      </c>
      <c r="AF1218" s="243">
        <f t="shared" si="21"/>
        <v>8.8103057206177518E-2</v>
      </c>
      <c r="AG1218" s="275">
        <f t="shared" si="22"/>
        <v>0.25677988551052866</v>
      </c>
      <c r="AH1218" s="391">
        <f t="shared" si="23"/>
        <v>0.33829354599162176</v>
      </c>
      <c r="AI1218" s="135">
        <f t="shared" si="24"/>
        <v>0.59507343150215042</v>
      </c>
    </row>
    <row r="1219" spans="1:35" ht="12.6">
      <c r="A1219" s="10" t="s">
        <v>1516</v>
      </c>
      <c r="B1219" s="10">
        <v>123</v>
      </c>
      <c r="C1219" s="10" t="s">
        <v>1513</v>
      </c>
      <c r="D1219" s="388">
        <v>45049</v>
      </c>
      <c r="E1219" s="389">
        <v>45049</v>
      </c>
      <c r="F1219" s="390" t="str">
        <f t="shared" si="20"/>
        <v>Space heating &amp; cooling</v>
      </c>
      <c r="G1219" s="135">
        <v>1.02047408638502E-2</v>
      </c>
      <c r="H1219" s="135">
        <v>1.06091008009914E-2</v>
      </c>
      <c r="I1219" s="135">
        <v>1.0314901939932499E-2</v>
      </c>
      <c r="J1219" s="135">
        <v>1.14956345272469E-2</v>
      </c>
      <c r="K1219" s="135">
        <v>1.5418561530689099E-2</v>
      </c>
      <c r="L1219" s="135">
        <v>2.6984015042972799E-2</v>
      </c>
      <c r="M1219" s="135">
        <v>6.4210113976539501E-2</v>
      </c>
      <c r="N1219" s="135">
        <v>5.1201121055468202E-2</v>
      </c>
      <c r="O1219" s="135">
        <v>1.7758816933901699E-2</v>
      </c>
      <c r="P1219" s="135">
        <v>7.8302602586143594E-3</v>
      </c>
      <c r="Q1219" s="135">
        <v>6.0948801867032202E-3</v>
      </c>
      <c r="R1219" s="135">
        <v>6.3611866896000199E-3</v>
      </c>
      <c r="S1219" s="135">
        <v>6.9639909338950097E-3</v>
      </c>
      <c r="T1219" s="135">
        <v>9.6080372699486796E-3</v>
      </c>
      <c r="U1219" s="135">
        <v>1.2860713429087799E-2</v>
      </c>
      <c r="V1219" s="135">
        <v>1.94974816098724E-2</v>
      </c>
      <c r="W1219" s="135">
        <v>2.6716767087070398E-2</v>
      </c>
      <c r="X1219" s="135">
        <v>4.6988741684763101E-2</v>
      </c>
      <c r="Y1219" s="135">
        <v>5.46292844388876E-2</v>
      </c>
      <c r="Z1219" s="135">
        <v>5.7393753737374403E-2</v>
      </c>
      <c r="AA1219" s="135">
        <v>5.3047301334796002E-2</v>
      </c>
      <c r="AB1219" s="135">
        <v>3.6988199671513199E-2</v>
      </c>
      <c r="AC1219" s="135">
        <v>1.8832840555165702E-2</v>
      </c>
      <c r="AD1219" s="135">
        <v>1.30629859432664E-2</v>
      </c>
      <c r="AF1219" s="243">
        <f t="shared" si="21"/>
        <v>8.8103057206177518E-2</v>
      </c>
      <c r="AG1219" s="275">
        <f t="shared" si="22"/>
        <v>0.25677988551052866</v>
      </c>
      <c r="AH1219" s="391">
        <f t="shared" si="23"/>
        <v>0.33829354599162176</v>
      </c>
      <c r="AI1219" s="135">
        <f t="shared" si="24"/>
        <v>0.59507343150215042</v>
      </c>
    </row>
    <row r="1220" spans="1:35" ht="12.6">
      <c r="A1220" s="10" t="s">
        <v>1516</v>
      </c>
      <c r="B1220" s="10">
        <v>124</v>
      </c>
      <c r="C1220" s="10" t="s">
        <v>1513</v>
      </c>
      <c r="D1220" s="388">
        <v>45050</v>
      </c>
      <c r="E1220" s="389">
        <v>45050</v>
      </c>
      <c r="F1220" s="390" t="str">
        <f t="shared" si="20"/>
        <v>Space heating &amp; cooling</v>
      </c>
      <c r="G1220" s="135">
        <v>1.02047408638502E-2</v>
      </c>
      <c r="H1220" s="135">
        <v>1.06091008009914E-2</v>
      </c>
      <c r="I1220" s="135">
        <v>1.0314901939932499E-2</v>
      </c>
      <c r="J1220" s="135">
        <v>1.14956345272469E-2</v>
      </c>
      <c r="K1220" s="135">
        <v>1.5418561530689099E-2</v>
      </c>
      <c r="L1220" s="135">
        <v>2.6984015042972799E-2</v>
      </c>
      <c r="M1220" s="135">
        <v>6.4210113976539501E-2</v>
      </c>
      <c r="N1220" s="135">
        <v>5.1201121055468202E-2</v>
      </c>
      <c r="O1220" s="135">
        <v>1.7758816933901699E-2</v>
      </c>
      <c r="P1220" s="135">
        <v>7.8302602586143594E-3</v>
      </c>
      <c r="Q1220" s="135">
        <v>6.0948801867032202E-3</v>
      </c>
      <c r="R1220" s="135">
        <v>6.3611866896000199E-3</v>
      </c>
      <c r="S1220" s="135">
        <v>6.9639909338950097E-3</v>
      </c>
      <c r="T1220" s="135">
        <v>9.6080372699486796E-3</v>
      </c>
      <c r="U1220" s="135">
        <v>1.2860713429087799E-2</v>
      </c>
      <c r="V1220" s="135">
        <v>1.94974816098724E-2</v>
      </c>
      <c r="W1220" s="135">
        <v>2.6716767087070398E-2</v>
      </c>
      <c r="X1220" s="135">
        <v>4.6988741684763101E-2</v>
      </c>
      <c r="Y1220" s="135">
        <v>5.46292844388876E-2</v>
      </c>
      <c r="Z1220" s="135">
        <v>5.7393753737374403E-2</v>
      </c>
      <c r="AA1220" s="135">
        <v>5.3047301334796002E-2</v>
      </c>
      <c r="AB1220" s="135">
        <v>3.6988199671513199E-2</v>
      </c>
      <c r="AC1220" s="135">
        <v>1.8832840555165702E-2</v>
      </c>
      <c r="AD1220" s="135">
        <v>1.30629859432664E-2</v>
      </c>
      <c r="AF1220" s="243">
        <f t="shared" si="21"/>
        <v>8.8103057206177518E-2</v>
      </c>
      <c r="AG1220" s="275">
        <f t="shared" si="22"/>
        <v>0.25677988551052866</v>
      </c>
      <c r="AH1220" s="391">
        <f t="shared" si="23"/>
        <v>0.33829354599162176</v>
      </c>
      <c r="AI1220" s="135">
        <f t="shared" si="24"/>
        <v>0.59507343150215042</v>
      </c>
    </row>
    <row r="1221" spans="1:35" ht="12.6">
      <c r="A1221" s="10" t="s">
        <v>1516</v>
      </c>
      <c r="B1221" s="10">
        <v>125</v>
      </c>
      <c r="C1221" s="10" t="s">
        <v>1513</v>
      </c>
      <c r="D1221" s="388">
        <v>45051</v>
      </c>
      <c r="E1221" s="389">
        <v>45051</v>
      </c>
      <c r="F1221" s="390" t="str">
        <f t="shared" si="20"/>
        <v>Space heating &amp; cooling</v>
      </c>
      <c r="G1221" s="135">
        <v>1.02047408638502E-2</v>
      </c>
      <c r="H1221" s="135">
        <v>1.06091008009914E-2</v>
      </c>
      <c r="I1221" s="135">
        <v>1.0314901939932499E-2</v>
      </c>
      <c r="J1221" s="135">
        <v>1.14956345272469E-2</v>
      </c>
      <c r="K1221" s="135">
        <v>1.5418561530689099E-2</v>
      </c>
      <c r="L1221" s="135">
        <v>2.6984015042972799E-2</v>
      </c>
      <c r="M1221" s="135">
        <v>6.4210113976539501E-2</v>
      </c>
      <c r="N1221" s="135">
        <v>5.1201121055468202E-2</v>
      </c>
      <c r="O1221" s="135">
        <v>1.7758816933901699E-2</v>
      </c>
      <c r="P1221" s="135">
        <v>7.8302602586143594E-3</v>
      </c>
      <c r="Q1221" s="135">
        <v>6.0948801867032202E-3</v>
      </c>
      <c r="R1221" s="135">
        <v>6.3611866896000199E-3</v>
      </c>
      <c r="S1221" s="135">
        <v>6.9639909338950097E-3</v>
      </c>
      <c r="T1221" s="135">
        <v>9.6080372699486796E-3</v>
      </c>
      <c r="U1221" s="135">
        <v>1.2860713429087799E-2</v>
      </c>
      <c r="V1221" s="135">
        <v>1.94974816098724E-2</v>
      </c>
      <c r="W1221" s="135">
        <v>2.6716767087070398E-2</v>
      </c>
      <c r="X1221" s="135">
        <v>4.6988741684763101E-2</v>
      </c>
      <c r="Y1221" s="135">
        <v>5.46292844388876E-2</v>
      </c>
      <c r="Z1221" s="135">
        <v>5.7393753737374403E-2</v>
      </c>
      <c r="AA1221" s="135">
        <v>5.3047301334796002E-2</v>
      </c>
      <c r="AB1221" s="135">
        <v>3.6988199671513199E-2</v>
      </c>
      <c r="AC1221" s="135">
        <v>1.8832840555165702E-2</v>
      </c>
      <c r="AD1221" s="135">
        <v>1.30629859432664E-2</v>
      </c>
      <c r="AF1221" s="243">
        <f t="shared" si="21"/>
        <v>8.8103057206177518E-2</v>
      </c>
      <c r="AG1221" s="275">
        <f t="shared" si="22"/>
        <v>0.25677988551052866</v>
      </c>
      <c r="AH1221" s="391">
        <f t="shared" si="23"/>
        <v>0.33829354599162176</v>
      </c>
      <c r="AI1221" s="135">
        <f t="shared" si="24"/>
        <v>0.59507343150215042</v>
      </c>
    </row>
    <row r="1222" spans="1:35" ht="12.6">
      <c r="A1222" s="10" t="s">
        <v>1516</v>
      </c>
      <c r="B1222" s="10">
        <v>126</v>
      </c>
      <c r="C1222" s="10" t="s">
        <v>1513</v>
      </c>
      <c r="D1222" s="388">
        <v>45052</v>
      </c>
      <c r="E1222" s="389">
        <v>45052</v>
      </c>
      <c r="F1222" s="390" t="str">
        <f t="shared" si="20"/>
        <v>Space heating &amp; cooling</v>
      </c>
      <c r="G1222" s="135">
        <v>8.7869372028316507E-3</v>
      </c>
      <c r="H1222" s="135">
        <v>8.51607902002521E-3</v>
      </c>
      <c r="I1222" s="135">
        <v>9.7324507019692294E-3</v>
      </c>
      <c r="J1222" s="135">
        <v>1.0210117766509E-2</v>
      </c>
      <c r="K1222" s="135">
        <v>1.2311891831069399E-2</v>
      </c>
      <c r="L1222" s="135">
        <v>2.0437711881693701E-2</v>
      </c>
      <c r="M1222" s="135">
        <v>3.7259471790165602E-2</v>
      </c>
      <c r="N1222" s="135">
        <v>4.81287472994507E-2</v>
      </c>
      <c r="O1222" s="135">
        <v>3.5407499175242302E-2</v>
      </c>
      <c r="P1222" s="135">
        <v>2.0528073654264602E-2</v>
      </c>
      <c r="Q1222" s="135">
        <v>1.4161754048229299E-2</v>
      </c>
      <c r="R1222" s="135">
        <v>1.7977795437861301E-2</v>
      </c>
      <c r="S1222" s="135">
        <v>2.0199474998432301E-2</v>
      </c>
      <c r="T1222" s="135">
        <v>2.1420776514346401E-2</v>
      </c>
      <c r="U1222" s="135">
        <v>2.3047899601285501E-2</v>
      </c>
      <c r="V1222" s="135">
        <v>2.01939171587644E-2</v>
      </c>
      <c r="W1222" s="135">
        <v>2.7168544383312201E-2</v>
      </c>
      <c r="X1222" s="135">
        <v>4.1922277228623302E-2</v>
      </c>
      <c r="Y1222" s="135">
        <v>4.42720525091755E-2</v>
      </c>
      <c r="Z1222" s="135">
        <v>4.6026164771830198E-2</v>
      </c>
      <c r="AA1222" s="135">
        <v>4.3777967317773302E-2</v>
      </c>
      <c r="AB1222" s="135">
        <v>3.4405093727997202E-2</v>
      </c>
      <c r="AC1222" s="135">
        <v>2.1326718263752101E-2</v>
      </c>
      <c r="AD1222" s="135">
        <v>1.42261215449142E-2</v>
      </c>
      <c r="AF1222" s="243">
        <f t="shared" si="21"/>
        <v>0.14417016214223141</v>
      </c>
      <c r="AG1222" s="275">
        <f t="shared" si="22"/>
        <v>0.2548381126590708</v>
      </c>
      <c r="AH1222" s="391">
        <f t="shared" si="23"/>
        <v>0.34660742517044768</v>
      </c>
      <c r="AI1222" s="135">
        <f t="shared" si="24"/>
        <v>0.60144553782951848</v>
      </c>
    </row>
    <row r="1223" spans="1:35" ht="12.6">
      <c r="A1223" s="10" t="s">
        <v>1516</v>
      </c>
      <c r="B1223" s="10">
        <v>127</v>
      </c>
      <c r="C1223" s="10" t="s">
        <v>1513</v>
      </c>
      <c r="D1223" s="388">
        <v>45053</v>
      </c>
      <c r="E1223" s="389">
        <v>45053</v>
      </c>
      <c r="F1223" s="390" t="str">
        <f t="shared" si="20"/>
        <v>Space heating &amp; cooling</v>
      </c>
      <c r="G1223" s="135">
        <v>8.7869372028316507E-3</v>
      </c>
      <c r="H1223" s="135">
        <v>8.51607902002521E-3</v>
      </c>
      <c r="I1223" s="135">
        <v>9.7324507019692294E-3</v>
      </c>
      <c r="J1223" s="135">
        <v>1.0210117766509E-2</v>
      </c>
      <c r="K1223" s="135">
        <v>1.2311891831069399E-2</v>
      </c>
      <c r="L1223" s="135">
        <v>2.0437711881693701E-2</v>
      </c>
      <c r="M1223" s="135">
        <v>3.7259471790165602E-2</v>
      </c>
      <c r="N1223" s="135">
        <v>4.81287472994507E-2</v>
      </c>
      <c r="O1223" s="135">
        <v>3.5407499175242302E-2</v>
      </c>
      <c r="P1223" s="135">
        <v>2.0528073654264602E-2</v>
      </c>
      <c r="Q1223" s="135">
        <v>1.4161754048229299E-2</v>
      </c>
      <c r="R1223" s="135">
        <v>1.7977795437861301E-2</v>
      </c>
      <c r="S1223" s="135">
        <v>2.0199474998432301E-2</v>
      </c>
      <c r="T1223" s="135">
        <v>2.1420776514346401E-2</v>
      </c>
      <c r="U1223" s="135">
        <v>2.3047899601285501E-2</v>
      </c>
      <c r="V1223" s="135">
        <v>2.01939171587644E-2</v>
      </c>
      <c r="W1223" s="135">
        <v>2.7168544383312201E-2</v>
      </c>
      <c r="X1223" s="135">
        <v>4.1922277228623302E-2</v>
      </c>
      <c r="Y1223" s="135">
        <v>4.42720525091755E-2</v>
      </c>
      <c r="Z1223" s="135">
        <v>4.6026164771830198E-2</v>
      </c>
      <c r="AA1223" s="135">
        <v>4.3777967317773302E-2</v>
      </c>
      <c r="AB1223" s="135">
        <v>3.4405093727997202E-2</v>
      </c>
      <c r="AC1223" s="135">
        <v>2.1326718263752101E-2</v>
      </c>
      <c r="AD1223" s="135">
        <v>1.42261215449142E-2</v>
      </c>
      <c r="AF1223" s="243">
        <f t="shared" si="21"/>
        <v>0.14417016214223141</v>
      </c>
      <c r="AG1223" s="275">
        <f t="shared" si="22"/>
        <v>0.2548381126590708</v>
      </c>
      <c r="AH1223" s="391">
        <f t="shared" si="23"/>
        <v>0.34660742517044768</v>
      </c>
      <c r="AI1223" s="135">
        <f t="shared" si="24"/>
        <v>0.60144553782951848</v>
      </c>
    </row>
    <row r="1224" spans="1:35" ht="12.6">
      <c r="A1224" s="10" t="s">
        <v>1516</v>
      </c>
      <c r="B1224" s="10">
        <v>128</v>
      </c>
      <c r="C1224" s="10" t="s">
        <v>1513</v>
      </c>
      <c r="D1224" s="388">
        <v>45054</v>
      </c>
      <c r="E1224" s="389">
        <v>45054</v>
      </c>
      <c r="F1224" s="390" t="str">
        <f t="shared" si="20"/>
        <v>Space heating &amp; cooling</v>
      </c>
      <c r="G1224" s="135">
        <v>1.02047408638502E-2</v>
      </c>
      <c r="H1224" s="135">
        <v>1.06091008009914E-2</v>
      </c>
      <c r="I1224" s="135">
        <v>1.0314901939932499E-2</v>
      </c>
      <c r="J1224" s="135">
        <v>1.14956345272469E-2</v>
      </c>
      <c r="K1224" s="135">
        <v>1.5418561530689099E-2</v>
      </c>
      <c r="L1224" s="135">
        <v>2.6984015042972799E-2</v>
      </c>
      <c r="M1224" s="135">
        <v>6.4210113976539501E-2</v>
      </c>
      <c r="N1224" s="135">
        <v>5.1201121055468202E-2</v>
      </c>
      <c r="O1224" s="135">
        <v>1.7758816933901699E-2</v>
      </c>
      <c r="P1224" s="135">
        <v>7.8302602586143594E-3</v>
      </c>
      <c r="Q1224" s="135">
        <v>6.0948801867032202E-3</v>
      </c>
      <c r="R1224" s="135">
        <v>6.3611866896000199E-3</v>
      </c>
      <c r="S1224" s="135">
        <v>6.9639909338950097E-3</v>
      </c>
      <c r="T1224" s="135">
        <v>9.6080372699486796E-3</v>
      </c>
      <c r="U1224" s="135">
        <v>1.2860713429087799E-2</v>
      </c>
      <c r="V1224" s="135">
        <v>1.94974816098724E-2</v>
      </c>
      <c r="W1224" s="135">
        <v>2.6716767087070398E-2</v>
      </c>
      <c r="X1224" s="135">
        <v>4.6988741684763101E-2</v>
      </c>
      <c r="Y1224" s="135">
        <v>5.46292844388876E-2</v>
      </c>
      <c r="Z1224" s="135">
        <v>5.7393753737374403E-2</v>
      </c>
      <c r="AA1224" s="135">
        <v>5.3047301334796002E-2</v>
      </c>
      <c r="AB1224" s="135">
        <v>3.6988199671513199E-2</v>
      </c>
      <c r="AC1224" s="135">
        <v>1.8832840555165702E-2</v>
      </c>
      <c r="AD1224" s="135">
        <v>1.30629859432664E-2</v>
      </c>
      <c r="AF1224" s="243">
        <f t="shared" si="21"/>
        <v>8.8103057206177518E-2</v>
      </c>
      <c r="AG1224" s="275">
        <f t="shared" si="22"/>
        <v>0.25677988551052866</v>
      </c>
      <c r="AH1224" s="391">
        <f t="shared" si="23"/>
        <v>0.33829354599162176</v>
      </c>
      <c r="AI1224" s="135">
        <f t="shared" si="24"/>
        <v>0.59507343150215042</v>
      </c>
    </row>
    <row r="1225" spans="1:35" ht="12.6">
      <c r="A1225" s="10" t="s">
        <v>1516</v>
      </c>
      <c r="B1225" s="10">
        <v>129</v>
      </c>
      <c r="C1225" s="10" t="s">
        <v>1513</v>
      </c>
      <c r="D1225" s="388">
        <v>45055</v>
      </c>
      <c r="E1225" s="389">
        <v>45055</v>
      </c>
      <c r="F1225" s="390" t="str">
        <f t="shared" si="20"/>
        <v>Space heating &amp; cooling</v>
      </c>
      <c r="G1225" s="135">
        <v>1.02047408638502E-2</v>
      </c>
      <c r="H1225" s="135">
        <v>1.06091008009914E-2</v>
      </c>
      <c r="I1225" s="135">
        <v>1.0314901939932499E-2</v>
      </c>
      <c r="J1225" s="135">
        <v>1.14956345272469E-2</v>
      </c>
      <c r="K1225" s="135">
        <v>1.5418561530689099E-2</v>
      </c>
      <c r="L1225" s="135">
        <v>2.6984015042972799E-2</v>
      </c>
      <c r="M1225" s="135">
        <v>6.4210113976539501E-2</v>
      </c>
      <c r="N1225" s="135">
        <v>5.1201121055468202E-2</v>
      </c>
      <c r="O1225" s="135">
        <v>1.7758816933901699E-2</v>
      </c>
      <c r="P1225" s="135">
        <v>7.8302602586143594E-3</v>
      </c>
      <c r="Q1225" s="135">
        <v>6.0948801867032202E-3</v>
      </c>
      <c r="R1225" s="135">
        <v>6.3611866896000199E-3</v>
      </c>
      <c r="S1225" s="135">
        <v>6.9639909338950097E-3</v>
      </c>
      <c r="T1225" s="135">
        <v>9.6080372699486796E-3</v>
      </c>
      <c r="U1225" s="135">
        <v>1.2860713429087799E-2</v>
      </c>
      <c r="V1225" s="135">
        <v>1.94974816098724E-2</v>
      </c>
      <c r="W1225" s="135">
        <v>2.6716767087070398E-2</v>
      </c>
      <c r="X1225" s="135">
        <v>4.6988741684763101E-2</v>
      </c>
      <c r="Y1225" s="135">
        <v>5.46292844388876E-2</v>
      </c>
      <c r="Z1225" s="135">
        <v>5.7393753737374403E-2</v>
      </c>
      <c r="AA1225" s="135">
        <v>5.3047301334796002E-2</v>
      </c>
      <c r="AB1225" s="135">
        <v>3.6988199671513199E-2</v>
      </c>
      <c r="AC1225" s="135">
        <v>1.8832840555165702E-2</v>
      </c>
      <c r="AD1225" s="135">
        <v>1.30629859432664E-2</v>
      </c>
      <c r="AF1225" s="243">
        <f t="shared" si="21"/>
        <v>8.8103057206177518E-2</v>
      </c>
      <c r="AG1225" s="275">
        <f t="shared" si="22"/>
        <v>0.25677988551052866</v>
      </c>
      <c r="AH1225" s="391">
        <f t="shared" si="23"/>
        <v>0.33829354599162176</v>
      </c>
      <c r="AI1225" s="135">
        <f t="shared" si="24"/>
        <v>0.59507343150215042</v>
      </c>
    </row>
    <row r="1226" spans="1:35" ht="12.6">
      <c r="A1226" s="10" t="s">
        <v>1516</v>
      </c>
      <c r="B1226" s="10">
        <v>130</v>
      </c>
      <c r="C1226" s="10" t="s">
        <v>1513</v>
      </c>
      <c r="D1226" s="388">
        <v>45056</v>
      </c>
      <c r="E1226" s="389">
        <v>45056</v>
      </c>
      <c r="F1226" s="390" t="str">
        <f t="shared" si="20"/>
        <v>Space heating &amp; cooling</v>
      </c>
      <c r="G1226" s="135">
        <v>1.02047408638502E-2</v>
      </c>
      <c r="H1226" s="135">
        <v>1.06091008009914E-2</v>
      </c>
      <c r="I1226" s="135">
        <v>1.0314901939932499E-2</v>
      </c>
      <c r="J1226" s="135">
        <v>1.14956345272469E-2</v>
      </c>
      <c r="K1226" s="135">
        <v>1.5418561530689099E-2</v>
      </c>
      <c r="L1226" s="135">
        <v>2.6984015042972799E-2</v>
      </c>
      <c r="M1226" s="135">
        <v>6.4210113976539501E-2</v>
      </c>
      <c r="N1226" s="135">
        <v>5.1201121055468202E-2</v>
      </c>
      <c r="O1226" s="135">
        <v>1.7758816933901699E-2</v>
      </c>
      <c r="P1226" s="135">
        <v>7.8302602586143594E-3</v>
      </c>
      <c r="Q1226" s="135">
        <v>6.0948801867032202E-3</v>
      </c>
      <c r="R1226" s="135">
        <v>6.3611866896000199E-3</v>
      </c>
      <c r="S1226" s="135">
        <v>6.9639909338950097E-3</v>
      </c>
      <c r="T1226" s="135">
        <v>9.6080372699486796E-3</v>
      </c>
      <c r="U1226" s="135">
        <v>1.2860713429087799E-2</v>
      </c>
      <c r="V1226" s="135">
        <v>1.94974816098724E-2</v>
      </c>
      <c r="W1226" s="135">
        <v>2.6716767087070398E-2</v>
      </c>
      <c r="X1226" s="135">
        <v>4.6988741684763101E-2</v>
      </c>
      <c r="Y1226" s="135">
        <v>5.46292844388876E-2</v>
      </c>
      <c r="Z1226" s="135">
        <v>5.7393753737374403E-2</v>
      </c>
      <c r="AA1226" s="135">
        <v>5.3047301334796002E-2</v>
      </c>
      <c r="AB1226" s="135">
        <v>3.6988199671513199E-2</v>
      </c>
      <c r="AC1226" s="135">
        <v>1.8832840555165702E-2</v>
      </c>
      <c r="AD1226" s="135">
        <v>1.30629859432664E-2</v>
      </c>
      <c r="AF1226" s="243">
        <f t="shared" si="21"/>
        <v>8.8103057206177518E-2</v>
      </c>
      <c r="AG1226" s="275">
        <f t="shared" si="22"/>
        <v>0.25677988551052866</v>
      </c>
      <c r="AH1226" s="391">
        <f t="shared" si="23"/>
        <v>0.33829354599162176</v>
      </c>
      <c r="AI1226" s="135">
        <f t="shared" si="24"/>
        <v>0.59507343150215042</v>
      </c>
    </row>
    <row r="1227" spans="1:35" ht="12.6">
      <c r="A1227" s="10" t="s">
        <v>1516</v>
      </c>
      <c r="B1227" s="10">
        <v>131</v>
      </c>
      <c r="C1227" s="10" t="s">
        <v>1513</v>
      </c>
      <c r="D1227" s="388">
        <v>45057</v>
      </c>
      <c r="E1227" s="389">
        <v>45057</v>
      </c>
      <c r="F1227" s="390" t="str">
        <f t="shared" si="20"/>
        <v>Space heating &amp; cooling</v>
      </c>
      <c r="G1227" s="135">
        <v>1.02047408638502E-2</v>
      </c>
      <c r="H1227" s="135">
        <v>1.06091008009914E-2</v>
      </c>
      <c r="I1227" s="135">
        <v>1.0314901939932499E-2</v>
      </c>
      <c r="J1227" s="135">
        <v>1.14956345272469E-2</v>
      </c>
      <c r="K1227" s="135">
        <v>1.5418561530689099E-2</v>
      </c>
      <c r="L1227" s="135">
        <v>2.6984015042972799E-2</v>
      </c>
      <c r="M1227" s="135">
        <v>6.4210113976539501E-2</v>
      </c>
      <c r="N1227" s="135">
        <v>5.1201121055468202E-2</v>
      </c>
      <c r="O1227" s="135">
        <v>1.7758816933901699E-2</v>
      </c>
      <c r="P1227" s="135">
        <v>7.8302602586143594E-3</v>
      </c>
      <c r="Q1227" s="135">
        <v>6.0948801867032202E-3</v>
      </c>
      <c r="R1227" s="135">
        <v>6.3611866896000199E-3</v>
      </c>
      <c r="S1227" s="135">
        <v>6.9639909338950097E-3</v>
      </c>
      <c r="T1227" s="135">
        <v>9.6080372699486796E-3</v>
      </c>
      <c r="U1227" s="135">
        <v>1.2860713429087799E-2</v>
      </c>
      <c r="V1227" s="135">
        <v>1.94974816098724E-2</v>
      </c>
      <c r="W1227" s="135">
        <v>2.6716767087070398E-2</v>
      </c>
      <c r="X1227" s="135">
        <v>4.6988741684763101E-2</v>
      </c>
      <c r="Y1227" s="135">
        <v>5.46292844388876E-2</v>
      </c>
      <c r="Z1227" s="135">
        <v>5.7393753737374403E-2</v>
      </c>
      <c r="AA1227" s="135">
        <v>5.3047301334796002E-2</v>
      </c>
      <c r="AB1227" s="135">
        <v>3.6988199671513199E-2</v>
      </c>
      <c r="AC1227" s="135">
        <v>1.8832840555165702E-2</v>
      </c>
      <c r="AD1227" s="135">
        <v>1.30629859432664E-2</v>
      </c>
      <c r="AF1227" s="243">
        <f t="shared" si="21"/>
        <v>8.8103057206177518E-2</v>
      </c>
      <c r="AG1227" s="275">
        <f t="shared" si="22"/>
        <v>0.25677988551052866</v>
      </c>
      <c r="AH1227" s="391">
        <f t="shared" si="23"/>
        <v>0.33829354599162176</v>
      </c>
      <c r="AI1227" s="135">
        <f t="shared" si="24"/>
        <v>0.59507343150215042</v>
      </c>
    </row>
    <row r="1228" spans="1:35" ht="12.6">
      <c r="A1228" s="10" t="s">
        <v>1516</v>
      </c>
      <c r="B1228" s="10">
        <v>132</v>
      </c>
      <c r="C1228" s="10" t="s">
        <v>1513</v>
      </c>
      <c r="D1228" s="388">
        <v>45058</v>
      </c>
      <c r="E1228" s="389">
        <v>45058</v>
      </c>
      <c r="F1228" s="390" t="str">
        <f t="shared" si="20"/>
        <v>Space heating &amp; cooling</v>
      </c>
      <c r="G1228" s="135">
        <v>1.02047408638502E-2</v>
      </c>
      <c r="H1228" s="135">
        <v>1.06091008009914E-2</v>
      </c>
      <c r="I1228" s="135">
        <v>1.0314901939932499E-2</v>
      </c>
      <c r="J1228" s="135">
        <v>1.14956345272469E-2</v>
      </c>
      <c r="K1228" s="135">
        <v>1.5418561530689099E-2</v>
      </c>
      <c r="L1228" s="135">
        <v>2.6984015042972799E-2</v>
      </c>
      <c r="M1228" s="135">
        <v>6.4210113976539501E-2</v>
      </c>
      <c r="N1228" s="135">
        <v>5.1201121055468202E-2</v>
      </c>
      <c r="O1228" s="135">
        <v>1.7758816933901699E-2</v>
      </c>
      <c r="P1228" s="135">
        <v>7.8302602586143594E-3</v>
      </c>
      <c r="Q1228" s="135">
        <v>6.0948801867032202E-3</v>
      </c>
      <c r="R1228" s="135">
        <v>6.3611866896000199E-3</v>
      </c>
      <c r="S1228" s="135">
        <v>6.9639909338950097E-3</v>
      </c>
      <c r="T1228" s="135">
        <v>9.6080372699486796E-3</v>
      </c>
      <c r="U1228" s="135">
        <v>1.2860713429087799E-2</v>
      </c>
      <c r="V1228" s="135">
        <v>1.94974816098724E-2</v>
      </c>
      <c r="W1228" s="135">
        <v>2.6716767087070398E-2</v>
      </c>
      <c r="X1228" s="135">
        <v>4.6988741684763101E-2</v>
      </c>
      <c r="Y1228" s="135">
        <v>5.46292844388876E-2</v>
      </c>
      <c r="Z1228" s="135">
        <v>5.7393753737374403E-2</v>
      </c>
      <c r="AA1228" s="135">
        <v>5.3047301334796002E-2</v>
      </c>
      <c r="AB1228" s="135">
        <v>3.6988199671513199E-2</v>
      </c>
      <c r="AC1228" s="135">
        <v>1.8832840555165702E-2</v>
      </c>
      <c r="AD1228" s="135">
        <v>1.30629859432664E-2</v>
      </c>
      <c r="AF1228" s="243">
        <f t="shared" si="21"/>
        <v>8.8103057206177518E-2</v>
      </c>
      <c r="AG1228" s="275">
        <f t="shared" si="22"/>
        <v>0.25677988551052866</v>
      </c>
      <c r="AH1228" s="391">
        <f t="shared" si="23"/>
        <v>0.33829354599162176</v>
      </c>
      <c r="AI1228" s="135">
        <f t="shared" si="24"/>
        <v>0.59507343150215042</v>
      </c>
    </row>
    <row r="1229" spans="1:35" ht="12.6">
      <c r="A1229" s="10" t="s">
        <v>1516</v>
      </c>
      <c r="B1229" s="10">
        <v>133</v>
      </c>
      <c r="C1229" s="10" t="s">
        <v>1513</v>
      </c>
      <c r="D1229" s="388">
        <v>45059</v>
      </c>
      <c r="E1229" s="389">
        <v>45059</v>
      </c>
      <c r="F1229" s="390" t="str">
        <f t="shared" si="20"/>
        <v>Space heating &amp; cooling</v>
      </c>
      <c r="G1229" s="135">
        <v>8.7869372028316507E-3</v>
      </c>
      <c r="H1229" s="135">
        <v>8.51607902002521E-3</v>
      </c>
      <c r="I1229" s="135">
        <v>9.7324507019692294E-3</v>
      </c>
      <c r="J1229" s="135">
        <v>1.0210117766509E-2</v>
      </c>
      <c r="K1229" s="135">
        <v>1.2311891831069399E-2</v>
      </c>
      <c r="L1229" s="135">
        <v>2.0437711881693701E-2</v>
      </c>
      <c r="M1229" s="135">
        <v>3.7259471790165602E-2</v>
      </c>
      <c r="N1229" s="135">
        <v>4.81287472994507E-2</v>
      </c>
      <c r="O1229" s="135">
        <v>3.5407499175242302E-2</v>
      </c>
      <c r="P1229" s="135">
        <v>2.0528073654264602E-2</v>
      </c>
      <c r="Q1229" s="135">
        <v>1.4161754048229299E-2</v>
      </c>
      <c r="R1229" s="135">
        <v>1.7977795437861301E-2</v>
      </c>
      <c r="S1229" s="135">
        <v>2.0199474998432301E-2</v>
      </c>
      <c r="T1229" s="135">
        <v>2.1420776514346401E-2</v>
      </c>
      <c r="U1229" s="135">
        <v>2.3047899601285501E-2</v>
      </c>
      <c r="V1229" s="135">
        <v>2.01939171587644E-2</v>
      </c>
      <c r="W1229" s="135">
        <v>2.7168544383312201E-2</v>
      </c>
      <c r="X1229" s="135">
        <v>4.1922277228623302E-2</v>
      </c>
      <c r="Y1229" s="135">
        <v>4.42720525091755E-2</v>
      </c>
      <c r="Z1229" s="135">
        <v>4.6026164771830198E-2</v>
      </c>
      <c r="AA1229" s="135">
        <v>4.3777967317773302E-2</v>
      </c>
      <c r="AB1229" s="135">
        <v>3.4405093727997202E-2</v>
      </c>
      <c r="AC1229" s="135">
        <v>2.1326718263752101E-2</v>
      </c>
      <c r="AD1229" s="135">
        <v>1.42261215449142E-2</v>
      </c>
      <c r="AF1229" s="243">
        <f t="shared" si="21"/>
        <v>0.14417016214223141</v>
      </c>
      <c r="AG1229" s="275">
        <f t="shared" si="22"/>
        <v>0.2548381126590708</v>
      </c>
      <c r="AH1229" s="391">
        <f t="shared" si="23"/>
        <v>0.34660742517044768</v>
      </c>
      <c r="AI1229" s="135">
        <f t="shared" si="24"/>
        <v>0.60144553782951848</v>
      </c>
    </row>
    <row r="1230" spans="1:35" ht="12.6">
      <c r="A1230" s="10" t="s">
        <v>1516</v>
      </c>
      <c r="B1230" s="10">
        <v>134</v>
      </c>
      <c r="C1230" s="10" t="s">
        <v>1513</v>
      </c>
      <c r="D1230" s="388">
        <v>45060</v>
      </c>
      <c r="E1230" s="389">
        <v>45060</v>
      </c>
      <c r="F1230" s="390" t="str">
        <f t="shared" si="20"/>
        <v>Space heating &amp; cooling</v>
      </c>
      <c r="G1230" s="135">
        <v>8.7869372028316507E-3</v>
      </c>
      <c r="H1230" s="135">
        <v>8.51607902002521E-3</v>
      </c>
      <c r="I1230" s="135">
        <v>9.7324507019692294E-3</v>
      </c>
      <c r="J1230" s="135">
        <v>1.0210117766509E-2</v>
      </c>
      <c r="K1230" s="135">
        <v>1.2311891831069399E-2</v>
      </c>
      <c r="L1230" s="135">
        <v>2.0437711881693701E-2</v>
      </c>
      <c r="M1230" s="135">
        <v>3.7259471790165602E-2</v>
      </c>
      <c r="N1230" s="135">
        <v>4.81287472994507E-2</v>
      </c>
      <c r="O1230" s="135">
        <v>3.5407499175242302E-2</v>
      </c>
      <c r="P1230" s="135">
        <v>2.0528073654264602E-2</v>
      </c>
      <c r="Q1230" s="135">
        <v>1.4161754048229299E-2</v>
      </c>
      <c r="R1230" s="135">
        <v>1.7977795437861301E-2</v>
      </c>
      <c r="S1230" s="135">
        <v>2.0199474998432301E-2</v>
      </c>
      <c r="T1230" s="135">
        <v>2.1420776514346401E-2</v>
      </c>
      <c r="U1230" s="135">
        <v>2.3047899601285501E-2</v>
      </c>
      <c r="V1230" s="135">
        <v>2.01939171587644E-2</v>
      </c>
      <c r="W1230" s="135">
        <v>2.7168544383312201E-2</v>
      </c>
      <c r="X1230" s="135">
        <v>4.1922277228623302E-2</v>
      </c>
      <c r="Y1230" s="135">
        <v>4.42720525091755E-2</v>
      </c>
      <c r="Z1230" s="135">
        <v>4.6026164771830198E-2</v>
      </c>
      <c r="AA1230" s="135">
        <v>4.3777967317773302E-2</v>
      </c>
      <c r="AB1230" s="135">
        <v>3.4405093727997202E-2</v>
      </c>
      <c r="AC1230" s="135">
        <v>2.1326718263752101E-2</v>
      </c>
      <c r="AD1230" s="135">
        <v>1.42261215449142E-2</v>
      </c>
      <c r="AF1230" s="243">
        <f t="shared" si="21"/>
        <v>0.14417016214223141</v>
      </c>
      <c r="AG1230" s="275">
        <f t="shared" si="22"/>
        <v>0.2548381126590708</v>
      </c>
      <c r="AH1230" s="391">
        <f t="shared" si="23"/>
        <v>0.34660742517044768</v>
      </c>
      <c r="AI1230" s="135">
        <f t="shared" si="24"/>
        <v>0.60144553782951848</v>
      </c>
    </row>
    <row r="1231" spans="1:35" ht="12.6">
      <c r="A1231" s="10" t="s">
        <v>1516</v>
      </c>
      <c r="B1231" s="10">
        <v>135</v>
      </c>
      <c r="C1231" s="10" t="s">
        <v>1513</v>
      </c>
      <c r="D1231" s="388">
        <v>45061</v>
      </c>
      <c r="E1231" s="389">
        <v>45061</v>
      </c>
      <c r="F1231" s="390" t="str">
        <f t="shared" si="20"/>
        <v>Space heating &amp; cooling</v>
      </c>
      <c r="G1231" s="135">
        <v>1.02047408638502E-2</v>
      </c>
      <c r="H1231" s="135">
        <v>1.06091008009914E-2</v>
      </c>
      <c r="I1231" s="135">
        <v>1.0314901939932499E-2</v>
      </c>
      <c r="J1231" s="135">
        <v>1.14956345272469E-2</v>
      </c>
      <c r="K1231" s="135">
        <v>1.5418561530689099E-2</v>
      </c>
      <c r="L1231" s="135">
        <v>2.6984015042972799E-2</v>
      </c>
      <c r="M1231" s="135">
        <v>6.4210113976539501E-2</v>
      </c>
      <c r="N1231" s="135">
        <v>5.1201121055468202E-2</v>
      </c>
      <c r="O1231" s="135">
        <v>1.7758816933901699E-2</v>
      </c>
      <c r="P1231" s="135">
        <v>7.8302602586143594E-3</v>
      </c>
      <c r="Q1231" s="135">
        <v>6.0948801867032202E-3</v>
      </c>
      <c r="R1231" s="135">
        <v>6.3611866896000199E-3</v>
      </c>
      <c r="S1231" s="135">
        <v>6.9639909338950097E-3</v>
      </c>
      <c r="T1231" s="135">
        <v>9.6080372699486796E-3</v>
      </c>
      <c r="U1231" s="135">
        <v>1.2860713429087799E-2</v>
      </c>
      <c r="V1231" s="135">
        <v>1.94974816098724E-2</v>
      </c>
      <c r="W1231" s="135">
        <v>2.6716767087070398E-2</v>
      </c>
      <c r="X1231" s="135">
        <v>4.6988741684763101E-2</v>
      </c>
      <c r="Y1231" s="135">
        <v>5.46292844388876E-2</v>
      </c>
      <c r="Z1231" s="135">
        <v>5.7393753737374403E-2</v>
      </c>
      <c r="AA1231" s="135">
        <v>5.3047301334796002E-2</v>
      </c>
      <c r="AB1231" s="135">
        <v>3.6988199671513199E-2</v>
      </c>
      <c r="AC1231" s="135">
        <v>1.8832840555165702E-2</v>
      </c>
      <c r="AD1231" s="135">
        <v>1.30629859432664E-2</v>
      </c>
      <c r="AF1231" s="243">
        <f t="shared" si="21"/>
        <v>8.8103057206177518E-2</v>
      </c>
      <c r="AG1231" s="275">
        <f t="shared" si="22"/>
        <v>0.25677988551052866</v>
      </c>
      <c r="AH1231" s="391">
        <f t="shared" si="23"/>
        <v>0.33829354599162176</v>
      </c>
      <c r="AI1231" s="135">
        <f t="shared" si="24"/>
        <v>0.59507343150215042</v>
      </c>
    </row>
    <row r="1232" spans="1:35" ht="12.6">
      <c r="A1232" s="10" t="s">
        <v>1516</v>
      </c>
      <c r="B1232" s="10">
        <v>136</v>
      </c>
      <c r="C1232" s="10" t="s">
        <v>1513</v>
      </c>
      <c r="D1232" s="388">
        <v>45062</v>
      </c>
      <c r="E1232" s="389">
        <v>45062</v>
      </c>
      <c r="F1232" s="390" t="str">
        <f t="shared" si="20"/>
        <v>Space heating &amp; cooling</v>
      </c>
      <c r="G1232" s="135">
        <v>1.02047408638502E-2</v>
      </c>
      <c r="H1232" s="135">
        <v>1.06091008009914E-2</v>
      </c>
      <c r="I1232" s="135">
        <v>1.0314901939932499E-2</v>
      </c>
      <c r="J1232" s="135">
        <v>1.14956345272469E-2</v>
      </c>
      <c r="K1232" s="135">
        <v>1.5418561530689099E-2</v>
      </c>
      <c r="L1232" s="135">
        <v>2.6984015042972799E-2</v>
      </c>
      <c r="M1232" s="135">
        <v>6.4210113976539501E-2</v>
      </c>
      <c r="N1232" s="135">
        <v>5.1201121055468202E-2</v>
      </c>
      <c r="O1232" s="135">
        <v>1.7758816933901699E-2</v>
      </c>
      <c r="P1232" s="135">
        <v>7.8302602586143594E-3</v>
      </c>
      <c r="Q1232" s="135">
        <v>6.0948801867032202E-3</v>
      </c>
      <c r="R1232" s="135">
        <v>6.3611866896000199E-3</v>
      </c>
      <c r="S1232" s="135">
        <v>6.9639909338950097E-3</v>
      </c>
      <c r="T1232" s="135">
        <v>9.6080372699486796E-3</v>
      </c>
      <c r="U1232" s="135">
        <v>1.2860713429087799E-2</v>
      </c>
      <c r="V1232" s="135">
        <v>1.94974816098724E-2</v>
      </c>
      <c r="W1232" s="135">
        <v>2.6716767087070398E-2</v>
      </c>
      <c r="X1232" s="135">
        <v>4.6988741684763101E-2</v>
      </c>
      <c r="Y1232" s="135">
        <v>5.46292844388876E-2</v>
      </c>
      <c r="Z1232" s="135">
        <v>5.7393753737374403E-2</v>
      </c>
      <c r="AA1232" s="135">
        <v>5.3047301334796002E-2</v>
      </c>
      <c r="AB1232" s="135">
        <v>3.6988199671513199E-2</v>
      </c>
      <c r="AC1232" s="135">
        <v>1.8832840555165702E-2</v>
      </c>
      <c r="AD1232" s="135">
        <v>1.30629859432664E-2</v>
      </c>
      <c r="AF1232" s="243">
        <f t="shared" si="21"/>
        <v>8.8103057206177518E-2</v>
      </c>
      <c r="AG1232" s="275">
        <f t="shared" si="22"/>
        <v>0.25677988551052866</v>
      </c>
      <c r="AH1232" s="391">
        <f t="shared" si="23"/>
        <v>0.33829354599162176</v>
      </c>
      <c r="AI1232" s="135">
        <f t="shared" si="24"/>
        <v>0.59507343150215042</v>
      </c>
    </row>
    <row r="1233" spans="1:35" ht="12.6">
      <c r="A1233" s="10" t="s">
        <v>1516</v>
      </c>
      <c r="B1233" s="10">
        <v>137</v>
      </c>
      <c r="C1233" s="10" t="s">
        <v>1513</v>
      </c>
      <c r="D1233" s="388">
        <v>45063</v>
      </c>
      <c r="E1233" s="389">
        <v>45063</v>
      </c>
      <c r="F1233" s="390" t="str">
        <f t="shared" si="20"/>
        <v>Space heating &amp; cooling</v>
      </c>
      <c r="G1233" s="135">
        <v>1.02047408638502E-2</v>
      </c>
      <c r="H1233" s="135">
        <v>1.06091008009914E-2</v>
      </c>
      <c r="I1233" s="135">
        <v>1.0314901939932499E-2</v>
      </c>
      <c r="J1233" s="135">
        <v>1.14956345272469E-2</v>
      </c>
      <c r="K1233" s="135">
        <v>1.5418561530689099E-2</v>
      </c>
      <c r="L1233" s="135">
        <v>2.6984015042972799E-2</v>
      </c>
      <c r="M1233" s="135">
        <v>6.4210113976539501E-2</v>
      </c>
      <c r="N1233" s="135">
        <v>5.1201121055468202E-2</v>
      </c>
      <c r="O1233" s="135">
        <v>1.7758816933901699E-2</v>
      </c>
      <c r="P1233" s="135">
        <v>7.8302602586143594E-3</v>
      </c>
      <c r="Q1233" s="135">
        <v>6.0948801867032202E-3</v>
      </c>
      <c r="R1233" s="135">
        <v>6.3611866896000199E-3</v>
      </c>
      <c r="S1233" s="135">
        <v>6.9639909338950097E-3</v>
      </c>
      <c r="T1233" s="135">
        <v>9.6080372699486796E-3</v>
      </c>
      <c r="U1233" s="135">
        <v>1.2860713429087799E-2</v>
      </c>
      <c r="V1233" s="135">
        <v>1.94974816098724E-2</v>
      </c>
      <c r="W1233" s="135">
        <v>2.6716767087070398E-2</v>
      </c>
      <c r="X1233" s="135">
        <v>4.6988741684763101E-2</v>
      </c>
      <c r="Y1233" s="135">
        <v>5.46292844388876E-2</v>
      </c>
      <c r="Z1233" s="135">
        <v>5.7393753737374403E-2</v>
      </c>
      <c r="AA1233" s="135">
        <v>5.3047301334796002E-2</v>
      </c>
      <c r="AB1233" s="135">
        <v>3.6988199671513199E-2</v>
      </c>
      <c r="AC1233" s="135">
        <v>1.8832840555165702E-2</v>
      </c>
      <c r="AD1233" s="135">
        <v>1.30629859432664E-2</v>
      </c>
      <c r="AF1233" s="243">
        <f t="shared" si="21"/>
        <v>8.8103057206177518E-2</v>
      </c>
      <c r="AG1233" s="275">
        <f t="shared" si="22"/>
        <v>0.25677988551052866</v>
      </c>
      <c r="AH1233" s="391">
        <f t="shared" si="23"/>
        <v>0.33829354599162176</v>
      </c>
      <c r="AI1233" s="135">
        <f t="shared" si="24"/>
        <v>0.59507343150215042</v>
      </c>
    </row>
    <row r="1234" spans="1:35" ht="12.6">
      <c r="A1234" s="10" t="s">
        <v>1516</v>
      </c>
      <c r="B1234" s="10">
        <v>138</v>
      </c>
      <c r="C1234" s="10" t="s">
        <v>1513</v>
      </c>
      <c r="D1234" s="388">
        <v>45064</v>
      </c>
      <c r="E1234" s="389">
        <v>45064</v>
      </c>
      <c r="F1234" s="390" t="str">
        <f t="shared" si="20"/>
        <v>Space heating &amp; cooling</v>
      </c>
      <c r="G1234" s="135">
        <v>1.02047408638502E-2</v>
      </c>
      <c r="H1234" s="135">
        <v>1.06091008009914E-2</v>
      </c>
      <c r="I1234" s="135">
        <v>1.0314901939932499E-2</v>
      </c>
      <c r="J1234" s="135">
        <v>1.14956345272469E-2</v>
      </c>
      <c r="K1234" s="135">
        <v>1.5418561530689099E-2</v>
      </c>
      <c r="L1234" s="135">
        <v>2.6984015042972799E-2</v>
      </c>
      <c r="M1234" s="135">
        <v>6.4210113976539501E-2</v>
      </c>
      <c r="N1234" s="135">
        <v>5.1201121055468202E-2</v>
      </c>
      <c r="O1234" s="135">
        <v>1.7758816933901699E-2</v>
      </c>
      <c r="P1234" s="135">
        <v>7.8302602586143594E-3</v>
      </c>
      <c r="Q1234" s="135">
        <v>6.0948801867032202E-3</v>
      </c>
      <c r="R1234" s="135">
        <v>6.3611866896000199E-3</v>
      </c>
      <c r="S1234" s="135">
        <v>6.9639909338950097E-3</v>
      </c>
      <c r="T1234" s="135">
        <v>9.6080372699486796E-3</v>
      </c>
      <c r="U1234" s="135">
        <v>1.2860713429087799E-2</v>
      </c>
      <c r="V1234" s="135">
        <v>1.94974816098724E-2</v>
      </c>
      <c r="W1234" s="135">
        <v>2.6716767087070398E-2</v>
      </c>
      <c r="X1234" s="135">
        <v>4.6988741684763101E-2</v>
      </c>
      <c r="Y1234" s="135">
        <v>5.46292844388876E-2</v>
      </c>
      <c r="Z1234" s="135">
        <v>5.7393753737374403E-2</v>
      </c>
      <c r="AA1234" s="135">
        <v>5.3047301334796002E-2</v>
      </c>
      <c r="AB1234" s="135">
        <v>3.6988199671513199E-2</v>
      </c>
      <c r="AC1234" s="135">
        <v>1.8832840555165702E-2</v>
      </c>
      <c r="AD1234" s="135">
        <v>1.30629859432664E-2</v>
      </c>
      <c r="AF1234" s="243">
        <f t="shared" si="21"/>
        <v>8.8103057206177518E-2</v>
      </c>
      <c r="AG1234" s="275">
        <f t="shared" si="22"/>
        <v>0.25677988551052866</v>
      </c>
      <c r="AH1234" s="391">
        <f t="shared" si="23"/>
        <v>0.33829354599162176</v>
      </c>
      <c r="AI1234" s="135">
        <f t="shared" si="24"/>
        <v>0.59507343150215042</v>
      </c>
    </row>
    <row r="1235" spans="1:35" ht="12.6">
      <c r="A1235" s="10" t="s">
        <v>1516</v>
      </c>
      <c r="B1235" s="10">
        <v>139</v>
      </c>
      <c r="C1235" s="10" t="s">
        <v>1513</v>
      </c>
      <c r="D1235" s="388">
        <v>45065</v>
      </c>
      <c r="E1235" s="389">
        <v>45065</v>
      </c>
      <c r="F1235" s="390" t="str">
        <f t="shared" si="20"/>
        <v>Space heating &amp; cooling</v>
      </c>
      <c r="G1235" s="135">
        <v>1.02047408638502E-2</v>
      </c>
      <c r="H1235" s="135">
        <v>1.06091008009914E-2</v>
      </c>
      <c r="I1235" s="135">
        <v>1.0314901939932499E-2</v>
      </c>
      <c r="J1235" s="135">
        <v>1.14956345272469E-2</v>
      </c>
      <c r="K1235" s="135">
        <v>1.5418561530689099E-2</v>
      </c>
      <c r="L1235" s="135">
        <v>2.6984015042972799E-2</v>
      </c>
      <c r="M1235" s="135">
        <v>6.4210113976539501E-2</v>
      </c>
      <c r="N1235" s="135">
        <v>5.1201121055468202E-2</v>
      </c>
      <c r="O1235" s="135">
        <v>1.7758816933901699E-2</v>
      </c>
      <c r="P1235" s="135">
        <v>7.8302602586143594E-3</v>
      </c>
      <c r="Q1235" s="135">
        <v>6.0948801867032202E-3</v>
      </c>
      <c r="R1235" s="135">
        <v>6.3611866896000199E-3</v>
      </c>
      <c r="S1235" s="135">
        <v>6.9639909338950097E-3</v>
      </c>
      <c r="T1235" s="135">
        <v>9.6080372699486796E-3</v>
      </c>
      <c r="U1235" s="135">
        <v>1.2860713429087799E-2</v>
      </c>
      <c r="V1235" s="135">
        <v>1.94974816098724E-2</v>
      </c>
      <c r="W1235" s="135">
        <v>2.6716767087070398E-2</v>
      </c>
      <c r="X1235" s="135">
        <v>4.6988741684763101E-2</v>
      </c>
      <c r="Y1235" s="135">
        <v>5.46292844388876E-2</v>
      </c>
      <c r="Z1235" s="135">
        <v>5.7393753737374403E-2</v>
      </c>
      <c r="AA1235" s="135">
        <v>5.3047301334796002E-2</v>
      </c>
      <c r="AB1235" s="135">
        <v>3.6988199671513199E-2</v>
      </c>
      <c r="AC1235" s="135">
        <v>1.8832840555165702E-2</v>
      </c>
      <c r="AD1235" s="135">
        <v>1.30629859432664E-2</v>
      </c>
      <c r="AF1235" s="243">
        <f t="shared" si="21"/>
        <v>8.8103057206177518E-2</v>
      </c>
      <c r="AG1235" s="275">
        <f t="shared" si="22"/>
        <v>0.25677988551052866</v>
      </c>
      <c r="AH1235" s="391">
        <f t="shared" si="23"/>
        <v>0.33829354599162176</v>
      </c>
      <c r="AI1235" s="135">
        <f t="shared" si="24"/>
        <v>0.59507343150215042</v>
      </c>
    </row>
    <row r="1236" spans="1:35" ht="12.6">
      <c r="A1236" s="10" t="s">
        <v>1516</v>
      </c>
      <c r="B1236" s="10">
        <v>140</v>
      </c>
      <c r="C1236" s="10" t="s">
        <v>1513</v>
      </c>
      <c r="D1236" s="388">
        <v>45066</v>
      </c>
      <c r="E1236" s="389">
        <v>45066</v>
      </c>
      <c r="F1236" s="390" t="str">
        <f t="shared" si="20"/>
        <v>Space heating &amp; cooling</v>
      </c>
      <c r="G1236" s="135">
        <v>8.7869372028316507E-3</v>
      </c>
      <c r="H1236" s="135">
        <v>8.51607902002521E-3</v>
      </c>
      <c r="I1236" s="135">
        <v>9.7324507019692294E-3</v>
      </c>
      <c r="J1236" s="135">
        <v>1.0210117766509E-2</v>
      </c>
      <c r="K1236" s="135">
        <v>1.2311891831069399E-2</v>
      </c>
      <c r="L1236" s="135">
        <v>2.0437711881693701E-2</v>
      </c>
      <c r="M1236" s="135">
        <v>3.7259471790165602E-2</v>
      </c>
      <c r="N1236" s="135">
        <v>4.81287472994507E-2</v>
      </c>
      <c r="O1236" s="135">
        <v>3.5407499175242302E-2</v>
      </c>
      <c r="P1236" s="135">
        <v>2.0528073654264602E-2</v>
      </c>
      <c r="Q1236" s="135">
        <v>1.4161754048229299E-2</v>
      </c>
      <c r="R1236" s="135">
        <v>1.7977795437861301E-2</v>
      </c>
      <c r="S1236" s="135">
        <v>2.0199474998432301E-2</v>
      </c>
      <c r="T1236" s="135">
        <v>2.1420776514346401E-2</v>
      </c>
      <c r="U1236" s="135">
        <v>2.3047899601285501E-2</v>
      </c>
      <c r="V1236" s="135">
        <v>2.01939171587644E-2</v>
      </c>
      <c r="W1236" s="135">
        <v>2.7168544383312201E-2</v>
      </c>
      <c r="X1236" s="135">
        <v>4.1922277228623302E-2</v>
      </c>
      <c r="Y1236" s="135">
        <v>4.42720525091755E-2</v>
      </c>
      <c r="Z1236" s="135">
        <v>4.6026164771830198E-2</v>
      </c>
      <c r="AA1236" s="135">
        <v>4.3777967317773302E-2</v>
      </c>
      <c r="AB1236" s="135">
        <v>3.4405093727997202E-2</v>
      </c>
      <c r="AC1236" s="135">
        <v>2.1326718263752101E-2</v>
      </c>
      <c r="AD1236" s="135">
        <v>1.42261215449142E-2</v>
      </c>
      <c r="AF1236" s="243">
        <f t="shared" si="21"/>
        <v>0.14417016214223141</v>
      </c>
      <c r="AG1236" s="275">
        <f t="shared" si="22"/>
        <v>0.2548381126590708</v>
      </c>
      <c r="AH1236" s="391">
        <f t="shared" si="23"/>
        <v>0.34660742517044768</v>
      </c>
      <c r="AI1236" s="135">
        <f t="shared" si="24"/>
        <v>0.60144553782951848</v>
      </c>
    </row>
    <row r="1237" spans="1:35" ht="12.6">
      <c r="A1237" s="10" t="s">
        <v>1516</v>
      </c>
      <c r="B1237" s="10">
        <v>141</v>
      </c>
      <c r="C1237" s="10" t="s">
        <v>1513</v>
      </c>
      <c r="D1237" s="388">
        <v>45067</v>
      </c>
      <c r="E1237" s="389">
        <v>45067</v>
      </c>
      <c r="F1237" s="390" t="str">
        <f t="shared" si="20"/>
        <v>Space heating &amp; cooling</v>
      </c>
      <c r="G1237" s="135">
        <v>8.7869372028316507E-3</v>
      </c>
      <c r="H1237" s="135">
        <v>8.51607902002521E-3</v>
      </c>
      <c r="I1237" s="135">
        <v>9.7324507019692294E-3</v>
      </c>
      <c r="J1237" s="135">
        <v>1.0210117766509E-2</v>
      </c>
      <c r="K1237" s="135">
        <v>1.2311891831069399E-2</v>
      </c>
      <c r="L1237" s="135">
        <v>2.0437711881693701E-2</v>
      </c>
      <c r="M1237" s="135">
        <v>3.7259471790165602E-2</v>
      </c>
      <c r="N1237" s="135">
        <v>4.81287472994507E-2</v>
      </c>
      <c r="O1237" s="135">
        <v>3.5407499175242302E-2</v>
      </c>
      <c r="P1237" s="135">
        <v>2.0528073654264602E-2</v>
      </c>
      <c r="Q1237" s="135">
        <v>1.4161754048229299E-2</v>
      </c>
      <c r="R1237" s="135">
        <v>1.7977795437861301E-2</v>
      </c>
      <c r="S1237" s="135">
        <v>2.0199474998432301E-2</v>
      </c>
      <c r="T1237" s="135">
        <v>2.1420776514346401E-2</v>
      </c>
      <c r="U1237" s="135">
        <v>2.3047899601285501E-2</v>
      </c>
      <c r="V1237" s="135">
        <v>2.01939171587644E-2</v>
      </c>
      <c r="W1237" s="135">
        <v>2.7168544383312201E-2</v>
      </c>
      <c r="X1237" s="135">
        <v>4.1922277228623302E-2</v>
      </c>
      <c r="Y1237" s="135">
        <v>4.42720525091755E-2</v>
      </c>
      <c r="Z1237" s="135">
        <v>4.6026164771830198E-2</v>
      </c>
      <c r="AA1237" s="135">
        <v>4.3777967317773302E-2</v>
      </c>
      <c r="AB1237" s="135">
        <v>3.4405093727997202E-2</v>
      </c>
      <c r="AC1237" s="135">
        <v>2.1326718263752101E-2</v>
      </c>
      <c r="AD1237" s="135">
        <v>1.42261215449142E-2</v>
      </c>
      <c r="AF1237" s="243">
        <f t="shared" si="21"/>
        <v>0.14417016214223141</v>
      </c>
      <c r="AG1237" s="275">
        <f t="shared" si="22"/>
        <v>0.2548381126590708</v>
      </c>
      <c r="AH1237" s="391">
        <f t="shared" si="23"/>
        <v>0.34660742517044768</v>
      </c>
      <c r="AI1237" s="135">
        <f t="shared" si="24"/>
        <v>0.60144553782951848</v>
      </c>
    </row>
    <row r="1238" spans="1:35" ht="12.6">
      <c r="A1238" s="10" t="s">
        <v>1516</v>
      </c>
      <c r="B1238" s="10">
        <v>142</v>
      </c>
      <c r="C1238" s="10" t="s">
        <v>1513</v>
      </c>
      <c r="D1238" s="388">
        <v>45068</v>
      </c>
      <c r="E1238" s="389">
        <v>45068</v>
      </c>
      <c r="F1238" s="390" t="str">
        <f t="shared" si="20"/>
        <v>Space heating &amp; cooling</v>
      </c>
      <c r="G1238" s="135">
        <v>1.02047408638502E-2</v>
      </c>
      <c r="H1238" s="135">
        <v>1.06091008009914E-2</v>
      </c>
      <c r="I1238" s="135">
        <v>1.0314901939932499E-2</v>
      </c>
      <c r="J1238" s="135">
        <v>1.14956345272469E-2</v>
      </c>
      <c r="K1238" s="135">
        <v>1.5418561530689099E-2</v>
      </c>
      <c r="L1238" s="135">
        <v>2.6984015042972799E-2</v>
      </c>
      <c r="M1238" s="135">
        <v>6.4210113976539501E-2</v>
      </c>
      <c r="N1238" s="135">
        <v>5.1201121055468202E-2</v>
      </c>
      <c r="O1238" s="135">
        <v>1.7758816933901699E-2</v>
      </c>
      <c r="P1238" s="135">
        <v>7.8302602586143594E-3</v>
      </c>
      <c r="Q1238" s="135">
        <v>6.0948801867032202E-3</v>
      </c>
      <c r="R1238" s="135">
        <v>6.3611866896000199E-3</v>
      </c>
      <c r="S1238" s="135">
        <v>6.9639909338950097E-3</v>
      </c>
      <c r="T1238" s="135">
        <v>9.6080372699486796E-3</v>
      </c>
      <c r="U1238" s="135">
        <v>1.2860713429087799E-2</v>
      </c>
      <c r="V1238" s="135">
        <v>1.94974816098724E-2</v>
      </c>
      <c r="W1238" s="135">
        <v>2.6716767087070398E-2</v>
      </c>
      <c r="X1238" s="135">
        <v>4.6988741684763101E-2</v>
      </c>
      <c r="Y1238" s="135">
        <v>5.46292844388876E-2</v>
      </c>
      <c r="Z1238" s="135">
        <v>5.7393753737374403E-2</v>
      </c>
      <c r="AA1238" s="135">
        <v>5.3047301334796002E-2</v>
      </c>
      <c r="AB1238" s="135">
        <v>3.6988199671513199E-2</v>
      </c>
      <c r="AC1238" s="135">
        <v>1.8832840555165702E-2</v>
      </c>
      <c r="AD1238" s="135">
        <v>1.30629859432664E-2</v>
      </c>
      <c r="AF1238" s="243">
        <f t="shared" si="21"/>
        <v>8.8103057206177518E-2</v>
      </c>
      <c r="AG1238" s="275">
        <f t="shared" si="22"/>
        <v>0.25677988551052866</v>
      </c>
      <c r="AH1238" s="391">
        <f t="shared" si="23"/>
        <v>0.33829354599162176</v>
      </c>
      <c r="AI1238" s="135">
        <f t="shared" si="24"/>
        <v>0.59507343150215042</v>
      </c>
    </row>
    <row r="1239" spans="1:35" ht="12.6">
      <c r="A1239" s="10" t="s">
        <v>1516</v>
      </c>
      <c r="B1239" s="10">
        <v>143</v>
      </c>
      <c r="C1239" s="10" t="s">
        <v>1513</v>
      </c>
      <c r="D1239" s="388">
        <v>45069</v>
      </c>
      <c r="E1239" s="389">
        <v>45069</v>
      </c>
      <c r="F1239" s="390" t="str">
        <f t="shared" si="20"/>
        <v>Space heating &amp; cooling</v>
      </c>
      <c r="G1239" s="135">
        <v>1.02047408638502E-2</v>
      </c>
      <c r="H1239" s="135">
        <v>1.06091008009914E-2</v>
      </c>
      <c r="I1239" s="135">
        <v>1.0314901939932499E-2</v>
      </c>
      <c r="J1239" s="135">
        <v>1.14956345272469E-2</v>
      </c>
      <c r="K1239" s="135">
        <v>1.5418561530689099E-2</v>
      </c>
      <c r="L1239" s="135">
        <v>2.6984015042972799E-2</v>
      </c>
      <c r="M1239" s="135">
        <v>6.4210113976539501E-2</v>
      </c>
      <c r="N1239" s="135">
        <v>5.1201121055468202E-2</v>
      </c>
      <c r="O1239" s="135">
        <v>1.7758816933901699E-2</v>
      </c>
      <c r="P1239" s="135">
        <v>7.8302602586143594E-3</v>
      </c>
      <c r="Q1239" s="135">
        <v>6.0948801867032202E-3</v>
      </c>
      <c r="R1239" s="135">
        <v>6.3611866896000199E-3</v>
      </c>
      <c r="S1239" s="135">
        <v>6.9639909338950097E-3</v>
      </c>
      <c r="T1239" s="135">
        <v>9.6080372699486796E-3</v>
      </c>
      <c r="U1239" s="135">
        <v>1.2860713429087799E-2</v>
      </c>
      <c r="V1239" s="135">
        <v>1.94974816098724E-2</v>
      </c>
      <c r="W1239" s="135">
        <v>2.6716767087070398E-2</v>
      </c>
      <c r="X1239" s="135">
        <v>4.6988741684763101E-2</v>
      </c>
      <c r="Y1239" s="135">
        <v>5.46292844388876E-2</v>
      </c>
      <c r="Z1239" s="135">
        <v>5.7393753737374403E-2</v>
      </c>
      <c r="AA1239" s="135">
        <v>5.3047301334796002E-2</v>
      </c>
      <c r="AB1239" s="135">
        <v>3.6988199671513199E-2</v>
      </c>
      <c r="AC1239" s="135">
        <v>1.8832840555165702E-2</v>
      </c>
      <c r="AD1239" s="135">
        <v>1.30629859432664E-2</v>
      </c>
      <c r="AF1239" s="243">
        <f t="shared" si="21"/>
        <v>8.8103057206177518E-2</v>
      </c>
      <c r="AG1239" s="275">
        <f t="shared" si="22"/>
        <v>0.25677988551052866</v>
      </c>
      <c r="AH1239" s="391">
        <f t="shared" si="23"/>
        <v>0.33829354599162176</v>
      </c>
      <c r="AI1239" s="135">
        <f t="shared" si="24"/>
        <v>0.59507343150215042</v>
      </c>
    </row>
    <row r="1240" spans="1:35" ht="12.6">
      <c r="A1240" s="10" t="s">
        <v>1516</v>
      </c>
      <c r="B1240" s="10">
        <v>144</v>
      </c>
      <c r="C1240" s="10" t="s">
        <v>1513</v>
      </c>
      <c r="D1240" s="388">
        <v>45070</v>
      </c>
      <c r="E1240" s="389">
        <v>45070</v>
      </c>
      <c r="F1240" s="390" t="str">
        <f t="shared" si="20"/>
        <v>Space heating &amp; cooling</v>
      </c>
      <c r="G1240" s="135">
        <v>1.02047408638502E-2</v>
      </c>
      <c r="H1240" s="135">
        <v>1.06091008009914E-2</v>
      </c>
      <c r="I1240" s="135">
        <v>1.0314901939932499E-2</v>
      </c>
      <c r="J1240" s="135">
        <v>1.14956345272469E-2</v>
      </c>
      <c r="K1240" s="135">
        <v>1.5418561530689099E-2</v>
      </c>
      <c r="L1240" s="135">
        <v>2.6984015042972799E-2</v>
      </c>
      <c r="M1240" s="135">
        <v>6.4210113976539501E-2</v>
      </c>
      <c r="N1240" s="135">
        <v>5.1201121055468202E-2</v>
      </c>
      <c r="O1240" s="135">
        <v>1.7758816933901699E-2</v>
      </c>
      <c r="P1240" s="135">
        <v>7.8302602586143594E-3</v>
      </c>
      <c r="Q1240" s="135">
        <v>6.0948801867032202E-3</v>
      </c>
      <c r="R1240" s="135">
        <v>6.3611866896000199E-3</v>
      </c>
      <c r="S1240" s="135">
        <v>6.9639909338950097E-3</v>
      </c>
      <c r="T1240" s="135">
        <v>9.6080372699486796E-3</v>
      </c>
      <c r="U1240" s="135">
        <v>1.2860713429087799E-2</v>
      </c>
      <c r="V1240" s="135">
        <v>1.94974816098724E-2</v>
      </c>
      <c r="W1240" s="135">
        <v>2.6716767087070398E-2</v>
      </c>
      <c r="X1240" s="135">
        <v>4.6988741684763101E-2</v>
      </c>
      <c r="Y1240" s="135">
        <v>5.46292844388876E-2</v>
      </c>
      <c r="Z1240" s="135">
        <v>5.7393753737374403E-2</v>
      </c>
      <c r="AA1240" s="135">
        <v>5.3047301334796002E-2</v>
      </c>
      <c r="AB1240" s="135">
        <v>3.6988199671513199E-2</v>
      </c>
      <c r="AC1240" s="135">
        <v>1.8832840555165702E-2</v>
      </c>
      <c r="AD1240" s="135">
        <v>1.30629859432664E-2</v>
      </c>
      <c r="AF1240" s="243">
        <f t="shared" si="21"/>
        <v>8.8103057206177518E-2</v>
      </c>
      <c r="AG1240" s="275">
        <f t="shared" si="22"/>
        <v>0.25677988551052866</v>
      </c>
      <c r="AH1240" s="391">
        <f t="shared" si="23"/>
        <v>0.33829354599162176</v>
      </c>
      <c r="AI1240" s="135">
        <f t="shared" si="24"/>
        <v>0.59507343150215042</v>
      </c>
    </row>
    <row r="1241" spans="1:35" ht="12.6">
      <c r="A1241" s="10" t="s">
        <v>1516</v>
      </c>
      <c r="B1241" s="10">
        <v>145</v>
      </c>
      <c r="C1241" s="10" t="s">
        <v>1513</v>
      </c>
      <c r="D1241" s="388">
        <v>45071</v>
      </c>
      <c r="E1241" s="389">
        <v>45071</v>
      </c>
      <c r="F1241" s="390" t="str">
        <f t="shared" si="20"/>
        <v>Space heating &amp; cooling</v>
      </c>
      <c r="G1241" s="135">
        <v>1.02047408638502E-2</v>
      </c>
      <c r="H1241" s="135">
        <v>1.06091008009914E-2</v>
      </c>
      <c r="I1241" s="135">
        <v>1.0314901939932499E-2</v>
      </c>
      <c r="J1241" s="135">
        <v>1.14956345272469E-2</v>
      </c>
      <c r="K1241" s="135">
        <v>1.5418561530689099E-2</v>
      </c>
      <c r="L1241" s="135">
        <v>2.6984015042972799E-2</v>
      </c>
      <c r="M1241" s="135">
        <v>6.4210113976539501E-2</v>
      </c>
      <c r="N1241" s="135">
        <v>5.1201121055468202E-2</v>
      </c>
      <c r="O1241" s="135">
        <v>1.7758816933901699E-2</v>
      </c>
      <c r="P1241" s="135">
        <v>7.8302602586143594E-3</v>
      </c>
      <c r="Q1241" s="135">
        <v>6.0948801867032202E-3</v>
      </c>
      <c r="R1241" s="135">
        <v>6.3611866896000199E-3</v>
      </c>
      <c r="S1241" s="135">
        <v>6.9639909338950097E-3</v>
      </c>
      <c r="T1241" s="135">
        <v>9.6080372699486796E-3</v>
      </c>
      <c r="U1241" s="135">
        <v>1.2860713429087799E-2</v>
      </c>
      <c r="V1241" s="135">
        <v>1.94974816098724E-2</v>
      </c>
      <c r="W1241" s="135">
        <v>2.6716767087070398E-2</v>
      </c>
      <c r="X1241" s="135">
        <v>4.6988741684763101E-2</v>
      </c>
      <c r="Y1241" s="135">
        <v>5.46292844388876E-2</v>
      </c>
      <c r="Z1241" s="135">
        <v>5.7393753737374403E-2</v>
      </c>
      <c r="AA1241" s="135">
        <v>5.3047301334796002E-2</v>
      </c>
      <c r="AB1241" s="135">
        <v>3.6988199671513199E-2</v>
      </c>
      <c r="AC1241" s="135">
        <v>1.8832840555165702E-2</v>
      </c>
      <c r="AD1241" s="135">
        <v>1.30629859432664E-2</v>
      </c>
      <c r="AF1241" s="243">
        <f t="shared" si="21"/>
        <v>8.8103057206177518E-2</v>
      </c>
      <c r="AG1241" s="275">
        <f t="shared" si="22"/>
        <v>0.25677988551052866</v>
      </c>
      <c r="AH1241" s="391">
        <f t="shared" si="23"/>
        <v>0.33829354599162176</v>
      </c>
      <c r="AI1241" s="135">
        <f t="shared" si="24"/>
        <v>0.59507343150215042</v>
      </c>
    </row>
    <row r="1242" spans="1:35" ht="12.6">
      <c r="A1242" s="10" t="s">
        <v>1516</v>
      </c>
      <c r="B1242" s="10">
        <v>146</v>
      </c>
      <c r="C1242" s="10" t="s">
        <v>1513</v>
      </c>
      <c r="D1242" s="388">
        <v>45072</v>
      </c>
      <c r="E1242" s="389">
        <v>45072</v>
      </c>
      <c r="F1242" s="390" t="str">
        <f t="shared" si="20"/>
        <v>Space heating &amp; cooling</v>
      </c>
      <c r="G1242" s="135">
        <v>1.02047408638502E-2</v>
      </c>
      <c r="H1242" s="135">
        <v>1.06091008009914E-2</v>
      </c>
      <c r="I1242" s="135">
        <v>1.0314901939932499E-2</v>
      </c>
      <c r="J1242" s="135">
        <v>1.14956345272469E-2</v>
      </c>
      <c r="K1242" s="135">
        <v>1.5418561530689099E-2</v>
      </c>
      <c r="L1242" s="135">
        <v>2.6984015042972799E-2</v>
      </c>
      <c r="M1242" s="135">
        <v>6.4210113976539501E-2</v>
      </c>
      <c r="N1242" s="135">
        <v>5.1201121055468202E-2</v>
      </c>
      <c r="O1242" s="135">
        <v>1.7758816933901699E-2</v>
      </c>
      <c r="P1242" s="135">
        <v>7.8302602586143594E-3</v>
      </c>
      <c r="Q1242" s="135">
        <v>6.0948801867032202E-3</v>
      </c>
      <c r="R1242" s="135">
        <v>6.3611866896000199E-3</v>
      </c>
      <c r="S1242" s="135">
        <v>6.9639909338950097E-3</v>
      </c>
      <c r="T1242" s="135">
        <v>9.6080372699486796E-3</v>
      </c>
      <c r="U1242" s="135">
        <v>1.2860713429087799E-2</v>
      </c>
      <c r="V1242" s="135">
        <v>1.94974816098724E-2</v>
      </c>
      <c r="W1242" s="135">
        <v>2.6716767087070398E-2</v>
      </c>
      <c r="X1242" s="135">
        <v>4.6988741684763101E-2</v>
      </c>
      <c r="Y1242" s="135">
        <v>5.46292844388876E-2</v>
      </c>
      <c r="Z1242" s="135">
        <v>5.7393753737374403E-2</v>
      </c>
      <c r="AA1242" s="135">
        <v>5.3047301334796002E-2</v>
      </c>
      <c r="AB1242" s="135">
        <v>3.6988199671513199E-2</v>
      </c>
      <c r="AC1242" s="135">
        <v>1.8832840555165702E-2</v>
      </c>
      <c r="AD1242" s="135">
        <v>1.30629859432664E-2</v>
      </c>
      <c r="AF1242" s="243">
        <f t="shared" si="21"/>
        <v>8.8103057206177518E-2</v>
      </c>
      <c r="AG1242" s="275">
        <f t="shared" si="22"/>
        <v>0.25677988551052866</v>
      </c>
      <c r="AH1242" s="391">
        <f t="shared" si="23"/>
        <v>0.33829354599162176</v>
      </c>
      <c r="AI1242" s="135">
        <f t="shared" si="24"/>
        <v>0.59507343150215042</v>
      </c>
    </row>
    <row r="1243" spans="1:35" ht="12.6">
      <c r="A1243" s="10" t="s">
        <v>1516</v>
      </c>
      <c r="B1243" s="10">
        <v>147</v>
      </c>
      <c r="C1243" s="10" t="s">
        <v>1513</v>
      </c>
      <c r="D1243" s="388">
        <v>45073</v>
      </c>
      <c r="E1243" s="389">
        <v>45073</v>
      </c>
      <c r="F1243" s="390" t="str">
        <f t="shared" si="20"/>
        <v>Space heating &amp; cooling</v>
      </c>
      <c r="G1243" s="135">
        <v>8.7869372028316507E-3</v>
      </c>
      <c r="H1243" s="135">
        <v>8.51607902002521E-3</v>
      </c>
      <c r="I1243" s="135">
        <v>9.7324507019692294E-3</v>
      </c>
      <c r="J1243" s="135">
        <v>1.0210117766509E-2</v>
      </c>
      <c r="K1243" s="135">
        <v>1.2311891831069399E-2</v>
      </c>
      <c r="L1243" s="135">
        <v>2.0437711881693701E-2</v>
      </c>
      <c r="M1243" s="135">
        <v>3.7259471790165602E-2</v>
      </c>
      <c r="N1243" s="135">
        <v>4.81287472994507E-2</v>
      </c>
      <c r="O1243" s="135">
        <v>3.5407499175242302E-2</v>
      </c>
      <c r="P1243" s="135">
        <v>2.0528073654264602E-2</v>
      </c>
      <c r="Q1243" s="135">
        <v>1.4161754048229299E-2</v>
      </c>
      <c r="R1243" s="135">
        <v>1.7977795437861301E-2</v>
      </c>
      <c r="S1243" s="135">
        <v>2.0199474998432301E-2</v>
      </c>
      <c r="T1243" s="135">
        <v>2.1420776514346401E-2</v>
      </c>
      <c r="U1243" s="135">
        <v>2.3047899601285501E-2</v>
      </c>
      <c r="V1243" s="135">
        <v>2.01939171587644E-2</v>
      </c>
      <c r="W1243" s="135">
        <v>2.7168544383312201E-2</v>
      </c>
      <c r="X1243" s="135">
        <v>4.1922277228623302E-2</v>
      </c>
      <c r="Y1243" s="135">
        <v>4.42720525091755E-2</v>
      </c>
      <c r="Z1243" s="135">
        <v>4.6026164771830198E-2</v>
      </c>
      <c r="AA1243" s="135">
        <v>4.3777967317773302E-2</v>
      </c>
      <c r="AB1243" s="135">
        <v>3.4405093727997202E-2</v>
      </c>
      <c r="AC1243" s="135">
        <v>2.1326718263752101E-2</v>
      </c>
      <c r="AD1243" s="135">
        <v>1.42261215449142E-2</v>
      </c>
      <c r="AF1243" s="243">
        <f t="shared" si="21"/>
        <v>0.14417016214223141</v>
      </c>
      <c r="AG1243" s="275">
        <f t="shared" si="22"/>
        <v>0.2548381126590708</v>
      </c>
      <c r="AH1243" s="391">
        <f t="shared" si="23"/>
        <v>0.34660742517044768</v>
      </c>
      <c r="AI1243" s="135">
        <f t="shared" si="24"/>
        <v>0.60144553782951848</v>
      </c>
    </row>
    <row r="1244" spans="1:35" ht="12.6">
      <c r="A1244" s="10" t="s">
        <v>1516</v>
      </c>
      <c r="B1244" s="10">
        <v>148</v>
      </c>
      <c r="C1244" s="10" t="s">
        <v>1513</v>
      </c>
      <c r="D1244" s="388">
        <v>45074</v>
      </c>
      <c r="E1244" s="389">
        <v>45074</v>
      </c>
      <c r="F1244" s="390" t="str">
        <f t="shared" si="20"/>
        <v>Space heating &amp; cooling</v>
      </c>
      <c r="G1244" s="135">
        <v>8.7869372028316507E-3</v>
      </c>
      <c r="H1244" s="135">
        <v>8.51607902002521E-3</v>
      </c>
      <c r="I1244" s="135">
        <v>9.7324507019692294E-3</v>
      </c>
      <c r="J1244" s="135">
        <v>1.0210117766509E-2</v>
      </c>
      <c r="K1244" s="135">
        <v>1.2311891831069399E-2</v>
      </c>
      <c r="L1244" s="135">
        <v>2.0437711881693701E-2</v>
      </c>
      <c r="M1244" s="135">
        <v>3.7259471790165602E-2</v>
      </c>
      <c r="N1244" s="135">
        <v>4.81287472994507E-2</v>
      </c>
      <c r="O1244" s="135">
        <v>3.5407499175242302E-2</v>
      </c>
      <c r="P1244" s="135">
        <v>2.0528073654264602E-2</v>
      </c>
      <c r="Q1244" s="135">
        <v>1.4161754048229299E-2</v>
      </c>
      <c r="R1244" s="135">
        <v>1.7977795437861301E-2</v>
      </c>
      <c r="S1244" s="135">
        <v>2.0199474998432301E-2</v>
      </c>
      <c r="T1244" s="135">
        <v>2.1420776514346401E-2</v>
      </c>
      <c r="U1244" s="135">
        <v>2.3047899601285501E-2</v>
      </c>
      <c r="V1244" s="135">
        <v>2.01939171587644E-2</v>
      </c>
      <c r="W1244" s="135">
        <v>2.7168544383312201E-2</v>
      </c>
      <c r="X1244" s="135">
        <v>4.1922277228623302E-2</v>
      </c>
      <c r="Y1244" s="135">
        <v>4.42720525091755E-2</v>
      </c>
      <c r="Z1244" s="135">
        <v>4.6026164771830198E-2</v>
      </c>
      <c r="AA1244" s="135">
        <v>4.3777967317773302E-2</v>
      </c>
      <c r="AB1244" s="135">
        <v>3.4405093727997202E-2</v>
      </c>
      <c r="AC1244" s="135">
        <v>2.1326718263752101E-2</v>
      </c>
      <c r="AD1244" s="135">
        <v>1.42261215449142E-2</v>
      </c>
      <c r="AF1244" s="243">
        <f t="shared" si="21"/>
        <v>0.14417016214223141</v>
      </c>
      <c r="AG1244" s="275">
        <f t="shared" si="22"/>
        <v>0.2548381126590708</v>
      </c>
      <c r="AH1244" s="391">
        <f t="shared" si="23"/>
        <v>0.34660742517044768</v>
      </c>
      <c r="AI1244" s="135">
        <f t="shared" si="24"/>
        <v>0.60144553782951848</v>
      </c>
    </row>
    <row r="1245" spans="1:35" ht="12.6">
      <c r="A1245" s="10" t="s">
        <v>1516</v>
      </c>
      <c r="B1245" s="10">
        <v>149</v>
      </c>
      <c r="C1245" s="10" t="s">
        <v>1513</v>
      </c>
      <c r="D1245" s="388">
        <v>45075</v>
      </c>
      <c r="E1245" s="389">
        <v>45075</v>
      </c>
      <c r="F1245" s="390" t="str">
        <f t="shared" si="20"/>
        <v>Space heating &amp; cooling</v>
      </c>
      <c r="G1245" s="135">
        <v>1.02047408638502E-2</v>
      </c>
      <c r="H1245" s="135">
        <v>1.06091008009914E-2</v>
      </c>
      <c r="I1245" s="135">
        <v>1.0314901939932499E-2</v>
      </c>
      <c r="J1245" s="135">
        <v>1.14956345272469E-2</v>
      </c>
      <c r="K1245" s="135">
        <v>1.5418561530689099E-2</v>
      </c>
      <c r="L1245" s="135">
        <v>2.6984015042972799E-2</v>
      </c>
      <c r="M1245" s="135">
        <v>6.4210113976539501E-2</v>
      </c>
      <c r="N1245" s="135">
        <v>5.1201121055468202E-2</v>
      </c>
      <c r="O1245" s="135">
        <v>1.7758816933901699E-2</v>
      </c>
      <c r="P1245" s="135">
        <v>7.8302602586143594E-3</v>
      </c>
      <c r="Q1245" s="135">
        <v>6.0948801867032202E-3</v>
      </c>
      <c r="R1245" s="135">
        <v>6.3611866896000199E-3</v>
      </c>
      <c r="S1245" s="135">
        <v>6.9639909338950097E-3</v>
      </c>
      <c r="T1245" s="135">
        <v>9.6080372699486796E-3</v>
      </c>
      <c r="U1245" s="135">
        <v>1.2860713429087799E-2</v>
      </c>
      <c r="V1245" s="135">
        <v>1.94974816098724E-2</v>
      </c>
      <c r="W1245" s="135">
        <v>2.6716767087070398E-2</v>
      </c>
      <c r="X1245" s="135">
        <v>4.6988741684763101E-2</v>
      </c>
      <c r="Y1245" s="135">
        <v>5.46292844388876E-2</v>
      </c>
      <c r="Z1245" s="135">
        <v>5.7393753737374403E-2</v>
      </c>
      <c r="AA1245" s="135">
        <v>5.3047301334796002E-2</v>
      </c>
      <c r="AB1245" s="135">
        <v>3.6988199671513199E-2</v>
      </c>
      <c r="AC1245" s="135">
        <v>1.8832840555165702E-2</v>
      </c>
      <c r="AD1245" s="135">
        <v>1.30629859432664E-2</v>
      </c>
      <c r="AF1245" s="243">
        <f t="shared" si="21"/>
        <v>8.8103057206177518E-2</v>
      </c>
      <c r="AG1245" s="275">
        <f t="shared" si="22"/>
        <v>0.25677988551052866</v>
      </c>
      <c r="AH1245" s="391">
        <f t="shared" si="23"/>
        <v>0.33829354599162176</v>
      </c>
      <c r="AI1245" s="135">
        <f t="shared" si="24"/>
        <v>0.59507343150215042</v>
      </c>
    </row>
    <row r="1246" spans="1:35" ht="12.6">
      <c r="A1246" s="10" t="s">
        <v>1516</v>
      </c>
      <c r="B1246" s="10">
        <v>150</v>
      </c>
      <c r="C1246" s="10" t="s">
        <v>1513</v>
      </c>
      <c r="D1246" s="388">
        <v>45076</v>
      </c>
      <c r="E1246" s="389">
        <v>45076</v>
      </c>
      <c r="F1246" s="390" t="str">
        <f t="shared" si="20"/>
        <v>Space heating &amp; cooling</v>
      </c>
      <c r="G1246" s="135">
        <v>1.02047408638502E-2</v>
      </c>
      <c r="H1246" s="135">
        <v>1.06091008009914E-2</v>
      </c>
      <c r="I1246" s="135">
        <v>1.0314901939932499E-2</v>
      </c>
      <c r="J1246" s="135">
        <v>1.14956345272469E-2</v>
      </c>
      <c r="K1246" s="135">
        <v>1.5418561530689099E-2</v>
      </c>
      <c r="L1246" s="135">
        <v>2.6984015042972799E-2</v>
      </c>
      <c r="M1246" s="135">
        <v>6.4210113976539501E-2</v>
      </c>
      <c r="N1246" s="135">
        <v>5.1201121055468202E-2</v>
      </c>
      <c r="O1246" s="135">
        <v>1.7758816933901699E-2</v>
      </c>
      <c r="P1246" s="135">
        <v>7.8302602586143594E-3</v>
      </c>
      <c r="Q1246" s="135">
        <v>6.0948801867032202E-3</v>
      </c>
      <c r="R1246" s="135">
        <v>6.3611866896000199E-3</v>
      </c>
      <c r="S1246" s="135">
        <v>6.9639909338950097E-3</v>
      </c>
      <c r="T1246" s="135">
        <v>9.6080372699486796E-3</v>
      </c>
      <c r="U1246" s="135">
        <v>1.2860713429087799E-2</v>
      </c>
      <c r="V1246" s="135">
        <v>1.94974816098724E-2</v>
      </c>
      <c r="W1246" s="135">
        <v>2.6716767087070398E-2</v>
      </c>
      <c r="X1246" s="135">
        <v>4.6988741684763101E-2</v>
      </c>
      <c r="Y1246" s="135">
        <v>5.46292844388876E-2</v>
      </c>
      <c r="Z1246" s="135">
        <v>5.7393753737374403E-2</v>
      </c>
      <c r="AA1246" s="135">
        <v>5.3047301334796002E-2</v>
      </c>
      <c r="AB1246" s="135">
        <v>3.6988199671513199E-2</v>
      </c>
      <c r="AC1246" s="135">
        <v>1.8832840555165702E-2</v>
      </c>
      <c r="AD1246" s="135">
        <v>1.30629859432664E-2</v>
      </c>
      <c r="AF1246" s="243">
        <f t="shared" si="21"/>
        <v>8.8103057206177518E-2</v>
      </c>
      <c r="AG1246" s="275">
        <f t="shared" si="22"/>
        <v>0.25677988551052866</v>
      </c>
      <c r="AH1246" s="391">
        <f t="shared" si="23"/>
        <v>0.33829354599162176</v>
      </c>
      <c r="AI1246" s="135">
        <f t="shared" si="24"/>
        <v>0.59507343150215042</v>
      </c>
    </row>
    <row r="1247" spans="1:35" ht="12.6">
      <c r="A1247" s="10" t="s">
        <v>1516</v>
      </c>
      <c r="B1247" s="10">
        <v>151</v>
      </c>
      <c r="C1247" s="10" t="s">
        <v>1513</v>
      </c>
      <c r="D1247" s="388">
        <v>45077</v>
      </c>
      <c r="E1247" s="389">
        <v>45077</v>
      </c>
      <c r="F1247" s="390" t="str">
        <f t="shared" si="20"/>
        <v>Space heating &amp; cooling</v>
      </c>
      <c r="G1247" s="135">
        <v>1.02047408638502E-2</v>
      </c>
      <c r="H1247" s="135">
        <v>1.06091008009914E-2</v>
      </c>
      <c r="I1247" s="135">
        <v>1.0314901939932499E-2</v>
      </c>
      <c r="J1247" s="135">
        <v>1.14956345272469E-2</v>
      </c>
      <c r="K1247" s="135">
        <v>1.5418561530689099E-2</v>
      </c>
      <c r="L1247" s="135">
        <v>2.6984015042972799E-2</v>
      </c>
      <c r="M1247" s="135">
        <v>6.4210113976539501E-2</v>
      </c>
      <c r="N1247" s="135">
        <v>5.1201121055468202E-2</v>
      </c>
      <c r="O1247" s="135">
        <v>1.7758816933901699E-2</v>
      </c>
      <c r="P1247" s="135">
        <v>7.8302602586143594E-3</v>
      </c>
      <c r="Q1247" s="135">
        <v>6.0948801867032202E-3</v>
      </c>
      <c r="R1247" s="135">
        <v>6.3611866896000199E-3</v>
      </c>
      <c r="S1247" s="135">
        <v>6.9639909338950097E-3</v>
      </c>
      <c r="T1247" s="135">
        <v>9.6080372699486796E-3</v>
      </c>
      <c r="U1247" s="135">
        <v>1.2860713429087799E-2</v>
      </c>
      <c r="V1247" s="135">
        <v>1.94974816098724E-2</v>
      </c>
      <c r="W1247" s="135">
        <v>2.6716767087070398E-2</v>
      </c>
      <c r="X1247" s="135">
        <v>4.6988741684763101E-2</v>
      </c>
      <c r="Y1247" s="135">
        <v>5.46292844388876E-2</v>
      </c>
      <c r="Z1247" s="135">
        <v>5.7393753737374403E-2</v>
      </c>
      <c r="AA1247" s="135">
        <v>5.3047301334796002E-2</v>
      </c>
      <c r="AB1247" s="135">
        <v>3.6988199671513199E-2</v>
      </c>
      <c r="AC1247" s="135">
        <v>1.8832840555165702E-2</v>
      </c>
      <c r="AD1247" s="135">
        <v>1.30629859432664E-2</v>
      </c>
      <c r="AF1247" s="243">
        <f t="shared" si="21"/>
        <v>8.8103057206177518E-2</v>
      </c>
      <c r="AG1247" s="275">
        <f t="shared" si="22"/>
        <v>0.25677988551052866</v>
      </c>
      <c r="AH1247" s="391">
        <f t="shared" si="23"/>
        <v>0.33829354599162176</v>
      </c>
      <c r="AI1247" s="135">
        <f t="shared" si="24"/>
        <v>0.59507343150215042</v>
      </c>
    </row>
    <row r="1248" spans="1:35" ht="12.6">
      <c r="A1248" s="10" t="s">
        <v>1516</v>
      </c>
      <c r="B1248" s="10">
        <v>152</v>
      </c>
      <c r="C1248" s="10" t="s">
        <v>1514</v>
      </c>
      <c r="D1248" s="388">
        <v>45078</v>
      </c>
      <c r="E1248" s="389">
        <v>45078</v>
      </c>
      <c r="F1248" s="390" t="str">
        <f t="shared" si="20"/>
        <v>Space heating &amp; cooling</v>
      </c>
      <c r="G1248" s="135">
        <v>2.61425040261964E-2</v>
      </c>
      <c r="H1248" s="135">
        <v>2.52232284505516E-2</v>
      </c>
      <c r="I1248" s="135">
        <v>2.5210507008579099E-2</v>
      </c>
      <c r="J1248" s="135">
        <v>2.7431174802056299E-2</v>
      </c>
      <c r="K1248" s="135">
        <v>4.3844489065242798E-2</v>
      </c>
      <c r="L1248" s="135">
        <v>7.9575636409197695E-2</v>
      </c>
      <c r="M1248" s="135">
        <v>0.23796651078558201</v>
      </c>
      <c r="N1248" s="135">
        <v>0.25720682793210398</v>
      </c>
      <c r="O1248" s="135">
        <v>0.11234625980553201</v>
      </c>
      <c r="P1248" s="135">
        <v>5.1955492395358002E-2</v>
      </c>
      <c r="Q1248" s="135">
        <v>3.5878970850760403E-2</v>
      </c>
      <c r="R1248" s="135">
        <v>3.12399154384225E-2</v>
      </c>
      <c r="S1248" s="135">
        <v>3.45284065743321E-2</v>
      </c>
      <c r="T1248" s="135">
        <v>3.45675880682631E-2</v>
      </c>
      <c r="U1248" s="135">
        <v>3.6100135010316302E-2</v>
      </c>
      <c r="V1248" s="135">
        <v>5.3006459498595802E-2</v>
      </c>
      <c r="W1248" s="135">
        <v>0.10379828811234899</v>
      </c>
      <c r="X1248" s="135">
        <v>0.19363257050396801</v>
      </c>
      <c r="Y1248" s="135">
        <v>0.222764805379144</v>
      </c>
      <c r="Z1248" s="135">
        <v>0.22692461171332201</v>
      </c>
      <c r="AA1248" s="135">
        <v>0.21234869468902801</v>
      </c>
      <c r="AB1248" s="135">
        <v>0.14572824287696801</v>
      </c>
      <c r="AC1248" s="135">
        <v>6.7220878017022007E-2</v>
      </c>
      <c r="AD1248" s="135">
        <v>3.1895393428393599E-2</v>
      </c>
      <c r="AF1248" s="243">
        <f t="shared" si="21"/>
        <v>0.32911976355303924</v>
      </c>
      <c r="AG1248" s="275">
        <f t="shared" si="22"/>
        <v>0.82651119925667782</v>
      </c>
      <c r="AH1248" s="391">
        <f t="shared" si="23"/>
        <v>1.4900263915846068</v>
      </c>
      <c r="AI1248" s="135">
        <f t="shared" si="24"/>
        <v>2.3165375908412846</v>
      </c>
    </row>
    <row r="1249" spans="1:35" ht="12.6">
      <c r="A1249" s="10" t="s">
        <v>1516</v>
      </c>
      <c r="B1249" s="10">
        <v>153</v>
      </c>
      <c r="C1249" s="10" t="s">
        <v>1514</v>
      </c>
      <c r="D1249" s="388">
        <v>45079</v>
      </c>
      <c r="E1249" s="389">
        <v>45079</v>
      </c>
      <c r="F1249" s="390" t="str">
        <f t="shared" si="20"/>
        <v>Space heating &amp; cooling</v>
      </c>
      <c r="G1249" s="135">
        <v>2.61425040261964E-2</v>
      </c>
      <c r="H1249" s="135">
        <v>2.52232284505516E-2</v>
      </c>
      <c r="I1249" s="135">
        <v>2.5210507008579099E-2</v>
      </c>
      <c r="J1249" s="135">
        <v>2.7431174802056299E-2</v>
      </c>
      <c r="K1249" s="135">
        <v>4.3844489065242798E-2</v>
      </c>
      <c r="L1249" s="135">
        <v>7.9575636409197695E-2</v>
      </c>
      <c r="M1249" s="135">
        <v>0.23796651078558201</v>
      </c>
      <c r="N1249" s="135">
        <v>0.25720682793210398</v>
      </c>
      <c r="O1249" s="135">
        <v>0.11234625980553201</v>
      </c>
      <c r="P1249" s="135">
        <v>5.1955492395358002E-2</v>
      </c>
      <c r="Q1249" s="135">
        <v>3.5878970850760403E-2</v>
      </c>
      <c r="R1249" s="135">
        <v>3.12399154384225E-2</v>
      </c>
      <c r="S1249" s="135">
        <v>3.45284065743321E-2</v>
      </c>
      <c r="T1249" s="135">
        <v>3.45675880682631E-2</v>
      </c>
      <c r="U1249" s="135">
        <v>3.6100135010316302E-2</v>
      </c>
      <c r="V1249" s="135">
        <v>5.3006459498595802E-2</v>
      </c>
      <c r="W1249" s="135">
        <v>0.10379828811234899</v>
      </c>
      <c r="X1249" s="135">
        <v>0.19363257050396801</v>
      </c>
      <c r="Y1249" s="135">
        <v>0.222764805379144</v>
      </c>
      <c r="Z1249" s="135">
        <v>0.22692461171332201</v>
      </c>
      <c r="AA1249" s="135">
        <v>0.21234869468902801</v>
      </c>
      <c r="AB1249" s="135">
        <v>0.14572824287696801</v>
      </c>
      <c r="AC1249" s="135">
        <v>6.7220878017022007E-2</v>
      </c>
      <c r="AD1249" s="135">
        <v>3.1895393428393599E-2</v>
      </c>
      <c r="AF1249" s="243">
        <f t="shared" si="21"/>
        <v>0.32911976355303924</v>
      </c>
      <c r="AG1249" s="275">
        <f t="shared" si="22"/>
        <v>0.82651119925667782</v>
      </c>
      <c r="AH1249" s="391">
        <f t="shared" si="23"/>
        <v>1.4900263915846068</v>
      </c>
      <c r="AI1249" s="135">
        <f t="shared" si="24"/>
        <v>2.3165375908412846</v>
      </c>
    </row>
    <row r="1250" spans="1:35" ht="12.6">
      <c r="A1250" s="10" t="s">
        <v>1516</v>
      </c>
      <c r="B1250" s="10">
        <v>154</v>
      </c>
      <c r="C1250" s="10" t="s">
        <v>1514</v>
      </c>
      <c r="D1250" s="388">
        <v>45080</v>
      </c>
      <c r="E1250" s="389">
        <v>45080</v>
      </c>
      <c r="F1250" s="390" t="str">
        <f t="shared" si="20"/>
        <v>Space heating &amp; cooling</v>
      </c>
      <c r="G1250" s="135">
        <v>2.9021445812351301E-2</v>
      </c>
      <c r="H1250" s="135">
        <v>2.3996491146840101E-2</v>
      </c>
      <c r="I1250" s="135">
        <v>2.5890962833305099E-2</v>
      </c>
      <c r="J1250" s="135">
        <v>2.8347091829061099E-2</v>
      </c>
      <c r="K1250" s="135">
        <v>3.96677853370161E-2</v>
      </c>
      <c r="L1250" s="135">
        <v>6.7420601841275296E-2</v>
      </c>
      <c r="M1250" s="135">
        <v>0.14472001633439599</v>
      </c>
      <c r="N1250" s="135">
        <v>0.18672725006466601</v>
      </c>
      <c r="O1250" s="135">
        <v>0.17859160621110801</v>
      </c>
      <c r="P1250" s="135">
        <v>0.10928422901910501</v>
      </c>
      <c r="Q1250" s="135">
        <v>7.8169080825929299E-2</v>
      </c>
      <c r="R1250" s="135">
        <v>6.5912331527195001E-2</v>
      </c>
      <c r="S1250" s="135">
        <v>5.4854002726402298E-2</v>
      </c>
      <c r="T1250" s="135">
        <v>5.1931254028382598E-2</v>
      </c>
      <c r="U1250" s="135">
        <v>4.9010472704917797E-2</v>
      </c>
      <c r="V1250" s="135">
        <v>5.6626788899231097E-2</v>
      </c>
      <c r="W1250" s="135">
        <v>9.7164077657466597E-2</v>
      </c>
      <c r="X1250" s="135">
        <v>0.15839092248990699</v>
      </c>
      <c r="Y1250" s="135">
        <v>0.18440102976725101</v>
      </c>
      <c r="Z1250" s="135">
        <v>0.19154100805106899</v>
      </c>
      <c r="AA1250" s="135">
        <v>0.18317621485337801</v>
      </c>
      <c r="AB1250" s="135">
        <v>0.1408191748805</v>
      </c>
      <c r="AC1250" s="135">
        <v>7.9000771672929598E-2</v>
      </c>
      <c r="AD1250" s="135">
        <v>4.3464628547622501E-2</v>
      </c>
      <c r="AF1250" s="243">
        <f t="shared" si="21"/>
        <v>0.45366800836952476</v>
      </c>
      <c r="AG1250" s="275">
        <f t="shared" si="22"/>
        <v>0.79111639137119782</v>
      </c>
      <c r="AH1250" s="391">
        <f t="shared" si="23"/>
        <v>1.4770128476901081</v>
      </c>
      <c r="AI1250" s="135">
        <f t="shared" si="24"/>
        <v>2.2681292390613059</v>
      </c>
    </row>
    <row r="1251" spans="1:35" ht="12.6">
      <c r="A1251" s="10" t="s">
        <v>1516</v>
      </c>
      <c r="B1251" s="10">
        <v>155</v>
      </c>
      <c r="C1251" s="10" t="s">
        <v>1514</v>
      </c>
      <c r="D1251" s="388">
        <v>45081</v>
      </c>
      <c r="E1251" s="389">
        <v>45081</v>
      </c>
      <c r="F1251" s="390" t="str">
        <f t="shared" si="20"/>
        <v>Space heating &amp; cooling</v>
      </c>
      <c r="G1251" s="135">
        <v>2.9021445812351301E-2</v>
      </c>
      <c r="H1251" s="135">
        <v>2.3996491146840101E-2</v>
      </c>
      <c r="I1251" s="135">
        <v>2.5890962833305099E-2</v>
      </c>
      <c r="J1251" s="135">
        <v>2.8347091829061099E-2</v>
      </c>
      <c r="K1251" s="135">
        <v>3.96677853370161E-2</v>
      </c>
      <c r="L1251" s="135">
        <v>6.7420601841275296E-2</v>
      </c>
      <c r="M1251" s="135">
        <v>0.14472001633439599</v>
      </c>
      <c r="N1251" s="135">
        <v>0.18672725006466601</v>
      </c>
      <c r="O1251" s="135">
        <v>0.17859160621110801</v>
      </c>
      <c r="P1251" s="135">
        <v>0.10928422901910501</v>
      </c>
      <c r="Q1251" s="135">
        <v>7.8169080825929299E-2</v>
      </c>
      <c r="R1251" s="135">
        <v>6.5912331527195001E-2</v>
      </c>
      <c r="S1251" s="135">
        <v>5.4854002726402298E-2</v>
      </c>
      <c r="T1251" s="135">
        <v>5.1931254028382598E-2</v>
      </c>
      <c r="U1251" s="135">
        <v>4.9010472704917797E-2</v>
      </c>
      <c r="V1251" s="135">
        <v>5.6626788899231097E-2</v>
      </c>
      <c r="W1251" s="135">
        <v>9.7164077657466597E-2</v>
      </c>
      <c r="X1251" s="135">
        <v>0.15839092248990699</v>
      </c>
      <c r="Y1251" s="135">
        <v>0.18440102976725101</v>
      </c>
      <c r="Z1251" s="135">
        <v>0.19154100805106899</v>
      </c>
      <c r="AA1251" s="135">
        <v>0.18317621485337801</v>
      </c>
      <c r="AB1251" s="135">
        <v>0.1408191748805</v>
      </c>
      <c r="AC1251" s="135">
        <v>7.9000771672929598E-2</v>
      </c>
      <c r="AD1251" s="135">
        <v>4.3464628547622501E-2</v>
      </c>
      <c r="AF1251" s="243">
        <f t="shared" si="21"/>
        <v>0.45366800836952476</v>
      </c>
      <c r="AG1251" s="275">
        <f t="shared" si="22"/>
        <v>0.79111639137119782</v>
      </c>
      <c r="AH1251" s="391">
        <f t="shared" si="23"/>
        <v>1.4770128476901081</v>
      </c>
      <c r="AI1251" s="135">
        <f t="shared" si="24"/>
        <v>2.2681292390613059</v>
      </c>
    </row>
    <row r="1252" spans="1:35" ht="12.6">
      <c r="A1252" s="10" t="s">
        <v>1516</v>
      </c>
      <c r="B1252" s="10">
        <v>156</v>
      </c>
      <c r="C1252" s="10" t="s">
        <v>1514</v>
      </c>
      <c r="D1252" s="388">
        <v>45082</v>
      </c>
      <c r="E1252" s="389">
        <v>45082</v>
      </c>
      <c r="F1252" s="390" t="str">
        <f t="shared" si="20"/>
        <v>Space heating &amp; cooling</v>
      </c>
      <c r="G1252" s="135">
        <v>2.61425040261964E-2</v>
      </c>
      <c r="H1252" s="135">
        <v>2.52232284505516E-2</v>
      </c>
      <c r="I1252" s="135">
        <v>2.5210507008579099E-2</v>
      </c>
      <c r="J1252" s="135">
        <v>2.7431174802056299E-2</v>
      </c>
      <c r="K1252" s="135">
        <v>4.3844489065242798E-2</v>
      </c>
      <c r="L1252" s="135">
        <v>7.9575636409197695E-2</v>
      </c>
      <c r="M1252" s="135">
        <v>0.23796651078558201</v>
      </c>
      <c r="N1252" s="135">
        <v>0.25720682793210398</v>
      </c>
      <c r="O1252" s="135">
        <v>0.11234625980553201</v>
      </c>
      <c r="P1252" s="135">
        <v>5.1955492395358002E-2</v>
      </c>
      <c r="Q1252" s="135">
        <v>3.5878970850760403E-2</v>
      </c>
      <c r="R1252" s="135">
        <v>3.12399154384225E-2</v>
      </c>
      <c r="S1252" s="135">
        <v>3.45284065743321E-2</v>
      </c>
      <c r="T1252" s="135">
        <v>3.45675880682631E-2</v>
      </c>
      <c r="U1252" s="135">
        <v>3.6100135010316302E-2</v>
      </c>
      <c r="V1252" s="135">
        <v>5.3006459498595802E-2</v>
      </c>
      <c r="W1252" s="135">
        <v>0.10379828811234899</v>
      </c>
      <c r="X1252" s="135">
        <v>0.19363257050396801</v>
      </c>
      <c r="Y1252" s="135">
        <v>0.222764805379144</v>
      </c>
      <c r="Z1252" s="135">
        <v>0.22692461171332201</v>
      </c>
      <c r="AA1252" s="135">
        <v>0.21234869468902801</v>
      </c>
      <c r="AB1252" s="135">
        <v>0.14572824287696801</v>
      </c>
      <c r="AC1252" s="135">
        <v>6.7220878017022007E-2</v>
      </c>
      <c r="AD1252" s="135">
        <v>3.1895393428393599E-2</v>
      </c>
      <c r="AF1252" s="243">
        <f t="shared" si="21"/>
        <v>0.32911976355303924</v>
      </c>
      <c r="AG1252" s="275">
        <f t="shared" si="22"/>
        <v>0.82651119925667782</v>
      </c>
      <c r="AH1252" s="391">
        <f t="shared" si="23"/>
        <v>1.4900263915846068</v>
      </c>
      <c r="AI1252" s="135">
        <f t="shared" si="24"/>
        <v>2.3165375908412846</v>
      </c>
    </row>
    <row r="1253" spans="1:35" ht="12.6">
      <c r="A1253" s="10" t="s">
        <v>1516</v>
      </c>
      <c r="B1253" s="10">
        <v>157</v>
      </c>
      <c r="C1253" s="10" t="s">
        <v>1514</v>
      </c>
      <c r="D1253" s="388">
        <v>45083</v>
      </c>
      <c r="E1253" s="389">
        <v>45083</v>
      </c>
      <c r="F1253" s="390" t="str">
        <f t="shared" si="20"/>
        <v>Space heating &amp; cooling</v>
      </c>
      <c r="G1253" s="135">
        <v>2.61425040261964E-2</v>
      </c>
      <c r="H1253" s="135">
        <v>2.52232284505516E-2</v>
      </c>
      <c r="I1253" s="135">
        <v>2.5210507008579099E-2</v>
      </c>
      <c r="J1253" s="135">
        <v>2.7431174802056299E-2</v>
      </c>
      <c r="K1253" s="135">
        <v>4.3844489065242798E-2</v>
      </c>
      <c r="L1253" s="135">
        <v>7.9575636409197695E-2</v>
      </c>
      <c r="M1253" s="135">
        <v>0.23796651078558201</v>
      </c>
      <c r="N1253" s="135">
        <v>0.25720682793210398</v>
      </c>
      <c r="O1253" s="135">
        <v>0.11234625980553201</v>
      </c>
      <c r="P1253" s="135">
        <v>5.1955492395358002E-2</v>
      </c>
      <c r="Q1253" s="135">
        <v>3.5878970850760403E-2</v>
      </c>
      <c r="R1253" s="135">
        <v>3.12399154384225E-2</v>
      </c>
      <c r="S1253" s="135">
        <v>3.45284065743321E-2</v>
      </c>
      <c r="T1253" s="135">
        <v>3.45675880682631E-2</v>
      </c>
      <c r="U1253" s="135">
        <v>3.6100135010316302E-2</v>
      </c>
      <c r="V1253" s="135">
        <v>5.3006459498595802E-2</v>
      </c>
      <c r="W1253" s="135">
        <v>0.10379828811234899</v>
      </c>
      <c r="X1253" s="135">
        <v>0.19363257050396801</v>
      </c>
      <c r="Y1253" s="135">
        <v>0.222764805379144</v>
      </c>
      <c r="Z1253" s="135">
        <v>0.22692461171332201</v>
      </c>
      <c r="AA1253" s="135">
        <v>0.21234869468902801</v>
      </c>
      <c r="AB1253" s="135">
        <v>0.14572824287696801</v>
      </c>
      <c r="AC1253" s="135">
        <v>6.7220878017022007E-2</v>
      </c>
      <c r="AD1253" s="135">
        <v>3.1895393428393599E-2</v>
      </c>
      <c r="AF1253" s="243">
        <f t="shared" si="21"/>
        <v>0.32911976355303924</v>
      </c>
      <c r="AG1253" s="275">
        <f t="shared" si="22"/>
        <v>0.82651119925667782</v>
      </c>
      <c r="AH1253" s="391">
        <f t="shared" si="23"/>
        <v>1.4900263915846068</v>
      </c>
      <c r="AI1253" s="135">
        <f t="shared" si="24"/>
        <v>2.3165375908412846</v>
      </c>
    </row>
    <row r="1254" spans="1:35" ht="12.6">
      <c r="A1254" s="10" t="s">
        <v>1516</v>
      </c>
      <c r="B1254" s="10">
        <v>158</v>
      </c>
      <c r="C1254" s="10" t="s">
        <v>1514</v>
      </c>
      <c r="D1254" s="388">
        <v>45084</v>
      </c>
      <c r="E1254" s="389">
        <v>45084</v>
      </c>
      <c r="F1254" s="390" t="str">
        <f t="shared" si="20"/>
        <v>Space heating &amp; cooling</v>
      </c>
      <c r="G1254" s="135">
        <v>2.61425040261964E-2</v>
      </c>
      <c r="H1254" s="135">
        <v>2.52232284505516E-2</v>
      </c>
      <c r="I1254" s="135">
        <v>2.5210507008579099E-2</v>
      </c>
      <c r="J1254" s="135">
        <v>2.7431174802056299E-2</v>
      </c>
      <c r="K1254" s="135">
        <v>4.3844489065242798E-2</v>
      </c>
      <c r="L1254" s="135">
        <v>7.9575636409197695E-2</v>
      </c>
      <c r="M1254" s="135">
        <v>0.23796651078558201</v>
      </c>
      <c r="N1254" s="135">
        <v>0.25720682793210398</v>
      </c>
      <c r="O1254" s="135">
        <v>0.11234625980553201</v>
      </c>
      <c r="P1254" s="135">
        <v>5.1955492395358002E-2</v>
      </c>
      <c r="Q1254" s="135">
        <v>3.5878970850760403E-2</v>
      </c>
      <c r="R1254" s="135">
        <v>3.12399154384225E-2</v>
      </c>
      <c r="S1254" s="135">
        <v>3.45284065743321E-2</v>
      </c>
      <c r="T1254" s="135">
        <v>3.45675880682631E-2</v>
      </c>
      <c r="U1254" s="135">
        <v>3.6100135010316302E-2</v>
      </c>
      <c r="V1254" s="135">
        <v>5.3006459498595802E-2</v>
      </c>
      <c r="W1254" s="135">
        <v>0.10379828811234899</v>
      </c>
      <c r="X1254" s="135">
        <v>0.19363257050396801</v>
      </c>
      <c r="Y1254" s="135">
        <v>0.222764805379144</v>
      </c>
      <c r="Z1254" s="135">
        <v>0.22692461171332201</v>
      </c>
      <c r="AA1254" s="135">
        <v>0.21234869468902801</v>
      </c>
      <c r="AB1254" s="135">
        <v>0.14572824287696801</v>
      </c>
      <c r="AC1254" s="135">
        <v>6.7220878017022007E-2</v>
      </c>
      <c r="AD1254" s="135">
        <v>3.1895393428393599E-2</v>
      </c>
      <c r="AF1254" s="243">
        <f t="shared" si="21"/>
        <v>0.32911976355303924</v>
      </c>
      <c r="AG1254" s="275">
        <f t="shared" si="22"/>
        <v>0.82651119925667782</v>
      </c>
      <c r="AH1254" s="391">
        <f t="shared" si="23"/>
        <v>1.4900263915846068</v>
      </c>
      <c r="AI1254" s="135">
        <f t="shared" si="24"/>
        <v>2.3165375908412846</v>
      </c>
    </row>
    <row r="1255" spans="1:35" ht="12.6">
      <c r="A1255" s="10" t="s">
        <v>1516</v>
      </c>
      <c r="B1255" s="10">
        <v>159</v>
      </c>
      <c r="C1255" s="10" t="s">
        <v>1514</v>
      </c>
      <c r="D1255" s="388">
        <v>45085</v>
      </c>
      <c r="E1255" s="389">
        <v>45085</v>
      </c>
      <c r="F1255" s="390" t="str">
        <f t="shared" si="20"/>
        <v>Space heating &amp; cooling</v>
      </c>
      <c r="G1255" s="135">
        <v>2.61425040261964E-2</v>
      </c>
      <c r="H1255" s="135">
        <v>2.52232284505516E-2</v>
      </c>
      <c r="I1255" s="135">
        <v>2.5210507008579099E-2</v>
      </c>
      <c r="J1255" s="135">
        <v>2.7431174802056299E-2</v>
      </c>
      <c r="K1255" s="135">
        <v>4.3844489065242798E-2</v>
      </c>
      <c r="L1255" s="135">
        <v>7.9575636409197695E-2</v>
      </c>
      <c r="M1255" s="135">
        <v>0.23796651078558201</v>
      </c>
      <c r="N1255" s="135">
        <v>0.25720682793210398</v>
      </c>
      <c r="O1255" s="135">
        <v>0.11234625980553201</v>
      </c>
      <c r="P1255" s="135">
        <v>5.1955492395358002E-2</v>
      </c>
      <c r="Q1255" s="135">
        <v>3.5878970850760403E-2</v>
      </c>
      <c r="R1255" s="135">
        <v>3.12399154384225E-2</v>
      </c>
      <c r="S1255" s="135">
        <v>3.45284065743321E-2</v>
      </c>
      <c r="T1255" s="135">
        <v>3.45675880682631E-2</v>
      </c>
      <c r="U1255" s="135">
        <v>3.6100135010316302E-2</v>
      </c>
      <c r="V1255" s="135">
        <v>5.3006459498595802E-2</v>
      </c>
      <c r="W1255" s="135">
        <v>0.10379828811234899</v>
      </c>
      <c r="X1255" s="135">
        <v>0.19363257050396801</v>
      </c>
      <c r="Y1255" s="135">
        <v>0.222764805379144</v>
      </c>
      <c r="Z1255" s="135">
        <v>0.22692461171332201</v>
      </c>
      <c r="AA1255" s="135">
        <v>0.21234869468902801</v>
      </c>
      <c r="AB1255" s="135">
        <v>0.14572824287696801</v>
      </c>
      <c r="AC1255" s="135">
        <v>6.7220878017022007E-2</v>
      </c>
      <c r="AD1255" s="135">
        <v>3.1895393428393599E-2</v>
      </c>
      <c r="AF1255" s="243">
        <f t="shared" si="21"/>
        <v>0.32911976355303924</v>
      </c>
      <c r="AG1255" s="275">
        <f t="shared" si="22"/>
        <v>0.82651119925667782</v>
      </c>
      <c r="AH1255" s="391">
        <f t="shared" si="23"/>
        <v>1.4900263915846068</v>
      </c>
      <c r="AI1255" s="135">
        <f t="shared" si="24"/>
        <v>2.3165375908412846</v>
      </c>
    </row>
    <row r="1256" spans="1:35" ht="12.6">
      <c r="A1256" s="10" t="s">
        <v>1516</v>
      </c>
      <c r="B1256" s="10">
        <v>160</v>
      </c>
      <c r="C1256" s="10" t="s">
        <v>1514</v>
      </c>
      <c r="D1256" s="388">
        <v>45086</v>
      </c>
      <c r="E1256" s="389">
        <v>45086</v>
      </c>
      <c r="F1256" s="390" t="str">
        <f t="shared" si="20"/>
        <v>Space heating &amp; cooling</v>
      </c>
      <c r="G1256" s="135">
        <v>2.61425040261964E-2</v>
      </c>
      <c r="H1256" s="135">
        <v>2.52232284505516E-2</v>
      </c>
      <c r="I1256" s="135">
        <v>2.5210507008579099E-2</v>
      </c>
      <c r="J1256" s="135">
        <v>2.7431174802056299E-2</v>
      </c>
      <c r="K1256" s="135">
        <v>4.3844489065242798E-2</v>
      </c>
      <c r="L1256" s="135">
        <v>7.9575636409197695E-2</v>
      </c>
      <c r="M1256" s="135">
        <v>0.23796651078558201</v>
      </c>
      <c r="N1256" s="135">
        <v>0.25720682793210398</v>
      </c>
      <c r="O1256" s="135">
        <v>0.11234625980553201</v>
      </c>
      <c r="P1256" s="135">
        <v>5.1955492395358002E-2</v>
      </c>
      <c r="Q1256" s="135">
        <v>3.5878970850760403E-2</v>
      </c>
      <c r="R1256" s="135">
        <v>3.12399154384225E-2</v>
      </c>
      <c r="S1256" s="135">
        <v>3.45284065743321E-2</v>
      </c>
      <c r="T1256" s="135">
        <v>3.45675880682631E-2</v>
      </c>
      <c r="U1256" s="135">
        <v>3.6100135010316302E-2</v>
      </c>
      <c r="V1256" s="135">
        <v>5.3006459498595802E-2</v>
      </c>
      <c r="W1256" s="135">
        <v>0.10379828811234899</v>
      </c>
      <c r="X1256" s="135">
        <v>0.19363257050396801</v>
      </c>
      <c r="Y1256" s="135">
        <v>0.222764805379144</v>
      </c>
      <c r="Z1256" s="135">
        <v>0.22692461171332201</v>
      </c>
      <c r="AA1256" s="135">
        <v>0.21234869468902801</v>
      </c>
      <c r="AB1256" s="135">
        <v>0.14572824287696801</v>
      </c>
      <c r="AC1256" s="135">
        <v>6.7220878017022007E-2</v>
      </c>
      <c r="AD1256" s="135">
        <v>3.1895393428393599E-2</v>
      </c>
      <c r="AF1256" s="243">
        <f t="shared" si="21"/>
        <v>0.32911976355303924</v>
      </c>
      <c r="AG1256" s="275">
        <f t="shared" si="22"/>
        <v>0.82651119925667782</v>
      </c>
      <c r="AH1256" s="391">
        <f t="shared" si="23"/>
        <v>1.4900263915846068</v>
      </c>
      <c r="AI1256" s="135">
        <f t="shared" si="24"/>
        <v>2.3165375908412846</v>
      </c>
    </row>
    <row r="1257" spans="1:35" ht="12.6">
      <c r="A1257" s="10" t="s">
        <v>1516</v>
      </c>
      <c r="B1257" s="10">
        <v>161</v>
      </c>
      <c r="C1257" s="10" t="s">
        <v>1514</v>
      </c>
      <c r="D1257" s="388">
        <v>45087</v>
      </c>
      <c r="E1257" s="389">
        <v>45087</v>
      </c>
      <c r="F1257" s="390" t="str">
        <f t="shared" si="20"/>
        <v>Space heating &amp; cooling</v>
      </c>
      <c r="G1257" s="135">
        <v>2.9021445812351301E-2</v>
      </c>
      <c r="H1257" s="135">
        <v>2.3996491146840101E-2</v>
      </c>
      <c r="I1257" s="135">
        <v>2.5890962833305099E-2</v>
      </c>
      <c r="J1257" s="135">
        <v>2.8347091829061099E-2</v>
      </c>
      <c r="K1257" s="135">
        <v>3.96677853370161E-2</v>
      </c>
      <c r="L1257" s="135">
        <v>6.7420601841275296E-2</v>
      </c>
      <c r="M1257" s="135">
        <v>0.14472001633439599</v>
      </c>
      <c r="N1257" s="135">
        <v>0.18672725006466601</v>
      </c>
      <c r="O1257" s="135">
        <v>0.17859160621110801</v>
      </c>
      <c r="P1257" s="135">
        <v>0.10928422901910501</v>
      </c>
      <c r="Q1257" s="135">
        <v>7.8169080825929299E-2</v>
      </c>
      <c r="R1257" s="135">
        <v>6.5912331527195001E-2</v>
      </c>
      <c r="S1257" s="135">
        <v>5.4854002726402298E-2</v>
      </c>
      <c r="T1257" s="135">
        <v>5.1931254028382598E-2</v>
      </c>
      <c r="U1257" s="135">
        <v>4.9010472704917797E-2</v>
      </c>
      <c r="V1257" s="135">
        <v>5.6626788899231097E-2</v>
      </c>
      <c r="W1257" s="135">
        <v>9.7164077657466597E-2</v>
      </c>
      <c r="X1257" s="135">
        <v>0.15839092248990699</v>
      </c>
      <c r="Y1257" s="135">
        <v>0.18440102976725101</v>
      </c>
      <c r="Z1257" s="135">
        <v>0.19154100805106899</v>
      </c>
      <c r="AA1257" s="135">
        <v>0.18317621485337801</v>
      </c>
      <c r="AB1257" s="135">
        <v>0.1408191748805</v>
      </c>
      <c r="AC1257" s="135">
        <v>7.9000771672929598E-2</v>
      </c>
      <c r="AD1257" s="135">
        <v>4.3464628547622501E-2</v>
      </c>
      <c r="AF1257" s="243">
        <f t="shared" si="21"/>
        <v>0.45366800836952476</v>
      </c>
      <c r="AG1257" s="275">
        <f t="shared" si="22"/>
        <v>0.79111639137119782</v>
      </c>
      <c r="AH1257" s="391">
        <f t="shared" si="23"/>
        <v>1.4770128476901081</v>
      </c>
      <c r="AI1257" s="135">
        <f t="shared" si="24"/>
        <v>2.2681292390613059</v>
      </c>
    </row>
    <row r="1258" spans="1:35" ht="12.6">
      <c r="A1258" s="10" t="s">
        <v>1516</v>
      </c>
      <c r="B1258" s="10">
        <v>162</v>
      </c>
      <c r="C1258" s="10" t="s">
        <v>1514</v>
      </c>
      <c r="D1258" s="388">
        <v>45088</v>
      </c>
      <c r="E1258" s="389">
        <v>45088</v>
      </c>
      <c r="F1258" s="390" t="str">
        <f t="shared" si="20"/>
        <v>Space heating &amp; cooling</v>
      </c>
      <c r="G1258" s="135">
        <v>2.9021445812351301E-2</v>
      </c>
      <c r="H1258" s="135">
        <v>2.3996491146840101E-2</v>
      </c>
      <c r="I1258" s="135">
        <v>2.5890962833305099E-2</v>
      </c>
      <c r="J1258" s="135">
        <v>2.8347091829061099E-2</v>
      </c>
      <c r="K1258" s="135">
        <v>3.96677853370161E-2</v>
      </c>
      <c r="L1258" s="135">
        <v>6.7420601841275296E-2</v>
      </c>
      <c r="M1258" s="135">
        <v>0.14472001633439599</v>
      </c>
      <c r="N1258" s="135">
        <v>0.18672725006466601</v>
      </c>
      <c r="O1258" s="135">
        <v>0.17859160621110801</v>
      </c>
      <c r="P1258" s="135">
        <v>0.10928422901910501</v>
      </c>
      <c r="Q1258" s="135">
        <v>7.8169080825929299E-2</v>
      </c>
      <c r="R1258" s="135">
        <v>6.5912331527195001E-2</v>
      </c>
      <c r="S1258" s="135">
        <v>5.4854002726402298E-2</v>
      </c>
      <c r="T1258" s="135">
        <v>5.1931254028382598E-2</v>
      </c>
      <c r="U1258" s="135">
        <v>4.9010472704917797E-2</v>
      </c>
      <c r="V1258" s="135">
        <v>5.6626788899231097E-2</v>
      </c>
      <c r="W1258" s="135">
        <v>9.7164077657466597E-2</v>
      </c>
      <c r="X1258" s="135">
        <v>0.15839092248990699</v>
      </c>
      <c r="Y1258" s="135">
        <v>0.18440102976725101</v>
      </c>
      <c r="Z1258" s="135">
        <v>0.19154100805106899</v>
      </c>
      <c r="AA1258" s="135">
        <v>0.18317621485337801</v>
      </c>
      <c r="AB1258" s="135">
        <v>0.1408191748805</v>
      </c>
      <c r="AC1258" s="135">
        <v>7.9000771672929598E-2</v>
      </c>
      <c r="AD1258" s="135">
        <v>4.3464628547622501E-2</v>
      </c>
      <c r="AF1258" s="243">
        <f t="shared" si="21"/>
        <v>0.45366800836952476</v>
      </c>
      <c r="AG1258" s="275">
        <f t="shared" si="22"/>
        <v>0.79111639137119782</v>
      </c>
      <c r="AH1258" s="391">
        <f t="shared" si="23"/>
        <v>1.4770128476901081</v>
      </c>
      <c r="AI1258" s="135">
        <f t="shared" si="24"/>
        <v>2.2681292390613059</v>
      </c>
    </row>
    <row r="1259" spans="1:35" ht="12.6">
      <c r="A1259" s="10" t="s">
        <v>1516</v>
      </c>
      <c r="B1259" s="10">
        <v>163</v>
      </c>
      <c r="C1259" s="10" t="s">
        <v>1514</v>
      </c>
      <c r="D1259" s="388">
        <v>45089</v>
      </c>
      <c r="E1259" s="389">
        <v>45089</v>
      </c>
      <c r="F1259" s="390" t="str">
        <f t="shared" si="20"/>
        <v>Space heating &amp; cooling</v>
      </c>
      <c r="G1259" s="135">
        <v>2.61425040261964E-2</v>
      </c>
      <c r="H1259" s="135">
        <v>2.52232284505516E-2</v>
      </c>
      <c r="I1259" s="135">
        <v>2.5210507008579099E-2</v>
      </c>
      <c r="J1259" s="135">
        <v>2.7431174802056299E-2</v>
      </c>
      <c r="K1259" s="135">
        <v>4.3844489065242798E-2</v>
      </c>
      <c r="L1259" s="135">
        <v>7.9575636409197695E-2</v>
      </c>
      <c r="M1259" s="135">
        <v>0.23796651078558201</v>
      </c>
      <c r="N1259" s="135">
        <v>0.25720682793210398</v>
      </c>
      <c r="O1259" s="135">
        <v>0.11234625980553201</v>
      </c>
      <c r="P1259" s="135">
        <v>5.1955492395358002E-2</v>
      </c>
      <c r="Q1259" s="135">
        <v>3.5878970850760403E-2</v>
      </c>
      <c r="R1259" s="135">
        <v>3.12399154384225E-2</v>
      </c>
      <c r="S1259" s="135">
        <v>3.45284065743321E-2</v>
      </c>
      <c r="T1259" s="135">
        <v>3.45675880682631E-2</v>
      </c>
      <c r="U1259" s="135">
        <v>3.6100135010316302E-2</v>
      </c>
      <c r="V1259" s="135">
        <v>5.3006459498595802E-2</v>
      </c>
      <c r="W1259" s="135">
        <v>0.10379828811234899</v>
      </c>
      <c r="X1259" s="135">
        <v>0.19363257050396801</v>
      </c>
      <c r="Y1259" s="135">
        <v>0.222764805379144</v>
      </c>
      <c r="Z1259" s="135">
        <v>0.22692461171332201</v>
      </c>
      <c r="AA1259" s="135">
        <v>0.21234869468902801</v>
      </c>
      <c r="AB1259" s="135">
        <v>0.14572824287696801</v>
      </c>
      <c r="AC1259" s="135">
        <v>6.7220878017022007E-2</v>
      </c>
      <c r="AD1259" s="135">
        <v>3.1895393428393599E-2</v>
      </c>
      <c r="AF1259" s="243">
        <f t="shared" si="21"/>
        <v>0.32911976355303924</v>
      </c>
      <c r="AG1259" s="275">
        <f t="shared" si="22"/>
        <v>0.82651119925667782</v>
      </c>
      <c r="AH1259" s="391">
        <f t="shared" si="23"/>
        <v>1.4900263915846068</v>
      </c>
      <c r="AI1259" s="135">
        <f t="shared" si="24"/>
        <v>2.3165375908412846</v>
      </c>
    </row>
    <row r="1260" spans="1:35" ht="12.6">
      <c r="A1260" s="10" t="s">
        <v>1516</v>
      </c>
      <c r="B1260" s="10">
        <v>164</v>
      </c>
      <c r="C1260" s="10" t="s">
        <v>1514</v>
      </c>
      <c r="D1260" s="388">
        <v>45090</v>
      </c>
      <c r="E1260" s="389">
        <v>45090</v>
      </c>
      <c r="F1260" s="390" t="str">
        <f t="shared" si="20"/>
        <v>Space heating &amp; cooling</v>
      </c>
      <c r="G1260" s="135">
        <v>2.61425040261964E-2</v>
      </c>
      <c r="H1260" s="135">
        <v>2.52232284505516E-2</v>
      </c>
      <c r="I1260" s="135">
        <v>2.5210507008579099E-2</v>
      </c>
      <c r="J1260" s="135">
        <v>2.7431174802056299E-2</v>
      </c>
      <c r="K1260" s="135">
        <v>4.3844489065242798E-2</v>
      </c>
      <c r="L1260" s="135">
        <v>7.9575636409197695E-2</v>
      </c>
      <c r="M1260" s="135">
        <v>0.23796651078558201</v>
      </c>
      <c r="N1260" s="135">
        <v>0.25720682793210398</v>
      </c>
      <c r="O1260" s="135">
        <v>0.11234625980553201</v>
      </c>
      <c r="P1260" s="135">
        <v>5.1955492395358002E-2</v>
      </c>
      <c r="Q1260" s="135">
        <v>3.5878970850760403E-2</v>
      </c>
      <c r="R1260" s="135">
        <v>3.12399154384225E-2</v>
      </c>
      <c r="S1260" s="135">
        <v>3.45284065743321E-2</v>
      </c>
      <c r="T1260" s="135">
        <v>3.45675880682631E-2</v>
      </c>
      <c r="U1260" s="135">
        <v>3.6100135010316302E-2</v>
      </c>
      <c r="V1260" s="135">
        <v>5.3006459498595802E-2</v>
      </c>
      <c r="W1260" s="135">
        <v>0.10379828811234899</v>
      </c>
      <c r="X1260" s="135">
        <v>0.19363257050396801</v>
      </c>
      <c r="Y1260" s="135">
        <v>0.222764805379144</v>
      </c>
      <c r="Z1260" s="135">
        <v>0.22692461171332201</v>
      </c>
      <c r="AA1260" s="135">
        <v>0.21234869468902801</v>
      </c>
      <c r="AB1260" s="135">
        <v>0.14572824287696801</v>
      </c>
      <c r="AC1260" s="135">
        <v>6.7220878017022007E-2</v>
      </c>
      <c r="AD1260" s="135">
        <v>3.1895393428393599E-2</v>
      </c>
      <c r="AF1260" s="243">
        <f t="shared" si="21"/>
        <v>0.32911976355303924</v>
      </c>
      <c r="AG1260" s="275">
        <f t="shared" si="22"/>
        <v>0.82651119925667782</v>
      </c>
      <c r="AH1260" s="391">
        <f t="shared" si="23"/>
        <v>1.4900263915846068</v>
      </c>
      <c r="AI1260" s="135">
        <f t="shared" si="24"/>
        <v>2.3165375908412846</v>
      </c>
    </row>
    <row r="1261" spans="1:35" ht="12.6">
      <c r="A1261" s="10" t="s">
        <v>1516</v>
      </c>
      <c r="B1261" s="10">
        <v>165</v>
      </c>
      <c r="C1261" s="10" t="s">
        <v>1514</v>
      </c>
      <c r="D1261" s="388">
        <v>45091</v>
      </c>
      <c r="E1261" s="389">
        <v>45091</v>
      </c>
      <c r="F1261" s="390" t="str">
        <f t="shared" si="20"/>
        <v>Space heating &amp; cooling</v>
      </c>
      <c r="G1261" s="135">
        <v>2.61425040261964E-2</v>
      </c>
      <c r="H1261" s="135">
        <v>2.52232284505516E-2</v>
      </c>
      <c r="I1261" s="135">
        <v>2.5210507008579099E-2</v>
      </c>
      <c r="J1261" s="135">
        <v>2.7431174802056299E-2</v>
      </c>
      <c r="K1261" s="135">
        <v>4.3844489065242798E-2</v>
      </c>
      <c r="L1261" s="135">
        <v>7.9575636409197695E-2</v>
      </c>
      <c r="M1261" s="135">
        <v>0.23796651078558201</v>
      </c>
      <c r="N1261" s="135">
        <v>0.25720682793210398</v>
      </c>
      <c r="O1261" s="135">
        <v>0.11234625980553201</v>
      </c>
      <c r="P1261" s="135">
        <v>5.1955492395358002E-2</v>
      </c>
      <c r="Q1261" s="135">
        <v>3.5878970850760403E-2</v>
      </c>
      <c r="R1261" s="135">
        <v>3.12399154384225E-2</v>
      </c>
      <c r="S1261" s="135">
        <v>3.45284065743321E-2</v>
      </c>
      <c r="T1261" s="135">
        <v>3.45675880682631E-2</v>
      </c>
      <c r="U1261" s="135">
        <v>3.6100135010316302E-2</v>
      </c>
      <c r="V1261" s="135">
        <v>5.3006459498595802E-2</v>
      </c>
      <c r="W1261" s="135">
        <v>0.10379828811234899</v>
      </c>
      <c r="X1261" s="135">
        <v>0.19363257050396801</v>
      </c>
      <c r="Y1261" s="135">
        <v>0.222764805379144</v>
      </c>
      <c r="Z1261" s="135">
        <v>0.22692461171332201</v>
      </c>
      <c r="AA1261" s="135">
        <v>0.21234869468902801</v>
      </c>
      <c r="AB1261" s="135">
        <v>0.14572824287696801</v>
      </c>
      <c r="AC1261" s="135">
        <v>6.7220878017022007E-2</v>
      </c>
      <c r="AD1261" s="135">
        <v>3.1895393428393599E-2</v>
      </c>
      <c r="AF1261" s="243">
        <f t="shared" si="21"/>
        <v>0.32911976355303924</v>
      </c>
      <c r="AG1261" s="275">
        <f t="shared" si="22"/>
        <v>0.82651119925667782</v>
      </c>
      <c r="AH1261" s="391">
        <f t="shared" si="23"/>
        <v>1.4900263915846068</v>
      </c>
      <c r="AI1261" s="135">
        <f t="shared" si="24"/>
        <v>2.3165375908412846</v>
      </c>
    </row>
    <row r="1262" spans="1:35" ht="12.6">
      <c r="A1262" s="10" t="s">
        <v>1516</v>
      </c>
      <c r="B1262" s="10">
        <v>166</v>
      </c>
      <c r="C1262" s="10" t="s">
        <v>1514</v>
      </c>
      <c r="D1262" s="388">
        <v>45092</v>
      </c>
      <c r="E1262" s="389">
        <v>45092</v>
      </c>
      <c r="F1262" s="390" t="str">
        <f t="shared" si="20"/>
        <v>Space heating &amp; cooling</v>
      </c>
      <c r="G1262" s="135">
        <v>2.61425040261964E-2</v>
      </c>
      <c r="H1262" s="135">
        <v>2.52232284505516E-2</v>
      </c>
      <c r="I1262" s="135">
        <v>2.5210507008579099E-2</v>
      </c>
      <c r="J1262" s="135">
        <v>2.7431174802056299E-2</v>
      </c>
      <c r="K1262" s="135">
        <v>4.3844489065242798E-2</v>
      </c>
      <c r="L1262" s="135">
        <v>7.9575636409197695E-2</v>
      </c>
      <c r="M1262" s="135">
        <v>0.23796651078558201</v>
      </c>
      <c r="N1262" s="135">
        <v>0.25720682793210398</v>
      </c>
      <c r="O1262" s="135">
        <v>0.11234625980553201</v>
      </c>
      <c r="P1262" s="135">
        <v>5.1955492395358002E-2</v>
      </c>
      <c r="Q1262" s="135">
        <v>3.5878970850760403E-2</v>
      </c>
      <c r="R1262" s="135">
        <v>3.12399154384225E-2</v>
      </c>
      <c r="S1262" s="135">
        <v>3.45284065743321E-2</v>
      </c>
      <c r="T1262" s="135">
        <v>3.45675880682631E-2</v>
      </c>
      <c r="U1262" s="135">
        <v>3.6100135010316302E-2</v>
      </c>
      <c r="V1262" s="135">
        <v>5.3006459498595802E-2</v>
      </c>
      <c r="W1262" s="135">
        <v>0.10379828811234899</v>
      </c>
      <c r="X1262" s="135">
        <v>0.19363257050396801</v>
      </c>
      <c r="Y1262" s="135">
        <v>0.222764805379144</v>
      </c>
      <c r="Z1262" s="135">
        <v>0.22692461171332201</v>
      </c>
      <c r="AA1262" s="135">
        <v>0.21234869468902801</v>
      </c>
      <c r="AB1262" s="135">
        <v>0.14572824287696801</v>
      </c>
      <c r="AC1262" s="135">
        <v>6.7220878017022007E-2</v>
      </c>
      <c r="AD1262" s="135">
        <v>3.1895393428393599E-2</v>
      </c>
      <c r="AF1262" s="243">
        <f t="shared" si="21"/>
        <v>0.32911976355303924</v>
      </c>
      <c r="AG1262" s="275">
        <f t="shared" si="22"/>
        <v>0.82651119925667782</v>
      </c>
      <c r="AH1262" s="391">
        <f t="shared" si="23"/>
        <v>1.4900263915846068</v>
      </c>
      <c r="AI1262" s="135">
        <f t="shared" si="24"/>
        <v>2.3165375908412846</v>
      </c>
    </row>
    <row r="1263" spans="1:35" ht="12.6">
      <c r="A1263" s="10" t="s">
        <v>1516</v>
      </c>
      <c r="B1263" s="10">
        <v>167</v>
      </c>
      <c r="C1263" s="10" t="s">
        <v>1514</v>
      </c>
      <c r="D1263" s="388">
        <v>45093</v>
      </c>
      <c r="E1263" s="389">
        <v>45093</v>
      </c>
      <c r="F1263" s="390" t="str">
        <f t="shared" si="20"/>
        <v>Space heating &amp; cooling</v>
      </c>
      <c r="G1263" s="135">
        <v>2.61425040261964E-2</v>
      </c>
      <c r="H1263" s="135">
        <v>2.52232284505516E-2</v>
      </c>
      <c r="I1263" s="135">
        <v>2.5210507008579099E-2</v>
      </c>
      <c r="J1263" s="135">
        <v>2.7431174802056299E-2</v>
      </c>
      <c r="K1263" s="135">
        <v>4.3844489065242798E-2</v>
      </c>
      <c r="L1263" s="135">
        <v>7.9575636409197695E-2</v>
      </c>
      <c r="M1263" s="135">
        <v>0.23796651078558201</v>
      </c>
      <c r="N1263" s="135">
        <v>0.25720682793210398</v>
      </c>
      <c r="O1263" s="135">
        <v>0.11234625980553201</v>
      </c>
      <c r="P1263" s="135">
        <v>5.1955492395358002E-2</v>
      </c>
      <c r="Q1263" s="135">
        <v>3.5878970850760403E-2</v>
      </c>
      <c r="R1263" s="135">
        <v>3.12399154384225E-2</v>
      </c>
      <c r="S1263" s="135">
        <v>3.45284065743321E-2</v>
      </c>
      <c r="T1263" s="135">
        <v>3.45675880682631E-2</v>
      </c>
      <c r="U1263" s="135">
        <v>3.6100135010316302E-2</v>
      </c>
      <c r="V1263" s="135">
        <v>5.3006459498595802E-2</v>
      </c>
      <c r="W1263" s="135">
        <v>0.10379828811234899</v>
      </c>
      <c r="X1263" s="135">
        <v>0.19363257050396801</v>
      </c>
      <c r="Y1263" s="135">
        <v>0.222764805379144</v>
      </c>
      <c r="Z1263" s="135">
        <v>0.22692461171332201</v>
      </c>
      <c r="AA1263" s="135">
        <v>0.21234869468902801</v>
      </c>
      <c r="AB1263" s="135">
        <v>0.14572824287696801</v>
      </c>
      <c r="AC1263" s="135">
        <v>6.7220878017022007E-2</v>
      </c>
      <c r="AD1263" s="135">
        <v>3.1895393428393599E-2</v>
      </c>
      <c r="AF1263" s="243">
        <f t="shared" si="21"/>
        <v>0.32911976355303924</v>
      </c>
      <c r="AG1263" s="275">
        <f t="shared" si="22"/>
        <v>0.82651119925667782</v>
      </c>
      <c r="AH1263" s="391">
        <f t="shared" si="23"/>
        <v>1.4900263915846068</v>
      </c>
      <c r="AI1263" s="135">
        <f t="shared" si="24"/>
        <v>2.3165375908412846</v>
      </c>
    </row>
    <row r="1264" spans="1:35" ht="12.6">
      <c r="A1264" s="10" t="s">
        <v>1516</v>
      </c>
      <c r="B1264" s="10">
        <v>168</v>
      </c>
      <c r="C1264" s="10" t="s">
        <v>1514</v>
      </c>
      <c r="D1264" s="388">
        <v>45094</v>
      </c>
      <c r="E1264" s="389">
        <v>45094</v>
      </c>
      <c r="F1264" s="390" t="str">
        <f t="shared" si="20"/>
        <v>Space heating &amp; cooling</v>
      </c>
      <c r="G1264" s="135">
        <v>2.9021445812351301E-2</v>
      </c>
      <c r="H1264" s="135">
        <v>2.3996491146840101E-2</v>
      </c>
      <c r="I1264" s="135">
        <v>2.5890962833305099E-2</v>
      </c>
      <c r="J1264" s="135">
        <v>2.8347091829061099E-2</v>
      </c>
      <c r="K1264" s="135">
        <v>3.96677853370161E-2</v>
      </c>
      <c r="L1264" s="135">
        <v>6.7420601841275296E-2</v>
      </c>
      <c r="M1264" s="135">
        <v>0.14472001633439599</v>
      </c>
      <c r="N1264" s="135">
        <v>0.18672725006466601</v>
      </c>
      <c r="O1264" s="135">
        <v>0.17859160621110801</v>
      </c>
      <c r="P1264" s="135">
        <v>0.10928422901910501</v>
      </c>
      <c r="Q1264" s="135">
        <v>7.8169080825929299E-2</v>
      </c>
      <c r="R1264" s="135">
        <v>6.5912331527195001E-2</v>
      </c>
      <c r="S1264" s="135">
        <v>5.4854002726402298E-2</v>
      </c>
      <c r="T1264" s="135">
        <v>5.1931254028382598E-2</v>
      </c>
      <c r="U1264" s="135">
        <v>4.9010472704917797E-2</v>
      </c>
      <c r="V1264" s="135">
        <v>5.6626788899231097E-2</v>
      </c>
      <c r="W1264" s="135">
        <v>9.7164077657466597E-2</v>
      </c>
      <c r="X1264" s="135">
        <v>0.15839092248990699</v>
      </c>
      <c r="Y1264" s="135">
        <v>0.18440102976725101</v>
      </c>
      <c r="Z1264" s="135">
        <v>0.19154100805106899</v>
      </c>
      <c r="AA1264" s="135">
        <v>0.18317621485337801</v>
      </c>
      <c r="AB1264" s="135">
        <v>0.1408191748805</v>
      </c>
      <c r="AC1264" s="135">
        <v>7.9000771672929598E-2</v>
      </c>
      <c r="AD1264" s="135">
        <v>4.3464628547622501E-2</v>
      </c>
      <c r="AF1264" s="243">
        <f t="shared" si="21"/>
        <v>0.45366800836952476</v>
      </c>
      <c r="AG1264" s="275">
        <f t="shared" si="22"/>
        <v>0.79111639137119782</v>
      </c>
      <c r="AH1264" s="391">
        <f t="shared" si="23"/>
        <v>1.4770128476901081</v>
      </c>
      <c r="AI1264" s="135">
        <f t="shared" si="24"/>
        <v>2.2681292390613059</v>
      </c>
    </row>
    <row r="1265" spans="1:35" ht="12.6">
      <c r="A1265" s="10" t="s">
        <v>1516</v>
      </c>
      <c r="B1265" s="10">
        <v>169</v>
      </c>
      <c r="C1265" s="10" t="s">
        <v>1514</v>
      </c>
      <c r="D1265" s="388">
        <v>45095</v>
      </c>
      <c r="E1265" s="389">
        <v>45095</v>
      </c>
      <c r="F1265" s="390" t="str">
        <f t="shared" si="20"/>
        <v>Space heating &amp; cooling</v>
      </c>
      <c r="G1265" s="135">
        <v>2.9021445812351301E-2</v>
      </c>
      <c r="H1265" s="135">
        <v>2.3996491146840101E-2</v>
      </c>
      <c r="I1265" s="135">
        <v>2.5890962833305099E-2</v>
      </c>
      <c r="J1265" s="135">
        <v>2.8347091829061099E-2</v>
      </c>
      <c r="K1265" s="135">
        <v>3.96677853370161E-2</v>
      </c>
      <c r="L1265" s="135">
        <v>6.7420601841275296E-2</v>
      </c>
      <c r="M1265" s="135">
        <v>0.14472001633439599</v>
      </c>
      <c r="N1265" s="135">
        <v>0.18672725006466601</v>
      </c>
      <c r="O1265" s="135">
        <v>0.17859160621110801</v>
      </c>
      <c r="P1265" s="135">
        <v>0.10928422901910501</v>
      </c>
      <c r="Q1265" s="135">
        <v>7.8169080825929299E-2</v>
      </c>
      <c r="R1265" s="135">
        <v>6.5912331527195001E-2</v>
      </c>
      <c r="S1265" s="135">
        <v>5.4854002726402298E-2</v>
      </c>
      <c r="T1265" s="135">
        <v>5.1931254028382598E-2</v>
      </c>
      <c r="U1265" s="135">
        <v>4.9010472704917797E-2</v>
      </c>
      <c r="V1265" s="135">
        <v>5.6626788899231097E-2</v>
      </c>
      <c r="W1265" s="135">
        <v>9.7164077657466597E-2</v>
      </c>
      <c r="X1265" s="135">
        <v>0.15839092248990699</v>
      </c>
      <c r="Y1265" s="135">
        <v>0.18440102976725101</v>
      </c>
      <c r="Z1265" s="135">
        <v>0.19154100805106899</v>
      </c>
      <c r="AA1265" s="135">
        <v>0.18317621485337801</v>
      </c>
      <c r="AB1265" s="135">
        <v>0.1408191748805</v>
      </c>
      <c r="AC1265" s="135">
        <v>7.9000771672929598E-2</v>
      </c>
      <c r="AD1265" s="135">
        <v>4.3464628547622501E-2</v>
      </c>
      <c r="AF1265" s="243">
        <f t="shared" si="21"/>
        <v>0.45366800836952476</v>
      </c>
      <c r="AG1265" s="275">
        <f t="shared" si="22"/>
        <v>0.79111639137119782</v>
      </c>
      <c r="AH1265" s="391">
        <f t="shared" si="23"/>
        <v>1.4770128476901081</v>
      </c>
      <c r="AI1265" s="135">
        <f t="shared" si="24"/>
        <v>2.2681292390613059</v>
      </c>
    </row>
    <row r="1266" spans="1:35" ht="12.6">
      <c r="A1266" s="10" t="s">
        <v>1516</v>
      </c>
      <c r="B1266" s="10">
        <v>170</v>
      </c>
      <c r="C1266" s="10" t="s">
        <v>1514</v>
      </c>
      <c r="D1266" s="388">
        <v>45096</v>
      </c>
      <c r="E1266" s="389">
        <v>45096</v>
      </c>
      <c r="F1266" s="390" t="str">
        <f t="shared" si="20"/>
        <v>Space heating &amp; cooling</v>
      </c>
      <c r="G1266" s="135">
        <v>2.61425040261964E-2</v>
      </c>
      <c r="H1266" s="135">
        <v>2.52232284505516E-2</v>
      </c>
      <c r="I1266" s="135">
        <v>2.5210507008579099E-2</v>
      </c>
      <c r="J1266" s="135">
        <v>2.7431174802056299E-2</v>
      </c>
      <c r="K1266" s="135">
        <v>4.3844489065242798E-2</v>
      </c>
      <c r="L1266" s="135">
        <v>7.9575636409197695E-2</v>
      </c>
      <c r="M1266" s="135">
        <v>0.23796651078558201</v>
      </c>
      <c r="N1266" s="135">
        <v>0.25720682793210398</v>
      </c>
      <c r="O1266" s="135">
        <v>0.11234625980553201</v>
      </c>
      <c r="P1266" s="135">
        <v>5.1955492395358002E-2</v>
      </c>
      <c r="Q1266" s="135">
        <v>3.5878970850760403E-2</v>
      </c>
      <c r="R1266" s="135">
        <v>3.12399154384225E-2</v>
      </c>
      <c r="S1266" s="135">
        <v>3.45284065743321E-2</v>
      </c>
      <c r="T1266" s="135">
        <v>3.45675880682631E-2</v>
      </c>
      <c r="U1266" s="135">
        <v>3.6100135010316302E-2</v>
      </c>
      <c r="V1266" s="135">
        <v>5.3006459498595802E-2</v>
      </c>
      <c r="W1266" s="135">
        <v>0.10379828811234899</v>
      </c>
      <c r="X1266" s="135">
        <v>0.19363257050396801</v>
      </c>
      <c r="Y1266" s="135">
        <v>0.222764805379144</v>
      </c>
      <c r="Z1266" s="135">
        <v>0.22692461171332201</v>
      </c>
      <c r="AA1266" s="135">
        <v>0.21234869468902801</v>
      </c>
      <c r="AB1266" s="135">
        <v>0.14572824287696801</v>
      </c>
      <c r="AC1266" s="135">
        <v>6.7220878017022007E-2</v>
      </c>
      <c r="AD1266" s="135">
        <v>3.1895393428393599E-2</v>
      </c>
      <c r="AF1266" s="243">
        <f t="shared" si="21"/>
        <v>0.32911976355303924</v>
      </c>
      <c r="AG1266" s="275">
        <f t="shared" si="22"/>
        <v>0.82651119925667782</v>
      </c>
      <c r="AH1266" s="391">
        <f t="shared" si="23"/>
        <v>1.4900263915846068</v>
      </c>
      <c r="AI1266" s="135">
        <f t="shared" si="24"/>
        <v>2.3165375908412846</v>
      </c>
    </row>
    <row r="1267" spans="1:35" ht="12.6">
      <c r="A1267" s="10" t="s">
        <v>1516</v>
      </c>
      <c r="B1267" s="10">
        <v>171</v>
      </c>
      <c r="C1267" s="10" t="s">
        <v>1514</v>
      </c>
      <c r="D1267" s="388">
        <v>45097</v>
      </c>
      <c r="E1267" s="389">
        <v>45097</v>
      </c>
      <c r="F1267" s="390" t="str">
        <f t="shared" si="20"/>
        <v>Space heating &amp; cooling</v>
      </c>
      <c r="G1267" s="135">
        <v>2.61425040261964E-2</v>
      </c>
      <c r="H1267" s="135">
        <v>2.52232284505516E-2</v>
      </c>
      <c r="I1267" s="135">
        <v>2.5210507008579099E-2</v>
      </c>
      <c r="J1267" s="135">
        <v>2.7431174802056299E-2</v>
      </c>
      <c r="K1267" s="135">
        <v>4.3844489065242798E-2</v>
      </c>
      <c r="L1267" s="135">
        <v>7.9575636409197695E-2</v>
      </c>
      <c r="M1267" s="135">
        <v>0.23796651078558201</v>
      </c>
      <c r="N1267" s="135">
        <v>0.25720682793210398</v>
      </c>
      <c r="O1267" s="135">
        <v>0.11234625980553201</v>
      </c>
      <c r="P1267" s="135">
        <v>5.1955492395358002E-2</v>
      </c>
      <c r="Q1267" s="135">
        <v>3.5878970850760403E-2</v>
      </c>
      <c r="R1267" s="135">
        <v>3.12399154384225E-2</v>
      </c>
      <c r="S1267" s="135">
        <v>3.45284065743321E-2</v>
      </c>
      <c r="T1267" s="135">
        <v>3.45675880682631E-2</v>
      </c>
      <c r="U1267" s="135">
        <v>3.6100135010316302E-2</v>
      </c>
      <c r="V1267" s="135">
        <v>5.3006459498595802E-2</v>
      </c>
      <c r="W1267" s="135">
        <v>0.10379828811234899</v>
      </c>
      <c r="X1267" s="135">
        <v>0.19363257050396801</v>
      </c>
      <c r="Y1267" s="135">
        <v>0.222764805379144</v>
      </c>
      <c r="Z1267" s="135">
        <v>0.22692461171332201</v>
      </c>
      <c r="AA1267" s="135">
        <v>0.21234869468902801</v>
      </c>
      <c r="AB1267" s="135">
        <v>0.14572824287696801</v>
      </c>
      <c r="AC1267" s="135">
        <v>6.7220878017022007E-2</v>
      </c>
      <c r="AD1267" s="135">
        <v>3.1895393428393599E-2</v>
      </c>
      <c r="AF1267" s="243">
        <f t="shared" si="21"/>
        <v>0.32911976355303924</v>
      </c>
      <c r="AG1267" s="275">
        <f t="shared" si="22"/>
        <v>0.82651119925667782</v>
      </c>
      <c r="AH1267" s="391">
        <f t="shared" si="23"/>
        <v>1.4900263915846068</v>
      </c>
      <c r="AI1267" s="135">
        <f t="shared" si="24"/>
        <v>2.3165375908412846</v>
      </c>
    </row>
    <row r="1268" spans="1:35" ht="12.6">
      <c r="A1268" s="10" t="s">
        <v>1516</v>
      </c>
      <c r="B1268" s="10">
        <v>172</v>
      </c>
      <c r="C1268" s="10" t="s">
        <v>1514</v>
      </c>
      <c r="D1268" s="388">
        <v>45098</v>
      </c>
      <c r="E1268" s="389">
        <v>45098</v>
      </c>
      <c r="F1268" s="390" t="str">
        <f t="shared" si="20"/>
        <v>Space heating &amp; cooling</v>
      </c>
      <c r="G1268" s="135">
        <v>2.61425040261964E-2</v>
      </c>
      <c r="H1268" s="135">
        <v>2.52232284505516E-2</v>
      </c>
      <c r="I1268" s="135">
        <v>2.5210507008579099E-2</v>
      </c>
      <c r="J1268" s="135">
        <v>2.7431174802056299E-2</v>
      </c>
      <c r="K1268" s="135">
        <v>4.3844489065242798E-2</v>
      </c>
      <c r="L1268" s="135">
        <v>7.9575636409197695E-2</v>
      </c>
      <c r="M1268" s="135">
        <v>0.23796651078558201</v>
      </c>
      <c r="N1268" s="135">
        <v>0.25720682793210398</v>
      </c>
      <c r="O1268" s="135">
        <v>0.11234625980553201</v>
      </c>
      <c r="P1268" s="135">
        <v>5.1955492395358002E-2</v>
      </c>
      <c r="Q1268" s="135">
        <v>3.5878970850760403E-2</v>
      </c>
      <c r="R1268" s="135">
        <v>3.12399154384225E-2</v>
      </c>
      <c r="S1268" s="135">
        <v>3.45284065743321E-2</v>
      </c>
      <c r="T1268" s="135">
        <v>3.45675880682631E-2</v>
      </c>
      <c r="U1268" s="135">
        <v>3.6100135010316302E-2</v>
      </c>
      <c r="V1268" s="135">
        <v>5.3006459498595802E-2</v>
      </c>
      <c r="W1268" s="135">
        <v>0.10379828811234899</v>
      </c>
      <c r="X1268" s="135">
        <v>0.19363257050396801</v>
      </c>
      <c r="Y1268" s="135">
        <v>0.222764805379144</v>
      </c>
      <c r="Z1268" s="135">
        <v>0.22692461171332201</v>
      </c>
      <c r="AA1268" s="135">
        <v>0.21234869468902801</v>
      </c>
      <c r="AB1268" s="135">
        <v>0.14572824287696801</v>
      </c>
      <c r="AC1268" s="135">
        <v>6.7220878017022007E-2</v>
      </c>
      <c r="AD1268" s="135">
        <v>3.1895393428393599E-2</v>
      </c>
      <c r="AF1268" s="243">
        <f t="shared" si="21"/>
        <v>0.32911976355303924</v>
      </c>
      <c r="AG1268" s="275">
        <f t="shared" si="22"/>
        <v>0.82651119925667782</v>
      </c>
      <c r="AH1268" s="391">
        <f t="shared" si="23"/>
        <v>1.4900263915846068</v>
      </c>
      <c r="AI1268" s="135">
        <f t="shared" si="24"/>
        <v>2.3165375908412846</v>
      </c>
    </row>
    <row r="1269" spans="1:35" ht="12.6">
      <c r="A1269" s="10" t="s">
        <v>1516</v>
      </c>
      <c r="B1269" s="10">
        <v>173</v>
      </c>
      <c r="C1269" s="10" t="s">
        <v>1514</v>
      </c>
      <c r="D1269" s="388">
        <v>45099</v>
      </c>
      <c r="E1269" s="389">
        <v>45099</v>
      </c>
      <c r="F1269" s="390" t="str">
        <f t="shared" si="20"/>
        <v>Space heating &amp; cooling</v>
      </c>
      <c r="G1269" s="135">
        <v>2.61425040261964E-2</v>
      </c>
      <c r="H1269" s="135">
        <v>2.52232284505516E-2</v>
      </c>
      <c r="I1269" s="135">
        <v>2.5210507008579099E-2</v>
      </c>
      <c r="J1269" s="135">
        <v>2.7431174802056299E-2</v>
      </c>
      <c r="K1269" s="135">
        <v>4.3844489065242798E-2</v>
      </c>
      <c r="L1269" s="135">
        <v>7.9575636409197695E-2</v>
      </c>
      <c r="M1269" s="135">
        <v>0.23796651078558201</v>
      </c>
      <c r="N1269" s="135">
        <v>0.25720682793210398</v>
      </c>
      <c r="O1269" s="135">
        <v>0.11234625980553201</v>
      </c>
      <c r="P1269" s="135">
        <v>5.1955492395358002E-2</v>
      </c>
      <c r="Q1269" s="135">
        <v>3.5878970850760403E-2</v>
      </c>
      <c r="R1269" s="135">
        <v>3.12399154384225E-2</v>
      </c>
      <c r="S1269" s="135">
        <v>3.45284065743321E-2</v>
      </c>
      <c r="T1269" s="135">
        <v>3.45675880682631E-2</v>
      </c>
      <c r="U1269" s="135">
        <v>3.6100135010316302E-2</v>
      </c>
      <c r="V1269" s="135">
        <v>5.3006459498595802E-2</v>
      </c>
      <c r="W1269" s="135">
        <v>0.10379828811234899</v>
      </c>
      <c r="X1269" s="135">
        <v>0.19363257050396801</v>
      </c>
      <c r="Y1269" s="135">
        <v>0.222764805379144</v>
      </c>
      <c r="Z1269" s="135">
        <v>0.22692461171332201</v>
      </c>
      <c r="AA1269" s="135">
        <v>0.21234869468902801</v>
      </c>
      <c r="AB1269" s="135">
        <v>0.14572824287696801</v>
      </c>
      <c r="AC1269" s="135">
        <v>6.7220878017022007E-2</v>
      </c>
      <c r="AD1269" s="135">
        <v>3.1895393428393599E-2</v>
      </c>
      <c r="AF1269" s="243">
        <f t="shared" si="21"/>
        <v>0.32911976355303924</v>
      </c>
      <c r="AG1269" s="275">
        <f t="shared" si="22"/>
        <v>0.82651119925667782</v>
      </c>
      <c r="AH1269" s="391">
        <f t="shared" si="23"/>
        <v>1.4900263915846068</v>
      </c>
      <c r="AI1269" s="135">
        <f t="shared" si="24"/>
        <v>2.3165375908412846</v>
      </c>
    </row>
    <row r="1270" spans="1:35" ht="12.6">
      <c r="A1270" s="10" t="s">
        <v>1516</v>
      </c>
      <c r="B1270" s="10">
        <v>174</v>
      </c>
      <c r="C1270" s="10" t="s">
        <v>1514</v>
      </c>
      <c r="D1270" s="388">
        <v>45100</v>
      </c>
      <c r="E1270" s="389">
        <v>45100</v>
      </c>
      <c r="F1270" s="390" t="str">
        <f t="shared" si="20"/>
        <v>Space heating &amp; cooling</v>
      </c>
      <c r="G1270" s="135">
        <v>2.61425040261964E-2</v>
      </c>
      <c r="H1270" s="135">
        <v>2.52232284505516E-2</v>
      </c>
      <c r="I1270" s="135">
        <v>2.5210507008579099E-2</v>
      </c>
      <c r="J1270" s="135">
        <v>2.7431174802056299E-2</v>
      </c>
      <c r="K1270" s="135">
        <v>4.3844489065242798E-2</v>
      </c>
      <c r="L1270" s="135">
        <v>7.9575636409197695E-2</v>
      </c>
      <c r="M1270" s="135">
        <v>0.23796651078558201</v>
      </c>
      <c r="N1270" s="135">
        <v>0.25720682793210398</v>
      </c>
      <c r="O1270" s="135">
        <v>0.11234625980553201</v>
      </c>
      <c r="P1270" s="135">
        <v>5.1955492395358002E-2</v>
      </c>
      <c r="Q1270" s="135">
        <v>3.5878970850760403E-2</v>
      </c>
      <c r="R1270" s="135">
        <v>3.12399154384225E-2</v>
      </c>
      <c r="S1270" s="135">
        <v>3.45284065743321E-2</v>
      </c>
      <c r="T1270" s="135">
        <v>3.45675880682631E-2</v>
      </c>
      <c r="U1270" s="135">
        <v>3.6100135010316302E-2</v>
      </c>
      <c r="V1270" s="135">
        <v>5.3006459498595802E-2</v>
      </c>
      <c r="W1270" s="135">
        <v>0.10379828811234899</v>
      </c>
      <c r="X1270" s="135">
        <v>0.19363257050396801</v>
      </c>
      <c r="Y1270" s="135">
        <v>0.222764805379144</v>
      </c>
      <c r="Z1270" s="135">
        <v>0.22692461171332201</v>
      </c>
      <c r="AA1270" s="135">
        <v>0.21234869468902801</v>
      </c>
      <c r="AB1270" s="135">
        <v>0.14572824287696801</v>
      </c>
      <c r="AC1270" s="135">
        <v>6.7220878017022007E-2</v>
      </c>
      <c r="AD1270" s="135">
        <v>3.1895393428393599E-2</v>
      </c>
      <c r="AF1270" s="243">
        <f t="shared" si="21"/>
        <v>0.32911976355303924</v>
      </c>
      <c r="AG1270" s="275">
        <f t="shared" si="22"/>
        <v>0.82651119925667782</v>
      </c>
      <c r="AH1270" s="391">
        <f t="shared" si="23"/>
        <v>1.4900263915846068</v>
      </c>
      <c r="AI1270" s="135">
        <f t="shared" si="24"/>
        <v>2.3165375908412846</v>
      </c>
    </row>
    <row r="1271" spans="1:35" ht="12.6">
      <c r="A1271" s="10" t="s">
        <v>1516</v>
      </c>
      <c r="B1271" s="10">
        <v>175</v>
      </c>
      <c r="C1271" s="10" t="s">
        <v>1514</v>
      </c>
      <c r="D1271" s="388">
        <v>45101</v>
      </c>
      <c r="E1271" s="389">
        <v>45101</v>
      </c>
      <c r="F1271" s="390" t="str">
        <f t="shared" si="20"/>
        <v>Space heating &amp; cooling</v>
      </c>
      <c r="G1271" s="135">
        <v>2.9021445812351301E-2</v>
      </c>
      <c r="H1271" s="135">
        <v>2.3996491146840101E-2</v>
      </c>
      <c r="I1271" s="135">
        <v>2.5890962833305099E-2</v>
      </c>
      <c r="J1271" s="135">
        <v>2.8347091829061099E-2</v>
      </c>
      <c r="K1271" s="135">
        <v>3.96677853370161E-2</v>
      </c>
      <c r="L1271" s="135">
        <v>6.7420601841275296E-2</v>
      </c>
      <c r="M1271" s="135">
        <v>0.14472001633439599</v>
      </c>
      <c r="N1271" s="135">
        <v>0.18672725006466601</v>
      </c>
      <c r="O1271" s="135">
        <v>0.17859160621110801</v>
      </c>
      <c r="P1271" s="135">
        <v>0.10928422901910501</v>
      </c>
      <c r="Q1271" s="135">
        <v>7.8169080825929299E-2</v>
      </c>
      <c r="R1271" s="135">
        <v>6.5912331527195001E-2</v>
      </c>
      <c r="S1271" s="135">
        <v>5.4854002726402298E-2</v>
      </c>
      <c r="T1271" s="135">
        <v>5.1931254028382598E-2</v>
      </c>
      <c r="U1271" s="135">
        <v>4.9010472704917797E-2</v>
      </c>
      <c r="V1271" s="135">
        <v>5.6626788899231097E-2</v>
      </c>
      <c r="W1271" s="135">
        <v>9.7164077657466597E-2</v>
      </c>
      <c r="X1271" s="135">
        <v>0.15839092248990699</v>
      </c>
      <c r="Y1271" s="135">
        <v>0.18440102976725101</v>
      </c>
      <c r="Z1271" s="135">
        <v>0.19154100805106899</v>
      </c>
      <c r="AA1271" s="135">
        <v>0.18317621485337801</v>
      </c>
      <c r="AB1271" s="135">
        <v>0.1408191748805</v>
      </c>
      <c r="AC1271" s="135">
        <v>7.9000771672929598E-2</v>
      </c>
      <c r="AD1271" s="135">
        <v>4.3464628547622501E-2</v>
      </c>
      <c r="AF1271" s="243">
        <f t="shared" si="21"/>
        <v>0.45366800836952476</v>
      </c>
      <c r="AG1271" s="275">
        <f t="shared" si="22"/>
        <v>0.79111639137119782</v>
      </c>
      <c r="AH1271" s="391">
        <f t="shared" si="23"/>
        <v>1.4770128476901081</v>
      </c>
      <c r="AI1271" s="135">
        <f t="shared" si="24"/>
        <v>2.2681292390613059</v>
      </c>
    </row>
    <row r="1272" spans="1:35" ht="12.6">
      <c r="A1272" s="10" t="s">
        <v>1516</v>
      </c>
      <c r="B1272" s="10">
        <v>176</v>
      </c>
      <c r="C1272" s="10" t="s">
        <v>1514</v>
      </c>
      <c r="D1272" s="388">
        <v>45102</v>
      </c>
      <c r="E1272" s="389">
        <v>45102</v>
      </c>
      <c r="F1272" s="390" t="str">
        <f t="shared" si="20"/>
        <v>Space heating &amp; cooling</v>
      </c>
      <c r="G1272" s="135">
        <v>2.9021445812351301E-2</v>
      </c>
      <c r="H1272" s="135">
        <v>2.3996491146840101E-2</v>
      </c>
      <c r="I1272" s="135">
        <v>2.5890962833305099E-2</v>
      </c>
      <c r="J1272" s="135">
        <v>2.8347091829061099E-2</v>
      </c>
      <c r="K1272" s="135">
        <v>3.96677853370161E-2</v>
      </c>
      <c r="L1272" s="135">
        <v>6.7420601841275296E-2</v>
      </c>
      <c r="M1272" s="135">
        <v>0.14472001633439599</v>
      </c>
      <c r="N1272" s="135">
        <v>0.18672725006466601</v>
      </c>
      <c r="O1272" s="135">
        <v>0.17859160621110801</v>
      </c>
      <c r="P1272" s="135">
        <v>0.10928422901910501</v>
      </c>
      <c r="Q1272" s="135">
        <v>7.8169080825929299E-2</v>
      </c>
      <c r="R1272" s="135">
        <v>6.5912331527195001E-2</v>
      </c>
      <c r="S1272" s="135">
        <v>5.4854002726402298E-2</v>
      </c>
      <c r="T1272" s="135">
        <v>5.1931254028382598E-2</v>
      </c>
      <c r="U1272" s="135">
        <v>4.9010472704917797E-2</v>
      </c>
      <c r="V1272" s="135">
        <v>5.6626788899231097E-2</v>
      </c>
      <c r="W1272" s="135">
        <v>9.7164077657466597E-2</v>
      </c>
      <c r="X1272" s="135">
        <v>0.15839092248990699</v>
      </c>
      <c r="Y1272" s="135">
        <v>0.18440102976725101</v>
      </c>
      <c r="Z1272" s="135">
        <v>0.19154100805106899</v>
      </c>
      <c r="AA1272" s="135">
        <v>0.18317621485337801</v>
      </c>
      <c r="AB1272" s="135">
        <v>0.1408191748805</v>
      </c>
      <c r="AC1272" s="135">
        <v>7.9000771672929598E-2</v>
      </c>
      <c r="AD1272" s="135">
        <v>4.3464628547622501E-2</v>
      </c>
      <c r="AF1272" s="243">
        <f t="shared" si="21"/>
        <v>0.45366800836952476</v>
      </c>
      <c r="AG1272" s="275">
        <f t="shared" si="22"/>
        <v>0.79111639137119782</v>
      </c>
      <c r="AH1272" s="391">
        <f t="shared" si="23"/>
        <v>1.4770128476901081</v>
      </c>
      <c r="AI1272" s="135">
        <f t="shared" si="24"/>
        <v>2.2681292390613059</v>
      </c>
    </row>
    <row r="1273" spans="1:35" ht="12.6">
      <c r="A1273" s="10" t="s">
        <v>1516</v>
      </c>
      <c r="B1273" s="10">
        <v>177</v>
      </c>
      <c r="C1273" s="10" t="s">
        <v>1514</v>
      </c>
      <c r="D1273" s="388">
        <v>45103</v>
      </c>
      <c r="E1273" s="389">
        <v>45103</v>
      </c>
      <c r="F1273" s="390" t="str">
        <f t="shared" si="20"/>
        <v>Space heating &amp; cooling</v>
      </c>
      <c r="G1273" s="135">
        <v>2.61425040261964E-2</v>
      </c>
      <c r="H1273" s="135">
        <v>2.52232284505516E-2</v>
      </c>
      <c r="I1273" s="135">
        <v>2.5210507008579099E-2</v>
      </c>
      <c r="J1273" s="135">
        <v>2.7431174802056299E-2</v>
      </c>
      <c r="K1273" s="135">
        <v>4.3844489065242798E-2</v>
      </c>
      <c r="L1273" s="135">
        <v>7.9575636409197695E-2</v>
      </c>
      <c r="M1273" s="135">
        <v>0.23796651078558201</v>
      </c>
      <c r="N1273" s="135">
        <v>0.25720682793210398</v>
      </c>
      <c r="O1273" s="135">
        <v>0.11234625980553201</v>
      </c>
      <c r="P1273" s="135">
        <v>5.1955492395358002E-2</v>
      </c>
      <c r="Q1273" s="135">
        <v>3.5878970850760403E-2</v>
      </c>
      <c r="R1273" s="135">
        <v>3.12399154384225E-2</v>
      </c>
      <c r="S1273" s="135">
        <v>3.45284065743321E-2</v>
      </c>
      <c r="T1273" s="135">
        <v>3.45675880682631E-2</v>
      </c>
      <c r="U1273" s="135">
        <v>3.6100135010316302E-2</v>
      </c>
      <c r="V1273" s="135">
        <v>5.3006459498595802E-2</v>
      </c>
      <c r="W1273" s="135">
        <v>0.10379828811234899</v>
      </c>
      <c r="X1273" s="135">
        <v>0.19363257050396801</v>
      </c>
      <c r="Y1273" s="135">
        <v>0.222764805379144</v>
      </c>
      <c r="Z1273" s="135">
        <v>0.22692461171332201</v>
      </c>
      <c r="AA1273" s="135">
        <v>0.21234869468902801</v>
      </c>
      <c r="AB1273" s="135">
        <v>0.14572824287696801</v>
      </c>
      <c r="AC1273" s="135">
        <v>6.7220878017022007E-2</v>
      </c>
      <c r="AD1273" s="135">
        <v>3.1895393428393599E-2</v>
      </c>
      <c r="AF1273" s="243">
        <f t="shared" si="21"/>
        <v>0.32911976355303924</v>
      </c>
      <c r="AG1273" s="275">
        <f t="shared" si="22"/>
        <v>0.82651119925667782</v>
      </c>
      <c r="AH1273" s="391">
        <f t="shared" si="23"/>
        <v>1.4900263915846068</v>
      </c>
      <c r="AI1273" s="135">
        <f t="shared" si="24"/>
        <v>2.3165375908412846</v>
      </c>
    </row>
    <row r="1274" spans="1:35" ht="12.6">
      <c r="A1274" s="10" t="s">
        <v>1516</v>
      </c>
      <c r="B1274" s="10">
        <v>178</v>
      </c>
      <c r="C1274" s="10" t="s">
        <v>1514</v>
      </c>
      <c r="D1274" s="388">
        <v>45104</v>
      </c>
      <c r="E1274" s="389">
        <v>45104</v>
      </c>
      <c r="F1274" s="390" t="str">
        <f t="shared" si="20"/>
        <v>Space heating &amp; cooling</v>
      </c>
      <c r="G1274" s="135">
        <v>2.61425040261964E-2</v>
      </c>
      <c r="H1274" s="135">
        <v>2.52232284505516E-2</v>
      </c>
      <c r="I1274" s="135">
        <v>2.5210507008579099E-2</v>
      </c>
      <c r="J1274" s="135">
        <v>2.7431174802056299E-2</v>
      </c>
      <c r="K1274" s="135">
        <v>4.3844489065242798E-2</v>
      </c>
      <c r="L1274" s="135">
        <v>7.9575636409197695E-2</v>
      </c>
      <c r="M1274" s="135">
        <v>0.23796651078558201</v>
      </c>
      <c r="N1274" s="135">
        <v>0.25720682793210398</v>
      </c>
      <c r="O1274" s="135">
        <v>0.11234625980553201</v>
      </c>
      <c r="P1274" s="135">
        <v>5.1955492395358002E-2</v>
      </c>
      <c r="Q1274" s="135">
        <v>3.5878970850760403E-2</v>
      </c>
      <c r="R1274" s="135">
        <v>3.12399154384225E-2</v>
      </c>
      <c r="S1274" s="135">
        <v>3.45284065743321E-2</v>
      </c>
      <c r="T1274" s="135">
        <v>3.45675880682631E-2</v>
      </c>
      <c r="U1274" s="135">
        <v>3.6100135010316302E-2</v>
      </c>
      <c r="V1274" s="135">
        <v>5.3006459498595802E-2</v>
      </c>
      <c r="W1274" s="135">
        <v>0.10379828811234899</v>
      </c>
      <c r="X1274" s="135">
        <v>0.19363257050396801</v>
      </c>
      <c r="Y1274" s="135">
        <v>0.222764805379144</v>
      </c>
      <c r="Z1274" s="135">
        <v>0.22692461171332201</v>
      </c>
      <c r="AA1274" s="135">
        <v>0.21234869468902801</v>
      </c>
      <c r="AB1274" s="135">
        <v>0.14572824287696801</v>
      </c>
      <c r="AC1274" s="135">
        <v>6.7220878017022007E-2</v>
      </c>
      <c r="AD1274" s="135">
        <v>3.1895393428393599E-2</v>
      </c>
      <c r="AF1274" s="243">
        <f t="shared" si="21"/>
        <v>0.32911976355303924</v>
      </c>
      <c r="AG1274" s="275">
        <f t="shared" si="22"/>
        <v>0.82651119925667782</v>
      </c>
      <c r="AH1274" s="391">
        <f t="shared" si="23"/>
        <v>1.4900263915846068</v>
      </c>
      <c r="AI1274" s="135">
        <f t="shared" si="24"/>
        <v>2.3165375908412846</v>
      </c>
    </row>
    <row r="1275" spans="1:35" ht="12.6">
      <c r="A1275" s="10" t="s">
        <v>1516</v>
      </c>
      <c r="B1275" s="10">
        <v>179</v>
      </c>
      <c r="C1275" s="10" t="s">
        <v>1514</v>
      </c>
      <c r="D1275" s="388">
        <v>45105</v>
      </c>
      <c r="E1275" s="389">
        <v>45105</v>
      </c>
      <c r="F1275" s="390" t="str">
        <f t="shared" si="20"/>
        <v>Space heating &amp; cooling</v>
      </c>
      <c r="G1275" s="135">
        <v>2.61425040261964E-2</v>
      </c>
      <c r="H1275" s="135">
        <v>2.52232284505516E-2</v>
      </c>
      <c r="I1275" s="135">
        <v>2.5210507008579099E-2</v>
      </c>
      <c r="J1275" s="135">
        <v>2.7431174802056299E-2</v>
      </c>
      <c r="K1275" s="135">
        <v>4.3844489065242798E-2</v>
      </c>
      <c r="L1275" s="135">
        <v>7.9575636409197695E-2</v>
      </c>
      <c r="M1275" s="135">
        <v>0.23796651078558201</v>
      </c>
      <c r="N1275" s="135">
        <v>0.25720682793210398</v>
      </c>
      <c r="O1275" s="135">
        <v>0.11234625980553201</v>
      </c>
      <c r="P1275" s="135">
        <v>5.1955492395358002E-2</v>
      </c>
      <c r="Q1275" s="135">
        <v>3.5878970850760403E-2</v>
      </c>
      <c r="R1275" s="135">
        <v>3.12399154384225E-2</v>
      </c>
      <c r="S1275" s="135">
        <v>3.45284065743321E-2</v>
      </c>
      <c r="T1275" s="135">
        <v>3.45675880682631E-2</v>
      </c>
      <c r="U1275" s="135">
        <v>3.6100135010316302E-2</v>
      </c>
      <c r="V1275" s="135">
        <v>5.3006459498595802E-2</v>
      </c>
      <c r="W1275" s="135">
        <v>0.10379828811234899</v>
      </c>
      <c r="X1275" s="135">
        <v>0.19363257050396801</v>
      </c>
      <c r="Y1275" s="135">
        <v>0.222764805379144</v>
      </c>
      <c r="Z1275" s="135">
        <v>0.22692461171332201</v>
      </c>
      <c r="AA1275" s="135">
        <v>0.21234869468902801</v>
      </c>
      <c r="AB1275" s="135">
        <v>0.14572824287696801</v>
      </c>
      <c r="AC1275" s="135">
        <v>6.7220878017022007E-2</v>
      </c>
      <c r="AD1275" s="135">
        <v>3.1895393428393599E-2</v>
      </c>
      <c r="AF1275" s="243">
        <f t="shared" si="21"/>
        <v>0.32911976355303924</v>
      </c>
      <c r="AG1275" s="275">
        <f t="shared" si="22"/>
        <v>0.82651119925667782</v>
      </c>
      <c r="AH1275" s="391">
        <f t="shared" si="23"/>
        <v>1.4900263915846068</v>
      </c>
      <c r="AI1275" s="135">
        <f t="shared" si="24"/>
        <v>2.3165375908412846</v>
      </c>
    </row>
    <row r="1276" spans="1:35" ht="12.6">
      <c r="A1276" s="10" t="s">
        <v>1516</v>
      </c>
      <c r="B1276" s="10">
        <v>180</v>
      </c>
      <c r="C1276" s="10" t="s">
        <v>1514</v>
      </c>
      <c r="D1276" s="388">
        <v>45106</v>
      </c>
      <c r="E1276" s="389">
        <v>45106</v>
      </c>
      <c r="F1276" s="390" t="str">
        <f t="shared" ref="F1276:F1530" si="25">A1276</f>
        <v>Space heating &amp; cooling</v>
      </c>
      <c r="G1276" s="135">
        <v>2.61425040261964E-2</v>
      </c>
      <c r="H1276" s="135">
        <v>2.52232284505516E-2</v>
      </c>
      <c r="I1276" s="135">
        <v>2.5210507008579099E-2</v>
      </c>
      <c r="J1276" s="135">
        <v>2.7431174802056299E-2</v>
      </c>
      <c r="K1276" s="135">
        <v>4.3844489065242798E-2</v>
      </c>
      <c r="L1276" s="135">
        <v>7.9575636409197695E-2</v>
      </c>
      <c r="M1276" s="135">
        <v>0.23796651078558201</v>
      </c>
      <c r="N1276" s="135">
        <v>0.25720682793210398</v>
      </c>
      <c r="O1276" s="135">
        <v>0.11234625980553201</v>
      </c>
      <c r="P1276" s="135">
        <v>5.1955492395358002E-2</v>
      </c>
      <c r="Q1276" s="135">
        <v>3.5878970850760403E-2</v>
      </c>
      <c r="R1276" s="135">
        <v>3.12399154384225E-2</v>
      </c>
      <c r="S1276" s="135">
        <v>3.45284065743321E-2</v>
      </c>
      <c r="T1276" s="135">
        <v>3.45675880682631E-2</v>
      </c>
      <c r="U1276" s="135">
        <v>3.6100135010316302E-2</v>
      </c>
      <c r="V1276" s="135">
        <v>5.3006459498595802E-2</v>
      </c>
      <c r="W1276" s="135">
        <v>0.10379828811234899</v>
      </c>
      <c r="X1276" s="135">
        <v>0.19363257050396801</v>
      </c>
      <c r="Y1276" s="135">
        <v>0.222764805379144</v>
      </c>
      <c r="Z1276" s="135">
        <v>0.22692461171332201</v>
      </c>
      <c r="AA1276" s="135">
        <v>0.21234869468902801</v>
      </c>
      <c r="AB1276" s="135">
        <v>0.14572824287696801</v>
      </c>
      <c r="AC1276" s="135">
        <v>6.7220878017022007E-2</v>
      </c>
      <c r="AD1276" s="135">
        <v>3.1895393428393599E-2</v>
      </c>
      <c r="AF1276" s="243">
        <f t="shared" si="21"/>
        <v>0.32911976355303924</v>
      </c>
      <c r="AG1276" s="275">
        <f t="shared" si="22"/>
        <v>0.82651119925667782</v>
      </c>
      <c r="AH1276" s="391">
        <f t="shared" si="23"/>
        <v>1.4900263915846068</v>
      </c>
      <c r="AI1276" s="135">
        <f t="shared" si="24"/>
        <v>2.3165375908412846</v>
      </c>
    </row>
    <row r="1277" spans="1:35" ht="12.6">
      <c r="A1277" s="10" t="s">
        <v>1516</v>
      </c>
      <c r="B1277" s="10">
        <v>181</v>
      </c>
      <c r="C1277" s="10" t="s">
        <v>1514</v>
      </c>
      <c r="D1277" s="388">
        <v>45107</v>
      </c>
      <c r="E1277" s="389">
        <v>45107</v>
      </c>
      <c r="F1277" s="390" t="str">
        <f t="shared" si="25"/>
        <v>Space heating &amp; cooling</v>
      </c>
      <c r="G1277" s="135">
        <v>2.61425040261964E-2</v>
      </c>
      <c r="H1277" s="135">
        <v>2.52232284505516E-2</v>
      </c>
      <c r="I1277" s="135">
        <v>2.5210507008579099E-2</v>
      </c>
      <c r="J1277" s="135">
        <v>2.7431174802056299E-2</v>
      </c>
      <c r="K1277" s="135">
        <v>4.3844489065242798E-2</v>
      </c>
      <c r="L1277" s="135">
        <v>7.9575636409197695E-2</v>
      </c>
      <c r="M1277" s="135">
        <v>0.23796651078558201</v>
      </c>
      <c r="N1277" s="135">
        <v>0.25720682793210398</v>
      </c>
      <c r="O1277" s="135">
        <v>0.11234625980553201</v>
      </c>
      <c r="P1277" s="135">
        <v>5.1955492395358002E-2</v>
      </c>
      <c r="Q1277" s="135">
        <v>3.5878970850760403E-2</v>
      </c>
      <c r="R1277" s="135">
        <v>3.12399154384225E-2</v>
      </c>
      <c r="S1277" s="135">
        <v>3.45284065743321E-2</v>
      </c>
      <c r="T1277" s="135">
        <v>3.45675880682631E-2</v>
      </c>
      <c r="U1277" s="135">
        <v>3.6100135010316302E-2</v>
      </c>
      <c r="V1277" s="135">
        <v>5.3006459498595802E-2</v>
      </c>
      <c r="W1277" s="135">
        <v>0.10379828811234899</v>
      </c>
      <c r="X1277" s="135">
        <v>0.19363257050396801</v>
      </c>
      <c r="Y1277" s="135">
        <v>0.222764805379144</v>
      </c>
      <c r="Z1277" s="135">
        <v>0.22692461171332201</v>
      </c>
      <c r="AA1277" s="135">
        <v>0.21234869468902801</v>
      </c>
      <c r="AB1277" s="135">
        <v>0.14572824287696801</v>
      </c>
      <c r="AC1277" s="135">
        <v>6.7220878017022007E-2</v>
      </c>
      <c r="AD1277" s="135">
        <v>3.1895393428393599E-2</v>
      </c>
      <c r="AF1277" s="243">
        <f t="shared" ref="AF1277:AF1531" si="26">SUM(Q1277:W1277)</f>
        <v>0.32911976355303924</v>
      </c>
      <c r="AG1277" s="275">
        <f t="shared" ref="AG1277:AG1531" si="27">SUM(G1277:AD1277)-AH1277</f>
        <v>0.82651119925667782</v>
      </c>
      <c r="AH1277" s="391">
        <f t="shared" ref="AH1277:AH1531" si="28">SUM(N1277:R1277,X1277:AB1277)</f>
        <v>1.4900263915846068</v>
      </c>
      <c r="AI1277" s="135">
        <f t="shared" ref="AI1277:AI1531" si="29">SUM(G1277:AD1277)</f>
        <v>2.3165375908412846</v>
      </c>
    </row>
    <row r="1278" spans="1:35" ht="12.6">
      <c r="A1278" s="10" t="s">
        <v>1516</v>
      </c>
      <c r="B1278" s="10">
        <v>182</v>
      </c>
      <c r="C1278" s="10" t="s">
        <v>1514</v>
      </c>
      <c r="D1278" s="388">
        <v>45108</v>
      </c>
      <c r="E1278" s="389">
        <v>45108</v>
      </c>
      <c r="F1278" s="390" t="str">
        <f t="shared" si="25"/>
        <v>Space heating &amp; cooling</v>
      </c>
      <c r="G1278" s="135">
        <v>2.9021445812351301E-2</v>
      </c>
      <c r="H1278" s="135">
        <v>2.3996491146840101E-2</v>
      </c>
      <c r="I1278" s="135">
        <v>2.5890962833305099E-2</v>
      </c>
      <c r="J1278" s="135">
        <v>2.8347091829061099E-2</v>
      </c>
      <c r="K1278" s="135">
        <v>3.96677853370161E-2</v>
      </c>
      <c r="L1278" s="135">
        <v>6.7420601841275296E-2</v>
      </c>
      <c r="M1278" s="135">
        <v>0.14472001633439599</v>
      </c>
      <c r="N1278" s="135">
        <v>0.18672725006466601</v>
      </c>
      <c r="O1278" s="135">
        <v>0.17859160621110801</v>
      </c>
      <c r="P1278" s="135">
        <v>0.10928422901910501</v>
      </c>
      <c r="Q1278" s="135">
        <v>7.8169080825929299E-2</v>
      </c>
      <c r="R1278" s="135">
        <v>6.5912331527195001E-2</v>
      </c>
      <c r="S1278" s="135">
        <v>5.4854002726402298E-2</v>
      </c>
      <c r="T1278" s="135">
        <v>5.1931254028382598E-2</v>
      </c>
      <c r="U1278" s="135">
        <v>4.9010472704917797E-2</v>
      </c>
      <c r="V1278" s="135">
        <v>5.6626788899231097E-2</v>
      </c>
      <c r="W1278" s="135">
        <v>9.7164077657466597E-2</v>
      </c>
      <c r="X1278" s="135">
        <v>0.15839092248990699</v>
      </c>
      <c r="Y1278" s="135">
        <v>0.18440102976725101</v>
      </c>
      <c r="Z1278" s="135">
        <v>0.19154100805106899</v>
      </c>
      <c r="AA1278" s="135">
        <v>0.18317621485337801</v>
      </c>
      <c r="AB1278" s="135">
        <v>0.1408191748805</v>
      </c>
      <c r="AC1278" s="135">
        <v>7.9000771672929598E-2</v>
      </c>
      <c r="AD1278" s="135">
        <v>4.3464628547622501E-2</v>
      </c>
      <c r="AF1278" s="243">
        <f t="shared" si="26"/>
        <v>0.45366800836952476</v>
      </c>
      <c r="AG1278" s="275">
        <f t="shared" si="27"/>
        <v>0.79111639137119782</v>
      </c>
      <c r="AH1278" s="391">
        <f t="shared" si="28"/>
        <v>1.4770128476901081</v>
      </c>
      <c r="AI1278" s="135">
        <f t="shared" si="29"/>
        <v>2.2681292390613059</v>
      </c>
    </row>
    <row r="1279" spans="1:35" ht="12.6">
      <c r="A1279" s="10" t="s">
        <v>1516</v>
      </c>
      <c r="B1279" s="10">
        <v>183</v>
      </c>
      <c r="C1279" s="10" t="s">
        <v>1514</v>
      </c>
      <c r="D1279" s="388">
        <v>45109</v>
      </c>
      <c r="E1279" s="389">
        <v>45109</v>
      </c>
      <c r="F1279" s="390" t="str">
        <f t="shared" si="25"/>
        <v>Space heating &amp; cooling</v>
      </c>
      <c r="G1279" s="135">
        <v>2.9021445812351301E-2</v>
      </c>
      <c r="H1279" s="135">
        <v>2.3996491146840101E-2</v>
      </c>
      <c r="I1279" s="135">
        <v>2.5890962833305099E-2</v>
      </c>
      <c r="J1279" s="135">
        <v>2.8347091829061099E-2</v>
      </c>
      <c r="K1279" s="135">
        <v>3.96677853370161E-2</v>
      </c>
      <c r="L1279" s="135">
        <v>6.7420601841275296E-2</v>
      </c>
      <c r="M1279" s="135">
        <v>0.14472001633439599</v>
      </c>
      <c r="N1279" s="135">
        <v>0.18672725006466601</v>
      </c>
      <c r="O1279" s="135">
        <v>0.17859160621110801</v>
      </c>
      <c r="P1279" s="135">
        <v>0.10928422901910501</v>
      </c>
      <c r="Q1279" s="135">
        <v>7.8169080825929299E-2</v>
      </c>
      <c r="R1279" s="135">
        <v>6.5912331527195001E-2</v>
      </c>
      <c r="S1279" s="135">
        <v>5.4854002726402298E-2</v>
      </c>
      <c r="T1279" s="135">
        <v>5.1931254028382598E-2</v>
      </c>
      <c r="U1279" s="135">
        <v>4.9010472704917797E-2</v>
      </c>
      <c r="V1279" s="135">
        <v>5.6626788899231097E-2</v>
      </c>
      <c r="W1279" s="135">
        <v>9.7164077657466597E-2</v>
      </c>
      <c r="X1279" s="135">
        <v>0.15839092248990699</v>
      </c>
      <c r="Y1279" s="135">
        <v>0.18440102976725101</v>
      </c>
      <c r="Z1279" s="135">
        <v>0.19154100805106899</v>
      </c>
      <c r="AA1279" s="135">
        <v>0.18317621485337801</v>
      </c>
      <c r="AB1279" s="135">
        <v>0.1408191748805</v>
      </c>
      <c r="AC1279" s="135">
        <v>7.9000771672929598E-2</v>
      </c>
      <c r="AD1279" s="135">
        <v>4.3464628547622501E-2</v>
      </c>
      <c r="AF1279" s="243">
        <f t="shared" si="26"/>
        <v>0.45366800836952476</v>
      </c>
      <c r="AG1279" s="275">
        <f t="shared" si="27"/>
        <v>0.79111639137119782</v>
      </c>
      <c r="AH1279" s="391">
        <f t="shared" si="28"/>
        <v>1.4770128476901081</v>
      </c>
      <c r="AI1279" s="135">
        <f t="shared" si="29"/>
        <v>2.2681292390613059</v>
      </c>
    </row>
    <row r="1280" spans="1:35" ht="12.6">
      <c r="A1280" s="10" t="s">
        <v>1516</v>
      </c>
      <c r="B1280" s="10">
        <v>184</v>
      </c>
      <c r="C1280" s="10" t="s">
        <v>1514</v>
      </c>
      <c r="D1280" s="388">
        <v>45110</v>
      </c>
      <c r="E1280" s="389">
        <v>45110</v>
      </c>
      <c r="F1280" s="390" t="str">
        <f t="shared" si="25"/>
        <v>Space heating &amp; cooling</v>
      </c>
      <c r="G1280" s="135">
        <v>2.61425040261964E-2</v>
      </c>
      <c r="H1280" s="135">
        <v>2.52232284505516E-2</v>
      </c>
      <c r="I1280" s="135">
        <v>2.5210507008579099E-2</v>
      </c>
      <c r="J1280" s="135">
        <v>2.7431174802056299E-2</v>
      </c>
      <c r="K1280" s="135">
        <v>4.3844489065242798E-2</v>
      </c>
      <c r="L1280" s="135">
        <v>7.9575636409197695E-2</v>
      </c>
      <c r="M1280" s="135">
        <v>0.23796651078558201</v>
      </c>
      <c r="N1280" s="135">
        <v>0.25720682793210398</v>
      </c>
      <c r="O1280" s="135">
        <v>0.11234625980553201</v>
      </c>
      <c r="P1280" s="135">
        <v>5.1955492395358002E-2</v>
      </c>
      <c r="Q1280" s="135">
        <v>3.5878970850760403E-2</v>
      </c>
      <c r="R1280" s="135">
        <v>3.12399154384225E-2</v>
      </c>
      <c r="S1280" s="135">
        <v>3.45284065743321E-2</v>
      </c>
      <c r="T1280" s="135">
        <v>3.45675880682631E-2</v>
      </c>
      <c r="U1280" s="135">
        <v>3.6100135010316302E-2</v>
      </c>
      <c r="V1280" s="135">
        <v>5.3006459498595802E-2</v>
      </c>
      <c r="W1280" s="135">
        <v>0.10379828811234899</v>
      </c>
      <c r="X1280" s="135">
        <v>0.19363257050396801</v>
      </c>
      <c r="Y1280" s="135">
        <v>0.222764805379144</v>
      </c>
      <c r="Z1280" s="135">
        <v>0.22692461171332201</v>
      </c>
      <c r="AA1280" s="135">
        <v>0.21234869468902801</v>
      </c>
      <c r="AB1280" s="135">
        <v>0.14572824287696801</v>
      </c>
      <c r="AC1280" s="135">
        <v>6.7220878017022007E-2</v>
      </c>
      <c r="AD1280" s="135">
        <v>3.1895393428393599E-2</v>
      </c>
      <c r="AF1280" s="243">
        <f t="shared" si="26"/>
        <v>0.32911976355303924</v>
      </c>
      <c r="AG1280" s="275">
        <f t="shared" si="27"/>
        <v>0.82651119925667782</v>
      </c>
      <c r="AH1280" s="391">
        <f t="shared" si="28"/>
        <v>1.4900263915846068</v>
      </c>
      <c r="AI1280" s="135">
        <f t="shared" si="29"/>
        <v>2.3165375908412846</v>
      </c>
    </row>
    <row r="1281" spans="1:35" ht="12.6">
      <c r="A1281" s="10" t="s">
        <v>1516</v>
      </c>
      <c r="B1281" s="10">
        <v>185</v>
      </c>
      <c r="C1281" s="10" t="s">
        <v>1514</v>
      </c>
      <c r="D1281" s="388">
        <v>45111</v>
      </c>
      <c r="E1281" s="389">
        <v>45111</v>
      </c>
      <c r="F1281" s="390" t="str">
        <f t="shared" si="25"/>
        <v>Space heating &amp; cooling</v>
      </c>
      <c r="G1281" s="135">
        <v>2.61425040261964E-2</v>
      </c>
      <c r="H1281" s="135">
        <v>2.52232284505516E-2</v>
      </c>
      <c r="I1281" s="135">
        <v>2.5210507008579099E-2</v>
      </c>
      <c r="J1281" s="135">
        <v>2.7431174802056299E-2</v>
      </c>
      <c r="K1281" s="135">
        <v>4.3844489065242798E-2</v>
      </c>
      <c r="L1281" s="135">
        <v>7.9575636409197695E-2</v>
      </c>
      <c r="M1281" s="135">
        <v>0.23796651078558201</v>
      </c>
      <c r="N1281" s="135">
        <v>0.25720682793210398</v>
      </c>
      <c r="O1281" s="135">
        <v>0.11234625980553201</v>
      </c>
      <c r="P1281" s="135">
        <v>5.1955492395358002E-2</v>
      </c>
      <c r="Q1281" s="135">
        <v>3.5878970850760403E-2</v>
      </c>
      <c r="R1281" s="135">
        <v>3.12399154384225E-2</v>
      </c>
      <c r="S1281" s="135">
        <v>3.45284065743321E-2</v>
      </c>
      <c r="T1281" s="135">
        <v>3.45675880682631E-2</v>
      </c>
      <c r="U1281" s="135">
        <v>3.6100135010316302E-2</v>
      </c>
      <c r="V1281" s="135">
        <v>5.3006459498595802E-2</v>
      </c>
      <c r="W1281" s="135">
        <v>0.10379828811234899</v>
      </c>
      <c r="X1281" s="135">
        <v>0.19363257050396801</v>
      </c>
      <c r="Y1281" s="135">
        <v>0.222764805379144</v>
      </c>
      <c r="Z1281" s="135">
        <v>0.22692461171332201</v>
      </c>
      <c r="AA1281" s="135">
        <v>0.21234869468902801</v>
      </c>
      <c r="AB1281" s="135">
        <v>0.14572824287696801</v>
      </c>
      <c r="AC1281" s="135">
        <v>6.7220878017022007E-2</v>
      </c>
      <c r="AD1281" s="135">
        <v>3.1895393428393599E-2</v>
      </c>
      <c r="AF1281" s="243">
        <f t="shared" si="26"/>
        <v>0.32911976355303924</v>
      </c>
      <c r="AG1281" s="275">
        <f t="shared" si="27"/>
        <v>0.82651119925667782</v>
      </c>
      <c r="AH1281" s="391">
        <f t="shared" si="28"/>
        <v>1.4900263915846068</v>
      </c>
      <c r="AI1281" s="135">
        <f t="shared" si="29"/>
        <v>2.3165375908412846</v>
      </c>
    </row>
    <row r="1282" spans="1:35" ht="12.6">
      <c r="A1282" s="10" t="s">
        <v>1516</v>
      </c>
      <c r="B1282" s="10">
        <v>186</v>
      </c>
      <c r="C1282" s="10" t="s">
        <v>1514</v>
      </c>
      <c r="D1282" s="388">
        <v>45112</v>
      </c>
      <c r="E1282" s="389">
        <v>45112</v>
      </c>
      <c r="F1282" s="390" t="str">
        <f t="shared" si="25"/>
        <v>Space heating &amp; cooling</v>
      </c>
      <c r="G1282" s="135">
        <v>2.61425040261964E-2</v>
      </c>
      <c r="H1282" s="135">
        <v>2.52232284505516E-2</v>
      </c>
      <c r="I1282" s="135">
        <v>2.5210507008579099E-2</v>
      </c>
      <c r="J1282" s="135">
        <v>2.7431174802056299E-2</v>
      </c>
      <c r="K1282" s="135">
        <v>4.3844489065242798E-2</v>
      </c>
      <c r="L1282" s="135">
        <v>7.9575636409197695E-2</v>
      </c>
      <c r="M1282" s="135">
        <v>0.23796651078558201</v>
      </c>
      <c r="N1282" s="135">
        <v>0.25720682793210398</v>
      </c>
      <c r="O1282" s="135">
        <v>0.11234625980553201</v>
      </c>
      <c r="P1282" s="135">
        <v>5.1955492395358002E-2</v>
      </c>
      <c r="Q1282" s="135">
        <v>3.5878970850760403E-2</v>
      </c>
      <c r="R1282" s="135">
        <v>3.12399154384225E-2</v>
      </c>
      <c r="S1282" s="135">
        <v>3.45284065743321E-2</v>
      </c>
      <c r="T1282" s="135">
        <v>3.45675880682631E-2</v>
      </c>
      <c r="U1282" s="135">
        <v>3.6100135010316302E-2</v>
      </c>
      <c r="V1282" s="135">
        <v>5.3006459498595802E-2</v>
      </c>
      <c r="W1282" s="135">
        <v>0.10379828811234899</v>
      </c>
      <c r="X1282" s="135">
        <v>0.19363257050396801</v>
      </c>
      <c r="Y1282" s="135">
        <v>0.222764805379144</v>
      </c>
      <c r="Z1282" s="135">
        <v>0.22692461171332201</v>
      </c>
      <c r="AA1282" s="135">
        <v>0.21234869468902801</v>
      </c>
      <c r="AB1282" s="135">
        <v>0.14572824287696801</v>
      </c>
      <c r="AC1282" s="135">
        <v>6.7220878017022007E-2</v>
      </c>
      <c r="AD1282" s="135">
        <v>3.1895393428393599E-2</v>
      </c>
      <c r="AF1282" s="243">
        <f t="shared" si="26"/>
        <v>0.32911976355303924</v>
      </c>
      <c r="AG1282" s="275">
        <f t="shared" si="27"/>
        <v>0.82651119925667782</v>
      </c>
      <c r="AH1282" s="391">
        <f t="shared" si="28"/>
        <v>1.4900263915846068</v>
      </c>
      <c r="AI1282" s="135">
        <f t="shared" si="29"/>
        <v>2.3165375908412846</v>
      </c>
    </row>
    <row r="1283" spans="1:35" ht="12.6">
      <c r="A1283" s="10" t="s">
        <v>1516</v>
      </c>
      <c r="B1283" s="10">
        <v>187</v>
      </c>
      <c r="C1283" s="10" t="s">
        <v>1514</v>
      </c>
      <c r="D1283" s="388">
        <v>45113</v>
      </c>
      <c r="E1283" s="389">
        <v>45113</v>
      </c>
      <c r="F1283" s="390" t="str">
        <f t="shared" si="25"/>
        <v>Space heating &amp; cooling</v>
      </c>
      <c r="G1283" s="135">
        <v>2.61425040261964E-2</v>
      </c>
      <c r="H1283" s="135">
        <v>2.52232284505516E-2</v>
      </c>
      <c r="I1283" s="135">
        <v>2.5210507008579099E-2</v>
      </c>
      <c r="J1283" s="135">
        <v>2.7431174802056299E-2</v>
      </c>
      <c r="K1283" s="135">
        <v>4.3844489065242798E-2</v>
      </c>
      <c r="L1283" s="135">
        <v>7.9575636409197695E-2</v>
      </c>
      <c r="M1283" s="135">
        <v>0.23796651078558201</v>
      </c>
      <c r="N1283" s="135">
        <v>0.25720682793210398</v>
      </c>
      <c r="O1283" s="135">
        <v>0.11234625980553201</v>
      </c>
      <c r="P1283" s="135">
        <v>5.1955492395358002E-2</v>
      </c>
      <c r="Q1283" s="135">
        <v>3.5878970850760403E-2</v>
      </c>
      <c r="R1283" s="135">
        <v>3.12399154384225E-2</v>
      </c>
      <c r="S1283" s="135">
        <v>3.45284065743321E-2</v>
      </c>
      <c r="T1283" s="135">
        <v>3.45675880682631E-2</v>
      </c>
      <c r="U1283" s="135">
        <v>3.6100135010316302E-2</v>
      </c>
      <c r="V1283" s="135">
        <v>5.3006459498595802E-2</v>
      </c>
      <c r="W1283" s="135">
        <v>0.10379828811234899</v>
      </c>
      <c r="X1283" s="135">
        <v>0.19363257050396801</v>
      </c>
      <c r="Y1283" s="135">
        <v>0.222764805379144</v>
      </c>
      <c r="Z1283" s="135">
        <v>0.22692461171332201</v>
      </c>
      <c r="AA1283" s="135">
        <v>0.21234869468902801</v>
      </c>
      <c r="AB1283" s="135">
        <v>0.14572824287696801</v>
      </c>
      <c r="AC1283" s="135">
        <v>6.7220878017022007E-2</v>
      </c>
      <c r="AD1283" s="135">
        <v>3.1895393428393599E-2</v>
      </c>
      <c r="AF1283" s="243">
        <f t="shared" si="26"/>
        <v>0.32911976355303924</v>
      </c>
      <c r="AG1283" s="275">
        <f t="shared" si="27"/>
        <v>0.82651119925667782</v>
      </c>
      <c r="AH1283" s="391">
        <f t="shared" si="28"/>
        <v>1.4900263915846068</v>
      </c>
      <c r="AI1283" s="135">
        <f t="shared" si="29"/>
        <v>2.3165375908412846</v>
      </c>
    </row>
    <row r="1284" spans="1:35" ht="12.6">
      <c r="A1284" s="10" t="s">
        <v>1516</v>
      </c>
      <c r="B1284" s="10">
        <v>188</v>
      </c>
      <c r="C1284" s="10" t="s">
        <v>1514</v>
      </c>
      <c r="D1284" s="388">
        <v>45114</v>
      </c>
      <c r="E1284" s="389">
        <v>45114</v>
      </c>
      <c r="F1284" s="390" t="str">
        <f t="shared" si="25"/>
        <v>Space heating &amp; cooling</v>
      </c>
      <c r="G1284" s="135">
        <v>2.61425040261964E-2</v>
      </c>
      <c r="H1284" s="135">
        <v>2.52232284505516E-2</v>
      </c>
      <c r="I1284" s="135">
        <v>2.5210507008579099E-2</v>
      </c>
      <c r="J1284" s="135">
        <v>2.7431174802056299E-2</v>
      </c>
      <c r="K1284" s="135">
        <v>4.3844489065242798E-2</v>
      </c>
      <c r="L1284" s="135">
        <v>7.9575636409197695E-2</v>
      </c>
      <c r="M1284" s="135">
        <v>0.23796651078558201</v>
      </c>
      <c r="N1284" s="135">
        <v>0.25720682793210398</v>
      </c>
      <c r="O1284" s="135">
        <v>0.11234625980553201</v>
      </c>
      <c r="P1284" s="135">
        <v>5.1955492395358002E-2</v>
      </c>
      <c r="Q1284" s="135">
        <v>3.5878970850760403E-2</v>
      </c>
      <c r="R1284" s="135">
        <v>3.12399154384225E-2</v>
      </c>
      <c r="S1284" s="135">
        <v>3.45284065743321E-2</v>
      </c>
      <c r="T1284" s="135">
        <v>3.45675880682631E-2</v>
      </c>
      <c r="U1284" s="135">
        <v>3.6100135010316302E-2</v>
      </c>
      <c r="V1284" s="135">
        <v>5.3006459498595802E-2</v>
      </c>
      <c r="W1284" s="135">
        <v>0.10379828811234899</v>
      </c>
      <c r="X1284" s="135">
        <v>0.19363257050396801</v>
      </c>
      <c r="Y1284" s="135">
        <v>0.222764805379144</v>
      </c>
      <c r="Z1284" s="135">
        <v>0.22692461171332201</v>
      </c>
      <c r="AA1284" s="135">
        <v>0.21234869468902801</v>
      </c>
      <c r="AB1284" s="135">
        <v>0.14572824287696801</v>
      </c>
      <c r="AC1284" s="135">
        <v>6.7220878017022007E-2</v>
      </c>
      <c r="AD1284" s="135">
        <v>3.1895393428393599E-2</v>
      </c>
      <c r="AF1284" s="243">
        <f t="shared" si="26"/>
        <v>0.32911976355303924</v>
      </c>
      <c r="AG1284" s="275">
        <f t="shared" si="27"/>
        <v>0.82651119925667782</v>
      </c>
      <c r="AH1284" s="391">
        <f t="shared" si="28"/>
        <v>1.4900263915846068</v>
      </c>
      <c r="AI1284" s="135">
        <f t="shared" si="29"/>
        <v>2.3165375908412846</v>
      </c>
    </row>
    <row r="1285" spans="1:35" ht="12.6">
      <c r="A1285" s="10" t="s">
        <v>1516</v>
      </c>
      <c r="B1285" s="10">
        <v>189</v>
      </c>
      <c r="C1285" s="10" t="s">
        <v>1514</v>
      </c>
      <c r="D1285" s="388">
        <v>45115</v>
      </c>
      <c r="E1285" s="389">
        <v>45115</v>
      </c>
      <c r="F1285" s="390" t="str">
        <f t="shared" si="25"/>
        <v>Space heating &amp; cooling</v>
      </c>
      <c r="G1285" s="135">
        <v>2.9021445812351301E-2</v>
      </c>
      <c r="H1285" s="135">
        <v>2.3996491146840101E-2</v>
      </c>
      <c r="I1285" s="135">
        <v>2.5890962833305099E-2</v>
      </c>
      <c r="J1285" s="135">
        <v>2.8347091829061099E-2</v>
      </c>
      <c r="K1285" s="135">
        <v>3.96677853370161E-2</v>
      </c>
      <c r="L1285" s="135">
        <v>6.7420601841275296E-2</v>
      </c>
      <c r="M1285" s="135">
        <v>0.14472001633439599</v>
      </c>
      <c r="N1285" s="135">
        <v>0.18672725006466601</v>
      </c>
      <c r="O1285" s="135">
        <v>0.17859160621110801</v>
      </c>
      <c r="P1285" s="135">
        <v>0.10928422901910501</v>
      </c>
      <c r="Q1285" s="135">
        <v>7.8169080825929299E-2</v>
      </c>
      <c r="R1285" s="135">
        <v>6.5912331527195001E-2</v>
      </c>
      <c r="S1285" s="135">
        <v>5.4854002726402298E-2</v>
      </c>
      <c r="T1285" s="135">
        <v>5.1931254028382598E-2</v>
      </c>
      <c r="U1285" s="135">
        <v>4.9010472704917797E-2</v>
      </c>
      <c r="V1285" s="135">
        <v>5.6626788899231097E-2</v>
      </c>
      <c r="W1285" s="135">
        <v>9.7164077657466597E-2</v>
      </c>
      <c r="X1285" s="135">
        <v>0.15839092248990699</v>
      </c>
      <c r="Y1285" s="135">
        <v>0.18440102976725101</v>
      </c>
      <c r="Z1285" s="135">
        <v>0.19154100805106899</v>
      </c>
      <c r="AA1285" s="135">
        <v>0.18317621485337801</v>
      </c>
      <c r="AB1285" s="135">
        <v>0.1408191748805</v>
      </c>
      <c r="AC1285" s="135">
        <v>7.9000771672929598E-2</v>
      </c>
      <c r="AD1285" s="135">
        <v>4.3464628547622501E-2</v>
      </c>
      <c r="AF1285" s="243">
        <f t="shared" si="26"/>
        <v>0.45366800836952476</v>
      </c>
      <c r="AG1285" s="275">
        <f t="shared" si="27"/>
        <v>0.79111639137119782</v>
      </c>
      <c r="AH1285" s="391">
        <f t="shared" si="28"/>
        <v>1.4770128476901081</v>
      </c>
      <c r="AI1285" s="135">
        <f t="shared" si="29"/>
        <v>2.2681292390613059</v>
      </c>
    </row>
    <row r="1286" spans="1:35" ht="12.6">
      <c r="A1286" s="10" t="s">
        <v>1516</v>
      </c>
      <c r="B1286" s="10">
        <v>190</v>
      </c>
      <c r="C1286" s="10" t="s">
        <v>1514</v>
      </c>
      <c r="D1286" s="388">
        <v>45116</v>
      </c>
      <c r="E1286" s="389">
        <v>45116</v>
      </c>
      <c r="F1286" s="390" t="str">
        <f t="shared" si="25"/>
        <v>Space heating &amp; cooling</v>
      </c>
      <c r="G1286" s="135">
        <v>2.9021445812351301E-2</v>
      </c>
      <c r="H1286" s="135">
        <v>2.3996491146840101E-2</v>
      </c>
      <c r="I1286" s="135">
        <v>2.5890962833305099E-2</v>
      </c>
      <c r="J1286" s="135">
        <v>2.8347091829061099E-2</v>
      </c>
      <c r="K1286" s="135">
        <v>3.96677853370161E-2</v>
      </c>
      <c r="L1286" s="135">
        <v>6.7420601841275296E-2</v>
      </c>
      <c r="M1286" s="135">
        <v>0.14472001633439599</v>
      </c>
      <c r="N1286" s="135">
        <v>0.18672725006466601</v>
      </c>
      <c r="O1286" s="135">
        <v>0.17859160621110801</v>
      </c>
      <c r="P1286" s="135">
        <v>0.10928422901910501</v>
      </c>
      <c r="Q1286" s="135">
        <v>7.8169080825929299E-2</v>
      </c>
      <c r="R1286" s="135">
        <v>6.5912331527195001E-2</v>
      </c>
      <c r="S1286" s="135">
        <v>5.4854002726402298E-2</v>
      </c>
      <c r="T1286" s="135">
        <v>5.1931254028382598E-2</v>
      </c>
      <c r="U1286" s="135">
        <v>4.9010472704917797E-2</v>
      </c>
      <c r="V1286" s="135">
        <v>5.6626788899231097E-2</v>
      </c>
      <c r="W1286" s="135">
        <v>9.7164077657466597E-2</v>
      </c>
      <c r="X1286" s="135">
        <v>0.15839092248990699</v>
      </c>
      <c r="Y1286" s="135">
        <v>0.18440102976725101</v>
      </c>
      <c r="Z1286" s="135">
        <v>0.19154100805106899</v>
      </c>
      <c r="AA1286" s="135">
        <v>0.18317621485337801</v>
      </c>
      <c r="AB1286" s="135">
        <v>0.1408191748805</v>
      </c>
      <c r="AC1286" s="135">
        <v>7.9000771672929598E-2</v>
      </c>
      <c r="AD1286" s="135">
        <v>4.3464628547622501E-2</v>
      </c>
      <c r="AF1286" s="243">
        <f t="shared" si="26"/>
        <v>0.45366800836952476</v>
      </c>
      <c r="AG1286" s="275">
        <f t="shared" si="27"/>
        <v>0.79111639137119782</v>
      </c>
      <c r="AH1286" s="391">
        <f t="shared" si="28"/>
        <v>1.4770128476901081</v>
      </c>
      <c r="AI1286" s="135">
        <f t="shared" si="29"/>
        <v>2.2681292390613059</v>
      </c>
    </row>
    <row r="1287" spans="1:35" ht="12.6">
      <c r="A1287" s="10" t="s">
        <v>1516</v>
      </c>
      <c r="B1287" s="10">
        <v>191</v>
      </c>
      <c r="C1287" s="10" t="s">
        <v>1514</v>
      </c>
      <c r="D1287" s="388">
        <v>45117</v>
      </c>
      <c r="E1287" s="389">
        <v>45117</v>
      </c>
      <c r="F1287" s="390" t="str">
        <f t="shared" si="25"/>
        <v>Space heating &amp; cooling</v>
      </c>
      <c r="G1287" s="135">
        <v>2.61425040261964E-2</v>
      </c>
      <c r="H1287" s="135">
        <v>2.52232284505516E-2</v>
      </c>
      <c r="I1287" s="135">
        <v>2.5210507008579099E-2</v>
      </c>
      <c r="J1287" s="135">
        <v>2.7431174802056299E-2</v>
      </c>
      <c r="K1287" s="135">
        <v>4.3844489065242798E-2</v>
      </c>
      <c r="L1287" s="135">
        <v>7.9575636409197695E-2</v>
      </c>
      <c r="M1287" s="135">
        <v>0.23796651078558201</v>
      </c>
      <c r="N1287" s="135">
        <v>0.25720682793210398</v>
      </c>
      <c r="O1287" s="135">
        <v>0.11234625980553201</v>
      </c>
      <c r="P1287" s="135">
        <v>5.1955492395358002E-2</v>
      </c>
      <c r="Q1287" s="135">
        <v>3.5878970850760403E-2</v>
      </c>
      <c r="R1287" s="135">
        <v>3.12399154384225E-2</v>
      </c>
      <c r="S1287" s="135">
        <v>3.45284065743321E-2</v>
      </c>
      <c r="T1287" s="135">
        <v>3.45675880682631E-2</v>
      </c>
      <c r="U1287" s="135">
        <v>3.6100135010316302E-2</v>
      </c>
      <c r="V1287" s="135">
        <v>5.3006459498595802E-2</v>
      </c>
      <c r="W1287" s="135">
        <v>0.10379828811234899</v>
      </c>
      <c r="X1287" s="135">
        <v>0.19363257050396801</v>
      </c>
      <c r="Y1287" s="135">
        <v>0.222764805379144</v>
      </c>
      <c r="Z1287" s="135">
        <v>0.22692461171332201</v>
      </c>
      <c r="AA1287" s="135">
        <v>0.21234869468902801</v>
      </c>
      <c r="AB1287" s="135">
        <v>0.14572824287696801</v>
      </c>
      <c r="AC1287" s="135">
        <v>6.7220878017022007E-2</v>
      </c>
      <c r="AD1287" s="135">
        <v>3.1895393428393599E-2</v>
      </c>
      <c r="AF1287" s="243">
        <f t="shared" si="26"/>
        <v>0.32911976355303924</v>
      </c>
      <c r="AG1287" s="275">
        <f t="shared" si="27"/>
        <v>0.82651119925667782</v>
      </c>
      <c r="AH1287" s="391">
        <f t="shared" si="28"/>
        <v>1.4900263915846068</v>
      </c>
      <c r="AI1287" s="135">
        <f t="shared" si="29"/>
        <v>2.3165375908412846</v>
      </c>
    </row>
    <row r="1288" spans="1:35" ht="12.6">
      <c r="A1288" s="10" t="s">
        <v>1516</v>
      </c>
      <c r="B1288" s="10">
        <v>192</v>
      </c>
      <c r="C1288" s="10" t="s">
        <v>1514</v>
      </c>
      <c r="D1288" s="388">
        <v>45118</v>
      </c>
      <c r="E1288" s="389">
        <v>45118</v>
      </c>
      <c r="F1288" s="390" t="str">
        <f t="shared" si="25"/>
        <v>Space heating &amp; cooling</v>
      </c>
      <c r="G1288" s="135">
        <v>2.61425040261964E-2</v>
      </c>
      <c r="H1288" s="135">
        <v>2.52232284505516E-2</v>
      </c>
      <c r="I1288" s="135">
        <v>2.5210507008579099E-2</v>
      </c>
      <c r="J1288" s="135">
        <v>2.7431174802056299E-2</v>
      </c>
      <c r="K1288" s="135">
        <v>4.3844489065242798E-2</v>
      </c>
      <c r="L1288" s="135">
        <v>7.9575636409197695E-2</v>
      </c>
      <c r="M1288" s="135">
        <v>0.23796651078558201</v>
      </c>
      <c r="N1288" s="135">
        <v>0.25720682793210398</v>
      </c>
      <c r="O1288" s="135">
        <v>0.11234625980553201</v>
      </c>
      <c r="P1288" s="135">
        <v>5.1955492395358002E-2</v>
      </c>
      <c r="Q1288" s="135">
        <v>3.5878970850760403E-2</v>
      </c>
      <c r="R1288" s="135">
        <v>3.12399154384225E-2</v>
      </c>
      <c r="S1288" s="135">
        <v>3.45284065743321E-2</v>
      </c>
      <c r="T1288" s="135">
        <v>3.45675880682631E-2</v>
      </c>
      <c r="U1288" s="135">
        <v>3.6100135010316302E-2</v>
      </c>
      <c r="V1288" s="135">
        <v>5.3006459498595802E-2</v>
      </c>
      <c r="W1288" s="135">
        <v>0.10379828811234899</v>
      </c>
      <c r="X1288" s="135">
        <v>0.19363257050396801</v>
      </c>
      <c r="Y1288" s="135">
        <v>0.222764805379144</v>
      </c>
      <c r="Z1288" s="135">
        <v>0.22692461171332201</v>
      </c>
      <c r="AA1288" s="135">
        <v>0.21234869468902801</v>
      </c>
      <c r="AB1288" s="135">
        <v>0.14572824287696801</v>
      </c>
      <c r="AC1288" s="135">
        <v>6.7220878017022007E-2</v>
      </c>
      <c r="AD1288" s="135">
        <v>3.1895393428393599E-2</v>
      </c>
      <c r="AF1288" s="243">
        <f t="shared" si="26"/>
        <v>0.32911976355303924</v>
      </c>
      <c r="AG1288" s="275">
        <f t="shared" si="27"/>
        <v>0.82651119925667782</v>
      </c>
      <c r="AH1288" s="391">
        <f t="shared" si="28"/>
        <v>1.4900263915846068</v>
      </c>
      <c r="AI1288" s="135">
        <f t="shared" si="29"/>
        <v>2.3165375908412846</v>
      </c>
    </row>
    <row r="1289" spans="1:35" ht="12.6">
      <c r="A1289" s="10" t="s">
        <v>1516</v>
      </c>
      <c r="B1289" s="10">
        <v>193</v>
      </c>
      <c r="C1289" s="10" t="s">
        <v>1514</v>
      </c>
      <c r="D1289" s="388">
        <v>45119</v>
      </c>
      <c r="E1289" s="389">
        <v>45119</v>
      </c>
      <c r="F1289" s="390" t="str">
        <f t="shared" si="25"/>
        <v>Space heating &amp; cooling</v>
      </c>
      <c r="G1289" s="135">
        <v>2.61425040261964E-2</v>
      </c>
      <c r="H1289" s="135">
        <v>2.52232284505516E-2</v>
      </c>
      <c r="I1289" s="135">
        <v>2.5210507008579099E-2</v>
      </c>
      <c r="J1289" s="135">
        <v>2.7431174802056299E-2</v>
      </c>
      <c r="K1289" s="135">
        <v>4.3844489065242798E-2</v>
      </c>
      <c r="L1289" s="135">
        <v>7.9575636409197695E-2</v>
      </c>
      <c r="M1289" s="135">
        <v>0.23796651078558201</v>
      </c>
      <c r="N1289" s="135">
        <v>0.25720682793210398</v>
      </c>
      <c r="O1289" s="135">
        <v>0.11234625980553201</v>
      </c>
      <c r="P1289" s="135">
        <v>5.1955492395358002E-2</v>
      </c>
      <c r="Q1289" s="135">
        <v>3.5878970850760403E-2</v>
      </c>
      <c r="R1289" s="135">
        <v>3.12399154384225E-2</v>
      </c>
      <c r="S1289" s="135">
        <v>3.45284065743321E-2</v>
      </c>
      <c r="T1289" s="135">
        <v>3.45675880682631E-2</v>
      </c>
      <c r="U1289" s="135">
        <v>3.6100135010316302E-2</v>
      </c>
      <c r="V1289" s="135">
        <v>5.3006459498595802E-2</v>
      </c>
      <c r="W1289" s="135">
        <v>0.10379828811234899</v>
      </c>
      <c r="X1289" s="135">
        <v>0.19363257050396801</v>
      </c>
      <c r="Y1289" s="135">
        <v>0.222764805379144</v>
      </c>
      <c r="Z1289" s="135">
        <v>0.22692461171332201</v>
      </c>
      <c r="AA1289" s="135">
        <v>0.21234869468902801</v>
      </c>
      <c r="AB1289" s="135">
        <v>0.14572824287696801</v>
      </c>
      <c r="AC1289" s="135">
        <v>6.7220878017022007E-2</v>
      </c>
      <c r="AD1289" s="135">
        <v>3.1895393428393599E-2</v>
      </c>
      <c r="AF1289" s="243">
        <f t="shared" si="26"/>
        <v>0.32911976355303924</v>
      </c>
      <c r="AG1289" s="275">
        <f t="shared" si="27"/>
        <v>0.82651119925667782</v>
      </c>
      <c r="AH1289" s="391">
        <f t="shared" si="28"/>
        <v>1.4900263915846068</v>
      </c>
      <c r="AI1289" s="135">
        <f t="shared" si="29"/>
        <v>2.3165375908412846</v>
      </c>
    </row>
    <row r="1290" spans="1:35" ht="12.6">
      <c r="A1290" s="10" t="s">
        <v>1516</v>
      </c>
      <c r="B1290" s="10">
        <v>194</v>
      </c>
      <c r="C1290" s="10" t="s">
        <v>1514</v>
      </c>
      <c r="D1290" s="388">
        <v>45120</v>
      </c>
      <c r="E1290" s="389">
        <v>45120</v>
      </c>
      <c r="F1290" s="390" t="str">
        <f t="shared" si="25"/>
        <v>Space heating &amp; cooling</v>
      </c>
      <c r="G1290" s="135">
        <v>2.61425040261964E-2</v>
      </c>
      <c r="H1290" s="135">
        <v>2.52232284505516E-2</v>
      </c>
      <c r="I1290" s="135">
        <v>2.5210507008579099E-2</v>
      </c>
      <c r="J1290" s="135">
        <v>2.7431174802056299E-2</v>
      </c>
      <c r="K1290" s="135">
        <v>4.3844489065242798E-2</v>
      </c>
      <c r="L1290" s="135">
        <v>7.9575636409197695E-2</v>
      </c>
      <c r="M1290" s="135">
        <v>0.23796651078558201</v>
      </c>
      <c r="N1290" s="135">
        <v>0.25720682793210398</v>
      </c>
      <c r="O1290" s="135">
        <v>0.11234625980553201</v>
      </c>
      <c r="P1290" s="135">
        <v>5.1955492395358002E-2</v>
      </c>
      <c r="Q1290" s="135">
        <v>3.5878970850760403E-2</v>
      </c>
      <c r="R1290" s="135">
        <v>3.12399154384225E-2</v>
      </c>
      <c r="S1290" s="135">
        <v>3.45284065743321E-2</v>
      </c>
      <c r="T1290" s="135">
        <v>3.45675880682631E-2</v>
      </c>
      <c r="U1290" s="135">
        <v>3.6100135010316302E-2</v>
      </c>
      <c r="V1290" s="135">
        <v>5.3006459498595802E-2</v>
      </c>
      <c r="W1290" s="135">
        <v>0.10379828811234899</v>
      </c>
      <c r="X1290" s="135">
        <v>0.19363257050396801</v>
      </c>
      <c r="Y1290" s="135">
        <v>0.222764805379144</v>
      </c>
      <c r="Z1290" s="135">
        <v>0.22692461171332201</v>
      </c>
      <c r="AA1290" s="135">
        <v>0.21234869468902801</v>
      </c>
      <c r="AB1290" s="135">
        <v>0.14572824287696801</v>
      </c>
      <c r="AC1290" s="135">
        <v>6.7220878017022007E-2</v>
      </c>
      <c r="AD1290" s="135">
        <v>3.1895393428393599E-2</v>
      </c>
      <c r="AF1290" s="243">
        <f t="shared" si="26"/>
        <v>0.32911976355303924</v>
      </c>
      <c r="AG1290" s="275">
        <f t="shared" si="27"/>
        <v>0.82651119925667782</v>
      </c>
      <c r="AH1290" s="391">
        <f t="shared" si="28"/>
        <v>1.4900263915846068</v>
      </c>
      <c r="AI1290" s="135">
        <f t="shared" si="29"/>
        <v>2.3165375908412846</v>
      </c>
    </row>
    <row r="1291" spans="1:35" ht="12.6">
      <c r="A1291" s="10" t="s">
        <v>1516</v>
      </c>
      <c r="B1291" s="10">
        <v>195</v>
      </c>
      <c r="C1291" s="10" t="s">
        <v>1514</v>
      </c>
      <c r="D1291" s="388">
        <v>45121</v>
      </c>
      <c r="E1291" s="389">
        <v>45121</v>
      </c>
      <c r="F1291" s="390" t="str">
        <f t="shared" si="25"/>
        <v>Space heating &amp; cooling</v>
      </c>
      <c r="G1291" s="135">
        <v>2.61425040261964E-2</v>
      </c>
      <c r="H1291" s="135">
        <v>2.52232284505516E-2</v>
      </c>
      <c r="I1291" s="135">
        <v>2.5210507008579099E-2</v>
      </c>
      <c r="J1291" s="135">
        <v>2.7431174802056299E-2</v>
      </c>
      <c r="K1291" s="135">
        <v>4.3844489065242798E-2</v>
      </c>
      <c r="L1291" s="135">
        <v>7.9575636409197695E-2</v>
      </c>
      <c r="M1291" s="135">
        <v>0.23796651078558201</v>
      </c>
      <c r="N1291" s="135">
        <v>0.25720682793210398</v>
      </c>
      <c r="O1291" s="135">
        <v>0.11234625980553201</v>
      </c>
      <c r="P1291" s="135">
        <v>5.1955492395358002E-2</v>
      </c>
      <c r="Q1291" s="135">
        <v>3.5878970850760403E-2</v>
      </c>
      <c r="R1291" s="135">
        <v>3.12399154384225E-2</v>
      </c>
      <c r="S1291" s="135">
        <v>3.45284065743321E-2</v>
      </c>
      <c r="T1291" s="135">
        <v>3.45675880682631E-2</v>
      </c>
      <c r="U1291" s="135">
        <v>3.6100135010316302E-2</v>
      </c>
      <c r="V1291" s="135">
        <v>5.3006459498595802E-2</v>
      </c>
      <c r="W1291" s="135">
        <v>0.10379828811234899</v>
      </c>
      <c r="X1291" s="135">
        <v>0.19363257050396801</v>
      </c>
      <c r="Y1291" s="135">
        <v>0.222764805379144</v>
      </c>
      <c r="Z1291" s="135">
        <v>0.22692461171332201</v>
      </c>
      <c r="AA1291" s="135">
        <v>0.21234869468902801</v>
      </c>
      <c r="AB1291" s="135">
        <v>0.14572824287696801</v>
      </c>
      <c r="AC1291" s="135">
        <v>6.7220878017022007E-2</v>
      </c>
      <c r="AD1291" s="135">
        <v>3.1895393428393599E-2</v>
      </c>
      <c r="AF1291" s="243">
        <f t="shared" si="26"/>
        <v>0.32911976355303924</v>
      </c>
      <c r="AG1291" s="275">
        <f t="shared" si="27"/>
        <v>0.82651119925667782</v>
      </c>
      <c r="AH1291" s="391">
        <f t="shared" si="28"/>
        <v>1.4900263915846068</v>
      </c>
      <c r="AI1291" s="135">
        <f t="shared" si="29"/>
        <v>2.3165375908412846</v>
      </c>
    </row>
    <row r="1292" spans="1:35" ht="12.6">
      <c r="A1292" s="10" t="s">
        <v>1516</v>
      </c>
      <c r="B1292" s="10">
        <v>196</v>
      </c>
      <c r="C1292" s="10" t="s">
        <v>1514</v>
      </c>
      <c r="D1292" s="388">
        <v>45122</v>
      </c>
      <c r="E1292" s="389">
        <v>45122</v>
      </c>
      <c r="F1292" s="390" t="str">
        <f t="shared" si="25"/>
        <v>Space heating &amp; cooling</v>
      </c>
      <c r="G1292" s="135">
        <v>2.9021445812351301E-2</v>
      </c>
      <c r="H1292" s="135">
        <v>2.3996491146840101E-2</v>
      </c>
      <c r="I1292" s="135">
        <v>2.5890962833305099E-2</v>
      </c>
      <c r="J1292" s="135">
        <v>2.8347091829061099E-2</v>
      </c>
      <c r="K1292" s="135">
        <v>3.96677853370161E-2</v>
      </c>
      <c r="L1292" s="135">
        <v>6.7420601841275296E-2</v>
      </c>
      <c r="M1292" s="135">
        <v>0.14472001633439599</v>
      </c>
      <c r="N1292" s="135">
        <v>0.18672725006466601</v>
      </c>
      <c r="O1292" s="135">
        <v>0.17859160621110801</v>
      </c>
      <c r="P1292" s="135">
        <v>0.10928422901910501</v>
      </c>
      <c r="Q1292" s="135">
        <v>7.8169080825929299E-2</v>
      </c>
      <c r="R1292" s="135">
        <v>6.5912331527195001E-2</v>
      </c>
      <c r="S1292" s="135">
        <v>5.4854002726402298E-2</v>
      </c>
      <c r="T1292" s="135">
        <v>5.1931254028382598E-2</v>
      </c>
      <c r="U1292" s="135">
        <v>4.9010472704917797E-2</v>
      </c>
      <c r="V1292" s="135">
        <v>5.6626788899231097E-2</v>
      </c>
      <c r="W1292" s="135">
        <v>9.7164077657466597E-2</v>
      </c>
      <c r="X1292" s="135">
        <v>0.15839092248990699</v>
      </c>
      <c r="Y1292" s="135">
        <v>0.18440102976725101</v>
      </c>
      <c r="Z1292" s="135">
        <v>0.19154100805106899</v>
      </c>
      <c r="AA1292" s="135">
        <v>0.18317621485337801</v>
      </c>
      <c r="AB1292" s="135">
        <v>0.1408191748805</v>
      </c>
      <c r="AC1292" s="135">
        <v>7.9000771672929598E-2</v>
      </c>
      <c r="AD1292" s="135">
        <v>4.3464628547622501E-2</v>
      </c>
      <c r="AF1292" s="243">
        <f t="shared" si="26"/>
        <v>0.45366800836952476</v>
      </c>
      <c r="AG1292" s="275">
        <f t="shared" si="27"/>
        <v>0.79111639137119782</v>
      </c>
      <c r="AH1292" s="391">
        <f t="shared" si="28"/>
        <v>1.4770128476901081</v>
      </c>
      <c r="AI1292" s="135">
        <f t="shared" si="29"/>
        <v>2.2681292390613059</v>
      </c>
    </row>
    <row r="1293" spans="1:35" ht="12.6">
      <c r="A1293" s="10" t="s">
        <v>1516</v>
      </c>
      <c r="B1293" s="10">
        <v>197</v>
      </c>
      <c r="C1293" s="10" t="s">
        <v>1514</v>
      </c>
      <c r="D1293" s="388">
        <v>45123</v>
      </c>
      <c r="E1293" s="389">
        <v>45123</v>
      </c>
      <c r="F1293" s="390" t="str">
        <f t="shared" si="25"/>
        <v>Space heating &amp; cooling</v>
      </c>
      <c r="G1293" s="135">
        <v>2.9021445812351301E-2</v>
      </c>
      <c r="H1293" s="135">
        <v>2.3996491146840101E-2</v>
      </c>
      <c r="I1293" s="135">
        <v>2.5890962833305099E-2</v>
      </c>
      <c r="J1293" s="135">
        <v>2.8347091829061099E-2</v>
      </c>
      <c r="K1293" s="135">
        <v>3.96677853370161E-2</v>
      </c>
      <c r="L1293" s="135">
        <v>6.7420601841275296E-2</v>
      </c>
      <c r="M1293" s="135">
        <v>0.14472001633439599</v>
      </c>
      <c r="N1293" s="135">
        <v>0.18672725006466601</v>
      </c>
      <c r="O1293" s="135">
        <v>0.17859160621110801</v>
      </c>
      <c r="P1293" s="135">
        <v>0.10928422901910501</v>
      </c>
      <c r="Q1293" s="135">
        <v>7.8169080825929299E-2</v>
      </c>
      <c r="R1293" s="135">
        <v>6.5912331527195001E-2</v>
      </c>
      <c r="S1293" s="135">
        <v>5.4854002726402298E-2</v>
      </c>
      <c r="T1293" s="135">
        <v>5.1931254028382598E-2</v>
      </c>
      <c r="U1293" s="135">
        <v>4.9010472704917797E-2</v>
      </c>
      <c r="V1293" s="135">
        <v>5.6626788899231097E-2</v>
      </c>
      <c r="W1293" s="135">
        <v>9.7164077657466597E-2</v>
      </c>
      <c r="X1293" s="135">
        <v>0.15839092248990699</v>
      </c>
      <c r="Y1293" s="135">
        <v>0.18440102976725101</v>
      </c>
      <c r="Z1293" s="135">
        <v>0.19154100805106899</v>
      </c>
      <c r="AA1293" s="135">
        <v>0.18317621485337801</v>
      </c>
      <c r="AB1293" s="135">
        <v>0.1408191748805</v>
      </c>
      <c r="AC1293" s="135">
        <v>7.9000771672929598E-2</v>
      </c>
      <c r="AD1293" s="135">
        <v>4.3464628547622501E-2</v>
      </c>
      <c r="AF1293" s="243">
        <f t="shared" si="26"/>
        <v>0.45366800836952476</v>
      </c>
      <c r="AG1293" s="275">
        <f t="shared" si="27"/>
        <v>0.79111639137119782</v>
      </c>
      <c r="AH1293" s="391">
        <f t="shared" si="28"/>
        <v>1.4770128476901081</v>
      </c>
      <c r="AI1293" s="135">
        <f t="shared" si="29"/>
        <v>2.2681292390613059</v>
      </c>
    </row>
    <row r="1294" spans="1:35" ht="12.6">
      <c r="A1294" s="10" t="s">
        <v>1516</v>
      </c>
      <c r="B1294" s="10">
        <v>198</v>
      </c>
      <c r="C1294" s="10" t="s">
        <v>1514</v>
      </c>
      <c r="D1294" s="388">
        <v>45124</v>
      </c>
      <c r="E1294" s="389">
        <v>45124</v>
      </c>
      <c r="F1294" s="390" t="str">
        <f t="shared" si="25"/>
        <v>Space heating &amp; cooling</v>
      </c>
      <c r="G1294" s="135">
        <v>2.61425040261964E-2</v>
      </c>
      <c r="H1294" s="135">
        <v>2.52232284505516E-2</v>
      </c>
      <c r="I1294" s="135">
        <v>2.5210507008579099E-2</v>
      </c>
      <c r="J1294" s="135">
        <v>2.7431174802056299E-2</v>
      </c>
      <c r="K1294" s="135">
        <v>4.3844489065242798E-2</v>
      </c>
      <c r="L1294" s="135">
        <v>7.9575636409197695E-2</v>
      </c>
      <c r="M1294" s="135">
        <v>0.23796651078558201</v>
      </c>
      <c r="N1294" s="135">
        <v>0.25720682793210398</v>
      </c>
      <c r="O1294" s="135">
        <v>0.11234625980553201</v>
      </c>
      <c r="P1294" s="135">
        <v>5.1955492395358002E-2</v>
      </c>
      <c r="Q1294" s="135">
        <v>3.5878970850760403E-2</v>
      </c>
      <c r="R1294" s="135">
        <v>3.12399154384225E-2</v>
      </c>
      <c r="S1294" s="135">
        <v>3.45284065743321E-2</v>
      </c>
      <c r="T1294" s="135">
        <v>3.45675880682631E-2</v>
      </c>
      <c r="U1294" s="135">
        <v>3.6100135010316302E-2</v>
      </c>
      <c r="V1294" s="135">
        <v>5.3006459498595802E-2</v>
      </c>
      <c r="W1294" s="135">
        <v>0.10379828811234899</v>
      </c>
      <c r="X1294" s="135">
        <v>0.19363257050396801</v>
      </c>
      <c r="Y1294" s="135">
        <v>0.222764805379144</v>
      </c>
      <c r="Z1294" s="135">
        <v>0.22692461171332201</v>
      </c>
      <c r="AA1294" s="135">
        <v>0.21234869468902801</v>
      </c>
      <c r="AB1294" s="135">
        <v>0.14572824287696801</v>
      </c>
      <c r="AC1294" s="135">
        <v>6.7220878017022007E-2</v>
      </c>
      <c r="AD1294" s="135">
        <v>3.1895393428393599E-2</v>
      </c>
      <c r="AF1294" s="243">
        <f t="shared" si="26"/>
        <v>0.32911976355303924</v>
      </c>
      <c r="AG1294" s="275">
        <f t="shared" si="27"/>
        <v>0.82651119925667782</v>
      </c>
      <c r="AH1294" s="391">
        <f t="shared" si="28"/>
        <v>1.4900263915846068</v>
      </c>
      <c r="AI1294" s="135">
        <f t="shared" si="29"/>
        <v>2.3165375908412846</v>
      </c>
    </row>
    <row r="1295" spans="1:35" ht="12.6">
      <c r="A1295" s="10" t="s">
        <v>1516</v>
      </c>
      <c r="B1295" s="10">
        <v>199</v>
      </c>
      <c r="C1295" s="10" t="s">
        <v>1514</v>
      </c>
      <c r="D1295" s="388">
        <v>45125</v>
      </c>
      <c r="E1295" s="389">
        <v>45125</v>
      </c>
      <c r="F1295" s="390" t="str">
        <f t="shared" si="25"/>
        <v>Space heating &amp; cooling</v>
      </c>
      <c r="G1295" s="135">
        <v>2.61425040261964E-2</v>
      </c>
      <c r="H1295" s="135">
        <v>2.52232284505516E-2</v>
      </c>
      <c r="I1295" s="135">
        <v>2.5210507008579099E-2</v>
      </c>
      <c r="J1295" s="135">
        <v>2.7431174802056299E-2</v>
      </c>
      <c r="K1295" s="135">
        <v>4.3844489065242798E-2</v>
      </c>
      <c r="L1295" s="135">
        <v>7.9575636409197695E-2</v>
      </c>
      <c r="M1295" s="135">
        <v>0.23796651078558201</v>
      </c>
      <c r="N1295" s="135">
        <v>0.25720682793210398</v>
      </c>
      <c r="O1295" s="135">
        <v>0.11234625980553201</v>
      </c>
      <c r="P1295" s="135">
        <v>5.1955492395358002E-2</v>
      </c>
      <c r="Q1295" s="135">
        <v>3.5878970850760403E-2</v>
      </c>
      <c r="R1295" s="135">
        <v>3.12399154384225E-2</v>
      </c>
      <c r="S1295" s="135">
        <v>3.45284065743321E-2</v>
      </c>
      <c r="T1295" s="135">
        <v>3.45675880682631E-2</v>
      </c>
      <c r="U1295" s="135">
        <v>3.6100135010316302E-2</v>
      </c>
      <c r="V1295" s="135">
        <v>5.3006459498595802E-2</v>
      </c>
      <c r="W1295" s="135">
        <v>0.10379828811234899</v>
      </c>
      <c r="X1295" s="135">
        <v>0.19363257050396801</v>
      </c>
      <c r="Y1295" s="135">
        <v>0.222764805379144</v>
      </c>
      <c r="Z1295" s="135">
        <v>0.22692461171332201</v>
      </c>
      <c r="AA1295" s="135">
        <v>0.21234869468902801</v>
      </c>
      <c r="AB1295" s="135">
        <v>0.14572824287696801</v>
      </c>
      <c r="AC1295" s="135">
        <v>6.7220878017022007E-2</v>
      </c>
      <c r="AD1295" s="135">
        <v>3.1895393428393599E-2</v>
      </c>
      <c r="AF1295" s="243">
        <f t="shared" si="26"/>
        <v>0.32911976355303924</v>
      </c>
      <c r="AG1295" s="275">
        <f t="shared" si="27"/>
        <v>0.82651119925667782</v>
      </c>
      <c r="AH1295" s="391">
        <f t="shared" si="28"/>
        <v>1.4900263915846068</v>
      </c>
      <c r="AI1295" s="135">
        <f t="shared" si="29"/>
        <v>2.3165375908412846</v>
      </c>
    </row>
    <row r="1296" spans="1:35" ht="12.6">
      <c r="A1296" s="10" t="s">
        <v>1516</v>
      </c>
      <c r="B1296" s="10">
        <v>200</v>
      </c>
      <c r="C1296" s="10" t="s">
        <v>1514</v>
      </c>
      <c r="D1296" s="388">
        <v>45126</v>
      </c>
      <c r="E1296" s="389">
        <v>45126</v>
      </c>
      <c r="F1296" s="390" t="str">
        <f t="shared" si="25"/>
        <v>Space heating &amp; cooling</v>
      </c>
      <c r="G1296" s="135">
        <v>2.61425040261964E-2</v>
      </c>
      <c r="H1296" s="135">
        <v>2.52232284505516E-2</v>
      </c>
      <c r="I1296" s="135">
        <v>2.5210507008579099E-2</v>
      </c>
      <c r="J1296" s="135">
        <v>2.7431174802056299E-2</v>
      </c>
      <c r="K1296" s="135">
        <v>4.3844489065242798E-2</v>
      </c>
      <c r="L1296" s="135">
        <v>7.9575636409197695E-2</v>
      </c>
      <c r="M1296" s="135">
        <v>0.23796651078558201</v>
      </c>
      <c r="N1296" s="135">
        <v>0.25720682793210398</v>
      </c>
      <c r="O1296" s="135">
        <v>0.11234625980553201</v>
      </c>
      <c r="P1296" s="135">
        <v>5.1955492395358002E-2</v>
      </c>
      <c r="Q1296" s="135">
        <v>3.5878970850760403E-2</v>
      </c>
      <c r="R1296" s="135">
        <v>3.12399154384225E-2</v>
      </c>
      <c r="S1296" s="135">
        <v>3.45284065743321E-2</v>
      </c>
      <c r="T1296" s="135">
        <v>3.45675880682631E-2</v>
      </c>
      <c r="U1296" s="135">
        <v>3.6100135010316302E-2</v>
      </c>
      <c r="V1296" s="135">
        <v>5.3006459498595802E-2</v>
      </c>
      <c r="W1296" s="135">
        <v>0.10379828811234899</v>
      </c>
      <c r="X1296" s="135">
        <v>0.19363257050396801</v>
      </c>
      <c r="Y1296" s="135">
        <v>0.222764805379144</v>
      </c>
      <c r="Z1296" s="135">
        <v>0.22692461171332201</v>
      </c>
      <c r="AA1296" s="135">
        <v>0.21234869468902801</v>
      </c>
      <c r="AB1296" s="135">
        <v>0.14572824287696801</v>
      </c>
      <c r="AC1296" s="135">
        <v>6.7220878017022007E-2</v>
      </c>
      <c r="AD1296" s="135">
        <v>3.1895393428393599E-2</v>
      </c>
      <c r="AF1296" s="243">
        <f t="shared" si="26"/>
        <v>0.32911976355303924</v>
      </c>
      <c r="AG1296" s="275">
        <f t="shared" si="27"/>
        <v>0.82651119925667782</v>
      </c>
      <c r="AH1296" s="391">
        <f t="shared" si="28"/>
        <v>1.4900263915846068</v>
      </c>
      <c r="AI1296" s="135">
        <f t="shared" si="29"/>
        <v>2.3165375908412846</v>
      </c>
    </row>
    <row r="1297" spans="1:35" ht="12.6">
      <c r="A1297" s="10" t="s">
        <v>1516</v>
      </c>
      <c r="B1297" s="10">
        <v>201</v>
      </c>
      <c r="C1297" s="10" t="s">
        <v>1514</v>
      </c>
      <c r="D1297" s="388">
        <v>45127</v>
      </c>
      <c r="E1297" s="389">
        <v>45127</v>
      </c>
      <c r="F1297" s="390" t="str">
        <f t="shared" si="25"/>
        <v>Space heating &amp; cooling</v>
      </c>
      <c r="G1297" s="135">
        <v>2.61425040261964E-2</v>
      </c>
      <c r="H1297" s="135">
        <v>2.52232284505516E-2</v>
      </c>
      <c r="I1297" s="135">
        <v>2.5210507008579099E-2</v>
      </c>
      <c r="J1297" s="135">
        <v>2.7431174802056299E-2</v>
      </c>
      <c r="K1297" s="135">
        <v>4.3844489065242798E-2</v>
      </c>
      <c r="L1297" s="135">
        <v>7.9575636409197695E-2</v>
      </c>
      <c r="M1297" s="135">
        <v>0.23796651078558201</v>
      </c>
      <c r="N1297" s="135">
        <v>0.25720682793210398</v>
      </c>
      <c r="O1297" s="135">
        <v>0.11234625980553201</v>
      </c>
      <c r="P1297" s="135">
        <v>5.1955492395358002E-2</v>
      </c>
      <c r="Q1297" s="135">
        <v>3.5878970850760403E-2</v>
      </c>
      <c r="R1297" s="135">
        <v>3.12399154384225E-2</v>
      </c>
      <c r="S1297" s="135">
        <v>3.45284065743321E-2</v>
      </c>
      <c r="T1297" s="135">
        <v>3.45675880682631E-2</v>
      </c>
      <c r="U1297" s="135">
        <v>3.6100135010316302E-2</v>
      </c>
      <c r="V1297" s="135">
        <v>5.3006459498595802E-2</v>
      </c>
      <c r="W1297" s="135">
        <v>0.10379828811234899</v>
      </c>
      <c r="X1297" s="135">
        <v>0.19363257050396801</v>
      </c>
      <c r="Y1297" s="135">
        <v>0.222764805379144</v>
      </c>
      <c r="Z1297" s="135">
        <v>0.22692461171332201</v>
      </c>
      <c r="AA1297" s="135">
        <v>0.21234869468902801</v>
      </c>
      <c r="AB1297" s="135">
        <v>0.14572824287696801</v>
      </c>
      <c r="AC1297" s="135">
        <v>6.7220878017022007E-2</v>
      </c>
      <c r="AD1297" s="135">
        <v>3.1895393428393599E-2</v>
      </c>
      <c r="AF1297" s="243">
        <f t="shared" si="26"/>
        <v>0.32911976355303924</v>
      </c>
      <c r="AG1297" s="275">
        <f t="shared" si="27"/>
        <v>0.82651119925667782</v>
      </c>
      <c r="AH1297" s="391">
        <f t="shared" si="28"/>
        <v>1.4900263915846068</v>
      </c>
      <c r="AI1297" s="135">
        <f t="shared" si="29"/>
        <v>2.3165375908412846</v>
      </c>
    </row>
    <row r="1298" spans="1:35" ht="12.6">
      <c r="A1298" s="10" t="s">
        <v>1516</v>
      </c>
      <c r="B1298" s="10">
        <v>202</v>
      </c>
      <c r="C1298" s="10" t="s">
        <v>1514</v>
      </c>
      <c r="D1298" s="388">
        <v>45128</v>
      </c>
      <c r="E1298" s="389">
        <v>45128</v>
      </c>
      <c r="F1298" s="390" t="str">
        <f t="shared" si="25"/>
        <v>Space heating &amp; cooling</v>
      </c>
      <c r="G1298" s="135">
        <v>2.61425040261964E-2</v>
      </c>
      <c r="H1298" s="135">
        <v>2.52232284505516E-2</v>
      </c>
      <c r="I1298" s="135">
        <v>2.5210507008579099E-2</v>
      </c>
      <c r="J1298" s="135">
        <v>2.7431174802056299E-2</v>
      </c>
      <c r="K1298" s="135">
        <v>4.3844489065242798E-2</v>
      </c>
      <c r="L1298" s="135">
        <v>7.9575636409197695E-2</v>
      </c>
      <c r="M1298" s="135">
        <v>0.23796651078558201</v>
      </c>
      <c r="N1298" s="135">
        <v>0.25720682793210398</v>
      </c>
      <c r="O1298" s="135">
        <v>0.11234625980553201</v>
      </c>
      <c r="P1298" s="135">
        <v>5.1955492395358002E-2</v>
      </c>
      <c r="Q1298" s="135">
        <v>3.5878970850760403E-2</v>
      </c>
      <c r="R1298" s="135">
        <v>3.12399154384225E-2</v>
      </c>
      <c r="S1298" s="135">
        <v>3.45284065743321E-2</v>
      </c>
      <c r="T1298" s="135">
        <v>3.45675880682631E-2</v>
      </c>
      <c r="U1298" s="135">
        <v>3.6100135010316302E-2</v>
      </c>
      <c r="V1298" s="135">
        <v>5.3006459498595802E-2</v>
      </c>
      <c r="W1298" s="135">
        <v>0.10379828811234899</v>
      </c>
      <c r="X1298" s="135">
        <v>0.19363257050396801</v>
      </c>
      <c r="Y1298" s="135">
        <v>0.222764805379144</v>
      </c>
      <c r="Z1298" s="135">
        <v>0.22692461171332201</v>
      </c>
      <c r="AA1298" s="135">
        <v>0.21234869468902801</v>
      </c>
      <c r="AB1298" s="135">
        <v>0.14572824287696801</v>
      </c>
      <c r="AC1298" s="135">
        <v>6.7220878017022007E-2</v>
      </c>
      <c r="AD1298" s="135">
        <v>3.1895393428393599E-2</v>
      </c>
      <c r="AF1298" s="243">
        <f t="shared" si="26"/>
        <v>0.32911976355303924</v>
      </c>
      <c r="AG1298" s="275">
        <f t="shared" si="27"/>
        <v>0.82651119925667782</v>
      </c>
      <c r="AH1298" s="391">
        <f t="shared" si="28"/>
        <v>1.4900263915846068</v>
      </c>
      <c r="AI1298" s="135">
        <f t="shared" si="29"/>
        <v>2.3165375908412846</v>
      </c>
    </row>
    <row r="1299" spans="1:35" ht="12.6">
      <c r="A1299" s="10" t="s">
        <v>1516</v>
      </c>
      <c r="B1299" s="10">
        <v>203</v>
      </c>
      <c r="C1299" s="10" t="s">
        <v>1514</v>
      </c>
      <c r="D1299" s="388">
        <v>45129</v>
      </c>
      <c r="E1299" s="389">
        <v>45129</v>
      </c>
      <c r="F1299" s="390" t="str">
        <f t="shared" si="25"/>
        <v>Space heating &amp; cooling</v>
      </c>
      <c r="G1299" s="135">
        <v>2.9021445812351301E-2</v>
      </c>
      <c r="H1299" s="135">
        <v>2.3996491146840101E-2</v>
      </c>
      <c r="I1299" s="135">
        <v>2.5890962833305099E-2</v>
      </c>
      <c r="J1299" s="135">
        <v>2.8347091829061099E-2</v>
      </c>
      <c r="K1299" s="135">
        <v>3.96677853370161E-2</v>
      </c>
      <c r="L1299" s="135">
        <v>6.7420601841275296E-2</v>
      </c>
      <c r="M1299" s="135">
        <v>0.14472001633439599</v>
      </c>
      <c r="N1299" s="135">
        <v>0.18672725006466601</v>
      </c>
      <c r="O1299" s="135">
        <v>0.17859160621110801</v>
      </c>
      <c r="P1299" s="135">
        <v>0.10928422901910501</v>
      </c>
      <c r="Q1299" s="135">
        <v>7.8169080825929299E-2</v>
      </c>
      <c r="R1299" s="135">
        <v>6.5912331527195001E-2</v>
      </c>
      <c r="S1299" s="135">
        <v>5.4854002726402298E-2</v>
      </c>
      <c r="T1299" s="135">
        <v>5.1931254028382598E-2</v>
      </c>
      <c r="U1299" s="135">
        <v>4.9010472704917797E-2</v>
      </c>
      <c r="V1299" s="135">
        <v>5.6626788899231097E-2</v>
      </c>
      <c r="W1299" s="135">
        <v>9.7164077657466597E-2</v>
      </c>
      <c r="X1299" s="135">
        <v>0.15839092248990699</v>
      </c>
      <c r="Y1299" s="135">
        <v>0.18440102976725101</v>
      </c>
      <c r="Z1299" s="135">
        <v>0.19154100805106899</v>
      </c>
      <c r="AA1299" s="135">
        <v>0.18317621485337801</v>
      </c>
      <c r="AB1299" s="135">
        <v>0.1408191748805</v>
      </c>
      <c r="AC1299" s="135">
        <v>7.9000771672929598E-2</v>
      </c>
      <c r="AD1299" s="135">
        <v>4.3464628547622501E-2</v>
      </c>
      <c r="AF1299" s="243">
        <f t="shared" si="26"/>
        <v>0.45366800836952476</v>
      </c>
      <c r="AG1299" s="275">
        <f t="shared" si="27"/>
        <v>0.79111639137119782</v>
      </c>
      <c r="AH1299" s="391">
        <f t="shared" si="28"/>
        <v>1.4770128476901081</v>
      </c>
      <c r="AI1299" s="135">
        <f t="shared" si="29"/>
        <v>2.2681292390613059</v>
      </c>
    </row>
    <row r="1300" spans="1:35" ht="12.6">
      <c r="A1300" s="10" t="s">
        <v>1516</v>
      </c>
      <c r="B1300" s="10">
        <v>204</v>
      </c>
      <c r="C1300" s="10" t="s">
        <v>1514</v>
      </c>
      <c r="D1300" s="388">
        <v>45130</v>
      </c>
      <c r="E1300" s="389">
        <v>45130</v>
      </c>
      <c r="F1300" s="390" t="str">
        <f t="shared" si="25"/>
        <v>Space heating &amp; cooling</v>
      </c>
      <c r="G1300" s="135">
        <v>2.9021445812351301E-2</v>
      </c>
      <c r="H1300" s="135">
        <v>2.3996491146840101E-2</v>
      </c>
      <c r="I1300" s="135">
        <v>2.5890962833305099E-2</v>
      </c>
      <c r="J1300" s="135">
        <v>2.8347091829061099E-2</v>
      </c>
      <c r="K1300" s="135">
        <v>3.96677853370161E-2</v>
      </c>
      <c r="L1300" s="135">
        <v>6.7420601841275296E-2</v>
      </c>
      <c r="M1300" s="135">
        <v>0.14472001633439599</v>
      </c>
      <c r="N1300" s="135">
        <v>0.18672725006466601</v>
      </c>
      <c r="O1300" s="135">
        <v>0.17859160621110801</v>
      </c>
      <c r="P1300" s="135">
        <v>0.10928422901910501</v>
      </c>
      <c r="Q1300" s="135">
        <v>7.8169080825929299E-2</v>
      </c>
      <c r="R1300" s="135">
        <v>6.5912331527195001E-2</v>
      </c>
      <c r="S1300" s="135">
        <v>5.4854002726402298E-2</v>
      </c>
      <c r="T1300" s="135">
        <v>5.1931254028382598E-2</v>
      </c>
      <c r="U1300" s="135">
        <v>4.9010472704917797E-2</v>
      </c>
      <c r="V1300" s="135">
        <v>5.6626788899231097E-2</v>
      </c>
      <c r="W1300" s="135">
        <v>9.7164077657466597E-2</v>
      </c>
      <c r="X1300" s="135">
        <v>0.15839092248990699</v>
      </c>
      <c r="Y1300" s="135">
        <v>0.18440102976725101</v>
      </c>
      <c r="Z1300" s="135">
        <v>0.19154100805106899</v>
      </c>
      <c r="AA1300" s="135">
        <v>0.18317621485337801</v>
      </c>
      <c r="AB1300" s="135">
        <v>0.1408191748805</v>
      </c>
      <c r="AC1300" s="135">
        <v>7.9000771672929598E-2</v>
      </c>
      <c r="AD1300" s="135">
        <v>4.3464628547622501E-2</v>
      </c>
      <c r="AF1300" s="243">
        <f t="shared" si="26"/>
        <v>0.45366800836952476</v>
      </c>
      <c r="AG1300" s="275">
        <f t="shared" si="27"/>
        <v>0.79111639137119782</v>
      </c>
      <c r="AH1300" s="391">
        <f t="shared" si="28"/>
        <v>1.4770128476901081</v>
      </c>
      <c r="AI1300" s="135">
        <f t="shared" si="29"/>
        <v>2.2681292390613059</v>
      </c>
    </row>
    <row r="1301" spans="1:35" ht="12.6">
      <c r="A1301" s="10" t="s">
        <v>1516</v>
      </c>
      <c r="B1301" s="10">
        <v>205</v>
      </c>
      <c r="C1301" s="10" t="s">
        <v>1514</v>
      </c>
      <c r="D1301" s="388">
        <v>45131</v>
      </c>
      <c r="E1301" s="389">
        <v>45131</v>
      </c>
      <c r="F1301" s="390" t="str">
        <f t="shared" si="25"/>
        <v>Space heating &amp; cooling</v>
      </c>
      <c r="G1301" s="135">
        <v>2.61425040261964E-2</v>
      </c>
      <c r="H1301" s="135">
        <v>2.52232284505516E-2</v>
      </c>
      <c r="I1301" s="135">
        <v>2.5210507008579099E-2</v>
      </c>
      <c r="J1301" s="135">
        <v>2.7431174802056299E-2</v>
      </c>
      <c r="K1301" s="135">
        <v>4.3844489065242798E-2</v>
      </c>
      <c r="L1301" s="135">
        <v>7.9575636409197695E-2</v>
      </c>
      <c r="M1301" s="135">
        <v>0.23796651078558201</v>
      </c>
      <c r="N1301" s="135">
        <v>0.25720682793210398</v>
      </c>
      <c r="O1301" s="135">
        <v>0.11234625980553201</v>
      </c>
      <c r="P1301" s="135">
        <v>5.1955492395358002E-2</v>
      </c>
      <c r="Q1301" s="135">
        <v>3.5878970850760403E-2</v>
      </c>
      <c r="R1301" s="135">
        <v>3.12399154384225E-2</v>
      </c>
      <c r="S1301" s="135">
        <v>3.45284065743321E-2</v>
      </c>
      <c r="T1301" s="135">
        <v>3.45675880682631E-2</v>
      </c>
      <c r="U1301" s="135">
        <v>3.6100135010316302E-2</v>
      </c>
      <c r="V1301" s="135">
        <v>5.3006459498595802E-2</v>
      </c>
      <c r="W1301" s="135">
        <v>0.10379828811234899</v>
      </c>
      <c r="X1301" s="135">
        <v>0.19363257050396801</v>
      </c>
      <c r="Y1301" s="135">
        <v>0.222764805379144</v>
      </c>
      <c r="Z1301" s="135">
        <v>0.22692461171332201</v>
      </c>
      <c r="AA1301" s="135">
        <v>0.21234869468902801</v>
      </c>
      <c r="AB1301" s="135">
        <v>0.14572824287696801</v>
      </c>
      <c r="AC1301" s="135">
        <v>6.7220878017022007E-2</v>
      </c>
      <c r="AD1301" s="135">
        <v>3.1895393428393599E-2</v>
      </c>
      <c r="AF1301" s="243">
        <f t="shared" si="26"/>
        <v>0.32911976355303924</v>
      </c>
      <c r="AG1301" s="275">
        <f t="shared" si="27"/>
        <v>0.82651119925667782</v>
      </c>
      <c r="AH1301" s="391">
        <f t="shared" si="28"/>
        <v>1.4900263915846068</v>
      </c>
      <c r="AI1301" s="135">
        <f t="shared" si="29"/>
        <v>2.3165375908412846</v>
      </c>
    </row>
    <row r="1302" spans="1:35" ht="12.6">
      <c r="A1302" s="10" t="s">
        <v>1516</v>
      </c>
      <c r="B1302" s="10">
        <v>206</v>
      </c>
      <c r="C1302" s="10" t="s">
        <v>1514</v>
      </c>
      <c r="D1302" s="388">
        <v>45132</v>
      </c>
      <c r="E1302" s="389">
        <v>45132</v>
      </c>
      <c r="F1302" s="390" t="str">
        <f t="shared" si="25"/>
        <v>Space heating &amp; cooling</v>
      </c>
      <c r="G1302" s="135">
        <v>2.61425040261964E-2</v>
      </c>
      <c r="H1302" s="135">
        <v>2.52232284505516E-2</v>
      </c>
      <c r="I1302" s="135">
        <v>2.5210507008579099E-2</v>
      </c>
      <c r="J1302" s="135">
        <v>2.7431174802056299E-2</v>
      </c>
      <c r="K1302" s="135">
        <v>4.3844489065242798E-2</v>
      </c>
      <c r="L1302" s="135">
        <v>7.9575636409197695E-2</v>
      </c>
      <c r="M1302" s="135">
        <v>0.23796651078558201</v>
      </c>
      <c r="N1302" s="135">
        <v>0.25720682793210398</v>
      </c>
      <c r="O1302" s="135">
        <v>0.11234625980553201</v>
      </c>
      <c r="P1302" s="135">
        <v>5.1955492395358002E-2</v>
      </c>
      <c r="Q1302" s="135">
        <v>3.5878970850760403E-2</v>
      </c>
      <c r="R1302" s="135">
        <v>3.12399154384225E-2</v>
      </c>
      <c r="S1302" s="135">
        <v>3.45284065743321E-2</v>
      </c>
      <c r="T1302" s="135">
        <v>3.45675880682631E-2</v>
      </c>
      <c r="U1302" s="135">
        <v>3.6100135010316302E-2</v>
      </c>
      <c r="V1302" s="135">
        <v>5.3006459498595802E-2</v>
      </c>
      <c r="W1302" s="135">
        <v>0.10379828811234899</v>
      </c>
      <c r="X1302" s="135">
        <v>0.19363257050396801</v>
      </c>
      <c r="Y1302" s="135">
        <v>0.222764805379144</v>
      </c>
      <c r="Z1302" s="135">
        <v>0.22692461171332201</v>
      </c>
      <c r="AA1302" s="135">
        <v>0.21234869468902801</v>
      </c>
      <c r="AB1302" s="135">
        <v>0.14572824287696801</v>
      </c>
      <c r="AC1302" s="135">
        <v>6.7220878017022007E-2</v>
      </c>
      <c r="AD1302" s="135">
        <v>3.1895393428393599E-2</v>
      </c>
      <c r="AF1302" s="243">
        <f t="shared" si="26"/>
        <v>0.32911976355303924</v>
      </c>
      <c r="AG1302" s="275">
        <f t="shared" si="27"/>
        <v>0.82651119925667782</v>
      </c>
      <c r="AH1302" s="391">
        <f t="shared" si="28"/>
        <v>1.4900263915846068</v>
      </c>
      <c r="AI1302" s="135">
        <f t="shared" si="29"/>
        <v>2.3165375908412846</v>
      </c>
    </row>
    <row r="1303" spans="1:35" ht="12.6">
      <c r="A1303" s="10" t="s">
        <v>1516</v>
      </c>
      <c r="B1303" s="10">
        <v>207</v>
      </c>
      <c r="C1303" s="10" t="s">
        <v>1514</v>
      </c>
      <c r="D1303" s="388">
        <v>45133</v>
      </c>
      <c r="E1303" s="389">
        <v>45133</v>
      </c>
      <c r="F1303" s="390" t="str">
        <f t="shared" si="25"/>
        <v>Space heating &amp; cooling</v>
      </c>
      <c r="G1303" s="135">
        <v>2.61425040261964E-2</v>
      </c>
      <c r="H1303" s="135">
        <v>2.52232284505516E-2</v>
      </c>
      <c r="I1303" s="135">
        <v>2.5210507008579099E-2</v>
      </c>
      <c r="J1303" s="135">
        <v>2.7431174802056299E-2</v>
      </c>
      <c r="K1303" s="135">
        <v>4.3844489065242798E-2</v>
      </c>
      <c r="L1303" s="135">
        <v>7.9575636409197695E-2</v>
      </c>
      <c r="M1303" s="135">
        <v>0.23796651078558201</v>
      </c>
      <c r="N1303" s="135">
        <v>0.25720682793210398</v>
      </c>
      <c r="O1303" s="135">
        <v>0.11234625980553201</v>
      </c>
      <c r="P1303" s="135">
        <v>5.1955492395358002E-2</v>
      </c>
      <c r="Q1303" s="135">
        <v>3.5878970850760403E-2</v>
      </c>
      <c r="R1303" s="135">
        <v>3.12399154384225E-2</v>
      </c>
      <c r="S1303" s="135">
        <v>3.45284065743321E-2</v>
      </c>
      <c r="T1303" s="135">
        <v>3.45675880682631E-2</v>
      </c>
      <c r="U1303" s="135">
        <v>3.6100135010316302E-2</v>
      </c>
      <c r="V1303" s="135">
        <v>5.3006459498595802E-2</v>
      </c>
      <c r="W1303" s="135">
        <v>0.10379828811234899</v>
      </c>
      <c r="X1303" s="135">
        <v>0.19363257050396801</v>
      </c>
      <c r="Y1303" s="135">
        <v>0.222764805379144</v>
      </c>
      <c r="Z1303" s="135">
        <v>0.22692461171332201</v>
      </c>
      <c r="AA1303" s="135">
        <v>0.21234869468902801</v>
      </c>
      <c r="AB1303" s="135">
        <v>0.14572824287696801</v>
      </c>
      <c r="AC1303" s="135">
        <v>6.7220878017022007E-2</v>
      </c>
      <c r="AD1303" s="135">
        <v>3.1895393428393599E-2</v>
      </c>
      <c r="AF1303" s="243">
        <f t="shared" si="26"/>
        <v>0.32911976355303924</v>
      </c>
      <c r="AG1303" s="275">
        <f t="shared" si="27"/>
        <v>0.82651119925667782</v>
      </c>
      <c r="AH1303" s="391">
        <f t="shared" si="28"/>
        <v>1.4900263915846068</v>
      </c>
      <c r="AI1303" s="135">
        <f t="shared" si="29"/>
        <v>2.3165375908412846</v>
      </c>
    </row>
    <row r="1304" spans="1:35" ht="12.6">
      <c r="A1304" s="10" t="s">
        <v>1516</v>
      </c>
      <c r="B1304" s="10">
        <v>208</v>
      </c>
      <c r="C1304" s="10" t="s">
        <v>1514</v>
      </c>
      <c r="D1304" s="388">
        <v>45134</v>
      </c>
      <c r="E1304" s="389">
        <v>45134</v>
      </c>
      <c r="F1304" s="390" t="str">
        <f t="shared" si="25"/>
        <v>Space heating &amp; cooling</v>
      </c>
      <c r="G1304" s="135">
        <v>2.61425040261964E-2</v>
      </c>
      <c r="H1304" s="135">
        <v>2.52232284505516E-2</v>
      </c>
      <c r="I1304" s="135">
        <v>2.5210507008579099E-2</v>
      </c>
      <c r="J1304" s="135">
        <v>2.7431174802056299E-2</v>
      </c>
      <c r="K1304" s="135">
        <v>4.3844489065242798E-2</v>
      </c>
      <c r="L1304" s="135">
        <v>7.9575636409197695E-2</v>
      </c>
      <c r="M1304" s="135">
        <v>0.23796651078558201</v>
      </c>
      <c r="N1304" s="135">
        <v>0.25720682793210398</v>
      </c>
      <c r="O1304" s="135">
        <v>0.11234625980553201</v>
      </c>
      <c r="P1304" s="135">
        <v>5.1955492395358002E-2</v>
      </c>
      <c r="Q1304" s="135">
        <v>3.5878970850760403E-2</v>
      </c>
      <c r="R1304" s="135">
        <v>3.12399154384225E-2</v>
      </c>
      <c r="S1304" s="135">
        <v>3.45284065743321E-2</v>
      </c>
      <c r="T1304" s="135">
        <v>3.45675880682631E-2</v>
      </c>
      <c r="U1304" s="135">
        <v>3.6100135010316302E-2</v>
      </c>
      <c r="V1304" s="135">
        <v>5.3006459498595802E-2</v>
      </c>
      <c r="W1304" s="135">
        <v>0.10379828811234899</v>
      </c>
      <c r="X1304" s="135">
        <v>0.19363257050396801</v>
      </c>
      <c r="Y1304" s="135">
        <v>0.222764805379144</v>
      </c>
      <c r="Z1304" s="135">
        <v>0.22692461171332201</v>
      </c>
      <c r="AA1304" s="135">
        <v>0.21234869468902801</v>
      </c>
      <c r="AB1304" s="135">
        <v>0.14572824287696801</v>
      </c>
      <c r="AC1304" s="135">
        <v>6.7220878017022007E-2</v>
      </c>
      <c r="AD1304" s="135">
        <v>3.1895393428393599E-2</v>
      </c>
      <c r="AF1304" s="243">
        <f t="shared" si="26"/>
        <v>0.32911976355303924</v>
      </c>
      <c r="AG1304" s="275">
        <f t="shared" si="27"/>
        <v>0.82651119925667782</v>
      </c>
      <c r="AH1304" s="391">
        <f t="shared" si="28"/>
        <v>1.4900263915846068</v>
      </c>
      <c r="AI1304" s="135">
        <f t="shared" si="29"/>
        <v>2.3165375908412846</v>
      </c>
    </row>
    <row r="1305" spans="1:35" ht="12.6">
      <c r="A1305" s="10" t="s">
        <v>1516</v>
      </c>
      <c r="B1305" s="10">
        <v>209</v>
      </c>
      <c r="C1305" s="10" t="s">
        <v>1514</v>
      </c>
      <c r="D1305" s="388">
        <v>45135</v>
      </c>
      <c r="E1305" s="389">
        <v>45135</v>
      </c>
      <c r="F1305" s="390" t="str">
        <f t="shared" si="25"/>
        <v>Space heating &amp; cooling</v>
      </c>
      <c r="G1305" s="135">
        <v>2.61425040261964E-2</v>
      </c>
      <c r="H1305" s="135">
        <v>2.52232284505516E-2</v>
      </c>
      <c r="I1305" s="135">
        <v>2.5210507008579099E-2</v>
      </c>
      <c r="J1305" s="135">
        <v>2.7431174802056299E-2</v>
      </c>
      <c r="K1305" s="135">
        <v>4.3844489065242798E-2</v>
      </c>
      <c r="L1305" s="135">
        <v>7.9575636409197695E-2</v>
      </c>
      <c r="M1305" s="135">
        <v>0.23796651078558201</v>
      </c>
      <c r="N1305" s="135">
        <v>0.25720682793210398</v>
      </c>
      <c r="O1305" s="135">
        <v>0.11234625980553201</v>
      </c>
      <c r="P1305" s="135">
        <v>5.1955492395358002E-2</v>
      </c>
      <c r="Q1305" s="135">
        <v>3.5878970850760403E-2</v>
      </c>
      <c r="R1305" s="135">
        <v>3.12399154384225E-2</v>
      </c>
      <c r="S1305" s="135">
        <v>3.45284065743321E-2</v>
      </c>
      <c r="T1305" s="135">
        <v>3.45675880682631E-2</v>
      </c>
      <c r="U1305" s="135">
        <v>3.6100135010316302E-2</v>
      </c>
      <c r="V1305" s="135">
        <v>5.3006459498595802E-2</v>
      </c>
      <c r="W1305" s="135">
        <v>0.10379828811234899</v>
      </c>
      <c r="X1305" s="135">
        <v>0.19363257050396801</v>
      </c>
      <c r="Y1305" s="135">
        <v>0.222764805379144</v>
      </c>
      <c r="Z1305" s="135">
        <v>0.22692461171332201</v>
      </c>
      <c r="AA1305" s="135">
        <v>0.21234869468902801</v>
      </c>
      <c r="AB1305" s="135">
        <v>0.14572824287696801</v>
      </c>
      <c r="AC1305" s="135">
        <v>6.7220878017022007E-2</v>
      </c>
      <c r="AD1305" s="135">
        <v>3.1895393428393599E-2</v>
      </c>
      <c r="AF1305" s="243">
        <f t="shared" si="26"/>
        <v>0.32911976355303924</v>
      </c>
      <c r="AG1305" s="275">
        <f t="shared" si="27"/>
        <v>0.82651119925667782</v>
      </c>
      <c r="AH1305" s="391">
        <f t="shared" si="28"/>
        <v>1.4900263915846068</v>
      </c>
      <c r="AI1305" s="135">
        <f t="shared" si="29"/>
        <v>2.3165375908412846</v>
      </c>
    </row>
    <row r="1306" spans="1:35" ht="12.6">
      <c r="A1306" s="10" t="s">
        <v>1516</v>
      </c>
      <c r="B1306" s="10">
        <v>210</v>
      </c>
      <c r="C1306" s="10" t="s">
        <v>1514</v>
      </c>
      <c r="D1306" s="388">
        <v>45136</v>
      </c>
      <c r="E1306" s="389">
        <v>45136</v>
      </c>
      <c r="F1306" s="390" t="str">
        <f t="shared" si="25"/>
        <v>Space heating &amp; cooling</v>
      </c>
      <c r="G1306" s="135">
        <v>2.9021445812351301E-2</v>
      </c>
      <c r="H1306" s="135">
        <v>2.3996491146840101E-2</v>
      </c>
      <c r="I1306" s="135">
        <v>2.5890962833305099E-2</v>
      </c>
      <c r="J1306" s="135">
        <v>2.8347091829061099E-2</v>
      </c>
      <c r="K1306" s="135">
        <v>3.96677853370161E-2</v>
      </c>
      <c r="L1306" s="135">
        <v>6.7420601841275296E-2</v>
      </c>
      <c r="M1306" s="135">
        <v>0.14472001633439599</v>
      </c>
      <c r="N1306" s="135">
        <v>0.18672725006466601</v>
      </c>
      <c r="O1306" s="135">
        <v>0.17859160621110801</v>
      </c>
      <c r="P1306" s="135">
        <v>0.10928422901910501</v>
      </c>
      <c r="Q1306" s="135">
        <v>7.8169080825929299E-2</v>
      </c>
      <c r="R1306" s="135">
        <v>6.5912331527195001E-2</v>
      </c>
      <c r="S1306" s="135">
        <v>5.4854002726402298E-2</v>
      </c>
      <c r="T1306" s="135">
        <v>5.1931254028382598E-2</v>
      </c>
      <c r="U1306" s="135">
        <v>4.9010472704917797E-2</v>
      </c>
      <c r="V1306" s="135">
        <v>5.6626788899231097E-2</v>
      </c>
      <c r="W1306" s="135">
        <v>9.7164077657466597E-2</v>
      </c>
      <c r="X1306" s="135">
        <v>0.15839092248990699</v>
      </c>
      <c r="Y1306" s="135">
        <v>0.18440102976725101</v>
      </c>
      <c r="Z1306" s="135">
        <v>0.19154100805106899</v>
      </c>
      <c r="AA1306" s="135">
        <v>0.18317621485337801</v>
      </c>
      <c r="AB1306" s="135">
        <v>0.1408191748805</v>
      </c>
      <c r="AC1306" s="135">
        <v>7.9000771672929598E-2</v>
      </c>
      <c r="AD1306" s="135">
        <v>4.3464628547622501E-2</v>
      </c>
      <c r="AF1306" s="243">
        <f t="shared" si="26"/>
        <v>0.45366800836952476</v>
      </c>
      <c r="AG1306" s="275">
        <f t="shared" si="27"/>
        <v>0.79111639137119782</v>
      </c>
      <c r="AH1306" s="391">
        <f t="shared" si="28"/>
        <v>1.4770128476901081</v>
      </c>
      <c r="AI1306" s="135">
        <f t="shared" si="29"/>
        <v>2.2681292390613059</v>
      </c>
    </row>
    <row r="1307" spans="1:35" ht="12.6">
      <c r="A1307" s="10" t="s">
        <v>1516</v>
      </c>
      <c r="B1307" s="10">
        <v>211</v>
      </c>
      <c r="C1307" s="10" t="s">
        <v>1514</v>
      </c>
      <c r="D1307" s="388">
        <v>45137</v>
      </c>
      <c r="E1307" s="389">
        <v>45137</v>
      </c>
      <c r="F1307" s="390" t="str">
        <f t="shared" si="25"/>
        <v>Space heating &amp; cooling</v>
      </c>
      <c r="G1307" s="135">
        <v>2.9021445812351301E-2</v>
      </c>
      <c r="H1307" s="135">
        <v>2.3996491146840101E-2</v>
      </c>
      <c r="I1307" s="135">
        <v>2.5890962833305099E-2</v>
      </c>
      <c r="J1307" s="135">
        <v>2.8347091829061099E-2</v>
      </c>
      <c r="K1307" s="135">
        <v>3.96677853370161E-2</v>
      </c>
      <c r="L1307" s="135">
        <v>6.7420601841275296E-2</v>
      </c>
      <c r="M1307" s="135">
        <v>0.14472001633439599</v>
      </c>
      <c r="N1307" s="135">
        <v>0.18672725006466601</v>
      </c>
      <c r="O1307" s="135">
        <v>0.17859160621110801</v>
      </c>
      <c r="P1307" s="135">
        <v>0.10928422901910501</v>
      </c>
      <c r="Q1307" s="135">
        <v>7.8169080825929299E-2</v>
      </c>
      <c r="R1307" s="135">
        <v>6.5912331527195001E-2</v>
      </c>
      <c r="S1307" s="135">
        <v>5.4854002726402298E-2</v>
      </c>
      <c r="T1307" s="135">
        <v>5.1931254028382598E-2</v>
      </c>
      <c r="U1307" s="135">
        <v>4.9010472704917797E-2</v>
      </c>
      <c r="V1307" s="135">
        <v>5.6626788899231097E-2</v>
      </c>
      <c r="W1307" s="135">
        <v>9.7164077657466597E-2</v>
      </c>
      <c r="X1307" s="135">
        <v>0.15839092248990699</v>
      </c>
      <c r="Y1307" s="135">
        <v>0.18440102976725101</v>
      </c>
      <c r="Z1307" s="135">
        <v>0.19154100805106899</v>
      </c>
      <c r="AA1307" s="135">
        <v>0.18317621485337801</v>
      </c>
      <c r="AB1307" s="135">
        <v>0.1408191748805</v>
      </c>
      <c r="AC1307" s="135">
        <v>7.9000771672929598E-2</v>
      </c>
      <c r="AD1307" s="135">
        <v>4.3464628547622501E-2</v>
      </c>
      <c r="AF1307" s="243">
        <f t="shared" si="26"/>
        <v>0.45366800836952476</v>
      </c>
      <c r="AG1307" s="275">
        <f t="shared" si="27"/>
        <v>0.79111639137119782</v>
      </c>
      <c r="AH1307" s="391">
        <f t="shared" si="28"/>
        <v>1.4770128476901081</v>
      </c>
      <c r="AI1307" s="135">
        <f t="shared" si="29"/>
        <v>2.2681292390613059</v>
      </c>
    </row>
    <row r="1308" spans="1:35" ht="12.6">
      <c r="A1308" s="10" t="s">
        <v>1516</v>
      </c>
      <c r="B1308" s="10">
        <v>212</v>
      </c>
      <c r="C1308" s="10" t="s">
        <v>1514</v>
      </c>
      <c r="D1308" s="388">
        <v>45138</v>
      </c>
      <c r="E1308" s="389">
        <v>45138</v>
      </c>
      <c r="F1308" s="390" t="str">
        <f t="shared" si="25"/>
        <v>Space heating &amp; cooling</v>
      </c>
      <c r="G1308" s="135">
        <v>2.61425040261964E-2</v>
      </c>
      <c r="H1308" s="135">
        <v>2.52232284505516E-2</v>
      </c>
      <c r="I1308" s="135">
        <v>2.5210507008579099E-2</v>
      </c>
      <c r="J1308" s="135">
        <v>2.7431174802056299E-2</v>
      </c>
      <c r="K1308" s="135">
        <v>4.3844489065242798E-2</v>
      </c>
      <c r="L1308" s="135">
        <v>7.9575636409197695E-2</v>
      </c>
      <c r="M1308" s="135">
        <v>0.23796651078558201</v>
      </c>
      <c r="N1308" s="135">
        <v>0.25720682793210398</v>
      </c>
      <c r="O1308" s="135">
        <v>0.11234625980553201</v>
      </c>
      <c r="P1308" s="135">
        <v>5.1955492395358002E-2</v>
      </c>
      <c r="Q1308" s="135">
        <v>3.5878970850760403E-2</v>
      </c>
      <c r="R1308" s="135">
        <v>3.12399154384225E-2</v>
      </c>
      <c r="S1308" s="135">
        <v>3.45284065743321E-2</v>
      </c>
      <c r="T1308" s="135">
        <v>3.45675880682631E-2</v>
      </c>
      <c r="U1308" s="135">
        <v>3.6100135010316302E-2</v>
      </c>
      <c r="V1308" s="135">
        <v>5.3006459498595802E-2</v>
      </c>
      <c r="W1308" s="135">
        <v>0.10379828811234899</v>
      </c>
      <c r="X1308" s="135">
        <v>0.19363257050396801</v>
      </c>
      <c r="Y1308" s="135">
        <v>0.222764805379144</v>
      </c>
      <c r="Z1308" s="135">
        <v>0.22692461171332201</v>
      </c>
      <c r="AA1308" s="135">
        <v>0.21234869468902801</v>
      </c>
      <c r="AB1308" s="135">
        <v>0.14572824287696801</v>
      </c>
      <c r="AC1308" s="135">
        <v>6.7220878017022007E-2</v>
      </c>
      <c r="AD1308" s="135">
        <v>3.1895393428393599E-2</v>
      </c>
      <c r="AF1308" s="243">
        <f t="shared" si="26"/>
        <v>0.32911976355303924</v>
      </c>
      <c r="AG1308" s="275">
        <f t="shared" si="27"/>
        <v>0.82651119925667782</v>
      </c>
      <c r="AH1308" s="391">
        <f t="shared" si="28"/>
        <v>1.4900263915846068</v>
      </c>
      <c r="AI1308" s="135">
        <f t="shared" si="29"/>
        <v>2.3165375908412846</v>
      </c>
    </row>
    <row r="1309" spans="1:35" ht="12.6">
      <c r="A1309" s="10" t="s">
        <v>1516</v>
      </c>
      <c r="B1309" s="10">
        <v>213</v>
      </c>
      <c r="C1309" s="10" t="s">
        <v>1514</v>
      </c>
      <c r="D1309" s="388">
        <v>45139</v>
      </c>
      <c r="E1309" s="389">
        <v>45139</v>
      </c>
      <c r="F1309" s="390" t="str">
        <f t="shared" si="25"/>
        <v>Space heating &amp; cooling</v>
      </c>
      <c r="G1309" s="135">
        <v>2.61425040261964E-2</v>
      </c>
      <c r="H1309" s="135">
        <v>2.52232284505516E-2</v>
      </c>
      <c r="I1309" s="135">
        <v>2.5210507008579099E-2</v>
      </c>
      <c r="J1309" s="135">
        <v>2.7431174802056299E-2</v>
      </c>
      <c r="K1309" s="135">
        <v>4.3844489065242798E-2</v>
      </c>
      <c r="L1309" s="135">
        <v>7.9575636409197695E-2</v>
      </c>
      <c r="M1309" s="135">
        <v>0.23796651078558201</v>
      </c>
      <c r="N1309" s="135">
        <v>0.25720682793210398</v>
      </c>
      <c r="O1309" s="135">
        <v>0.11234625980553201</v>
      </c>
      <c r="P1309" s="135">
        <v>5.1955492395358002E-2</v>
      </c>
      <c r="Q1309" s="135">
        <v>3.5878970850760403E-2</v>
      </c>
      <c r="R1309" s="135">
        <v>3.12399154384225E-2</v>
      </c>
      <c r="S1309" s="135">
        <v>3.45284065743321E-2</v>
      </c>
      <c r="T1309" s="135">
        <v>3.45675880682631E-2</v>
      </c>
      <c r="U1309" s="135">
        <v>3.6100135010316302E-2</v>
      </c>
      <c r="V1309" s="135">
        <v>5.3006459498595802E-2</v>
      </c>
      <c r="W1309" s="135">
        <v>0.10379828811234899</v>
      </c>
      <c r="X1309" s="135">
        <v>0.19363257050396801</v>
      </c>
      <c r="Y1309" s="135">
        <v>0.222764805379144</v>
      </c>
      <c r="Z1309" s="135">
        <v>0.22692461171332201</v>
      </c>
      <c r="AA1309" s="135">
        <v>0.21234869468902801</v>
      </c>
      <c r="AB1309" s="135">
        <v>0.14572824287696801</v>
      </c>
      <c r="AC1309" s="135">
        <v>6.7220878017022007E-2</v>
      </c>
      <c r="AD1309" s="135">
        <v>3.1895393428393599E-2</v>
      </c>
      <c r="AF1309" s="243">
        <f t="shared" si="26"/>
        <v>0.32911976355303924</v>
      </c>
      <c r="AG1309" s="275">
        <f t="shared" si="27"/>
        <v>0.82651119925667782</v>
      </c>
      <c r="AH1309" s="391">
        <f t="shared" si="28"/>
        <v>1.4900263915846068</v>
      </c>
      <c r="AI1309" s="135">
        <f t="shared" si="29"/>
        <v>2.3165375908412846</v>
      </c>
    </row>
    <row r="1310" spans="1:35" ht="12.6">
      <c r="A1310" s="10" t="s">
        <v>1516</v>
      </c>
      <c r="B1310" s="10">
        <v>214</v>
      </c>
      <c r="C1310" s="10" t="s">
        <v>1514</v>
      </c>
      <c r="D1310" s="388">
        <v>45140</v>
      </c>
      <c r="E1310" s="389">
        <v>45140</v>
      </c>
      <c r="F1310" s="390" t="str">
        <f t="shared" si="25"/>
        <v>Space heating &amp; cooling</v>
      </c>
      <c r="G1310" s="135">
        <v>2.61425040261964E-2</v>
      </c>
      <c r="H1310" s="135">
        <v>2.52232284505516E-2</v>
      </c>
      <c r="I1310" s="135">
        <v>2.5210507008579099E-2</v>
      </c>
      <c r="J1310" s="135">
        <v>2.7431174802056299E-2</v>
      </c>
      <c r="K1310" s="135">
        <v>4.3844489065242798E-2</v>
      </c>
      <c r="L1310" s="135">
        <v>7.9575636409197695E-2</v>
      </c>
      <c r="M1310" s="135">
        <v>0.23796651078558201</v>
      </c>
      <c r="N1310" s="135">
        <v>0.25720682793210398</v>
      </c>
      <c r="O1310" s="135">
        <v>0.11234625980553201</v>
      </c>
      <c r="P1310" s="135">
        <v>5.1955492395358002E-2</v>
      </c>
      <c r="Q1310" s="135">
        <v>3.5878970850760403E-2</v>
      </c>
      <c r="R1310" s="135">
        <v>3.12399154384225E-2</v>
      </c>
      <c r="S1310" s="135">
        <v>3.45284065743321E-2</v>
      </c>
      <c r="T1310" s="135">
        <v>3.45675880682631E-2</v>
      </c>
      <c r="U1310" s="135">
        <v>3.6100135010316302E-2</v>
      </c>
      <c r="V1310" s="135">
        <v>5.3006459498595802E-2</v>
      </c>
      <c r="W1310" s="135">
        <v>0.10379828811234899</v>
      </c>
      <c r="X1310" s="135">
        <v>0.19363257050396801</v>
      </c>
      <c r="Y1310" s="135">
        <v>0.222764805379144</v>
      </c>
      <c r="Z1310" s="135">
        <v>0.22692461171332201</v>
      </c>
      <c r="AA1310" s="135">
        <v>0.21234869468902801</v>
      </c>
      <c r="AB1310" s="135">
        <v>0.14572824287696801</v>
      </c>
      <c r="AC1310" s="135">
        <v>6.7220878017022007E-2</v>
      </c>
      <c r="AD1310" s="135">
        <v>3.1895393428393599E-2</v>
      </c>
      <c r="AF1310" s="243">
        <f t="shared" si="26"/>
        <v>0.32911976355303924</v>
      </c>
      <c r="AG1310" s="275">
        <f t="shared" si="27"/>
        <v>0.82651119925667782</v>
      </c>
      <c r="AH1310" s="391">
        <f t="shared" si="28"/>
        <v>1.4900263915846068</v>
      </c>
      <c r="AI1310" s="135">
        <f t="shared" si="29"/>
        <v>2.3165375908412846</v>
      </c>
    </row>
    <row r="1311" spans="1:35" ht="12.6">
      <c r="A1311" s="10" t="s">
        <v>1516</v>
      </c>
      <c r="B1311" s="10">
        <v>215</v>
      </c>
      <c r="C1311" s="10" t="s">
        <v>1514</v>
      </c>
      <c r="D1311" s="388">
        <v>45141</v>
      </c>
      <c r="E1311" s="389">
        <v>45141</v>
      </c>
      <c r="F1311" s="390" t="str">
        <f t="shared" si="25"/>
        <v>Space heating &amp; cooling</v>
      </c>
      <c r="G1311" s="135">
        <v>2.61425040261964E-2</v>
      </c>
      <c r="H1311" s="135">
        <v>2.52232284505516E-2</v>
      </c>
      <c r="I1311" s="135">
        <v>2.5210507008579099E-2</v>
      </c>
      <c r="J1311" s="135">
        <v>2.7431174802056299E-2</v>
      </c>
      <c r="K1311" s="135">
        <v>4.3844489065242798E-2</v>
      </c>
      <c r="L1311" s="135">
        <v>7.9575636409197695E-2</v>
      </c>
      <c r="M1311" s="135">
        <v>0.23796651078558201</v>
      </c>
      <c r="N1311" s="135">
        <v>0.25720682793210398</v>
      </c>
      <c r="O1311" s="135">
        <v>0.11234625980553201</v>
      </c>
      <c r="P1311" s="135">
        <v>5.1955492395358002E-2</v>
      </c>
      <c r="Q1311" s="135">
        <v>3.5878970850760403E-2</v>
      </c>
      <c r="R1311" s="135">
        <v>3.12399154384225E-2</v>
      </c>
      <c r="S1311" s="135">
        <v>3.45284065743321E-2</v>
      </c>
      <c r="T1311" s="135">
        <v>3.45675880682631E-2</v>
      </c>
      <c r="U1311" s="135">
        <v>3.6100135010316302E-2</v>
      </c>
      <c r="V1311" s="135">
        <v>5.3006459498595802E-2</v>
      </c>
      <c r="W1311" s="135">
        <v>0.10379828811234899</v>
      </c>
      <c r="X1311" s="135">
        <v>0.19363257050396801</v>
      </c>
      <c r="Y1311" s="135">
        <v>0.222764805379144</v>
      </c>
      <c r="Z1311" s="135">
        <v>0.22692461171332201</v>
      </c>
      <c r="AA1311" s="135">
        <v>0.21234869468902801</v>
      </c>
      <c r="AB1311" s="135">
        <v>0.14572824287696801</v>
      </c>
      <c r="AC1311" s="135">
        <v>6.7220878017022007E-2</v>
      </c>
      <c r="AD1311" s="135">
        <v>3.1895393428393599E-2</v>
      </c>
      <c r="AF1311" s="243">
        <f t="shared" si="26"/>
        <v>0.32911976355303924</v>
      </c>
      <c r="AG1311" s="275">
        <f t="shared" si="27"/>
        <v>0.82651119925667782</v>
      </c>
      <c r="AH1311" s="391">
        <f t="shared" si="28"/>
        <v>1.4900263915846068</v>
      </c>
      <c r="AI1311" s="135">
        <f t="shared" si="29"/>
        <v>2.3165375908412846</v>
      </c>
    </row>
    <row r="1312" spans="1:35" ht="12.6">
      <c r="A1312" s="10" t="s">
        <v>1516</v>
      </c>
      <c r="B1312" s="10">
        <v>216</v>
      </c>
      <c r="C1312" s="10" t="s">
        <v>1514</v>
      </c>
      <c r="D1312" s="388">
        <v>45142</v>
      </c>
      <c r="E1312" s="389">
        <v>45142</v>
      </c>
      <c r="F1312" s="390" t="str">
        <f t="shared" si="25"/>
        <v>Space heating &amp; cooling</v>
      </c>
      <c r="G1312" s="135">
        <v>2.61425040261964E-2</v>
      </c>
      <c r="H1312" s="135">
        <v>2.52232284505516E-2</v>
      </c>
      <c r="I1312" s="135">
        <v>2.5210507008579099E-2</v>
      </c>
      <c r="J1312" s="135">
        <v>2.7431174802056299E-2</v>
      </c>
      <c r="K1312" s="135">
        <v>4.3844489065242798E-2</v>
      </c>
      <c r="L1312" s="135">
        <v>7.9575636409197695E-2</v>
      </c>
      <c r="M1312" s="135">
        <v>0.23796651078558201</v>
      </c>
      <c r="N1312" s="135">
        <v>0.25720682793210398</v>
      </c>
      <c r="O1312" s="135">
        <v>0.11234625980553201</v>
      </c>
      <c r="P1312" s="135">
        <v>5.1955492395358002E-2</v>
      </c>
      <c r="Q1312" s="135">
        <v>3.5878970850760403E-2</v>
      </c>
      <c r="R1312" s="135">
        <v>3.12399154384225E-2</v>
      </c>
      <c r="S1312" s="135">
        <v>3.45284065743321E-2</v>
      </c>
      <c r="T1312" s="135">
        <v>3.45675880682631E-2</v>
      </c>
      <c r="U1312" s="135">
        <v>3.6100135010316302E-2</v>
      </c>
      <c r="V1312" s="135">
        <v>5.3006459498595802E-2</v>
      </c>
      <c r="W1312" s="135">
        <v>0.10379828811234899</v>
      </c>
      <c r="X1312" s="135">
        <v>0.19363257050396801</v>
      </c>
      <c r="Y1312" s="135">
        <v>0.222764805379144</v>
      </c>
      <c r="Z1312" s="135">
        <v>0.22692461171332201</v>
      </c>
      <c r="AA1312" s="135">
        <v>0.21234869468902801</v>
      </c>
      <c r="AB1312" s="135">
        <v>0.14572824287696801</v>
      </c>
      <c r="AC1312" s="135">
        <v>6.7220878017022007E-2</v>
      </c>
      <c r="AD1312" s="135">
        <v>3.1895393428393599E-2</v>
      </c>
      <c r="AF1312" s="243">
        <f t="shared" si="26"/>
        <v>0.32911976355303924</v>
      </c>
      <c r="AG1312" s="275">
        <f t="shared" si="27"/>
        <v>0.82651119925667782</v>
      </c>
      <c r="AH1312" s="391">
        <f t="shared" si="28"/>
        <v>1.4900263915846068</v>
      </c>
      <c r="AI1312" s="135">
        <f t="shared" si="29"/>
        <v>2.3165375908412846</v>
      </c>
    </row>
    <row r="1313" spans="1:35" ht="12.6">
      <c r="A1313" s="10" t="s">
        <v>1516</v>
      </c>
      <c r="B1313" s="10">
        <v>217</v>
      </c>
      <c r="C1313" s="10" t="s">
        <v>1514</v>
      </c>
      <c r="D1313" s="388">
        <v>45143</v>
      </c>
      <c r="E1313" s="389">
        <v>45143</v>
      </c>
      <c r="F1313" s="390" t="str">
        <f t="shared" si="25"/>
        <v>Space heating &amp; cooling</v>
      </c>
      <c r="G1313" s="135">
        <v>2.9021445812351301E-2</v>
      </c>
      <c r="H1313" s="135">
        <v>2.3996491146840101E-2</v>
      </c>
      <c r="I1313" s="135">
        <v>2.5890962833305099E-2</v>
      </c>
      <c r="J1313" s="135">
        <v>2.8347091829061099E-2</v>
      </c>
      <c r="K1313" s="135">
        <v>3.96677853370161E-2</v>
      </c>
      <c r="L1313" s="135">
        <v>6.7420601841275296E-2</v>
      </c>
      <c r="M1313" s="135">
        <v>0.14472001633439599</v>
      </c>
      <c r="N1313" s="135">
        <v>0.18672725006466601</v>
      </c>
      <c r="O1313" s="135">
        <v>0.17859160621110801</v>
      </c>
      <c r="P1313" s="135">
        <v>0.10928422901910501</v>
      </c>
      <c r="Q1313" s="135">
        <v>7.8169080825929299E-2</v>
      </c>
      <c r="R1313" s="135">
        <v>6.5912331527195001E-2</v>
      </c>
      <c r="S1313" s="135">
        <v>5.4854002726402298E-2</v>
      </c>
      <c r="T1313" s="135">
        <v>5.1931254028382598E-2</v>
      </c>
      <c r="U1313" s="135">
        <v>4.9010472704917797E-2</v>
      </c>
      <c r="V1313" s="135">
        <v>5.6626788899231097E-2</v>
      </c>
      <c r="W1313" s="135">
        <v>9.7164077657466597E-2</v>
      </c>
      <c r="X1313" s="135">
        <v>0.15839092248990699</v>
      </c>
      <c r="Y1313" s="135">
        <v>0.18440102976725101</v>
      </c>
      <c r="Z1313" s="135">
        <v>0.19154100805106899</v>
      </c>
      <c r="AA1313" s="135">
        <v>0.18317621485337801</v>
      </c>
      <c r="AB1313" s="135">
        <v>0.1408191748805</v>
      </c>
      <c r="AC1313" s="135">
        <v>7.9000771672929598E-2</v>
      </c>
      <c r="AD1313" s="135">
        <v>4.3464628547622501E-2</v>
      </c>
      <c r="AF1313" s="243">
        <f t="shared" si="26"/>
        <v>0.45366800836952476</v>
      </c>
      <c r="AG1313" s="275">
        <f t="shared" si="27"/>
        <v>0.79111639137119782</v>
      </c>
      <c r="AH1313" s="391">
        <f t="shared" si="28"/>
        <v>1.4770128476901081</v>
      </c>
      <c r="AI1313" s="135">
        <f t="shared" si="29"/>
        <v>2.2681292390613059</v>
      </c>
    </row>
    <row r="1314" spans="1:35" ht="12.6">
      <c r="A1314" s="10" t="s">
        <v>1516</v>
      </c>
      <c r="B1314" s="10">
        <v>218</v>
      </c>
      <c r="C1314" s="10" t="s">
        <v>1514</v>
      </c>
      <c r="D1314" s="388">
        <v>45144</v>
      </c>
      <c r="E1314" s="389">
        <v>45144</v>
      </c>
      <c r="F1314" s="390" t="str">
        <f t="shared" si="25"/>
        <v>Space heating &amp; cooling</v>
      </c>
      <c r="G1314" s="135">
        <v>2.9021445812351301E-2</v>
      </c>
      <c r="H1314" s="135">
        <v>2.3996491146840101E-2</v>
      </c>
      <c r="I1314" s="135">
        <v>2.5890962833305099E-2</v>
      </c>
      <c r="J1314" s="135">
        <v>2.8347091829061099E-2</v>
      </c>
      <c r="K1314" s="135">
        <v>3.96677853370161E-2</v>
      </c>
      <c r="L1314" s="135">
        <v>6.7420601841275296E-2</v>
      </c>
      <c r="M1314" s="135">
        <v>0.14472001633439599</v>
      </c>
      <c r="N1314" s="135">
        <v>0.18672725006466601</v>
      </c>
      <c r="O1314" s="135">
        <v>0.17859160621110801</v>
      </c>
      <c r="P1314" s="135">
        <v>0.10928422901910501</v>
      </c>
      <c r="Q1314" s="135">
        <v>7.8169080825929299E-2</v>
      </c>
      <c r="R1314" s="135">
        <v>6.5912331527195001E-2</v>
      </c>
      <c r="S1314" s="135">
        <v>5.4854002726402298E-2</v>
      </c>
      <c r="T1314" s="135">
        <v>5.1931254028382598E-2</v>
      </c>
      <c r="U1314" s="135">
        <v>4.9010472704917797E-2</v>
      </c>
      <c r="V1314" s="135">
        <v>5.6626788899231097E-2</v>
      </c>
      <c r="W1314" s="135">
        <v>9.7164077657466597E-2</v>
      </c>
      <c r="X1314" s="135">
        <v>0.15839092248990699</v>
      </c>
      <c r="Y1314" s="135">
        <v>0.18440102976725101</v>
      </c>
      <c r="Z1314" s="135">
        <v>0.19154100805106899</v>
      </c>
      <c r="AA1314" s="135">
        <v>0.18317621485337801</v>
      </c>
      <c r="AB1314" s="135">
        <v>0.1408191748805</v>
      </c>
      <c r="AC1314" s="135">
        <v>7.9000771672929598E-2</v>
      </c>
      <c r="AD1314" s="135">
        <v>4.3464628547622501E-2</v>
      </c>
      <c r="AF1314" s="243">
        <f t="shared" si="26"/>
        <v>0.45366800836952476</v>
      </c>
      <c r="AG1314" s="275">
        <f t="shared" si="27"/>
        <v>0.79111639137119782</v>
      </c>
      <c r="AH1314" s="391">
        <f t="shared" si="28"/>
        <v>1.4770128476901081</v>
      </c>
      <c r="AI1314" s="135">
        <f t="shared" si="29"/>
        <v>2.2681292390613059</v>
      </c>
    </row>
    <row r="1315" spans="1:35" ht="12.6">
      <c r="A1315" s="10" t="s">
        <v>1516</v>
      </c>
      <c r="B1315" s="10">
        <v>219</v>
      </c>
      <c r="C1315" s="10" t="s">
        <v>1514</v>
      </c>
      <c r="D1315" s="388">
        <v>45145</v>
      </c>
      <c r="E1315" s="389">
        <v>45145</v>
      </c>
      <c r="F1315" s="390" t="str">
        <f t="shared" si="25"/>
        <v>Space heating &amp; cooling</v>
      </c>
      <c r="G1315" s="135">
        <v>2.61425040261964E-2</v>
      </c>
      <c r="H1315" s="135">
        <v>2.52232284505516E-2</v>
      </c>
      <c r="I1315" s="135">
        <v>2.5210507008579099E-2</v>
      </c>
      <c r="J1315" s="135">
        <v>2.7431174802056299E-2</v>
      </c>
      <c r="K1315" s="135">
        <v>4.3844489065242798E-2</v>
      </c>
      <c r="L1315" s="135">
        <v>7.9575636409197695E-2</v>
      </c>
      <c r="M1315" s="135">
        <v>0.23796651078558201</v>
      </c>
      <c r="N1315" s="135">
        <v>0.25720682793210398</v>
      </c>
      <c r="O1315" s="135">
        <v>0.11234625980553201</v>
      </c>
      <c r="P1315" s="135">
        <v>5.1955492395358002E-2</v>
      </c>
      <c r="Q1315" s="135">
        <v>3.5878970850760403E-2</v>
      </c>
      <c r="R1315" s="135">
        <v>3.12399154384225E-2</v>
      </c>
      <c r="S1315" s="135">
        <v>3.45284065743321E-2</v>
      </c>
      <c r="T1315" s="135">
        <v>3.45675880682631E-2</v>
      </c>
      <c r="U1315" s="135">
        <v>3.6100135010316302E-2</v>
      </c>
      <c r="V1315" s="135">
        <v>5.3006459498595802E-2</v>
      </c>
      <c r="W1315" s="135">
        <v>0.10379828811234899</v>
      </c>
      <c r="X1315" s="135">
        <v>0.19363257050396801</v>
      </c>
      <c r="Y1315" s="135">
        <v>0.222764805379144</v>
      </c>
      <c r="Z1315" s="135">
        <v>0.22692461171332201</v>
      </c>
      <c r="AA1315" s="135">
        <v>0.21234869468902801</v>
      </c>
      <c r="AB1315" s="135">
        <v>0.14572824287696801</v>
      </c>
      <c r="AC1315" s="135">
        <v>6.7220878017022007E-2</v>
      </c>
      <c r="AD1315" s="135">
        <v>3.1895393428393599E-2</v>
      </c>
      <c r="AF1315" s="243">
        <f t="shared" si="26"/>
        <v>0.32911976355303924</v>
      </c>
      <c r="AG1315" s="275">
        <f t="shared" si="27"/>
        <v>0.82651119925667782</v>
      </c>
      <c r="AH1315" s="391">
        <f t="shared" si="28"/>
        <v>1.4900263915846068</v>
      </c>
      <c r="AI1315" s="135">
        <f t="shared" si="29"/>
        <v>2.3165375908412846</v>
      </c>
    </row>
    <row r="1316" spans="1:35" ht="12.6">
      <c r="A1316" s="10" t="s">
        <v>1516</v>
      </c>
      <c r="B1316" s="10">
        <v>220</v>
      </c>
      <c r="C1316" s="10" t="s">
        <v>1514</v>
      </c>
      <c r="D1316" s="388">
        <v>45146</v>
      </c>
      <c r="E1316" s="389">
        <v>45146</v>
      </c>
      <c r="F1316" s="390" t="str">
        <f t="shared" si="25"/>
        <v>Space heating &amp; cooling</v>
      </c>
      <c r="G1316" s="135">
        <v>2.61425040261964E-2</v>
      </c>
      <c r="H1316" s="135">
        <v>2.52232284505516E-2</v>
      </c>
      <c r="I1316" s="135">
        <v>2.5210507008579099E-2</v>
      </c>
      <c r="J1316" s="135">
        <v>2.7431174802056299E-2</v>
      </c>
      <c r="K1316" s="135">
        <v>4.3844489065242798E-2</v>
      </c>
      <c r="L1316" s="135">
        <v>7.9575636409197695E-2</v>
      </c>
      <c r="M1316" s="135">
        <v>0.23796651078558201</v>
      </c>
      <c r="N1316" s="135">
        <v>0.25720682793210398</v>
      </c>
      <c r="O1316" s="135">
        <v>0.11234625980553201</v>
      </c>
      <c r="P1316" s="135">
        <v>5.1955492395358002E-2</v>
      </c>
      <c r="Q1316" s="135">
        <v>3.5878970850760403E-2</v>
      </c>
      <c r="R1316" s="135">
        <v>3.12399154384225E-2</v>
      </c>
      <c r="S1316" s="135">
        <v>3.45284065743321E-2</v>
      </c>
      <c r="T1316" s="135">
        <v>3.45675880682631E-2</v>
      </c>
      <c r="U1316" s="135">
        <v>3.6100135010316302E-2</v>
      </c>
      <c r="V1316" s="135">
        <v>5.3006459498595802E-2</v>
      </c>
      <c r="W1316" s="135">
        <v>0.10379828811234899</v>
      </c>
      <c r="X1316" s="135">
        <v>0.19363257050396801</v>
      </c>
      <c r="Y1316" s="135">
        <v>0.222764805379144</v>
      </c>
      <c r="Z1316" s="135">
        <v>0.22692461171332201</v>
      </c>
      <c r="AA1316" s="135">
        <v>0.21234869468902801</v>
      </c>
      <c r="AB1316" s="135">
        <v>0.14572824287696801</v>
      </c>
      <c r="AC1316" s="135">
        <v>6.7220878017022007E-2</v>
      </c>
      <c r="AD1316" s="135">
        <v>3.1895393428393599E-2</v>
      </c>
      <c r="AF1316" s="243">
        <f t="shared" si="26"/>
        <v>0.32911976355303924</v>
      </c>
      <c r="AG1316" s="275">
        <f t="shared" si="27"/>
        <v>0.82651119925667782</v>
      </c>
      <c r="AH1316" s="391">
        <f t="shared" si="28"/>
        <v>1.4900263915846068</v>
      </c>
      <c r="AI1316" s="135">
        <f t="shared" si="29"/>
        <v>2.3165375908412846</v>
      </c>
    </row>
    <row r="1317" spans="1:35" ht="12.6">
      <c r="A1317" s="10" t="s">
        <v>1516</v>
      </c>
      <c r="B1317" s="10">
        <v>221</v>
      </c>
      <c r="C1317" s="10" t="s">
        <v>1514</v>
      </c>
      <c r="D1317" s="388">
        <v>45147</v>
      </c>
      <c r="E1317" s="389">
        <v>45147</v>
      </c>
      <c r="F1317" s="390" t="str">
        <f t="shared" si="25"/>
        <v>Space heating &amp; cooling</v>
      </c>
      <c r="G1317" s="135">
        <v>2.61425040261964E-2</v>
      </c>
      <c r="H1317" s="135">
        <v>2.52232284505516E-2</v>
      </c>
      <c r="I1317" s="135">
        <v>2.5210507008579099E-2</v>
      </c>
      <c r="J1317" s="135">
        <v>2.7431174802056299E-2</v>
      </c>
      <c r="K1317" s="135">
        <v>4.3844489065242798E-2</v>
      </c>
      <c r="L1317" s="135">
        <v>7.9575636409197695E-2</v>
      </c>
      <c r="M1317" s="135">
        <v>0.23796651078558201</v>
      </c>
      <c r="N1317" s="135">
        <v>0.25720682793210398</v>
      </c>
      <c r="O1317" s="135">
        <v>0.11234625980553201</v>
      </c>
      <c r="P1317" s="135">
        <v>5.1955492395358002E-2</v>
      </c>
      <c r="Q1317" s="135">
        <v>3.5878970850760403E-2</v>
      </c>
      <c r="R1317" s="135">
        <v>3.12399154384225E-2</v>
      </c>
      <c r="S1317" s="135">
        <v>3.45284065743321E-2</v>
      </c>
      <c r="T1317" s="135">
        <v>3.45675880682631E-2</v>
      </c>
      <c r="U1317" s="135">
        <v>3.6100135010316302E-2</v>
      </c>
      <c r="V1317" s="135">
        <v>5.3006459498595802E-2</v>
      </c>
      <c r="W1317" s="135">
        <v>0.10379828811234899</v>
      </c>
      <c r="X1317" s="135">
        <v>0.19363257050396801</v>
      </c>
      <c r="Y1317" s="135">
        <v>0.222764805379144</v>
      </c>
      <c r="Z1317" s="135">
        <v>0.22692461171332201</v>
      </c>
      <c r="AA1317" s="135">
        <v>0.21234869468902801</v>
      </c>
      <c r="AB1317" s="135">
        <v>0.14572824287696801</v>
      </c>
      <c r="AC1317" s="135">
        <v>6.7220878017022007E-2</v>
      </c>
      <c r="AD1317" s="135">
        <v>3.1895393428393599E-2</v>
      </c>
      <c r="AF1317" s="243">
        <f t="shared" si="26"/>
        <v>0.32911976355303924</v>
      </c>
      <c r="AG1317" s="275">
        <f t="shared" si="27"/>
        <v>0.82651119925667782</v>
      </c>
      <c r="AH1317" s="391">
        <f t="shared" si="28"/>
        <v>1.4900263915846068</v>
      </c>
      <c r="AI1317" s="135">
        <f t="shared" si="29"/>
        <v>2.3165375908412846</v>
      </c>
    </row>
    <row r="1318" spans="1:35" ht="12.6">
      <c r="A1318" s="10" t="s">
        <v>1516</v>
      </c>
      <c r="B1318" s="10">
        <v>222</v>
      </c>
      <c r="C1318" s="10" t="s">
        <v>1514</v>
      </c>
      <c r="D1318" s="388">
        <v>45148</v>
      </c>
      <c r="E1318" s="389">
        <v>45148</v>
      </c>
      <c r="F1318" s="390" t="str">
        <f t="shared" si="25"/>
        <v>Space heating &amp; cooling</v>
      </c>
      <c r="G1318" s="135">
        <v>2.61425040261964E-2</v>
      </c>
      <c r="H1318" s="135">
        <v>2.52232284505516E-2</v>
      </c>
      <c r="I1318" s="135">
        <v>2.5210507008579099E-2</v>
      </c>
      <c r="J1318" s="135">
        <v>2.7431174802056299E-2</v>
      </c>
      <c r="K1318" s="135">
        <v>4.3844489065242798E-2</v>
      </c>
      <c r="L1318" s="135">
        <v>7.9575636409197695E-2</v>
      </c>
      <c r="M1318" s="135">
        <v>0.23796651078558201</v>
      </c>
      <c r="N1318" s="135">
        <v>0.25720682793210398</v>
      </c>
      <c r="O1318" s="135">
        <v>0.11234625980553201</v>
      </c>
      <c r="P1318" s="135">
        <v>5.1955492395358002E-2</v>
      </c>
      <c r="Q1318" s="135">
        <v>3.5878970850760403E-2</v>
      </c>
      <c r="R1318" s="135">
        <v>3.12399154384225E-2</v>
      </c>
      <c r="S1318" s="135">
        <v>3.45284065743321E-2</v>
      </c>
      <c r="T1318" s="135">
        <v>3.45675880682631E-2</v>
      </c>
      <c r="U1318" s="135">
        <v>3.6100135010316302E-2</v>
      </c>
      <c r="V1318" s="135">
        <v>5.3006459498595802E-2</v>
      </c>
      <c r="W1318" s="135">
        <v>0.10379828811234899</v>
      </c>
      <c r="X1318" s="135">
        <v>0.19363257050396801</v>
      </c>
      <c r="Y1318" s="135">
        <v>0.222764805379144</v>
      </c>
      <c r="Z1318" s="135">
        <v>0.22692461171332201</v>
      </c>
      <c r="AA1318" s="135">
        <v>0.21234869468902801</v>
      </c>
      <c r="AB1318" s="135">
        <v>0.14572824287696801</v>
      </c>
      <c r="AC1318" s="135">
        <v>6.7220878017022007E-2</v>
      </c>
      <c r="AD1318" s="135">
        <v>3.1895393428393599E-2</v>
      </c>
      <c r="AF1318" s="243">
        <f t="shared" si="26"/>
        <v>0.32911976355303924</v>
      </c>
      <c r="AG1318" s="275">
        <f t="shared" si="27"/>
        <v>0.82651119925667782</v>
      </c>
      <c r="AH1318" s="391">
        <f t="shared" si="28"/>
        <v>1.4900263915846068</v>
      </c>
      <c r="AI1318" s="135">
        <f t="shared" si="29"/>
        <v>2.3165375908412846</v>
      </c>
    </row>
    <row r="1319" spans="1:35" ht="12.6">
      <c r="A1319" s="10" t="s">
        <v>1516</v>
      </c>
      <c r="B1319" s="10">
        <v>223</v>
      </c>
      <c r="C1319" s="10" t="s">
        <v>1514</v>
      </c>
      <c r="D1319" s="388">
        <v>45149</v>
      </c>
      <c r="E1319" s="389">
        <v>45149</v>
      </c>
      <c r="F1319" s="390" t="str">
        <f t="shared" si="25"/>
        <v>Space heating &amp; cooling</v>
      </c>
      <c r="G1319" s="135">
        <v>2.61425040261964E-2</v>
      </c>
      <c r="H1319" s="135">
        <v>2.52232284505516E-2</v>
      </c>
      <c r="I1319" s="135">
        <v>2.5210507008579099E-2</v>
      </c>
      <c r="J1319" s="135">
        <v>2.7431174802056299E-2</v>
      </c>
      <c r="K1319" s="135">
        <v>4.3844489065242798E-2</v>
      </c>
      <c r="L1319" s="135">
        <v>7.9575636409197695E-2</v>
      </c>
      <c r="M1319" s="135">
        <v>0.23796651078558201</v>
      </c>
      <c r="N1319" s="135">
        <v>0.25720682793210398</v>
      </c>
      <c r="O1319" s="135">
        <v>0.11234625980553201</v>
      </c>
      <c r="P1319" s="135">
        <v>5.1955492395358002E-2</v>
      </c>
      <c r="Q1319" s="135">
        <v>3.5878970850760403E-2</v>
      </c>
      <c r="R1319" s="135">
        <v>3.12399154384225E-2</v>
      </c>
      <c r="S1319" s="135">
        <v>3.45284065743321E-2</v>
      </c>
      <c r="T1319" s="135">
        <v>3.45675880682631E-2</v>
      </c>
      <c r="U1319" s="135">
        <v>3.6100135010316302E-2</v>
      </c>
      <c r="V1319" s="135">
        <v>5.3006459498595802E-2</v>
      </c>
      <c r="W1319" s="135">
        <v>0.10379828811234899</v>
      </c>
      <c r="X1319" s="135">
        <v>0.19363257050396801</v>
      </c>
      <c r="Y1319" s="135">
        <v>0.222764805379144</v>
      </c>
      <c r="Z1319" s="135">
        <v>0.22692461171332201</v>
      </c>
      <c r="AA1319" s="135">
        <v>0.21234869468902801</v>
      </c>
      <c r="AB1319" s="135">
        <v>0.14572824287696801</v>
      </c>
      <c r="AC1319" s="135">
        <v>6.7220878017022007E-2</v>
      </c>
      <c r="AD1319" s="135">
        <v>3.1895393428393599E-2</v>
      </c>
      <c r="AF1319" s="243">
        <f t="shared" si="26"/>
        <v>0.32911976355303924</v>
      </c>
      <c r="AG1319" s="275">
        <f t="shared" si="27"/>
        <v>0.82651119925667782</v>
      </c>
      <c r="AH1319" s="391">
        <f t="shared" si="28"/>
        <v>1.4900263915846068</v>
      </c>
      <c r="AI1319" s="135">
        <f t="shared" si="29"/>
        <v>2.3165375908412846</v>
      </c>
    </row>
    <row r="1320" spans="1:35" ht="12.6">
      <c r="A1320" s="10" t="s">
        <v>1516</v>
      </c>
      <c r="B1320" s="10">
        <v>224</v>
      </c>
      <c r="C1320" s="10" t="s">
        <v>1514</v>
      </c>
      <c r="D1320" s="388">
        <v>45150</v>
      </c>
      <c r="E1320" s="389">
        <v>45150</v>
      </c>
      <c r="F1320" s="390" t="str">
        <f t="shared" si="25"/>
        <v>Space heating &amp; cooling</v>
      </c>
      <c r="G1320" s="135">
        <v>2.9021445812351301E-2</v>
      </c>
      <c r="H1320" s="135">
        <v>2.3996491146840101E-2</v>
      </c>
      <c r="I1320" s="135">
        <v>2.5890962833305099E-2</v>
      </c>
      <c r="J1320" s="135">
        <v>2.8347091829061099E-2</v>
      </c>
      <c r="K1320" s="135">
        <v>3.96677853370161E-2</v>
      </c>
      <c r="L1320" s="135">
        <v>6.7420601841275296E-2</v>
      </c>
      <c r="M1320" s="135">
        <v>0.14472001633439599</v>
      </c>
      <c r="N1320" s="135">
        <v>0.18672725006466601</v>
      </c>
      <c r="O1320" s="135">
        <v>0.17859160621110801</v>
      </c>
      <c r="P1320" s="135">
        <v>0.10928422901910501</v>
      </c>
      <c r="Q1320" s="135">
        <v>7.8169080825929299E-2</v>
      </c>
      <c r="R1320" s="135">
        <v>6.5912331527195001E-2</v>
      </c>
      <c r="S1320" s="135">
        <v>5.4854002726402298E-2</v>
      </c>
      <c r="T1320" s="135">
        <v>5.1931254028382598E-2</v>
      </c>
      <c r="U1320" s="135">
        <v>4.9010472704917797E-2</v>
      </c>
      <c r="V1320" s="135">
        <v>5.6626788899231097E-2</v>
      </c>
      <c r="W1320" s="135">
        <v>9.7164077657466597E-2</v>
      </c>
      <c r="X1320" s="135">
        <v>0.15839092248990699</v>
      </c>
      <c r="Y1320" s="135">
        <v>0.18440102976725101</v>
      </c>
      <c r="Z1320" s="135">
        <v>0.19154100805106899</v>
      </c>
      <c r="AA1320" s="135">
        <v>0.18317621485337801</v>
      </c>
      <c r="AB1320" s="135">
        <v>0.1408191748805</v>
      </c>
      <c r="AC1320" s="135">
        <v>7.9000771672929598E-2</v>
      </c>
      <c r="AD1320" s="135">
        <v>4.3464628547622501E-2</v>
      </c>
      <c r="AF1320" s="243">
        <f t="shared" si="26"/>
        <v>0.45366800836952476</v>
      </c>
      <c r="AG1320" s="275">
        <f t="shared" si="27"/>
        <v>0.79111639137119782</v>
      </c>
      <c r="AH1320" s="391">
        <f t="shared" si="28"/>
        <v>1.4770128476901081</v>
      </c>
      <c r="AI1320" s="135">
        <f t="shared" si="29"/>
        <v>2.2681292390613059</v>
      </c>
    </row>
    <row r="1321" spans="1:35" ht="12.6">
      <c r="A1321" s="10" t="s">
        <v>1516</v>
      </c>
      <c r="B1321" s="10">
        <v>225</v>
      </c>
      <c r="C1321" s="10" t="s">
        <v>1514</v>
      </c>
      <c r="D1321" s="388">
        <v>45151</v>
      </c>
      <c r="E1321" s="389">
        <v>45151</v>
      </c>
      <c r="F1321" s="390" t="str">
        <f t="shared" si="25"/>
        <v>Space heating &amp; cooling</v>
      </c>
      <c r="G1321" s="135">
        <v>2.9021445812351301E-2</v>
      </c>
      <c r="H1321" s="135">
        <v>2.3996491146840101E-2</v>
      </c>
      <c r="I1321" s="135">
        <v>2.5890962833305099E-2</v>
      </c>
      <c r="J1321" s="135">
        <v>2.8347091829061099E-2</v>
      </c>
      <c r="K1321" s="135">
        <v>3.96677853370161E-2</v>
      </c>
      <c r="L1321" s="135">
        <v>6.7420601841275296E-2</v>
      </c>
      <c r="M1321" s="135">
        <v>0.14472001633439599</v>
      </c>
      <c r="N1321" s="135">
        <v>0.18672725006466601</v>
      </c>
      <c r="O1321" s="135">
        <v>0.17859160621110801</v>
      </c>
      <c r="P1321" s="135">
        <v>0.10928422901910501</v>
      </c>
      <c r="Q1321" s="135">
        <v>7.8169080825929299E-2</v>
      </c>
      <c r="R1321" s="135">
        <v>6.5912331527195001E-2</v>
      </c>
      <c r="S1321" s="135">
        <v>5.4854002726402298E-2</v>
      </c>
      <c r="T1321" s="135">
        <v>5.1931254028382598E-2</v>
      </c>
      <c r="U1321" s="135">
        <v>4.9010472704917797E-2</v>
      </c>
      <c r="V1321" s="135">
        <v>5.6626788899231097E-2</v>
      </c>
      <c r="W1321" s="135">
        <v>9.7164077657466597E-2</v>
      </c>
      <c r="X1321" s="135">
        <v>0.15839092248990699</v>
      </c>
      <c r="Y1321" s="135">
        <v>0.18440102976725101</v>
      </c>
      <c r="Z1321" s="135">
        <v>0.19154100805106899</v>
      </c>
      <c r="AA1321" s="135">
        <v>0.18317621485337801</v>
      </c>
      <c r="AB1321" s="135">
        <v>0.1408191748805</v>
      </c>
      <c r="AC1321" s="135">
        <v>7.9000771672929598E-2</v>
      </c>
      <c r="AD1321" s="135">
        <v>4.3464628547622501E-2</v>
      </c>
      <c r="AF1321" s="243">
        <f t="shared" si="26"/>
        <v>0.45366800836952476</v>
      </c>
      <c r="AG1321" s="275">
        <f t="shared" si="27"/>
        <v>0.79111639137119782</v>
      </c>
      <c r="AH1321" s="391">
        <f t="shared" si="28"/>
        <v>1.4770128476901081</v>
      </c>
      <c r="AI1321" s="135">
        <f t="shared" si="29"/>
        <v>2.2681292390613059</v>
      </c>
    </row>
    <row r="1322" spans="1:35" ht="12.6">
      <c r="A1322" s="10" t="s">
        <v>1516</v>
      </c>
      <c r="B1322" s="10">
        <v>226</v>
      </c>
      <c r="C1322" s="10" t="s">
        <v>1514</v>
      </c>
      <c r="D1322" s="388">
        <v>45152</v>
      </c>
      <c r="E1322" s="389">
        <v>45152</v>
      </c>
      <c r="F1322" s="390" t="str">
        <f t="shared" si="25"/>
        <v>Space heating &amp; cooling</v>
      </c>
      <c r="G1322" s="135">
        <v>2.61425040261964E-2</v>
      </c>
      <c r="H1322" s="135">
        <v>2.52232284505516E-2</v>
      </c>
      <c r="I1322" s="135">
        <v>2.5210507008579099E-2</v>
      </c>
      <c r="J1322" s="135">
        <v>2.7431174802056299E-2</v>
      </c>
      <c r="K1322" s="135">
        <v>4.3844489065242798E-2</v>
      </c>
      <c r="L1322" s="135">
        <v>7.9575636409197695E-2</v>
      </c>
      <c r="M1322" s="135">
        <v>0.23796651078558201</v>
      </c>
      <c r="N1322" s="135">
        <v>0.25720682793210398</v>
      </c>
      <c r="O1322" s="135">
        <v>0.11234625980553201</v>
      </c>
      <c r="P1322" s="135">
        <v>5.1955492395358002E-2</v>
      </c>
      <c r="Q1322" s="135">
        <v>3.5878970850760403E-2</v>
      </c>
      <c r="R1322" s="135">
        <v>3.12399154384225E-2</v>
      </c>
      <c r="S1322" s="135">
        <v>3.45284065743321E-2</v>
      </c>
      <c r="T1322" s="135">
        <v>3.45675880682631E-2</v>
      </c>
      <c r="U1322" s="135">
        <v>3.6100135010316302E-2</v>
      </c>
      <c r="V1322" s="135">
        <v>5.3006459498595802E-2</v>
      </c>
      <c r="W1322" s="135">
        <v>0.10379828811234899</v>
      </c>
      <c r="X1322" s="135">
        <v>0.19363257050396801</v>
      </c>
      <c r="Y1322" s="135">
        <v>0.222764805379144</v>
      </c>
      <c r="Z1322" s="135">
        <v>0.22692461171332201</v>
      </c>
      <c r="AA1322" s="135">
        <v>0.21234869468902801</v>
      </c>
      <c r="AB1322" s="135">
        <v>0.14572824287696801</v>
      </c>
      <c r="AC1322" s="135">
        <v>6.7220878017022007E-2</v>
      </c>
      <c r="AD1322" s="135">
        <v>3.1895393428393599E-2</v>
      </c>
      <c r="AF1322" s="243">
        <f t="shared" si="26"/>
        <v>0.32911976355303924</v>
      </c>
      <c r="AG1322" s="275">
        <f t="shared" si="27"/>
        <v>0.82651119925667782</v>
      </c>
      <c r="AH1322" s="391">
        <f t="shared" si="28"/>
        <v>1.4900263915846068</v>
      </c>
      <c r="AI1322" s="135">
        <f t="shared" si="29"/>
        <v>2.3165375908412846</v>
      </c>
    </row>
    <row r="1323" spans="1:35" ht="12.6">
      <c r="A1323" s="10" t="s">
        <v>1516</v>
      </c>
      <c r="B1323" s="10">
        <v>227</v>
      </c>
      <c r="C1323" s="10" t="s">
        <v>1514</v>
      </c>
      <c r="D1323" s="388">
        <v>45153</v>
      </c>
      <c r="E1323" s="389">
        <v>45153</v>
      </c>
      <c r="F1323" s="390" t="str">
        <f t="shared" si="25"/>
        <v>Space heating &amp; cooling</v>
      </c>
      <c r="G1323" s="135">
        <v>2.61425040261964E-2</v>
      </c>
      <c r="H1323" s="135">
        <v>2.52232284505516E-2</v>
      </c>
      <c r="I1323" s="135">
        <v>2.5210507008579099E-2</v>
      </c>
      <c r="J1323" s="135">
        <v>2.7431174802056299E-2</v>
      </c>
      <c r="K1323" s="135">
        <v>4.3844489065242798E-2</v>
      </c>
      <c r="L1323" s="135">
        <v>7.9575636409197695E-2</v>
      </c>
      <c r="M1323" s="135">
        <v>0.23796651078558201</v>
      </c>
      <c r="N1323" s="135">
        <v>0.25720682793210398</v>
      </c>
      <c r="O1323" s="135">
        <v>0.11234625980553201</v>
      </c>
      <c r="P1323" s="135">
        <v>5.1955492395358002E-2</v>
      </c>
      <c r="Q1323" s="135">
        <v>3.5878970850760403E-2</v>
      </c>
      <c r="R1323" s="135">
        <v>3.12399154384225E-2</v>
      </c>
      <c r="S1323" s="135">
        <v>3.45284065743321E-2</v>
      </c>
      <c r="T1323" s="135">
        <v>3.45675880682631E-2</v>
      </c>
      <c r="U1323" s="135">
        <v>3.6100135010316302E-2</v>
      </c>
      <c r="V1323" s="135">
        <v>5.3006459498595802E-2</v>
      </c>
      <c r="W1323" s="135">
        <v>0.10379828811234899</v>
      </c>
      <c r="X1323" s="135">
        <v>0.19363257050396801</v>
      </c>
      <c r="Y1323" s="135">
        <v>0.222764805379144</v>
      </c>
      <c r="Z1323" s="135">
        <v>0.22692461171332201</v>
      </c>
      <c r="AA1323" s="135">
        <v>0.21234869468902801</v>
      </c>
      <c r="AB1323" s="135">
        <v>0.14572824287696801</v>
      </c>
      <c r="AC1323" s="135">
        <v>6.7220878017022007E-2</v>
      </c>
      <c r="AD1323" s="135">
        <v>3.1895393428393599E-2</v>
      </c>
      <c r="AF1323" s="243">
        <f t="shared" si="26"/>
        <v>0.32911976355303924</v>
      </c>
      <c r="AG1323" s="275">
        <f t="shared" si="27"/>
        <v>0.82651119925667782</v>
      </c>
      <c r="AH1323" s="391">
        <f t="shared" si="28"/>
        <v>1.4900263915846068</v>
      </c>
      <c r="AI1323" s="135">
        <f t="shared" si="29"/>
        <v>2.3165375908412846</v>
      </c>
    </row>
    <row r="1324" spans="1:35" ht="12.6">
      <c r="A1324" s="10" t="s">
        <v>1516</v>
      </c>
      <c r="B1324" s="10">
        <v>228</v>
      </c>
      <c r="C1324" s="10" t="s">
        <v>1514</v>
      </c>
      <c r="D1324" s="388">
        <v>45154</v>
      </c>
      <c r="E1324" s="389">
        <v>45154</v>
      </c>
      <c r="F1324" s="390" t="str">
        <f t="shared" si="25"/>
        <v>Space heating &amp; cooling</v>
      </c>
      <c r="G1324" s="135">
        <v>2.61425040261964E-2</v>
      </c>
      <c r="H1324" s="135">
        <v>2.52232284505516E-2</v>
      </c>
      <c r="I1324" s="135">
        <v>2.5210507008579099E-2</v>
      </c>
      <c r="J1324" s="135">
        <v>2.7431174802056299E-2</v>
      </c>
      <c r="K1324" s="135">
        <v>4.3844489065242798E-2</v>
      </c>
      <c r="L1324" s="135">
        <v>7.9575636409197695E-2</v>
      </c>
      <c r="M1324" s="135">
        <v>0.23796651078558201</v>
      </c>
      <c r="N1324" s="135">
        <v>0.25720682793210398</v>
      </c>
      <c r="O1324" s="135">
        <v>0.11234625980553201</v>
      </c>
      <c r="P1324" s="135">
        <v>5.1955492395358002E-2</v>
      </c>
      <c r="Q1324" s="135">
        <v>3.5878970850760403E-2</v>
      </c>
      <c r="R1324" s="135">
        <v>3.12399154384225E-2</v>
      </c>
      <c r="S1324" s="135">
        <v>3.45284065743321E-2</v>
      </c>
      <c r="T1324" s="135">
        <v>3.45675880682631E-2</v>
      </c>
      <c r="U1324" s="135">
        <v>3.6100135010316302E-2</v>
      </c>
      <c r="V1324" s="135">
        <v>5.3006459498595802E-2</v>
      </c>
      <c r="W1324" s="135">
        <v>0.10379828811234899</v>
      </c>
      <c r="X1324" s="135">
        <v>0.19363257050396801</v>
      </c>
      <c r="Y1324" s="135">
        <v>0.222764805379144</v>
      </c>
      <c r="Z1324" s="135">
        <v>0.22692461171332201</v>
      </c>
      <c r="AA1324" s="135">
        <v>0.21234869468902801</v>
      </c>
      <c r="AB1324" s="135">
        <v>0.14572824287696801</v>
      </c>
      <c r="AC1324" s="135">
        <v>6.7220878017022007E-2</v>
      </c>
      <c r="AD1324" s="135">
        <v>3.1895393428393599E-2</v>
      </c>
      <c r="AF1324" s="243">
        <f t="shared" si="26"/>
        <v>0.32911976355303924</v>
      </c>
      <c r="AG1324" s="275">
        <f t="shared" si="27"/>
        <v>0.82651119925667782</v>
      </c>
      <c r="AH1324" s="391">
        <f t="shared" si="28"/>
        <v>1.4900263915846068</v>
      </c>
      <c r="AI1324" s="135">
        <f t="shared" si="29"/>
        <v>2.3165375908412846</v>
      </c>
    </row>
    <row r="1325" spans="1:35" ht="12.6">
      <c r="A1325" s="10" t="s">
        <v>1516</v>
      </c>
      <c r="B1325" s="10">
        <v>229</v>
      </c>
      <c r="C1325" s="10" t="s">
        <v>1514</v>
      </c>
      <c r="D1325" s="388">
        <v>45155</v>
      </c>
      <c r="E1325" s="389">
        <v>45155</v>
      </c>
      <c r="F1325" s="390" t="str">
        <f t="shared" si="25"/>
        <v>Space heating &amp; cooling</v>
      </c>
      <c r="G1325" s="135">
        <v>2.61425040261964E-2</v>
      </c>
      <c r="H1325" s="135">
        <v>2.52232284505516E-2</v>
      </c>
      <c r="I1325" s="135">
        <v>2.5210507008579099E-2</v>
      </c>
      <c r="J1325" s="135">
        <v>2.7431174802056299E-2</v>
      </c>
      <c r="K1325" s="135">
        <v>4.3844489065242798E-2</v>
      </c>
      <c r="L1325" s="135">
        <v>7.9575636409197695E-2</v>
      </c>
      <c r="M1325" s="135">
        <v>0.23796651078558201</v>
      </c>
      <c r="N1325" s="135">
        <v>0.25720682793210398</v>
      </c>
      <c r="O1325" s="135">
        <v>0.11234625980553201</v>
      </c>
      <c r="P1325" s="135">
        <v>5.1955492395358002E-2</v>
      </c>
      <c r="Q1325" s="135">
        <v>3.5878970850760403E-2</v>
      </c>
      <c r="R1325" s="135">
        <v>3.12399154384225E-2</v>
      </c>
      <c r="S1325" s="135">
        <v>3.45284065743321E-2</v>
      </c>
      <c r="T1325" s="135">
        <v>3.45675880682631E-2</v>
      </c>
      <c r="U1325" s="135">
        <v>3.6100135010316302E-2</v>
      </c>
      <c r="V1325" s="135">
        <v>5.3006459498595802E-2</v>
      </c>
      <c r="W1325" s="135">
        <v>0.10379828811234899</v>
      </c>
      <c r="X1325" s="135">
        <v>0.19363257050396801</v>
      </c>
      <c r="Y1325" s="135">
        <v>0.222764805379144</v>
      </c>
      <c r="Z1325" s="135">
        <v>0.22692461171332201</v>
      </c>
      <c r="AA1325" s="135">
        <v>0.21234869468902801</v>
      </c>
      <c r="AB1325" s="135">
        <v>0.14572824287696801</v>
      </c>
      <c r="AC1325" s="135">
        <v>6.7220878017022007E-2</v>
      </c>
      <c r="AD1325" s="135">
        <v>3.1895393428393599E-2</v>
      </c>
      <c r="AF1325" s="243">
        <f t="shared" si="26"/>
        <v>0.32911976355303924</v>
      </c>
      <c r="AG1325" s="275">
        <f t="shared" si="27"/>
        <v>0.82651119925667782</v>
      </c>
      <c r="AH1325" s="391">
        <f t="shared" si="28"/>
        <v>1.4900263915846068</v>
      </c>
      <c r="AI1325" s="135">
        <f t="shared" si="29"/>
        <v>2.3165375908412846</v>
      </c>
    </row>
    <row r="1326" spans="1:35" ht="12.6">
      <c r="A1326" s="10" t="s">
        <v>1516</v>
      </c>
      <c r="B1326" s="10">
        <v>230</v>
      </c>
      <c r="C1326" s="10" t="s">
        <v>1514</v>
      </c>
      <c r="D1326" s="388">
        <v>45156</v>
      </c>
      <c r="E1326" s="389">
        <v>45156</v>
      </c>
      <c r="F1326" s="390" t="str">
        <f t="shared" si="25"/>
        <v>Space heating &amp; cooling</v>
      </c>
      <c r="G1326" s="135">
        <v>2.61425040261964E-2</v>
      </c>
      <c r="H1326" s="135">
        <v>2.52232284505516E-2</v>
      </c>
      <c r="I1326" s="135">
        <v>2.5210507008579099E-2</v>
      </c>
      <c r="J1326" s="135">
        <v>2.7431174802056299E-2</v>
      </c>
      <c r="K1326" s="135">
        <v>4.3844489065242798E-2</v>
      </c>
      <c r="L1326" s="135">
        <v>7.9575636409197695E-2</v>
      </c>
      <c r="M1326" s="135">
        <v>0.23796651078558201</v>
      </c>
      <c r="N1326" s="135">
        <v>0.25720682793210398</v>
      </c>
      <c r="O1326" s="135">
        <v>0.11234625980553201</v>
      </c>
      <c r="P1326" s="135">
        <v>5.1955492395358002E-2</v>
      </c>
      <c r="Q1326" s="135">
        <v>3.5878970850760403E-2</v>
      </c>
      <c r="R1326" s="135">
        <v>3.12399154384225E-2</v>
      </c>
      <c r="S1326" s="135">
        <v>3.45284065743321E-2</v>
      </c>
      <c r="T1326" s="135">
        <v>3.45675880682631E-2</v>
      </c>
      <c r="U1326" s="135">
        <v>3.6100135010316302E-2</v>
      </c>
      <c r="V1326" s="135">
        <v>5.3006459498595802E-2</v>
      </c>
      <c r="W1326" s="135">
        <v>0.10379828811234899</v>
      </c>
      <c r="X1326" s="135">
        <v>0.19363257050396801</v>
      </c>
      <c r="Y1326" s="135">
        <v>0.222764805379144</v>
      </c>
      <c r="Z1326" s="135">
        <v>0.22692461171332201</v>
      </c>
      <c r="AA1326" s="135">
        <v>0.21234869468902801</v>
      </c>
      <c r="AB1326" s="135">
        <v>0.14572824287696801</v>
      </c>
      <c r="AC1326" s="135">
        <v>6.7220878017022007E-2</v>
      </c>
      <c r="AD1326" s="135">
        <v>3.1895393428393599E-2</v>
      </c>
      <c r="AF1326" s="243">
        <f t="shared" si="26"/>
        <v>0.32911976355303924</v>
      </c>
      <c r="AG1326" s="275">
        <f t="shared" si="27"/>
        <v>0.82651119925667782</v>
      </c>
      <c r="AH1326" s="391">
        <f t="shared" si="28"/>
        <v>1.4900263915846068</v>
      </c>
      <c r="AI1326" s="135">
        <f t="shared" si="29"/>
        <v>2.3165375908412846</v>
      </c>
    </row>
    <row r="1327" spans="1:35" ht="12.6">
      <c r="A1327" s="10" t="s">
        <v>1516</v>
      </c>
      <c r="B1327" s="10">
        <v>231</v>
      </c>
      <c r="C1327" s="10" t="s">
        <v>1514</v>
      </c>
      <c r="D1327" s="388">
        <v>45157</v>
      </c>
      <c r="E1327" s="389">
        <v>45157</v>
      </c>
      <c r="F1327" s="390" t="str">
        <f t="shared" si="25"/>
        <v>Space heating &amp; cooling</v>
      </c>
      <c r="G1327" s="135">
        <v>2.9021445812351301E-2</v>
      </c>
      <c r="H1327" s="135">
        <v>2.3996491146840101E-2</v>
      </c>
      <c r="I1327" s="135">
        <v>2.5890962833305099E-2</v>
      </c>
      <c r="J1327" s="135">
        <v>2.8347091829061099E-2</v>
      </c>
      <c r="K1327" s="135">
        <v>3.96677853370161E-2</v>
      </c>
      <c r="L1327" s="135">
        <v>6.7420601841275296E-2</v>
      </c>
      <c r="M1327" s="135">
        <v>0.14472001633439599</v>
      </c>
      <c r="N1327" s="135">
        <v>0.18672725006466601</v>
      </c>
      <c r="O1327" s="135">
        <v>0.17859160621110801</v>
      </c>
      <c r="P1327" s="135">
        <v>0.10928422901910501</v>
      </c>
      <c r="Q1327" s="135">
        <v>7.8169080825929299E-2</v>
      </c>
      <c r="R1327" s="135">
        <v>6.5912331527195001E-2</v>
      </c>
      <c r="S1327" s="135">
        <v>5.4854002726402298E-2</v>
      </c>
      <c r="T1327" s="135">
        <v>5.1931254028382598E-2</v>
      </c>
      <c r="U1327" s="135">
        <v>4.9010472704917797E-2</v>
      </c>
      <c r="V1327" s="135">
        <v>5.6626788899231097E-2</v>
      </c>
      <c r="W1327" s="135">
        <v>9.7164077657466597E-2</v>
      </c>
      <c r="X1327" s="135">
        <v>0.15839092248990699</v>
      </c>
      <c r="Y1327" s="135">
        <v>0.18440102976725101</v>
      </c>
      <c r="Z1327" s="135">
        <v>0.19154100805106899</v>
      </c>
      <c r="AA1327" s="135">
        <v>0.18317621485337801</v>
      </c>
      <c r="AB1327" s="135">
        <v>0.1408191748805</v>
      </c>
      <c r="AC1327" s="135">
        <v>7.9000771672929598E-2</v>
      </c>
      <c r="AD1327" s="135">
        <v>4.3464628547622501E-2</v>
      </c>
      <c r="AF1327" s="243">
        <f t="shared" si="26"/>
        <v>0.45366800836952476</v>
      </c>
      <c r="AG1327" s="275">
        <f t="shared" si="27"/>
        <v>0.79111639137119782</v>
      </c>
      <c r="AH1327" s="391">
        <f t="shared" si="28"/>
        <v>1.4770128476901081</v>
      </c>
      <c r="AI1327" s="135">
        <f t="shared" si="29"/>
        <v>2.2681292390613059</v>
      </c>
    </row>
    <row r="1328" spans="1:35" ht="12.6">
      <c r="A1328" s="10" t="s">
        <v>1516</v>
      </c>
      <c r="B1328" s="10">
        <v>232</v>
      </c>
      <c r="C1328" s="10" t="s">
        <v>1514</v>
      </c>
      <c r="D1328" s="388">
        <v>45158</v>
      </c>
      <c r="E1328" s="389">
        <v>45158</v>
      </c>
      <c r="F1328" s="390" t="str">
        <f t="shared" si="25"/>
        <v>Space heating &amp; cooling</v>
      </c>
      <c r="G1328" s="135">
        <v>2.9021445812351301E-2</v>
      </c>
      <c r="H1328" s="135">
        <v>2.3996491146840101E-2</v>
      </c>
      <c r="I1328" s="135">
        <v>2.5890962833305099E-2</v>
      </c>
      <c r="J1328" s="135">
        <v>2.8347091829061099E-2</v>
      </c>
      <c r="K1328" s="135">
        <v>3.96677853370161E-2</v>
      </c>
      <c r="L1328" s="135">
        <v>6.7420601841275296E-2</v>
      </c>
      <c r="M1328" s="135">
        <v>0.14472001633439599</v>
      </c>
      <c r="N1328" s="135">
        <v>0.18672725006466601</v>
      </c>
      <c r="O1328" s="135">
        <v>0.17859160621110801</v>
      </c>
      <c r="P1328" s="135">
        <v>0.10928422901910501</v>
      </c>
      <c r="Q1328" s="135">
        <v>7.8169080825929299E-2</v>
      </c>
      <c r="R1328" s="135">
        <v>6.5912331527195001E-2</v>
      </c>
      <c r="S1328" s="135">
        <v>5.4854002726402298E-2</v>
      </c>
      <c r="T1328" s="135">
        <v>5.1931254028382598E-2</v>
      </c>
      <c r="U1328" s="135">
        <v>4.9010472704917797E-2</v>
      </c>
      <c r="V1328" s="135">
        <v>5.6626788899231097E-2</v>
      </c>
      <c r="W1328" s="135">
        <v>9.7164077657466597E-2</v>
      </c>
      <c r="X1328" s="135">
        <v>0.15839092248990699</v>
      </c>
      <c r="Y1328" s="135">
        <v>0.18440102976725101</v>
      </c>
      <c r="Z1328" s="135">
        <v>0.19154100805106899</v>
      </c>
      <c r="AA1328" s="135">
        <v>0.18317621485337801</v>
      </c>
      <c r="AB1328" s="135">
        <v>0.1408191748805</v>
      </c>
      <c r="AC1328" s="135">
        <v>7.9000771672929598E-2</v>
      </c>
      <c r="AD1328" s="135">
        <v>4.3464628547622501E-2</v>
      </c>
      <c r="AF1328" s="243">
        <f t="shared" si="26"/>
        <v>0.45366800836952476</v>
      </c>
      <c r="AG1328" s="275">
        <f t="shared" si="27"/>
        <v>0.79111639137119782</v>
      </c>
      <c r="AH1328" s="391">
        <f t="shared" si="28"/>
        <v>1.4770128476901081</v>
      </c>
      <c r="AI1328" s="135">
        <f t="shared" si="29"/>
        <v>2.2681292390613059</v>
      </c>
    </row>
    <row r="1329" spans="1:35" ht="12.6">
      <c r="A1329" s="10" t="s">
        <v>1516</v>
      </c>
      <c r="B1329" s="10">
        <v>233</v>
      </c>
      <c r="C1329" s="10" t="s">
        <v>1514</v>
      </c>
      <c r="D1329" s="388">
        <v>45159</v>
      </c>
      <c r="E1329" s="389">
        <v>45159</v>
      </c>
      <c r="F1329" s="390" t="str">
        <f t="shared" si="25"/>
        <v>Space heating &amp; cooling</v>
      </c>
      <c r="G1329" s="135">
        <v>2.61425040261964E-2</v>
      </c>
      <c r="H1329" s="135">
        <v>2.52232284505516E-2</v>
      </c>
      <c r="I1329" s="135">
        <v>2.5210507008579099E-2</v>
      </c>
      <c r="J1329" s="135">
        <v>2.7431174802056299E-2</v>
      </c>
      <c r="K1329" s="135">
        <v>4.3844489065242798E-2</v>
      </c>
      <c r="L1329" s="135">
        <v>7.9575636409197695E-2</v>
      </c>
      <c r="M1329" s="135">
        <v>0.23796651078558201</v>
      </c>
      <c r="N1329" s="135">
        <v>0.25720682793210398</v>
      </c>
      <c r="O1329" s="135">
        <v>0.11234625980553201</v>
      </c>
      <c r="P1329" s="135">
        <v>5.1955492395358002E-2</v>
      </c>
      <c r="Q1329" s="135">
        <v>3.5878970850760403E-2</v>
      </c>
      <c r="R1329" s="135">
        <v>3.12399154384225E-2</v>
      </c>
      <c r="S1329" s="135">
        <v>3.45284065743321E-2</v>
      </c>
      <c r="T1329" s="135">
        <v>3.45675880682631E-2</v>
      </c>
      <c r="U1329" s="135">
        <v>3.6100135010316302E-2</v>
      </c>
      <c r="V1329" s="135">
        <v>5.3006459498595802E-2</v>
      </c>
      <c r="W1329" s="135">
        <v>0.10379828811234899</v>
      </c>
      <c r="X1329" s="135">
        <v>0.19363257050396801</v>
      </c>
      <c r="Y1329" s="135">
        <v>0.222764805379144</v>
      </c>
      <c r="Z1329" s="135">
        <v>0.22692461171332201</v>
      </c>
      <c r="AA1329" s="135">
        <v>0.21234869468902801</v>
      </c>
      <c r="AB1329" s="135">
        <v>0.14572824287696801</v>
      </c>
      <c r="AC1329" s="135">
        <v>6.7220878017022007E-2</v>
      </c>
      <c r="AD1329" s="135">
        <v>3.1895393428393599E-2</v>
      </c>
      <c r="AF1329" s="243">
        <f t="shared" si="26"/>
        <v>0.32911976355303924</v>
      </c>
      <c r="AG1329" s="275">
        <f t="shared" si="27"/>
        <v>0.82651119925667782</v>
      </c>
      <c r="AH1329" s="391">
        <f t="shared" si="28"/>
        <v>1.4900263915846068</v>
      </c>
      <c r="AI1329" s="135">
        <f t="shared" si="29"/>
        <v>2.3165375908412846</v>
      </c>
    </row>
    <row r="1330" spans="1:35" ht="12.6">
      <c r="A1330" s="10" t="s">
        <v>1516</v>
      </c>
      <c r="B1330" s="10">
        <v>234</v>
      </c>
      <c r="C1330" s="10" t="s">
        <v>1514</v>
      </c>
      <c r="D1330" s="388">
        <v>45160</v>
      </c>
      <c r="E1330" s="389">
        <v>45160</v>
      </c>
      <c r="F1330" s="390" t="str">
        <f t="shared" si="25"/>
        <v>Space heating &amp; cooling</v>
      </c>
      <c r="G1330" s="135">
        <v>2.61425040261964E-2</v>
      </c>
      <c r="H1330" s="135">
        <v>2.52232284505516E-2</v>
      </c>
      <c r="I1330" s="135">
        <v>2.5210507008579099E-2</v>
      </c>
      <c r="J1330" s="135">
        <v>2.7431174802056299E-2</v>
      </c>
      <c r="K1330" s="135">
        <v>4.3844489065242798E-2</v>
      </c>
      <c r="L1330" s="135">
        <v>7.9575636409197695E-2</v>
      </c>
      <c r="M1330" s="135">
        <v>0.23796651078558201</v>
      </c>
      <c r="N1330" s="135">
        <v>0.25720682793210398</v>
      </c>
      <c r="O1330" s="135">
        <v>0.11234625980553201</v>
      </c>
      <c r="P1330" s="135">
        <v>5.1955492395358002E-2</v>
      </c>
      <c r="Q1330" s="135">
        <v>3.5878970850760403E-2</v>
      </c>
      <c r="R1330" s="135">
        <v>3.12399154384225E-2</v>
      </c>
      <c r="S1330" s="135">
        <v>3.45284065743321E-2</v>
      </c>
      <c r="T1330" s="135">
        <v>3.45675880682631E-2</v>
      </c>
      <c r="U1330" s="135">
        <v>3.6100135010316302E-2</v>
      </c>
      <c r="V1330" s="135">
        <v>5.3006459498595802E-2</v>
      </c>
      <c r="W1330" s="135">
        <v>0.10379828811234899</v>
      </c>
      <c r="X1330" s="135">
        <v>0.19363257050396801</v>
      </c>
      <c r="Y1330" s="135">
        <v>0.222764805379144</v>
      </c>
      <c r="Z1330" s="135">
        <v>0.22692461171332201</v>
      </c>
      <c r="AA1330" s="135">
        <v>0.21234869468902801</v>
      </c>
      <c r="AB1330" s="135">
        <v>0.14572824287696801</v>
      </c>
      <c r="AC1330" s="135">
        <v>6.7220878017022007E-2</v>
      </c>
      <c r="AD1330" s="135">
        <v>3.1895393428393599E-2</v>
      </c>
      <c r="AF1330" s="243">
        <f t="shared" si="26"/>
        <v>0.32911976355303924</v>
      </c>
      <c r="AG1330" s="275">
        <f t="shared" si="27"/>
        <v>0.82651119925667782</v>
      </c>
      <c r="AH1330" s="391">
        <f t="shared" si="28"/>
        <v>1.4900263915846068</v>
      </c>
      <c r="AI1330" s="135">
        <f t="shared" si="29"/>
        <v>2.3165375908412846</v>
      </c>
    </row>
    <row r="1331" spans="1:35" ht="12.6">
      <c r="A1331" s="10" t="s">
        <v>1516</v>
      </c>
      <c r="B1331" s="10">
        <v>235</v>
      </c>
      <c r="C1331" s="10" t="s">
        <v>1514</v>
      </c>
      <c r="D1331" s="388">
        <v>45161</v>
      </c>
      <c r="E1331" s="389">
        <v>45161</v>
      </c>
      <c r="F1331" s="390" t="str">
        <f t="shared" si="25"/>
        <v>Space heating &amp; cooling</v>
      </c>
      <c r="G1331" s="135">
        <v>2.61425040261964E-2</v>
      </c>
      <c r="H1331" s="135">
        <v>2.52232284505516E-2</v>
      </c>
      <c r="I1331" s="135">
        <v>2.5210507008579099E-2</v>
      </c>
      <c r="J1331" s="135">
        <v>2.7431174802056299E-2</v>
      </c>
      <c r="K1331" s="135">
        <v>4.3844489065242798E-2</v>
      </c>
      <c r="L1331" s="135">
        <v>7.9575636409197695E-2</v>
      </c>
      <c r="M1331" s="135">
        <v>0.23796651078558201</v>
      </c>
      <c r="N1331" s="135">
        <v>0.25720682793210398</v>
      </c>
      <c r="O1331" s="135">
        <v>0.11234625980553201</v>
      </c>
      <c r="P1331" s="135">
        <v>5.1955492395358002E-2</v>
      </c>
      <c r="Q1331" s="135">
        <v>3.5878970850760403E-2</v>
      </c>
      <c r="R1331" s="135">
        <v>3.12399154384225E-2</v>
      </c>
      <c r="S1331" s="135">
        <v>3.45284065743321E-2</v>
      </c>
      <c r="T1331" s="135">
        <v>3.45675880682631E-2</v>
      </c>
      <c r="U1331" s="135">
        <v>3.6100135010316302E-2</v>
      </c>
      <c r="V1331" s="135">
        <v>5.3006459498595802E-2</v>
      </c>
      <c r="W1331" s="135">
        <v>0.10379828811234899</v>
      </c>
      <c r="X1331" s="135">
        <v>0.19363257050396801</v>
      </c>
      <c r="Y1331" s="135">
        <v>0.222764805379144</v>
      </c>
      <c r="Z1331" s="135">
        <v>0.22692461171332201</v>
      </c>
      <c r="AA1331" s="135">
        <v>0.21234869468902801</v>
      </c>
      <c r="AB1331" s="135">
        <v>0.14572824287696801</v>
      </c>
      <c r="AC1331" s="135">
        <v>6.7220878017022007E-2</v>
      </c>
      <c r="AD1331" s="135">
        <v>3.1895393428393599E-2</v>
      </c>
      <c r="AF1331" s="243">
        <f t="shared" si="26"/>
        <v>0.32911976355303924</v>
      </c>
      <c r="AG1331" s="275">
        <f t="shared" si="27"/>
        <v>0.82651119925667782</v>
      </c>
      <c r="AH1331" s="391">
        <f t="shared" si="28"/>
        <v>1.4900263915846068</v>
      </c>
      <c r="AI1331" s="135">
        <f t="shared" si="29"/>
        <v>2.3165375908412846</v>
      </c>
    </row>
    <row r="1332" spans="1:35" ht="12.6">
      <c r="A1332" s="10" t="s">
        <v>1516</v>
      </c>
      <c r="B1332" s="10">
        <v>236</v>
      </c>
      <c r="C1332" s="10" t="s">
        <v>1514</v>
      </c>
      <c r="D1332" s="388">
        <v>45162</v>
      </c>
      <c r="E1332" s="389">
        <v>45162</v>
      </c>
      <c r="F1332" s="390" t="str">
        <f t="shared" si="25"/>
        <v>Space heating &amp; cooling</v>
      </c>
      <c r="G1332" s="135">
        <v>2.61425040261964E-2</v>
      </c>
      <c r="H1332" s="135">
        <v>2.52232284505516E-2</v>
      </c>
      <c r="I1332" s="135">
        <v>2.5210507008579099E-2</v>
      </c>
      <c r="J1332" s="135">
        <v>2.7431174802056299E-2</v>
      </c>
      <c r="K1332" s="135">
        <v>4.3844489065242798E-2</v>
      </c>
      <c r="L1332" s="135">
        <v>7.9575636409197695E-2</v>
      </c>
      <c r="M1332" s="135">
        <v>0.23796651078558201</v>
      </c>
      <c r="N1332" s="135">
        <v>0.25720682793210398</v>
      </c>
      <c r="O1332" s="135">
        <v>0.11234625980553201</v>
      </c>
      <c r="P1332" s="135">
        <v>5.1955492395358002E-2</v>
      </c>
      <c r="Q1332" s="135">
        <v>3.5878970850760403E-2</v>
      </c>
      <c r="R1332" s="135">
        <v>3.12399154384225E-2</v>
      </c>
      <c r="S1332" s="135">
        <v>3.45284065743321E-2</v>
      </c>
      <c r="T1332" s="135">
        <v>3.45675880682631E-2</v>
      </c>
      <c r="U1332" s="135">
        <v>3.6100135010316302E-2</v>
      </c>
      <c r="V1332" s="135">
        <v>5.3006459498595802E-2</v>
      </c>
      <c r="W1332" s="135">
        <v>0.10379828811234899</v>
      </c>
      <c r="X1332" s="135">
        <v>0.19363257050396801</v>
      </c>
      <c r="Y1332" s="135">
        <v>0.222764805379144</v>
      </c>
      <c r="Z1332" s="135">
        <v>0.22692461171332201</v>
      </c>
      <c r="AA1332" s="135">
        <v>0.21234869468902801</v>
      </c>
      <c r="AB1332" s="135">
        <v>0.14572824287696801</v>
      </c>
      <c r="AC1332" s="135">
        <v>6.7220878017022007E-2</v>
      </c>
      <c r="AD1332" s="135">
        <v>3.1895393428393599E-2</v>
      </c>
      <c r="AF1332" s="243">
        <f t="shared" si="26"/>
        <v>0.32911976355303924</v>
      </c>
      <c r="AG1332" s="275">
        <f t="shared" si="27"/>
        <v>0.82651119925667782</v>
      </c>
      <c r="AH1332" s="391">
        <f t="shared" si="28"/>
        <v>1.4900263915846068</v>
      </c>
      <c r="AI1332" s="135">
        <f t="shared" si="29"/>
        <v>2.3165375908412846</v>
      </c>
    </row>
    <row r="1333" spans="1:35" ht="12.6">
      <c r="A1333" s="10" t="s">
        <v>1516</v>
      </c>
      <c r="B1333" s="10">
        <v>237</v>
      </c>
      <c r="C1333" s="10" t="s">
        <v>1514</v>
      </c>
      <c r="D1333" s="388">
        <v>45163</v>
      </c>
      <c r="E1333" s="389">
        <v>45163</v>
      </c>
      <c r="F1333" s="390" t="str">
        <f t="shared" si="25"/>
        <v>Space heating &amp; cooling</v>
      </c>
      <c r="G1333" s="135">
        <v>2.61425040261964E-2</v>
      </c>
      <c r="H1333" s="135">
        <v>2.52232284505516E-2</v>
      </c>
      <c r="I1333" s="135">
        <v>2.5210507008579099E-2</v>
      </c>
      <c r="J1333" s="135">
        <v>2.7431174802056299E-2</v>
      </c>
      <c r="K1333" s="135">
        <v>4.3844489065242798E-2</v>
      </c>
      <c r="L1333" s="135">
        <v>7.9575636409197695E-2</v>
      </c>
      <c r="M1333" s="135">
        <v>0.23796651078558201</v>
      </c>
      <c r="N1333" s="135">
        <v>0.25720682793210398</v>
      </c>
      <c r="O1333" s="135">
        <v>0.11234625980553201</v>
      </c>
      <c r="P1333" s="135">
        <v>5.1955492395358002E-2</v>
      </c>
      <c r="Q1333" s="135">
        <v>3.5878970850760403E-2</v>
      </c>
      <c r="R1333" s="135">
        <v>3.12399154384225E-2</v>
      </c>
      <c r="S1333" s="135">
        <v>3.45284065743321E-2</v>
      </c>
      <c r="T1333" s="135">
        <v>3.45675880682631E-2</v>
      </c>
      <c r="U1333" s="135">
        <v>3.6100135010316302E-2</v>
      </c>
      <c r="V1333" s="135">
        <v>5.3006459498595802E-2</v>
      </c>
      <c r="W1333" s="135">
        <v>0.10379828811234899</v>
      </c>
      <c r="X1333" s="135">
        <v>0.19363257050396801</v>
      </c>
      <c r="Y1333" s="135">
        <v>0.222764805379144</v>
      </c>
      <c r="Z1333" s="135">
        <v>0.22692461171332201</v>
      </c>
      <c r="AA1333" s="135">
        <v>0.21234869468902801</v>
      </c>
      <c r="AB1333" s="135">
        <v>0.14572824287696801</v>
      </c>
      <c r="AC1333" s="135">
        <v>6.7220878017022007E-2</v>
      </c>
      <c r="AD1333" s="135">
        <v>3.1895393428393599E-2</v>
      </c>
      <c r="AF1333" s="243">
        <f t="shared" si="26"/>
        <v>0.32911976355303924</v>
      </c>
      <c r="AG1333" s="275">
        <f t="shared" si="27"/>
        <v>0.82651119925667782</v>
      </c>
      <c r="AH1333" s="391">
        <f t="shared" si="28"/>
        <v>1.4900263915846068</v>
      </c>
      <c r="AI1333" s="135">
        <f t="shared" si="29"/>
        <v>2.3165375908412846</v>
      </c>
    </row>
    <row r="1334" spans="1:35" ht="12.6">
      <c r="A1334" s="10" t="s">
        <v>1516</v>
      </c>
      <c r="B1334" s="10">
        <v>238</v>
      </c>
      <c r="C1334" s="10" t="s">
        <v>1514</v>
      </c>
      <c r="D1334" s="388">
        <v>45164</v>
      </c>
      <c r="E1334" s="389">
        <v>45164</v>
      </c>
      <c r="F1334" s="390" t="str">
        <f t="shared" si="25"/>
        <v>Space heating &amp; cooling</v>
      </c>
      <c r="G1334" s="135">
        <v>2.9021445812351301E-2</v>
      </c>
      <c r="H1334" s="135">
        <v>2.3996491146840101E-2</v>
      </c>
      <c r="I1334" s="135">
        <v>2.5890962833305099E-2</v>
      </c>
      <c r="J1334" s="135">
        <v>2.8347091829061099E-2</v>
      </c>
      <c r="K1334" s="135">
        <v>3.96677853370161E-2</v>
      </c>
      <c r="L1334" s="135">
        <v>6.7420601841275296E-2</v>
      </c>
      <c r="M1334" s="135">
        <v>0.14472001633439599</v>
      </c>
      <c r="N1334" s="135">
        <v>0.18672725006466601</v>
      </c>
      <c r="O1334" s="135">
        <v>0.17859160621110801</v>
      </c>
      <c r="P1334" s="135">
        <v>0.10928422901910501</v>
      </c>
      <c r="Q1334" s="135">
        <v>7.8169080825929299E-2</v>
      </c>
      <c r="R1334" s="135">
        <v>6.5912331527195001E-2</v>
      </c>
      <c r="S1334" s="135">
        <v>5.4854002726402298E-2</v>
      </c>
      <c r="T1334" s="135">
        <v>5.1931254028382598E-2</v>
      </c>
      <c r="U1334" s="135">
        <v>4.9010472704917797E-2</v>
      </c>
      <c r="V1334" s="135">
        <v>5.6626788899231097E-2</v>
      </c>
      <c r="W1334" s="135">
        <v>9.7164077657466597E-2</v>
      </c>
      <c r="X1334" s="135">
        <v>0.15839092248990699</v>
      </c>
      <c r="Y1334" s="135">
        <v>0.18440102976725101</v>
      </c>
      <c r="Z1334" s="135">
        <v>0.19154100805106899</v>
      </c>
      <c r="AA1334" s="135">
        <v>0.18317621485337801</v>
      </c>
      <c r="AB1334" s="135">
        <v>0.1408191748805</v>
      </c>
      <c r="AC1334" s="135">
        <v>7.9000771672929598E-2</v>
      </c>
      <c r="AD1334" s="135">
        <v>4.3464628547622501E-2</v>
      </c>
      <c r="AF1334" s="243">
        <f t="shared" si="26"/>
        <v>0.45366800836952476</v>
      </c>
      <c r="AG1334" s="275">
        <f t="shared" si="27"/>
        <v>0.79111639137119782</v>
      </c>
      <c r="AH1334" s="391">
        <f t="shared" si="28"/>
        <v>1.4770128476901081</v>
      </c>
      <c r="AI1334" s="135">
        <f t="shared" si="29"/>
        <v>2.2681292390613059</v>
      </c>
    </row>
    <row r="1335" spans="1:35" ht="12.6">
      <c r="A1335" s="10" t="s">
        <v>1516</v>
      </c>
      <c r="B1335" s="10">
        <v>239</v>
      </c>
      <c r="C1335" s="10" t="s">
        <v>1514</v>
      </c>
      <c r="D1335" s="388">
        <v>45165</v>
      </c>
      <c r="E1335" s="389">
        <v>45165</v>
      </c>
      <c r="F1335" s="390" t="str">
        <f t="shared" si="25"/>
        <v>Space heating &amp; cooling</v>
      </c>
      <c r="G1335" s="135">
        <v>2.9021445812351301E-2</v>
      </c>
      <c r="H1335" s="135">
        <v>2.3996491146840101E-2</v>
      </c>
      <c r="I1335" s="135">
        <v>2.5890962833305099E-2</v>
      </c>
      <c r="J1335" s="135">
        <v>2.8347091829061099E-2</v>
      </c>
      <c r="K1335" s="135">
        <v>3.96677853370161E-2</v>
      </c>
      <c r="L1335" s="135">
        <v>6.7420601841275296E-2</v>
      </c>
      <c r="M1335" s="135">
        <v>0.14472001633439599</v>
      </c>
      <c r="N1335" s="135">
        <v>0.18672725006466601</v>
      </c>
      <c r="O1335" s="135">
        <v>0.17859160621110801</v>
      </c>
      <c r="P1335" s="135">
        <v>0.10928422901910501</v>
      </c>
      <c r="Q1335" s="135">
        <v>7.8169080825929299E-2</v>
      </c>
      <c r="R1335" s="135">
        <v>6.5912331527195001E-2</v>
      </c>
      <c r="S1335" s="135">
        <v>5.4854002726402298E-2</v>
      </c>
      <c r="T1335" s="135">
        <v>5.1931254028382598E-2</v>
      </c>
      <c r="U1335" s="135">
        <v>4.9010472704917797E-2</v>
      </c>
      <c r="V1335" s="135">
        <v>5.6626788899231097E-2</v>
      </c>
      <c r="W1335" s="135">
        <v>9.7164077657466597E-2</v>
      </c>
      <c r="X1335" s="135">
        <v>0.15839092248990699</v>
      </c>
      <c r="Y1335" s="135">
        <v>0.18440102976725101</v>
      </c>
      <c r="Z1335" s="135">
        <v>0.19154100805106899</v>
      </c>
      <c r="AA1335" s="135">
        <v>0.18317621485337801</v>
      </c>
      <c r="AB1335" s="135">
        <v>0.1408191748805</v>
      </c>
      <c r="AC1335" s="135">
        <v>7.9000771672929598E-2</v>
      </c>
      <c r="AD1335" s="135">
        <v>4.3464628547622501E-2</v>
      </c>
      <c r="AF1335" s="243">
        <f t="shared" si="26"/>
        <v>0.45366800836952476</v>
      </c>
      <c r="AG1335" s="275">
        <f t="shared" si="27"/>
        <v>0.79111639137119782</v>
      </c>
      <c r="AH1335" s="391">
        <f t="shared" si="28"/>
        <v>1.4770128476901081</v>
      </c>
      <c r="AI1335" s="135">
        <f t="shared" si="29"/>
        <v>2.2681292390613059</v>
      </c>
    </row>
    <row r="1336" spans="1:35" ht="12.6">
      <c r="A1336" s="10" t="s">
        <v>1516</v>
      </c>
      <c r="B1336" s="10">
        <v>240</v>
      </c>
      <c r="C1336" s="10" t="s">
        <v>1514</v>
      </c>
      <c r="D1336" s="388">
        <v>45166</v>
      </c>
      <c r="E1336" s="389">
        <v>45166</v>
      </c>
      <c r="F1336" s="390" t="str">
        <f t="shared" si="25"/>
        <v>Space heating &amp; cooling</v>
      </c>
      <c r="G1336" s="135">
        <v>2.61425040261964E-2</v>
      </c>
      <c r="H1336" s="135">
        <v>2.52232284505516E-2</v>
      </c>
      <c r="I1336" s="135">
        <v>2.5210507008579099E-2</v>
      </c>
      <c r="J1336" s="135">
        <v>2.7431174802056299E-2</v>
      </c>
      <c r="K1336" s="135">
        <v>4.3844489065242798E-2</v>
      </c>
      <c r="L1336" s="135">
        <v>7.9575636409197695E-2</v>
      </c>
      <c r="M1336" s="135">
        <v>0.23796651078558201</v>
      </c>
      <c r="N1336" s="135">
        <v>0.25720682793210398</v>
      </c>
      <c r="O1336" s="135">
        <v>0.11234625980553201</v>
      </c>
      <c r="P1336" s="135">
        <v>5.1955492395358002E-2</v>
      </c>
      <c r="Q1336" s="135">
        <v>3.5878970850760403E-2</v>
      </c>
      <c r="R1336" s="135">
        <v>3.12399154384225E-2</v>
      </c>
      <c r="S1336" s="135">
        <v>3.45284065743321E-2</v>
      </c>
      <c r="T1336" s="135">
        <v>3.45675880682631E-2</v>
      </c>
      <c r="U1336" s="135">
        <v>3.6100135010316302E-2</v>
      </c>
      <c r="V1336" s="135">
        <v>5.3006459498595802E-2</v>
      </c>
      <c r="W1336" s="135">
        <v>0.10379828811234899</v>
      </c>
      <c r="X1336" s="135">
        <v>0.19363257050396801</v>
      </c>
      <c r="Y1336" s="135">
        <v>0.222764805379144</v>
      </c>
      <c r="Z1336" s="135">
        <v>0.22692461171332201</v>
      </c>
      <c r="AA1336" s="135">
        <v>0.21234869468902801</v>
      </c>
      <c r="AB1336" s="135">
        <v>0.14572824287696801</v>
      </c>
      <c r="AC1336" s="135">
        <v>6.7220878017022007E-2</v>
      </c>
      <c r="AD1336" s="135">
        <v>3.1895393428393599E-2</v>
      </c>
      <c r="AF1336" s="243">
        <f t="shared" si="26"/>
        <v>0.32911976355303924</v>
      </c>
      <c r="AG1336" s="275">
        <f t="shared" si="27"/>
        <v>0.82651119925667782</v>
      </c>
      <c r="AH1336" s="391">
        <f t="shared" si="28"/>
        <v>1.4900263915846068</v>
      </c>
      <c r="AI1336" s="135">
        <f t="shared" si="29"/>
        <v>2.3165375908412846</v>
      </c>
    </row>
    <row r="1337" spans="1:35" ht="12.6">
      <c r="A1337" s="10" t="s">
        <v>1516</v>
      </c>
      <c r="B1337" s="10">
        <v>241</v>
      </c>
      <c r="C1337" s="10" t="s">
        <v>1514</v>
      </c>
      <c r="D1337" s="388">
        <v>45167</v>
      </c>
      <c r="E1337" s="389">
        <v>45167</v>
      </c>
      <c r="F1337" s="390" t="str">
        <f t="shared" si="25"/>
        <v>Space heating &amp; cooling</v>
      </c>
      <c r="G1337" s="135">
        <v>2.61425040261964E-2</v>
      </c>
      <c r="H1337" s="135">
        <v>2.52232284505516E-2</v>
      </c>
      <c r="I1337" s="135">
        <v>2.5210507008579099E-2</v>
      </c>
      <c r="J1337" s="135">
        <v>2.7431174802056299E-2</v>
      </c>
      <c r="K1337" s="135">
        <v>4.3844489065242798E-2</v>
      </c>
      <c r="L1337" s="135">
        <v>7.9575636409197695E-2</v>
      </c>
      <c r="M1337" s="135">
        <v>0.23796651078558201</v>
      </c>
      <c r="N1337" s="135">
        <v>0.25720682793210398</v>
      </c>
      <c r="O1337" s="135">
        <v>0.11234625980553201</v>
      </c>
      <c r="P1337" s="135">
        <v>5.1955492395358002E-2</v>
      </c>
      <c r="Q1337" s="135">
        <v>3.5878970850760403E-2</v>
      </c>
      <c r="R1337" s="135">
        <v>3.12399154384225E-2</v>
      </c>
      <c r="S1337" s="135">
        <v>3.45284065743321E-2</v>
      </c>
      <c r="T1337" s="135">
        <v>3.45675880682631E-2</v>
      </c>
      <c r="U1337" s="135">
        <v>3.6100135010316302E-2</v>
      </c>
      <c r="V1337" s="135">
        <v>5.3006459498595802E-2</v>
      </c>
      <c r="W1337" s="135">
        <v>0.10379828811234899</v>
      </c>
      <c r="X1337" s="135">
        <v>0.19363257050396801</v>
      </c>
      <c r="Y1337" s="135">
        <v>0.222764805379144</v>
      </c>
      <c r="Z1337" s="135">
        <v>0.22692461171332201</v>
      </c>
      <c r="AA1337" s="135">
        <v>0.21234869468902801</v>
      </c>
      <c r="AB1337" s="135">
        <v>0.14572824287696801</v>
      </c>
      <c r="AC1337" s="135">
        <v>6.7220878017022007E-2</v>
      </c>
      <c r="AD1337" s="135">
        <v>3.1895393428393599E-2</v>
      </c>
      <c r="AF1337" s="243">
        <f t="shared" si="26"/>
        <v>0.32911976355303924</v>
      </c>
      <c r="AG1337" s="275">
        <f t="shared" si="27"/>
        <v>0.82651119925667782</v>
      </c>
      <c r="AH1337" s="391">
        <f t="shared" si="28"/>
        <v>1.4900263915846068</v>
      </c>
      <c r="AI1337" s="135">
        <f t="shared" si="29"/>
        <v>2.3165375908412846</v>
      </c>
    </row>
    <row r="1338" spans="1:35" ht="12.6">
      <c r="A1338" s="10" t="s">
        <v>1516</v>
      </c>
      <c r="B1338" s="10">
        <v>242</v>
      </c>
      <c r="C1338" s="10" t="s">
        <v>1514</v>
      </c>
      <c r="D1338" s="388">
        <v>45168</v>
      </c>
      <c r="E1338" s="389">
        <v>45168</v>
      </c>
      <c r="F1338" s="390" t="str">
        <f t="shared" si="25"/>
        <v>Space heating &amp; cooling</v>
      </c>
      <c r="G1338" s="135">
        <v>2.61425040261964E-2</v>
      </c>
      <c r="H1338" s="135">
        <v>2.52232284505516E-2</v>
      </c>
      <c r="I1338" s="135">
        <v>2.5210507008579099E-2</v>
      </c>
      <c r="J1338" s="135">
        <v>2.7431174802056299E-2</v>
      </c>
      <c r="K1338" s="135">
        <v>4.3844489065242798E-2</v>
      </c>
      <c r="L1338" s="135">
        <v>7.9575636409197695E-2</v>
      </c>
      <c r="M1338" s="135">
        <v>0.23796651078558201</v>
      </c>
      <c r="N1338" s="135">
        <v>0.25720682793210398</v>
      </c>
      <c r="O1338" s="135">
        <v>0.11234625980553201</v>
      </c>
      <c r="P1338" s="135">
        <v>5.1955492395358002E-2</v>
      </c>
      <c r="Q1338" s="135">
        <v>3.5878970850760403E-2</v>
      </c>
      <c r="R1338" s="135">
        <v>3.12399154384225E-2</v>
      </c>
      <c r="S1338" s="135">
        <v>3.45284065743321E-2</v>
      </c>
      <c r="T1338" s="135">
        <v>3.45675880682631E-2</v>
      </c>
      <c r="U1338" s="135">
        <v>3.6100135010316302E-2</v>
      </c>
      <c r="V1338" s="135">
        <v>5.3006459498595802E-2</v>
      </c>
      <c r="W1338" s="135">
        <v>0.10379828811234899</v>
      </c>
      <c r="X1338" s="135">
        <v>0.19363257050396801</v>
      </c>
      <c r="Y1338" s="135">
        <v>0.222764805379144</v>
      </c>
      <c r="Z1338" s="135">
        <v>0.22692461171332201</v>
      </c>
      <c r="AA1338" s="135">
        <v>0.21234869468902801</v>
      </c>
      <c r="AB1338" s="135">
        <v>0.14572824287696801</v>
      </c>
      <c r="AC1338" s="135">
        <v>6.7220878017022007E-2</v>
      </c>
      <c r="AD1338" s="135">
        <v>3.1895393428393599E-2</v>
      </c>
      <c r="AF1338" s="243">
        <f t="shared" si="26"/>
        <v>0.32911976355303924</v>
      </c>
      <c r="AG1338" s="275">
        <f t="shared" si="27"/>
        <v>0.82651119925667782</v>
      </c>
      <c r="AH1338" s="391">
        <f t="shared" si="28"/>
        <v>1.4900263915846068</v>
      </c>
      <c r="AI1338" s="135">
        <f t="shared" si="29"/>
        <v>2.3165375908412846</v>
      </c>
    </row>
    <row r="1339" spans="1:35" ht="12.6">
      <c r="A1339" s="10" t="s">
        <v>1516</v>
      </c>
      <c r="B1339" s="10">
        <v>243</v>
      </c>
      <c r="C1339" s="10" t="s">
        <v>1514</v>
      </c>
      <c r="D1339" s="388">
        <v>45169</v>
      </c>
      <c r="E1339" s="389">
        <v>45169</v>
      </c>
      <c r="F1339" s="390" t="str">
        <f t="shared" si="25"/>
        <v>Space heating &amp; cooling</v>
      </c>
      <c r="G1339" s="135">
        <v>2.61425040261964E-2</v>
      </c>
      <c r="H1339" s="135">
        <v>2.52232284505516E-2</v>
      </c>
      <c r="I1339" s="135">
        <v>2.5210507008579099E-2</v>
      </c>
      <c r="J1339" s="135">
        <v>2.7431174802056299E-2</v>
      </c>
      <c r="K1339" s="135">
        <v>4.3844489065242798E-2</v>
      </c>
      <c r="L1339" s="135">
        <v>7.9575636409197695E-2</v>
      </c>
      <c r="M1339" s="135">
        <v>0.23796651078558201</v>
      </c>
      <c r="N1339" s="135">
        <v>0.25720682793210398</v>
      </c>
      <c r="O1339" s="135">
        <v>0.11234625980553201</v>
      </c>
      <c r="P1339" s="135">
        <v>5.1955492395358002E-2</v>
      </c>
      <c r="Q1339" s="135">
        <v>3.5878970850760403E-2</v>
      </c>
      <c r="R1339" s="135">
        <v>3.12399154384225E-2</v>
      </c>
      <c r="S1339" s="135">
        <v>3.45284065743321E-2</v>
      </c>
      <c r="T1339" s="135">
        <v>3.45675880682631E-2</v>
      </c>
      <c r="U1339" s="135">
        <v>3.6100135010316302E-2</v>
      </c>
      <c r="V1339" s="135">
        <v>5.3006459498595802E-2</v>
      </c>
      <c r="W1339" s="135">
        <v>0.10379828811234899</v>
      </c>
      <c r="X1339" s="135">
        <v>0.19363257050396801</v>
      </c>
      <c r="Y1339" s="135">
        <v>0.222764805379144</v>
      </c>
      <c r="Z1339" s="135">
        <v>0.22692461171332201</v>
      </c>
      <c r="AA1339" s="135">
        <v>0.21234869468902801</v>
      </c>
      <c r="AB1339" s="135">
        <v>0.14572824287696801</v>
      </c>
      <c r="AC1339" s="135">
        <v>6.7220878017022007E-2</v>
      </c>
      <c r="AD1339" s="135">
        <v>3.1895393428393599E-2</v>
      </c>
      <c r="AF1339" s="243">
        <f t="shared" si="26"/>
        <v>0.32911976355303924</v>
      </c>
      <c r="AG1339" s="275">
        <f t="shared" si="27"/>
        <v>0.82651119925667782</v>
      </c>
      <c r="AH1339" s="391">
        <f t="shared" si="28"/>
        <v>1.4900263915846068</v>
      </c>
      <c r="AI1339" s="135">
        <f t="shared" si="29"/>
        <v>2.3165375908412846</v>
      </c>
    </row>
    <row r="1340" spans="1:35" ht="12.6">
      <c r="A1340" s="10" t="s">
        <v>1516</v>
      </c>
      <c r="B1340" s="10">
        <v>244</v>
      </c>
      <c r="C1340" s="10" t="s">
        <v>1515</v>
      </c>
      <c r="D1340" s="388">
        <v>45170</v>
      </c>
      <c r="E1340" s="389">
        <v>45170</v>
      </c>
      <c r="F1340" s="390" t="str">
        <f t="shared" si="25"/>
        <v>Space heating &amp; cooling</v>
      </c>
      <c r="G1340" s="135">
        <v>7.9701093391319894E-3</v>
      </c>
      <c r="H1340" s="135">
        <v>7.4832665995385097E-3</v>
      </c>
      <c r="I1340" s="135">
        <v>7.69715627583944E-3</v>
      </c>
      <c r="J1340" s="135">
        <v>9.0558823834452698E-3</v>
      </c>
      <c r="K1340" s="135">
        <v>2.4256472792327101E-2</v>
      </c>
      <c r="L1340" s="135">
        <v>4.6381320016590302E-2</v>
      </c>
      <c r="M1340" s="135">
        <v>6.4789814476515495E-2</v>
      </c>
      <c r="N1340" s="135">
        <v>4.7465098165324501E-2</v>
      </c>
      <c r="O1340" s="135">
        <v>1.8542043362905901E-2</v>
      </c>
      <c r="P1340" s="135">
        <v>1.08258742611059E-2</v>
      </c>
      <c r="Q1340" s="135">
        <v>9.6955164226364896E-3</v>
      </c>
      <c r="R1340" s="135">
        <v>1.03498589498542E-2</v>
      </c>
      <c r="S1340" s="135">
        <v>1.26127772721338E-2</v>
      </c>
      <c r="T1340" s="135">
        <v>1.1232358446720001E-2</v>
      </c>
      <c r="U1340" s="135">
        <v>1.1356930660348499E-2</v>
      </c>
      <c r="V1340" s="135">
        <v>1.5888125066151899E-2</v>
      </c>
      <c r="W1340" s="135">
        <v>2.6579895552935301E-2</v>
      </c>
      <c r="X1340" s="135">
        <v>4.1891713722363298E-2</v>
      </c>
      <c r="Y1340" s="135">
        <v>5.4221897816034197E-2</v>
      </c>
      <c r="Z1340" s="135">
        <v>5.85242454944035E-2</v>
      </c>
      <c r="AA1340" s="135">
        <v>4.9229635916048502E-2</v>
      </c>
      <c r="AB1340" s="135">
        <v>2.87149553901715E-2</v>
      </c>
      <c r="AC1340" s="135">
        <v>1.39941036329968E-2</v>
      </c>
      <c r="AD1340" s="135">
        <v>8.3255300479366107E-3</v>
      </c>
      <c r="AF1340" s="243">
        <f t="shared" si="26"/>
        <v>9.7715462370780187E-2</v>
      </c>
      <c r="AG1340" s="275">
        <f t="shared" si="27"/>
        <v>0.26762374256261096</v>
      </c>
      <c r="AH1340" s="391">
        <f t="shared" si="28"/>
        <v>0.32946083950084798</v>
      </c>
      <c r="AI1340" s="135">
        <f t="shared" si="29"/>
        <v>0.59708458206345894</v>
      </c>
    </row>
    <row r="1341" spans="1:35" ht="12.6">
      <c r="A1341" s="10" t="s">
        <v>1516</v>
      </c>
      <c r="B1341" s="10">
        <v>245</v>
      </c>
      <c r="C1341" s="10" t="s">
        <v>1515</v>
      </c>
      <c r="D1341" s="388">
        <v>45171</v>
      </c>
      <c r="E1341" s="389">
        <v>45171</v>
      </c>
      <c r="F1341" s="390" t="str">
        <f t="shared" si="25"/>
        <v>Space heating &amp; cooling</v>
      </c>
      <c r="G1341" s="135">
        <v>8.5589099629598906E-3</v>
      </c>
      <c r="H1341" s="135">
        <v>8.8675026375491794E-3</v>
      </c>
      <c r="I1341" s="135">
        <v>1.04552190481216E-2</v>
      </c>
      <c r="J1341" s="135">
        <v>1.17579119066295E-2</v>
      </c>
      <c r="K1341" s="135">
        <v>2.34986462305929E-2</v>
      </c>
      <c r="L1341" s="135">
        <v>3.7992631328469598E-2</v>
      </c>
      <c r="M1341" s="135">
        <v>5.4435709548307398E-2</v>
      </c>
      <c r="N1341" s="135">
        <v>5.4642862062522897E-2</v>
      </c>
      <c r="O1341" s="135">
        <v>3.4914845598458498E-2</v>
      </c>
      <c r="P1341" s="135">
        <v>2.3545540065841999E-2</v>
      </c>
      <c r="Q1341" s="135">
        <v>1.6895090328183999E-2</v>
      </c>
      <c r="R1341" s="135">
        <v>1.8028427970699999E-2</v>
      </c>
      <c r="S1341" s="135">
        <v>1.6769874532907798E-2</v>
      </c>
      <c r="T1341" s="135">
        <v>1.7967283055498599E-2</v>
      </c>
      <c r="U1341" s="135">
        <v>1.76791433354558E-2</v>
      </c>
      <c r="V1341" s="135">
        <v>1.9568826231970701E-2</v>
      </c>
      <c r="W1341" s="135">
        <v>2.2862814795718601E-2</v>
      </c>
      <c r="X1341" s="135">
        <v>3.43993283160609E-2</v>
      </c>
      <c r="Y1341" s="135">
        <v>4.8977280876126898E-2</v>
      </c>
      <c r="Z1341" s="135">
        <v>5.5132719978189797E-2</v>
      </c>
      <c r="AA1341" s="135">
        <v>5.0655597958882199E-2</v>
      </c>
      <c r="AB1341" s="135">
        <v>3.5017412737214502E-2</v>
      </c>
      <c r="AC1341" s="135">
        <v>2.04092271514421E-2</v>
      </c>
      <c r="AD1341" s="135">
        <v>1.2132588822108501E-2</v>
      </c>
      <c r="AF1341" s="243">
        <f t="shared" si="26"/>
        <v>0.12977146025043551</v>
      </c>
      <c r="AG1341" s="275">
        <f t="shared" si="27"/>
        <v>0.28295628858773214</v>
      </c>
      <c r="AH1341" s="391">
        <f t="shared" si="28"/>
        <v>0.3722091058921817</v>
      </c>
      <c r="AI1341" s="135">
        <f t="shared" si="29"/>
        <v>0.65516539447991384</v>
      </c>
    </row>
    <row r="1342" spans="1:35" ht="12.6">
      <c r="A1342" s="10" t="s">
        <v>1516</v>
      </c>
      <c r="B1342" s="10">
        <v>246</v>
      </c>
      <c r="C1342" s="10" t="s">
        <v>1515</v>
      </c>
      <c r="D1342" s="388">
        <v>45172</v>
      </c>
      <c r="E1342" s="389">
        <v>45172</v>
      </c>
      <c r="F1342" s="390" t="str">
        <f t="shared" si="25"/>
        <v>Space heating &amp; cooling</v>
      </c>
      <c r="G1342" s="135">
        <v>8.5589099629598906E-3</v>
      </c>
      <c r="H1342" s="135">
        <v>8.8675026375491794E-3</v>
      </c>
      <c r="I1342" s="135">
        <v>1.04552190481216E-2</v>
      </c>
      <c r="J1342" s="135">
        <v>1.17579119066295E-2</v>
      </c>
      <c r="K1342" s="135">
        <v>2.34986462305929E-2</v>
      </c>
      <c r="L1342" s="135">
        <v>3.7992631328469598E-2</v>
      </c>
      <c r="M1342" s="135">
        <v>5.4435709548307398E-2</v>
      </c>
      <c r="N1342" s="135">
        <v>5.4642862062522897E-2</v>
      </c>
      <c r="O1342" s="135">
        <v>3.4914845598458498E-2</v>
      </c>
      <c r="P1342" s="135">
        <v>2.3545540065841999E-2</v>
      </c>
      <c r="Q1342" s="135">
        <v>1.6895090328183999E-2</v>
      </c>
      <c r="R1342" s="135">
        <v>1.8028427970699999E-2</v>
      </c>
      <c r="S1342" s="135">
        <v>1.6769874532907798E-2</v>
      </c>
      <c r="T1342" s="135">
        <v>1.7967283055498599E-2</v>
      </c>
      <c r="U1342" s="135">
        <v>1.76791433354558E-2</v>
      </c>
      <c r="V1342" s="135">
        <v>1.9568826231970701E-2</v>
      </c>
      <c r="W1342" s="135">
        <v>2.2862814795718601E-2</v>
      </c>
      <c r="X1342" s="135">
        <v>3.43993283160609E-2</v>
      </c>
      <c r="Y1342" s="135">
        <v>4.8977280876126898E-2</v>
      </c>
      <c r="Z1342" s="135">
        <v>5.5132719978189797E-2</v>
      </c>
      <c r="AA1342" s="135">
        <v>5.0655597958882199E-2</v>
      </c>
      <c r="AB1342" s="135">
        <v>3.5017412737214502E-2</v>
      </c>
      <c r="AC1342" s="135">
        <v>2.04092271514421E-2</v>
      </c>
      <c r="AD1342" s="135">
        <v>1.2132588822108501E-2</v>
      </c>
      <c r="AF1342" s="243">
        <f t="shared" si="26"/>
        <v>0.12977146025043551</v>
      </c>
      <c r="AG1342" s="275">
        <f t="shared" si="27"/>
        <v>0.28295628858773214</v>
      </c>
      <c r="AH1342" s="391">
        <f t="shared" si="28"/>
        <v>0.3722091058921817</v>
      </c>
      <c r="AI1342" s="135">
        <f t="shared" si="29"/>
        <v>0.65516539447991384</v>
      </c>
    </row>
    <row r="1343" spans="1:35" ht="12.6">
      <c r="A1343" s="10" t="s">
        <v>1516</v>
      </c>
      <c r="B1343" s="10">
        <v>247</v>
      </c>
      <c r="C1343" s="10" t="s">
        <v>1515</v>
      </c>
      <c r="D1343" s="388">
        <v>45173</v>
      </c>
      <c r="E1343" s="389">
        <v>45173</v>
      </c>
      <c r="F1343" s="390" t="str">
        <f t="shared" si="25"/>
        <v>Space heating &amp; cooling</v>
      </c>
      <c r="G1343" s="135">
        <v>7.9701093391319894E-3</v>
      </c>
      <c r="H1343" s="135">
        <v>7.4832665995385097E-3</v>
      </c>
      <c r="I1343" s="135">
        <v>7.69715627583944E-3</v>
      </c>
      <c r="J1343" s="135">
        <v>9.0558823834452698E-3</v>
      </c>
      <c r="K1343" s="135">
        <v>2.4256472792327101E-2</v>
      </c>
      <c r="L1343" s="135">
        <v>4.6381320016590302E-2</v>
      </c>
      <c r="M1343" s="135">
        <v>6.4789814476515495E-2</v>
      </c>
      <c r="N1343" s="135">
        <v>4.7465098165324501E-2</v>
      </c>
      <c r="O1343" s="135">
        <v>1.8542043362905901E-2</v>
      </c>
      <c r="P1343" s="135">
        <v>1.08258742611059E-2</v>
      </c>
      <c r="Q1343" s="135">
        <v>9.6955164226364896E-3</v>
      </c>
      <c r="R1343" s="135">
        <v>1.03498589498542E-2</v>
      </c>
      <c r="S1343" s="135">
        <v>1.26127772721338E-2</v>
      </c>
      <c r="T1343" s="135">
        <v>1.1232358446720001E-2</v>
      </c>
      <c r="U1343" s="135">
        <v>1.1356930660348499E-2</v>
      </c>
      <c r="V1343" s="135">
        <v>1.5888125066151899E-2</v>
      </c>
      <c r="W1343" s="135">
        <v>2.6579895552935301E-2</v>
      </c>
      <c r="X1343" s="135">
        <v>4.1891713722363298E-2</v>
      </c>
      <c r="Y1343" s="135">
        <v>5.4221897816034197E-2</v>
      </c>
      <c r="Z1343" s="135">
        <v>5.85242454944035E-2</v>
      </c>
      <c r="AA1343" s="135">
        <v>4.9229635916048502E-2</v>
      </c>
      <c r="AB1343" s="135">
        <v>2.87149553901715E-2</v>
      </c>
      <c r="AC1343" s="135">
        <v>1.39941036329968E-2</v>
      </c>
      <c r="AD1343" s="135">
        <v>8.3255300479366107E-3</v>
      </c>
      <c r="AF1343" s="243">
        <f t="shared" si="26"/>
        <v>9.7715462370780187E-2</v>
      </c>
      <c r="AG1343" s="275">
        <f t="shared" si="27"/>
        <v>0.26762374256261096</v>
      </c>
      <c r="AH1343" s="391">
        <f t="shared" si="28"/>
        <v>0.32946083950084798</v>
      </c>
      <c r="AI1343" s="135">
        <f t="shared" si="29"/>
        <v>0.59708458206345894</v>
      </c>
    </row>
    <row r="1344" spans="1:35" ht="12.6">
      <c r="A1344" s="10" t="s">
        <v>1516</v>
      </c>
      <c r="B1344" s="10">
        <v>248</v>
      </c>
      <c r="C1344" s="10" t="s">
        <v>1515</v>
      </c>
      <c r="D1344" s="388">
        <v>45174</v>
      </c>
      <c r="E1344" s="389">
        <v>45174</v>
      </c>
      <c r="F1344" s="390" t="str">
        <f t="shared" si="25"/>
        <v>Space heating &amp; cooling</v>
      </c>
      <c r="G1344" s="135">
        <v>7.9701093391319894E-3</v>
      </c>
      <c r="H1344" s="135">
        <v>7.4832665995385097E-3</v>
      </c>
      <c r="I1344" s="135">
        <v>7.69715627583944E-3</v>
      </c>
      <c r="J1344" s="135">
        <v>9.0558823834452698E-3</v>
      </c>
      <c r="K1344" s="135">
        <v>2.4256472792327101E-2</v>
      </c>
      <c r="L1344" s="135">
        <v>4.6381320016590302E-2</v>
      </c>
      <c r="M1344" s="135">
        <v>6.4789814476515495E-2</v>
      </c>
      <c r="N1344" s="135">
        <v>4.7465098165324501E-2</v>
      </c>
      <c r="O1344" s="135">
        <v>1.8542043362905901E-2</v>
      </c>
      <c r="P1344" s="135">
        <v>1.08258742611059E-2</v>
      </c>
      <c r="Q1344" s="135">
        <v>9.6955164226364896E-3</v>
      </c>
      <c r="R1344" s="135">
        <v>1.03498589498542E-2</v>
      </c>
      <c r="S1344" s="135">
        <v>1.26127772721338E-2</v>
      </c>
      <c r="T1344" s="135">
        <v>1.1232358446720001E-2</v>
      </c>
      <c r="U1344" s="135">
        <v>1.1356930660348499E-2</v>
      </c>
      <c r="V1344" s="135">
        <v>1.5888125066151899E-2</v>
      </c>
      <c r="W1344" s="135">
        <v>2.6579895552935301E-2</v>
      </c>
      <c r="X1344" s="135">
        <v>4.1891713722363298E-2</v>
      </c>
      <c r="Y1344" s="135">
        <v>5.4221897816034197E-2</v>
      </c>
      <c r="Z1344" s="135">
        <v>5.85242454944035E-2</v>
      </c>
      <c r="AA1344" s="135">
        <v>4.9229635916048502E-2</v>
      </c>
      <c r="AB1344" s="135">
        <v>2.87149553901715E-2</v>
      </c>
      <c r="AC1344" s="135">
        <v>1.39941036329968E-2</v>
      </c>
      <c r="AD1344" s="135">
        <v>8.3255300479366107E-3</v>
      </c>
      <c r="AF1344" s="243">
        <f t="shared" si="26"/>
        <v>9.7715462370780187E-2</v>
      </c>
      <c r="AG1344" s="275">
        <f t="shared" si="27"/>
        <v>0.26762374256261096</v>
      </c>
      <c r="AH1344" s="391">
        <f t="shared" si="28"/>
        <v>0.32946083950084798</v>
      </c>
      <c r="AI1344" s="135">
        <f t="shared" si="29"/>
        <v>0.59708458206345894</v>
      </c>
    </row>
    <row r="1345" spans="1:35" ht="12.6">
      <c r="A1345" s="10" t="s">
        <v>1516</v>
      </c>
      <c r="B1345" s="10">
        <v>249</v>
      </c>
      <c r="C1345" s="10" t="s">
        <v>1515</v>
      </c>
      <c r="D1345" s="388">
        <v>45175</v>
      </c>
      <c r="E1345" s="389">
        <v>45175</v>
      </c>
      <c r="F1345" s="390" t="str">
        <f t="shared" si="25"/>
        <v>Space heating &amp; cooling</v>
      </c>
      <c r="G1345" s="135">
        <v>7.9701093391319894E-3</v>
      </c>
      <c r="H1345" s="135">
        <v>7.4832665995385097E-3</v>
      </c>
      <c r="I1345" s="135">
        <v>7.69715627583944E-3</v>
      </c>
      <c r="J1345" s="135">
        <v>9.0558823834452698E-3</v>
      </c>
      <c r="K1345" s="135">
        <v>2.4256472792327101E-2</v>
      </c>
      <c r="L1345" s="135">
        <v>4.6381320016590302E-2</v>
      </c>
      <c r="M1345" s="135">
        <v>6.4789814476515495E-2</v>
      </c>
      <c r="N1345" s="135">
        <v>4.7465098165324501E-2</v>
      </c>
      <c r="O1345" s="135">
        <v>1.8542043362905901E-2</v>
      </c>
      <c r="P1345" s="135">
        <v>1.08258742611059E-2</v>
      </c>
      <c r="Q1345" s="135">
        <v>9.6955164226364896E-3</v>
      </c>
      <c r="R1345" s="135">
        <v>1.03498589498542E-2</v>
      </c>
      <c r="S1345" s="135">
        <v>1.26127772721338E-2</v>
      </c>
      <c r="T1345" s="135">
        <v>1.1232358446720001E-2</v>
      </c>
      <c r="U1345" s="135">
        <v>1.1356930660348499E-2</v>
      </c>
      <c r="V1345" s="135">
        <v>1.5888125066151899E-2</v>
      </c>
      <c r="W1345" s="135">
        <v>2.6579895552935301E-2</v>
      </c>
      <c r="X1345" s="135">
        <v>4.1891713722363298E-2</v>
      </c>
      <c r="Y1345" s="135">
        <v>5.4221897816034197E-2</v>
      </c>
      <c r="Z1345" s="135">
        <v>5.85242454944035E-2</v>
      </c>
      <c r="AA1345" s="135">
        <v>4.9229635916048502E-2</v>
      </c>
      <c r="AB1345" s="135">
        <v>2.87149553901715E-2</v>
      </c>
      <c r="AC1345" s="135">
        <v>1.39941036329968E-2</v>
      </c>
      <c r="AD1345" s="135">
        <v>8.3255300479366107E-3</v>
      </c>
      <c r="AF1345" s="243">
        <f t="shared" si="26"/>
        <v>9.7715462370780187E-2</v>
      </c>
      <c r="AG1345" s="275">
        <f t="shared" si="27"/>
        <v>0.26762374256261096</v>
      </c>
      <c r="AH1345" s="391">
        <f t="shared" si="28"/>
        <v>0.32946083950084798</v>
      </c>
      <c r="AI1345" s="135">
        <f t="shared" si="29"/>
        <v>0.59708458206345894</v>
      </c>
    </row>
    <row r="1346" spans="1:35" ht="12.6">
      <c r="A1346" s="10" t="s">
        <v>1516</v>
      </c>
      <c r="B1346" s="10">
        <v>250</v>
      </c>
      <c r="C1346" s="10" t="s">
        <v>1515</v>
      </c>
      <c r="D1346" s="388">
        <v>45176</v>
      </c>
      <c r="E1346" s="389">
        <v>45176</v>
      </c>
      <c r="F1346" s="390" t="str">
        <f t="shared" si="25"/>
        <v>Space heating &amp; cooling</v>
      </c>
      <c r="G1346" s="135">
        <v>7.9701093391319894E-3</v>
      </c>
      <c r="H1346" s="135">
        <v>7.4832665995385097E-3</v>
      </c>
      <c r="I1346" s="135">
        <v>7.69715627583944E-3</v>
      </c>
      <c r="J1346" s="135">
        <v>9.0558823834452698E-3</v>
      </c>
      <c r="K1346" s="135">
        <v>2.4256472792327101E-2</v>
      </c>
      <c r="L1346" s="135">
        <v>4.6381320016590302E-2</v>
      </c>
      <c r="M1346" s="135">
        <v>6.4789814476515495E-2</v>
      </c>
      <c r="N1346" s="135">
        <v>4.7465098165324501E-2</v>
      </c>
      <c r="O1346" s="135">
        <v>1.8542043362905901E-2</v>
      </c>
      <c r="P1346" s="135">
        <v>1.08258742611059E-2</v>
      </c>
      <c r="Q1346" s="135">
        <v>9.6955164226364896E-3</v>
      </c>
      <c r="R1346" s="135">
        <v>1.03498589498542E-2</v>
      </c>
      <c r="S1346" s="135">
        <v>1.26127772721338E-2</v>
      </c>
      <c r="T1346" s="135">
        <v>1.1232358446720001E-2</v>
      </c>
      <c r="U1346" s="135">
        <v>1.1356930660348499E-2</v>
      </c>
      <c r="V1346" s="135">
        <v>1.5888125066151899E-2</v>
      </c>
      <c r="W1346" s="135">
        <v>2.6579895552935301E-2</v>
      </c>
      <c r="X1346" s="135">
        <v>4.1891713722363298E-2</v>
      </c>
      <c r="Y1346" s="135">
        <v>5.4221897816034197E-2</v>
      </c>
      <c r="Z1346" s="135">
        <v>5.85242454944035E-2</v>
      </c>
      <c r="AA1346" s="135">
        <v>4.9229635916048502E-2</v>
      </c>
      <c r="AB1346" s="135">
        <v>2.87149553901715E-2</v>
      </c>
      <c r="AC1346" s="135">
        <v>1.39941036329968E-2</v>
      </c>
      <c r="AD1346" s="135">
        <v>8.3255300479366107E-3</v>
      </c>
      <c r="AF1346" s="243">
        <f t="shared" si="26"/>
        <v>9.7715462370780187E-2</v>
      </c>
      <c r="AG1346" s="275">
        <f t="shared" si="27"/>
        <v>0.26762374256261096</v>
      </c>
      <c r="AH1346" s="391">
        <f t="shared" si="28"/>
        <v>0.32946083950084798</v>
      </c>
      <c r="AI1346" s="135">
        <f t="shared" si="29"/>
        <v>0.59708458206345894</v>
      </c>
    </row>
    <row r="1347" spans="1:35" ht="12.6">
      <c r="A1347" s="10" t="s">
        <v>1516</v>
      </c>
      <c r="B1347" s="10">
        <v>251</v>
      </c>
      <c r="C1347" s="10" t="s">
        <v>1515</v>
      </c>
      <c r="D1347" s="388">
        <v>45177</v>
      </c>
      <c r="E1347" s="389">
        <v>45177</v>
      </c>
      <c r="F1347" s="390" t="str">
        <f t="shared" si="25"/>
        <v>Space heating &amp; cooling</v>
      </c>
      <c r="G1347" s="135">
        <v>7.9701093391319894E-3</v>
      </c>
      <c r="H1347" s="135">
        <v>7.4832665995385097E-3</v>
      </c>
      <c r="I1347" s="135">
        <v>7.69715627583944E-3</v>
      </c>
      <c r="J1347" s="135">
        <v>9.0558823834452698E-3</v>
      </c>
      <c r="K1347" s="135">
        <v>2.4256472792327101E-2</v>
      </c>
      <c r="L1347" s="135">
        <v>4.6381320016590302E-2</v>
      </c>
      <c r="M1347" s="135">
        <v>6.4789814476515495E-2</v>
      </c>
      <c r="N1347" s="135">
        <v>4.7465098165324501E-2</v>
      </c>
      <c r="O1347" s="135">
        <v>1.8542043362905901E-2</v>
      </c>
      <c r="P1347" s="135">
        <v>1.08258742611059E-2</v>
      </c>
      <c r="Q1347" s="135">
        <v>9.6955164226364896E-3</v>
      </c>
      <c r="R1347" s="135">
        <v>1.03498589498542E-2</v>
      </c>
      <c r="S1347" s="135">
        <v>1.26127772721338E-2</v>
      </c>
      <c r="T1347" s="135">
        <v>1.1232358446720001E-2</v>
      </c>
      <c r="U1347" s="135">
        <v>1.1356930660348499E-2</v>
      </c>
      <c r="V1347" s="135">
        <v>1.5888125066151899E-2</v>
      </c>
      <c r="W1347" s="135">
        <v>2.6579895552935301E-2</v>
      </c>
      <c r="X1347" s="135">
        <v>4.1891713722363298E-2</v>
      </c>
      <c r="Y1347" s="135">
        <v>5.4221897816034197E-2</v>
      </c>
      <c r="Z1347" s="135">
        <v>5.85242454944035E-2</v>
      </c>
      <c r="AA1347" s="135">
        <v>4.9229635916048502E-2</v>
      </c>
      <c r="AB1347" s="135">
        <v>2.87149553901715E-2</v>
      </c>
      <c r="AC1347" s="135">
        <v>1.39941036329968E-2</v>
      </c>
      <c r="AD1347" s="135">
        <v>8.3255300479366107E-3</v>
      </c>
      <c r="AF1347" s="243">
        <f t="shared" si="26"/>
        <v>9.7715462370780187E-2</v>
      </c>
      <c r="AG1347" s="275">
        <f t="shared" si="27"/>
        <v>0.26762374256261096</v>
      </c>
      <c r="AH1347" s="391">
        <f t="shared" si="28"/>
        <v>0.32946083950084798</v>
      </c>
      <c r="AI1347" s="135">
        <f t="shared" si="29"/>
        <v>0.59708458206345894</v>
      </c>
    </row>
    <row r="1348" spans="1:35" ht="12.6">
      <c r="A1348" s="10" t="s">
        <v>1516</v>
      </c>
      <c r="B1348" s="10">
        <v>252</v>
      </c>
      <c r="C1348" s="10" t="s">
        <v>1515</v>
      </c>
      <c r="D1348" s="388">
        <v>45178</v>
      </c>
      <c r="E1348" s="389">
        <v>45178</v>
      </c>
      <c r="F1348" s="390" t="str">
        <f t="shared" si="25"/>
        <v>Space heating &amp; cooling</v>
      </c>
      <c r="G1348" s="135">
        <v>8.5589099629598906E-3</v>
      </c>
      <c r="H1348" s="135">
        <v>8.8675026375491794E-3</v>
      </c>
      <c r="I1348" s="135">
        <v>1.04552190481216E-2</v>
      </c>
      <c r="J1348" s="135">
        <v>1.17579119066295E-2</v>
      </c>
      <c r="K1348" s="135">
        <v>2.34986462305929E-2</v>
      </c>
      <c r="L1348" s="135">
        <v>3.7992631328469598E-2</v>
      </c>
      <c r="M1348" s="135">
        <v>5.4435709548307398E-2</v>
      </c>
      <c r="N1348" s="135">
        <v>5.4642862062522897E-2</v>
      </c>
      <c r="O1348" s="135">
        <v>3.4914845598458498E-2</v>
      </c>
      <c r="P1348" s="135">
        <v>2.3545540065841999E-2</v>
      </c>
      <c r="Q1348" s="135">
        <v>1.6895090328183999E-2</v>
      </c>
      <c r="R1348" s="135">
        <v>1.8028427970699999E-2</v>
      </c>
      <c r="S1348" s="135">
        <v>1.6769874532907798E-2</v>
      </c>
      <c r="T1348" s="135">
        <v>1.7967283055498599E-2</v>
      </c>
      <c r="U1348" s="135">
        <v>1.76791433354558E-2</v>
      </c>
      <c r="V1348" s="135">
        <v>1.9568826231970701E-2</v>
      </c>
      <c r="W1348" s="135">
        <v>2.2862814795718601E-2</v>
      </c>
      <c r="X1348" s="135">
        <v>3.43993283160609E-2</v>
      </c>
      <c r="Y1348" s="135">
        <v>4.8977280876126898E-2</v>
      </c>
      <c r="Z1348" s="135">
        <v>5.5132719978189797E-2</v>
      </c>
      <c r="AA1348" s="135">
        <v>5.0655597958882199E-2</v>
      </c>
      <c r="AB1348" s="135">
        <v>3.5017412737214502E-2</v>
      </c>
      <c r="AC1348" s="135">
        <v>2.04092271514421E-2</v>
      </c>
      <c r="AD1348" s="135">
        <v>1.2132588822108501E-2</v>
      </c>
      <c r="AF1348" s="243">
        <f t="shared" si="26"/>
        <v>0.12977146025043551</v>
      </c>
      <c r="AG1348" s="275">
        <f t="shared" si="27"/>
        <v>0.28295628858773214</v>
      </c>
      <c r="AH1348" s="391">
        <f t="shared" si="28"/>
        <v>0.3722091058921817</v>
      </c>
      <c r="AI1348" s="135">
        <f t="shared" si="29"/>
        <v>0.65516539447991384</v>
      </c>
    </row>
    <row r="1349" spans="1:35" ht="12.6">
      <c r="A1349" s="10" t="s">
        <v>1516</v>
      </c>
      <c r="B1349" s="10">
        <v>253</v>
      </c>
      <c r="C1349" s="10" t="s">
        <v>1515</v>
      </c>
      <c r="D1349" s="388">
        <v>45179</v>
      </c>
      <c r="E1349" s="389">
        <v>45179</v>
      </c>
      <c r="F1349" s="390" t="str">
        <f t="shared" si="25"/>
        <v>Space heating &amp; cooling</v>
      </c>
      <c r="G1349" s="135">
        <v>8.5589099629598906E-3</v>
      </c>
      <c r="H1349" s="135">
        <v>8.8675026375491794E-3</v>
      </c>
      <c r="I1349" s="135">
        <v>1.04552190481216E-2</v>
      </c>
      <c r="J1349" s="135">
        <v>1.17579119066295E-2</v>
      </c>
      <c r="K1349" s="135">
        <v>2.34986462305929E-2</v>
      </c>
      <c r="L1349" s="135">
        <v>3.7992631328469598E-2</v>
      </c>
      <c r="M1349" s="135">
        <v>5.4435709548307398E-2</v>
      </c>
      <c r="N1349" s="135">
        <v>5.4642862062522897E-2</v>
      </c>
      <c r="O1349" s="135">
        <v>3.4914845598458498E-2</v>
      </c>
      <c r="P1349" s="135">
        <v>2.3545540065841999E-2</v>
      </c>
      <c r="Q1349" s="135">
        <v>1.6895090328183999E-2</v>
      </c>
      <c r="R1349" s="135">
        <v>1.8028427970699999E-2</v>
      </c>
      <c r="S1349" s="135">
        <v>1.6769874532907798E-2</v>
      </c>
      <c r="T1349" s="135">
        <v>1.7967283055498599E-2</v>
      </c>
      <c r="U1349" s="135">
        <v>1.76791433354558E-2</v>
      </c>
      <c r="V1349" s="135">
        <v>1.9568826231970701E-2</v>
      </c>
      <c r="W1349" s="135">
        <v>2.2862814795718601E-2</v>
      </c>
      <c r="X1349" s="135">
        <v>3.43993283160609E-2</v>
      </c>
      <c r="Y1349" s="135">
        <v>4.8977280876126898E-2</v>
      </c>
      <c r="Z1349" s="135">
        <v>5.5132719978189797E-2</v>
      </c>
      <c r="AA1349" s="135">
        <v>5.0655597958882199E-2</v>
      </c>
      <c r="AB1349" s="135">
        <v>3.5017412737214502E-2</v>
      </c>
      <c r="AC1349" s="135">
        <v>2.04092271514421E-2</v>
      </c>
      <c r="AD1349" s="135">
        <v>1.2132588822108501E-2</v>
      </c>
      <c r="AF1349" s="243">
        <f t="shared" si="26"/>
        <v>0.12977146025043551</v>
      </c>
      <c r="AG1349" s="275">
        <f t="shared" si="27"/>
        <v>0.28295628858773214</v>
      </c>
      <c r="AH1349" s="391">
        <f t="shared" si="28"/>
        <v>0.3722091058921817</v>
      </c>
      <c r="AI1349" s="135">
        <f t="shared" si="29"/>
        <v>0.65516539447991384</v>
      </c>
    </row>
    <row r="1350" spans="1:35" ht="12.6">
      <c r="A1350" s="10" t="s">
        <v>1516</v>
      </c>
      <c r="B1350" s="10">
        <v>254</v>
      </c>
      <c r="C1350" s="10" t="s">
        <v>1515</v>
      </c>
      <c r="D1350" s="388">
        <v>45180</v>
      </c>
      <c r="E1350" s="389">
        <v>45180</v>
      </c>
      <c r="F1350" s="390" t="str">
        <f t="shared" si="25"/>
        <v>Space heating &amp; cooling</v>
      </c>
      <c r="G1350" s="135">
        <v>7.9701093391319894E-3</v>
      </c>
      <c r="H1350" s="135">
        <v>7.4832665995385097E-3</v>
      </c>
      <c r="I1350" s="135">
        <v>7.69715627583944E-3</v>
      </c>
      <c r="J1350" s="135">
        <v>9.0558823834452698E-3</v>
      </c>
      <c r="K1350" s="135">
        <v>2.4256472792327101E-2</v>
      </c>
      <c r="L1350" s="135">
        <v>4.6381320016590302E-2</v>
      </c>
      <c r="M1350" s="135">
        <v>6.4789814476515495E-2</v>
      </c>
      <c r="N1350" s="135">
        <v>4.7465098165324501E-2</v>
      </c>
      <c r="O1350" s="135">
        <v>1.8542043362905901E-2</v>
      </c>
      <c r="P1350" s="135">
        <v>1.08258742611059E-2</v>
      </c>
      <c r="Q1350" s="135">
        <v>9.6955164226364896E-3</v>
      </c>
      <c r="R1350" s="135">
        <v>1.03498589498542E-2</v>
      </c>
      <c r="S1350" s="135">
        <v>1.26127772721338E-2</v>
      </c>
      <c r="T1350" s="135">
        <v>1.1232358446720001E-2</v>
      </c>
      <c r="U1350" s="135">
        <v>1.1356930660348499E-2</v>
      </c>
      <c r="V1350" s="135">
        <v>1.5888125066151899E-2</v>
      </c>
      <c r="W1350" s="135">
        <v>2.6579895552935301E-2</v>
      </c>
      <c r="X1350" s="135">
        <v>4.1891713722363298E-2</v>
      </c>
      <c r="Y1350" s="135">
        <v>5.4221897816034197E-2</v>
      </c>
      <c r="Z1350" s="135">
        <v>5.85242454944035E-2</v>
      </c>
      <c r="AA1350" s="135">
        <v>4.9229635916048502E-2</v>
      </c>
      <c r="AB1350" s="135">
        <v>2.87149553901715E-2</v>
      </c>
      <c r="AC1350" s="135">
        <v>1.39941036329968E-2</v>
      </c>
      <c r="AD1350" s="135">
        <v>8.3255300479366107E-3</v>
      </c>
      <c r="AF1350" s="243">
        <f t="shared" si="26"/>
        <v>9.7715462370780187E-2</v>
      </c>
      <c r="AG1350" s="275">
        <f t="shared" si="27"/>
        <v>0.26762374256261096</v>
      </c>
      <c r="AH1350" s="391">
        <f t="shared" si="28"/>
        <v>0.32946083950084798</v>
      </c>
      <c r="AI1350" s="135">
        <f t="shared" si="29"/>
        <v>0.59708458206345894</v>
      </c>
    </row>
    <row r="1351" spans="1:35" ht="12.6">
      <c r="A1351" s="10" t="s">
        <v>1516</v>
      </c>
      <c r="B1351" s="10">
        <v>255</v>
      </c>
      <c r="C1351" s="10" t="s">
        <v>1515</v>
      </c>
      <c r="D1351" s="388">
        <v>45181</v>
      </c>
      <c r="E1351" s="389">
        <v>45181</v>
      </c>
      <c r="F1351" s="390" t="str">
        <f t="shared" si="25"/>
        <v>Space heating &amp; cooling</v>
      </c>
      <c r="G1351" s="135">
        <v>7.9701093391319894E-3</v>
      </c>
      <c r="H1351" s="135">
        <v>7.4832665995385097E-3</v>
      </c>
      <c r="I1351" s="135">
        <v>7.69715627583944E-3</v>
      </c>
      <c r="J1351" s="135">
        <v>9.0558823834452698E-3</v>
      </c>
      <c r="K1351" s="135">
        <v>2.4256472792327101E-2</v>
      </c>
      <c r="L1351" s="135">
        <v>4.6381320016590302E-2</v>
      </c>
      <c r="M1351" s="135">
        <v>6.4789814476515495E-2</v>
      </c>
      <c r="N1351" s="135">
        <v>4.7465098165324501E-2</v>
      </c>
      <c r="O1351" s="135">
        <v>1.8542043362905901E-2</v>
      </c>
      <c r="P1351" s="135">
        <v>1.08258742611059E-2</v>
      </c>
      <c r="Q1351" s="135">
        <v>9.6955164226364896E-3</v>
      </c>
      <c r="R1351" s="135">
        <v>1.03498589498542E-2</v>
      </c>
      <c r="S1351" s="135">
        <v>1.26127772721338E-2</v>
      </c>
      <c r="T1351" s="135">
        <v>1.1232358446720001E-2</v>
      </c>
      <c r="U1351" s="135">
        <v>1.1356930660348499E-2</v>
      </c>
      <c r="V1351" s="135">
        <v>1.5888125066151899E-2</v>
      </c>
      <c r="W1351" s="135">
        <v>2.6579895552935301E-2</v>
      </c>
      <c r="X1351" s="135">
        <v>4.1891713722363298E-2</v>
      </c>
      <c r="Y1351" s="135">
        <v>5.4221897816034197E-2</v>
      </c>
      <c r="Z1351" s="135">
        <v>5.85242454944035E-2</v>
      </c>
      <c r="AA1351" s="135">
        <v>4.9229635916048502E-2</v>
      </c>
      <c r="AB1351" s="135">
        <v>2.87149553901715E-2</v>
      </c>
      <c r="AC1351" s="135">
        <v>1.39941036329968E-2</v>
      </c>
      <c r="AD1351" s="135">
        <v>8.3255300479366107E-3</v>
      </c>
      <c r="AF1351" s="243">
        <f t="shared" si="26"/>
        <v>9.7715462370780187E-2</v>
      </c>
      <c r="AG1351" s="275">
        <f t="shared" si="27"/>
        <v>0.26762374256261096</v>
      </c>
      <c r="AH1351" s="391">
        <f t="shared" si="28"/>
        <v>0.32946083950084798</v>
      </c>
      <c r="AI1351" s="135">
        <f t="shared" si="29"/>
        <v>0.59708458206345894</v>
      </c>
    </row>
    <row r="1352" spans="1:35" ht="12.6">
      <c r="A1352" s="10" t="s">
        <v>1516</v>
      </c>
      <c r="B1352" s="10">
        <v>256</v>
      </c>
      <c r="C1352" s="10" t="s">
        <v>1515</v>
      </c>
      <c r="D1352" s="388">
        <v>45182</v>
      </c>
      <c r="E1352" s="389">
        <v>45182</v>
      </c>
      <c r="F1352" s="390" t="str">
        <f t="shared" si="25"/>
        <v>Space heating &amp; cooling</v>
      </c>
      <c r="G1352" s="135">
        <v>7.9701093391319894E-3</v>
      </c>
      <c r="H1352" s="135">
        <v>7.4832665995385097E-3</v>
      </c>
      <c r="I1352" s="135">
        <v>7.69715627583944E-3</v>
      </c>
      <c r="J1352" s="135">
        <v>9.0558823834452698E-3</v>
      </c>
      <c r="K1352" s="135">
        <v>2.4256472792327101E-2</v>
      </c>
      <c r="L1352" s="135">
        <v>4.6381320016590302E-2</v>
      </c>
      <c r="M1352" s="135">
        <v>6.4789814476515495E-2</v>
      </c>
      <c r="N1352" s="135">
        <v>4.7465098165324501E-2</v>
      </c>
      <c r="O1352" s="135">
        <v>1.8542043362905901E-2</v>
      </c>
      <c r="P1352" s="135">
        <v>1.08258742611059E-2</v>
      </c>
      <c r="Q1352" s="135">
        <v>9.6955164226364896E-3</v>
      </c>
      <c r="R1352" s="135">
        <v>1.03498589498542E-2</v>
      </c>
      <c r="S1352" s="135">
        <v>1.26127772721338E-2</v>
      </c>
      <c r="T1352" s="135">
        <v>1.1232358446720001E-2</v>
      </c>
      <c r="U1352" s="135">
        <v>1.1356930660348499E-2</v>
      </c>
      <c r="V1352" s="135">
        <v>1.5888125066151899E-2</v>
      </c>
      <c r="W1352" s="135">
        <v>2.6579895552935301E-2</v>
      </c>
      <c r="X1352" s="135">
        <v>4.1891713722363298E-2</v>
      </c>
      <c r="Y1352" s="135">
        <v>5.4221897816034197E-2</v>
      </c>
      <c r="Z1352" s="135">
        <v>5.85242454944035E-2</v>
      </c>
      <c r="AA1352" s="135">
        <v>4.9229635916048502E-2</v>
      </c>
      <c r="AB1352" s="135">
        <v>2.87149553901715E-2</v>
      </c>
      <c r="AC1352" s="135">
        <v>1.39941036329968E-2</v>
      </c>
      <c r="AD1352" s="135">
        <v>8.3255300479366107E-3</v>
      </c>
      <c r="AF1352" s="243">
        <f t="shared" si="26"/>
        <v>9.7715462370780187E-2</v>
      </c>
      <c r="AG1352" s="275">
        <f t="shared" si="27"/>
        <v>0.26762374256261096</v>
      </c>
      <c r="AH1352" s="391">
        <f t="shared" si="28"/>
        <v>0.32946083950084798</v>
      </c>
      <c r="AI1352" s="135">
        <f t="shared" si="29"/>
        <v>0.59708458206345894</v>
      </c>
    </row>
    <row r="1353" spans="1:35" ht="12.6">
      <c r="A1353" s="10" t="s">
        <v>1516</v>
      </c>
      <c r="B1353" s="10">
        <v>257</v>
      </c>
      <c r="C1353" s="10" t="s">
        <v>1515</v>
      </c>
      <c r="D1353" s="388">
        <v>45183</v>
      </c>
      <c r="E1353" s="389">
        <v>45183</v>
      </c>
      <c r="F1353" s="390" t="str">
        <f t="shared" si="25"/>
        <v>Space heating &amp; cooling</v>
      </c>
      <c r="G1353" s="135">
        <v>7.9701093391319894E-3</v>
      </c>
      <c r="H1353" s="135">
        <v>7.4832665995385097E-3</v>
      </c>
      <c r="I1353" s="135">
        <v>7.69715627583944E-3</v>
      </c>
      <c r="J1353" s="135">
        <v>9.0558823834452698E-3</v>
      </c>
      <c r="K1353" s="135">
        <v>2.4256472792327101E-2</v>
      </c>
      <c r="L1353" s="135">
        <v>4.6381320016590302E-2</v>
      </c>
      <c r="M1353" s="135">
        <v>6.4789814476515495E-2</v>
      </c>
      <c r="N1353" s="135">
        <v>4.7465098165324501E-2</v>
      </c>
      <c r="O1353" s="135">
        <v>1.8542043362905901E-2</v>
      </c>
      <c r="P1353" s="135">
        <v>1.08258742611059E-2</v>
      </c>
      <c r="Q1353" s="135">
        <v>9.6955164226364896E-3</v>
      </c>
      <c r="R1353" s="135">
        <v>1.03498589498542E-2</v>
      </c>
      <c r="S1353" s="135">
        <v>1.26127772721338E-2</v>
      </c>
      <c r="T1353" s="135">
        <v>1.1232358446720001E-2</v>
      </c>
      <c r="U1353" s="135">
        <v>1.1356930660348499E-2</v>
      </c>
      <c r="V1353" s="135">
        <v>1.5888125066151899E-2</v>
      </c>
      <c r="W1353" s="135">
        <v>2.6579895552935301E-2</v>
      </c>
      <c r="X1353" s="135">
        <v>4.1891713722363298E-2</v>
      </c>
      <c r="Y1353" s="135">
        <v>5.4221897816034197E-2</v>
      </c>
      <c r="Z1353" s="135">
        <v>5.85242454944035E-2</v>
      </c>
      <c r="AA1353" s="135">
        <v>4.9229635916048502E-2</v>
      </c>
      <c r="AB1353" s="135">
        <v>2.87149553901715E-2</v>
      </c>
      <c r="AC1353" s="135">
        <v>1.39941036329968E-2</v>
      </c>
      <c r="AD1353" s="135">
        <v>8.3255300479366107E-3</v>
      </c>
      <c r="AF1353" s="243">
        <f t="shared" si="26"/>
        <v>9.7715462370780187E-2</v>
      </c>
      <c r="AG1353" s="275">
        <f t="shared" si="27"/>
        <v>0.26762374256261096</v>
      </c>
      <c r="AH1353" s="391">
        <f t="shared" si="28"/>
        <v>0.32946083950084798</v>
      </c>
      <c r="AI1353" s="135">
        <f t="shared" si="29"/>
        <v>0.59708458206345894</v>
      </c>
    </row>
    <row r="1354" spans="1:35" ht="12.6">
      <c r="A1354" s="10" t="s">
        <v>1516</v>
      </c>
      <c r="B1354" s="10">
        <v>258</v>
      </c>
      <c r="C1354" s="10" t="s">
        <v>1515</v>
      </c>
      <c r="D1354" s="388">
        <v>45184</v>
      </c>
      <c r="E1354" s="389">
        <v>45184</v>
      </c>
      <c r="F1354" s="390" t="str">
        <f t="shared" si="25"/>
        <v>Space heating &amp; cooling</v>
      </c>
      <c r="G1354" s="135">
        <v>7.9701093391319894E-3</v>
      </c>
      <c r="H1354" s="135">
        <v>7.4832665995385097E-3</v>
      </c>
      <c r="I1354" s="135">
        <v>7.69715627583944E-3</v>
      </c>
      <c r="J1354" s="135">
        <v>9.0558823834452698E-3</v>
      </c>
      <c r="K1354" s="135">
        <v>2.4256472792327101E-2</v>
      </c>
      <c r="L1354" s="135">
        <v>4.6381320016590302E-2</v>
      </c>
      <c r="M1354" s="135">
        <v>6.4789814476515495E-2</v>
      </c>
      <c r="N1354" s="135">
        <v>4.7465098165324501E-2</v>
      </c>
      <c r="O1354" s="135">
        <v>1.8542043362905901E-2</v>
      </c>
      <c r="P1354" s="135">
        <v>1.08258742611059E-2</v>
      </c>
      <c r="Q1354" s="135">
        <v>9.6955164226364896E-3</v>
      </c>
      <c r="R1354" s="135">
        <v>1.03498589498542E-2</v>
      </c>
      <c r="S1354" s="135">
        <v>1.26127772721338E-2</v>
      </c>
      <c r="T1354" s="135">
        <v>1.1232358446720001E-2</v>
      </c>
      <c r="U1354" s="135">
        <v>1.1356930660348499E-2</v>
      </c>
      <c r="V1354" s="135">
        <v>1.5888125066151899E-2</v>
      </c>
      <c r="W1354" s="135">
        <v>2.6579895552935301E-2</v>
      </c>
      <c r="X1354" s="135">
        <v>4.1891713722363298E-2</v>
      </c>
      <c r="Y1354" s="135">
        <v>5.4221897816034197E-2</v>
      </c>
      <c r="Z1354" s="135">
        <v>5.85242454944035E-2</v>
      </c>
      <c r="AA1354" s="135">
        <v>4.9229635916048502E-2</v>
      </c>
      <c r="AB1354" s="135">
        <v>2.87149553901715E-2</v>
      </c>
      <c r="AC1354" s="135">
        <v>1.39941036329968E-2</v>
      </c>
      <c r="AD1354" s="135">
        <v>8.3255300479366107E-3</v>
      </c>
      <c r="AF1354" s="243">
        <f t="shared" si="26"/>
        <v>9.7715462370780187E-2</v>
      </c>
      <c r="AG1354" s="275">
        <f t="shared" si="27"/>
        <v>0.26762374256261096</v>
      </c>
      <c r="AH1354" s="391">
        <f t="shared" si="28"/>
        <v>0.32946083950084798</v>
      </c>
      <c r="AI1354" s="135">
        <f t="shared" si="29"/>
        <v>0.59708458206345894</v>
      </c>
    </row>
    <row r="1355" spans="1:35" ht="12.6">
      <c r="A1355" s="10" t="s">
        <v>1516</v>
      </c>
      <c r="B1355" s="10">
        <v>259</v>
      </c>
      <c r="C1355" s="10" t="s">
        <v>1515</v>
      </c>
      <c r="D1355" s="388">
        <v>45185</v>
      </c>
      <c r="E1355" s="389">
        <v>45185</v>
      </c>
      <c r="F1355" s="390" t="str">
        <f t="shared" si="25"/>
        <v>Space heating &amp; cooling</v>
      </c>
      <c r="G1355" s="135">
        <v>8.5589099629598906E-3</v>
      </c>
      <c r="H1355" s="135">
        <v>8.8675026375491794E-3</v>
      </c>
      <c r="I1355" s="135">
        <v>1.04552190481216E-2</v>
      </c>
      <c r="J1355" s="135">
        <v>1.17579119066295E-2</v>
      </c>
      <c r="K1355" s="135">
        <v>2.34986462305929E-2</v>
      </c>
      <c r="L1355" s="135">
        <v>3.7992631328469598E-2</v>
      </c>
      <c r="M1355" s="135">
        <v>5.4435709548307398E-2</v>
      </c>
      <c r="N1355" s="135">
        <v>5.4642862062522897E-2</v>
      </c>
      <c r="O1355" s="135">
        <v>3.4914845598458498E-2</v>
      </c>
      <c r="P1355" s="135">
        <v>2.3545540065841999E-2</v>
      </c>
      <c r="Q1355" s="135">
        <v>1.6895090328183999E-2</v>
      </c>
      <c r="R1355" s="135">
        <v>1.8028427970699999E-2</v>
      </c>
      <c r="S1355" s="135">
        <v>1.6769874532907798E-2</v>
      </c>
      <c r="T1355" s="135">
        <v>1.7967283055498599E-2</v>
      </c>
      <c r="U1355" s="135">
        <v>1.76791433354558E-2</v>
      </c>
      <c r="V1355" s="135">
        <v>1.9568826231970701E-2</v>
      </c>
      <c r="W1355" s="135">
        <v>2.2862814795718601E-2</v>
      </c>
      <c r="X1355" s="135">
        <v>3.43993283160609E-2</v>
      </c>
      <c r="Y1355" s="135">
        <v>4.8977280876126898E-2</v>
      </c>
      <c r="Z1355" s="135">
        <v>5.5132719978189797E-2</v>
      </c>
      <c r="AA1355" s="135">
        <v>5.0655597958882199E-2</v>
      </c>
      <c r="AB1355" s="135">
        <v>3.5017412737214502E-2</v>
      </c>
      <c r="AC1355" s="135">
        <v>2.04092271514421E-2</v>
      </c>
      <c r="AD1355" s="135">
        <v>1.2132588822108501E-2</v>
      </c>
      <c r="AF1355" s="243">
        <f t="shared" si="26"/>
        <v>0.12977146025043551</v>
      </c>
      <c r="AG1355" s="275">
        <f t="shared" si="27"/>
        <v>0.28295628858773214</v>
      </c>
      <c r="AH1355" s="391">
        <f t="shared" si="28"/>
        <v>0.3722091058921817</v>
      </c>
      <c r="AI1355" s="135">
        <f t="shared" si="29"/>
        <v>0.65516539447991384</v>
      </c>
    </row>
    <row r="1356" spans="1:35" ht="12.6">
      <c r="A1356" s="10" t="s">
        <v>1516</v>
      </c>
      <c r="B1356" s="10">
        <v>260</v>
      </c>
      <c r="C1356" s="10" t="s">
        <v>1515</v>
      </c>
      <c r="D1356" s="388">
        <v>45186</v>
      </c>
      <c r="E1356" s="389">
        <v>45186</v>
      </c>
      <c r="F1356" s="390" t="str">
        <f t="shared" si="25"/>
        <v>Space heating &amp; cooling</v>
      </c>
      <c r="G1356" s="135">
        <v>8.5589099629598906E-3</v>
      </c>
      <c r="H1356" s="135">
        <v>8.8675026375491794E-3</v>
      </c>
      <c r="I1356" s="135">
        <v>1.04552190481216E-2</v>
      </c>
      <c r="J1356" s="135">
        <v>1.17579119066295E-2</v>
      </c>
      <c r="K1356" s="135">
        <v>2.34986462305929E-2</v>
      </c>
      <c r="L1356" s="135">
        <v>3.7992631328469598E-2</v>
      </c>
      <c r="M1356" s="135">
        <v>5.4435709548307398E-2</v>
      </c>
      <c r="N1356" s="135">
        <v>5.4642862062522897E-2</v>
      </c>
      <c r="O1356" s="135">
        <v>3.4914845598458498E-2</v>
      </c>
      <c r="P1356" s="135">
        <v>2.3545540065841999E-2</v>
      </c>
      <c r="Q1356" s="135">
        <v>1.6895090328183999E-2</v>
      </c>
      <c r="R1356" s="135">
        <v>1.8028427970699999E-2</v>
      </c>
      <c r="S1356" s="135">
        <v>1.6769874532907798E-2</v>
      </c>
      <c r="T1356" s="135">
        <v>1.7967283055498599E-2</v>
      </c>
      <c r="U1356" s="135">
        <v>1.76791433354558E-2</v>
      </c>
      <c r="V1356" s="135">
        <v>1.9568826231970701E-2</v>
      </c>
      <c r="W1356" s="135">
        <v>2.2862814795718601E-2</v>
      </c>
      <c r="X1356" s="135">
        <v>3.43993283160609E-2</v>
      </c>
      <c r="Y1356" s="135">
        <v>4.8977280876126898E-2</v>
      </c>
      <c r="Z1356" s="135">
        <v>5.5132719978189797E-2</v>
      </c>
      <c r="AA1356" s="135">
        <v>5.0655597958882199E-2</v>
      </c>
      <c r="AB1356" s="135">
        <v>3.5017412737214502E-2</v>
      </c>
      <c r="AC1356" s="135">
        <v>2.04092271514421E-2</v>
      </c>
      <c r="AD1356" s="135">
        <v>1.2132588822108501E-2</v>
      </c>
      <c r="AF1356" s="243">
        <f t="shared" si="26"/>
        <v>0.12977146025043551</v>
      </c>
      <c r="AG1356" s="275">
        <f t="shared" si="27"/>
        <v>0.28295628858773214</v>
      </c>
      <c r="AH1356" s="391">
        <f t="shared" si="28"/>
        <v>0.3722091058921817</v>
      </c>
      <c r="AI1356" s="135">
        <f t="shared" si="29"/>
        <v>0.65516539447991384</v>
      </c>
    </row>
    <row r="1357" spans="1:35" ht="12.6">
      <c r="A1357" s="10" t="s">
        <v>1516</v>
      </c>
      <c r="B1357" s="10">
        <v>261</v>
      </c>
      <c r="C1357" s="10" t="s">
        <v>1515</v>
      </c>
      <c r="D1357" s="388">
        <v>45187</v>
      </c>
      <c r="E1357" s="389">
        <v>45187</v>
      </c>
      <c r="F1357" s="390" t="str">
        <f t="shared" si="25"/>
        <v>Space heating &amp; cooling</v>
      </c>
      <c r="G1357" s="135">
        <v>7.9701093391319894E-3</v>
      </c>
      <c r="H1357" s="135">
        <v>7.4832665995385097E-3</v>
      </c>
      <c r="I1357" s="135">
        <v>7.69715627583944E-3</v>
      </c>
      <c r="J1357" s="135">
        <v>9.0558823834452698E-3</v>
      </c>
      <c r="K1357" s="135">
        <v>2.4256472792327101E-2</v>
      </c>
      <c r="L1357" s="135">
        <v>4.6381320016590302E-2</v>
      </c>
      <c r="M1357" s="135">
        <v>6.4789814476515495E-2</v>
      </c>
      <c r="N1357" s="135">
        <v>4.7465098165324501E-2</v>
      </c>
      <c r="O1357" s="135">
        <v>1.8542043362905901E-2</v>
      </c>
      <c r="P1357" s="135">
        <v>1.08258742611059E-2</v>
      </c>
      <c r="Q1357" s="135">
        <v>9.6955164226364896E-3</v>
      </c>
      <c r="R1357" s="135">
        <v>1.03498589498542E-2</v>
      </c>
      <c r="S1357" s="135">
        <v>1.26127772721338E-2</v>
      </c>
      <c r="T1357" s="135">
        <v>1.1232358446720001E-2</v>
      </c>
      <c r="U1357" s="135">
        <v>1.1356930660348499E-2</v>
      </c>
      <c r="V1357" s="135">
        <v>1.5888125066151899E-2</v>
      </c>
      <c r="W1357" s="135">
        <v>2.6579895552935301E-2</v>
      </c>
      <c r="X1357" s="135">
        <v>4.1891713722363298E-2</v>
      </c>
      <c r="Y1357" s="135">
        <v>5.4221897816034197E-2</v>
      </c>
      <c r="Z1357" s="135">
        <v>5.85242454944035E-2</v>
      </c>
      <c r="AA1357" s="135">
        <v>4.9229635916048502E-2</v>
      </c>
      <c r="AB1357" s="135">
        <v>2.87149553901715E-2</v>
      </c>
      <c r="AC1357" s="135">
        <v>1.39941036329968E-2</v>
      </c>
      <c r="AD1357" s="135">
        <v>8.3255300479366107E-3</v>
      </c>
      <c r="AF1357" s="243">
        <f t="shared" si="26"/>
        <v>9.7715462370780187E-2</v>
      </c>
      <c r="AG1357" s="275">
        <f t="shared" si="27"/>
        <v>0.26762374256261096</v>
      </c>
      <c r="AH1357" s="391">
        <f t="shared" si="28"/>
        <v>0.32946083950084798</v>
      </c>
      <c r="AI1357" s="135">
        <f t="shared" si="29"/>
        <v>0.59708458206345894</v>
      </c>
    </row>
    <row r="1358" spans="1:35" ht="12.6">
      <c r="A1358" s="10" t="s">
        <v>1516</v>
      </c>
      <c r="B1358" s="10">
        <v>262</v>
      </c>
      <c r="C1358" s="10" t="s">
        <v>1515</v>
      </c>
      <c r="D1358" s="388">
        <v>45188</v>
      </c>
      <c r="E1358" s="389">
        <v>45188</v>
      </c>
      <c r="F1358" s="390" t="str">
        <f t="shared" si="25"/>
        <v>Space heating &amp; cooling</v>
      </c>
      <c r="G1358" s="135">
        <v>7.9701093391319894E-3</v>
      </c>
      <c r="H1358" s="135">
        <v>7.4832665995385097E-3</v>
      </c>
      <c r="I1358" s="135">
        <v>7.69715627583944E-3</v>
      </c>
      <c r="J1358" s="135">
        <v>9.0558823834452698E-3</v>
      </c>
      <c r="K1358" s="135">
        <v>2.4256472792327101E-2</v>
      </c>
      <c r="L1358" s="135">
        <v>4.6381320016590302E-2</v>
      </c>
      <c r="M1358" s="135">
        <v>6.4789814476515495E-2</v>
      </c>
      <c r="N1358" s="135">
        <v>4.7465098165324501E-2</v>
      </c>
      <c r="O1358" s="135">
        <v>1.8542043362905901E-2</v>
      </c>
      <c r="P1358" s="135">
        <v>1.08258742611059E-2</v>
      </c>
      <c r="Q1358" s="135">
        <v>9.6955164226364896E-3</v>
      </c>
      <c r="R1358" s="135">
        <v>1.03498589498542E-2</v>
      </c>
      <c r="S1358" s="135">
        <v>1.26127772721338E-2</v>
      </c>
      <c r="T1358" s="135">
        <v>1.1232358446720001E-2</v>
      </c>
      <c r="U1358" s="135">
        <v>1.1356930660348499E-2</v>
      </c>
      <c r="V1358" s="135">
        <v>1.5888125066151899E-2</v>
      </c>
      <c r="W1358" s="135">
        <v>2.6579895552935301E-2</v>
      </c>
      <c r="X1358" s="135">
        <v>4.1891713722363298E-2</v>
      </c>
      <c r="Y1358" s="135">
        <v>5.4221897816034197E-2</v>
      </c>
      <c r="Z1358" s="135">
        <v>5.85242454944035E-2</v>
      </c>
      <c r="AA1358" s="135">
        <v>4.9229635916048502E-2</v>
      </c>
      <c r="AB1358" s="135">
        <v>2.87149553901715E-2</v>
      </c>
      <c r="AC1358" s="135">
        <v>1.39941036329968E-2</v>
      </c>
      <c r="AD1358" s="135">
        <v>8.3255300479366107E-3</v>
      </c>
      <c r="AF1358" s="243">
        <f t="shared" si="26"/>
        <v>9.7715462370780187E-2</v>
      </c>
      <c r="AG1358" s="275">
        <f t="shared" si="27"/>
        <v>0.26762374256261096</v>
      </c>
      <c r="AH1358" s="391">
        <f t="shared" si="28"/>
        <v>0.32946083950084798</v>
      </c>
      <c r="AI1358" s="135">
        <f t="shared" si="29"/>
        <v>0.59708458206345894</v>
      </c>
    </row>
    <row r="1359" spans="1:35" ht="12.6">
      <c r="A1359" s="10" t="s">
        <v>1516</v>
      </c>
      <c r="B1359" s="10">
        <v>263</v>
      </c>
      <c r="C1359" s="10" t="s">
        <v>1515</v>
      </c>
      <c r="D1359" s="388">
        <v>45189</v>
      </c>
      <c r="E1359" s="389">
        <v>45189</v>
      </c>
      <c r="F1359" s="390" t="str">
        <f t="shared" si="25"/>
        <v>Space heating &amp; cooling</v>
      </c>
      <c r="G1359" s="135">
        <v>7.9701093391319894E-3</v>
      </c>
      <c r="H1359" s="135">
        <v>7.4832665995385097E-3</v>
      </c>
      <c r="I1359" s="135">
        <v>7.69715627583944E-3</v>
      </c>
      <c r="J1359" s="135">
        <v>9.0558823834452698E-3</v>
      </c>
      <c r="K1359" s="135">
        <v>2.4256472792327101E-2</v>
      </c>
      <c r="L1359" s="135">
        <v>4.6381320016590302E-2</v>
      </c>
      <c r="M1359" s="135">
        <v>6.4789814476515495E-2</v>
      </c>
      <c r="N1359" s="135">
        <v>4.7465098165324501E-2</v>
      </c>
      <c r="O1359" s="135">
        <v>1.8542043362905901E-2</v>
      </c>
      <c r="P1359" s="135">
        <v>1.08258742611059E-2</v>
      </c>
      <c r="Q1359" s="135">
        <v>9.6955164226364896E-3</v>
      </c>
      <c r="R1359" s="135">
        <v>1.03498589498542E-2</v>
      </c>
      <c r="S1359" s="135">
        <v>1.26127772721338E-2</v>
      </c>
      <c r="T1359" s="135">
        <v>1.1232358446720001E-2</v>
      </c>
      <c r="U1359" s="135">
        <v>1.1356930660348499E-2</v>
      </c>
      <c r="V1359" s="135">
        <v>1.5888125066151899E-2</v>
      </c>
      <c r="W1359" s="135">
        <v>2.6579895552935301E-2</v>
      </c>
      <c r="X1359" s="135">
        <v>4.1891713722363298E-2</v>
      </c>
      <c r="Y1359" s="135">
        <v>5.4221897816034197E-2</v>
      </c>
      <c r="Z1359" s="135">
        <v>5.85242454944035E-2</v>
      </c>
      <c r="AA1359" s="135">
        <v>4.9229635916048502E-2</v>
      </c>
      <c r="AB1359" s="135">
        <v>2.87149553901715E-2</v>
      </c>
      <c r="AC1359" s="135">
        <v>1.39941036329968E-2</v>
      </c>
      <c r="AD1359" s="135">
        <v>8.3255300479366107E-3</v>
      </c>
      <c r="AF1359" s="243">
        <f t="shared" si="26"/>
        <v>9.7715462370780187E-2</v>
      </c>
      <c r="AG1359" s="275">
        <f t="shared" si="27"/>
        <v>0.26762374256261096</v>
      </c>
      <c r="AH1359" s="391">
        <f t="shared" si="28"/>
        <v>0.32946083950084798</v>
      </c>
      <c r="AI1359" s="135">
        <f t="shared" si="29"/>
        <v>0.59708458206345894</v>
      </c>
    </row>
    <row r="1360" spans="1:35" ht="12.6">
      <c r="A1360" s="10" t="s">
        <v>1516</v>
      </c>
      <c r="B1360" s="10">
        <v>264</v>
      </c>
      <c r="C1360" s="10" t="s">
        <v>1515</v>
      </c>
      <c r="D1360" s="388">
        <v>45190</v>
      </c>
      <c r="E1360" s="389">
        <v>45190</v>
      </c>
      <c r="F1360" s="390" t="str">
        <f t="shared" si="25"/>
        <v>Space heating &amp; cooling</v>
      </c>
      <c r="G1360" s="135">
        <v>7.9701093391319894E-3</v>
      </c>
      <c r="H1360" s="135">
        <v>7.4832665995385097E-3</v>
      </c>
      <c r="I1360" s="135">
        <v>7.69715627583944E-3</v>
      </c>
      <c r="J1360" s="135">
        <v>9.0558823834452698E-3</v>
      </c>
      <c r="K1360" s="135">
        <v>2.4256472792327101E-2</v>
      </c>
      <c r="L1360" s="135">
        <v>4.6381320016590302E-2</v>
      </c>
      <c r="M1360" s="135">
        <v>6.4789814476515495E-2</v>
      </c>
      <c r="N1360" s="135">
        <v>4.7465098165324501E-2</v>
      </c>
      <c r="O1360" s="135">
        <v>1.8542043362905901E-2</v>
      </c>
      <c r="P1360" s="135">
        <v>1.08258742611059E-2</v>
      </c>
      <c r="Q1360" s="135">
        <v>9.6955164226364896E-3</v>
      </c>
      <c r="R1360" s="135">
        <v>1.03498589498542E-2</v>
      </c>
      <c r="S1360" s="135">
        <v>1.26127772721338E-2</v>
      </c>
      <c r="T1360" s="135">
        <v>1.1232358446720001E-2</v>
      </c>
      <c r="U1360" s="135">
        <v>1.1356930660348499E-2</v>
      </c>
      <c r="V1360" s="135">
        <v>1.5888125066151899E-2</v>
      </c>
      <c r="W1360" s="135">
        <v>2.6579895552935301E-2</v>
      </c>
      <c r="X1360" s="135">
        <v>4.1891713722363298E-2</v>
      </c>
      <c r="Y1360" s="135">
        <v>5.4221897816034197E-2</v>
      </c>
      <c r="Z1360" s="135">
        <v>5.85242454944035E-2</v>
      </c>
      <c r="AA1360" s="135">
        <v>4.9229635916048502E-2</v>
      </c>
      <c r="AB1360" s="135">
        <v>2.87149553901715E-2</v>
      </c>
      <c r="AC1360" s="135">
        <v>1.39941036329968E-2</v>
      </c>
      <c r="AD1360" s="135">
        <v>8.3255300479366107E-3</v>
      </c>
      <c r="AF1360" s="243">
        <f t="shared" si="26"/>
        <v>9.7715462370780187E-2</v>
      </c>
      <c r="AG1360" s="275">
        <f t="shared" si="27"/>
        <v>0.26762374256261096</v>
      </c>
      <c r="AH1360" s="391">
        <f t="shared" si="28"/>
        <v>0.32946083950084798</v>
      </c>
      <c r="AI1360" s="135">
        <f t="shared" si="29"/>
        <v>0.59708458206345894</v>
      </c>
    </row>
    <row r="1361" spans="1:35" ht="12.6">
      <c r="A1361" s="10" t="s">
        <v>1516</v>
      </c>
      <c r="B1361" s="10">
        <v>265</v>
      </c>
      <c r="C1361" s="10" t="s">
        <v>1515</v>
      </c>
      <c r="D1361" s="388">
        <v>45191</v>
      </c>
      <c r="E1361" s="389">
        <v>45191</v>
      </c>
      <c r="F1361" s="390" t="str">
        <f t="shared" si="25"/>
        <v>Space heating &amp; cooling</v>
      </c>
      <c r="G1361" s="135">
        <v>7.9701093391319894E-3</v>
      </c>
      <c r="H1361" s="135">
        <v>7.4832665995385097E-3</v>
      </c>
      <c r="I1361" s="135">
        <v>7.69715627583944E-3</v>
      </c>
      <c r="J1361" s="135">
        <v>9.0558823834452698E-3</v>
      </c>
      <c r="K1361" s="135">
        <v>2.4256472792327101E-2</v>
      </c>
      <c r="L1361" s="135">
        <v>4.6381320016590302E-2</v>
      </c>
      <c r="M1361" s="135">
        <v>6.4789814476515495E-2</v>
      </c>
      <c r="N1361" s="135">
        <v>4.7465098165324501E-2</v>
      </c>
      <c r="O1361" s="135">
        <v>1.8542043362905901E-2</v>
      </c>
      <c r="P1361" s="135">
        <v>1.08258742611059E-2</v>
      </c>
      <c r="Q1361" s="135">
        <v>9.6955164226364896E-3</v>
      </c>
      <c r="R1361" s="135">
        <v>1.03498589498542E-2</v>
      </c>
      <c r="S1361" s="135">
        <v>1.26127772721338E-2</v>
      </c>
      <c r="T1361" s="135">
        <v>1.1232358446720001E-2</v>
      </c>
      <c r="U1361" s="135">
        <v>1.1356930660348499E-2</v>
      </c>
      <c r="V1361" s="135">
        <v>1.5888125066151899E-2</v>
      </c>
      <c r="W1361" s="135">
        <v>2.6579895552935301E-2</v>
      </c>
      <c r="X1361" s="135">
        <v>4.1891713722363298E-2</v>
      </c>
      <c r="Y1361" s="135">
        <v>5.4221897816034197E-2</v>
      </c>
      <c r="Z1361" s="135">
        <v>5.85242454944035E-2</v>
      </c>
      <c r="AA1361" s="135">
        <v>4.9229635916048502E-2</v>
      </c>
      <c r="AB1361" s="135">
        <v>2.87149553901715E-2</v>
      </c>
      <c r="AC1361" s="135">
        <v>1.39941036329968E-2</v>
      </c>
      <c r="AD1361" s="135">
        <v>8.3255300479366107E-3</v>
      </c>
      <c r="AF1361" s="243">
        <f t="shared" si="26"/>
        <v>9.7715462370780187E-2</v>
      </c>
      <c r="AG1361" s="275">
        <f t="shared" si="27"/>
        <v>0.26762374256261096</v>
      </c>
      <c r="AH1361" s="391">
        <f t="shared" si="28"/>
        <v>0.32946083950084798</v>
      </c>
      <c r="AI1361" s="135">
        <f t="shared" si="29"/>
        <v>0.59708458206345894</v>
      </c>
    </row>
    <row r="1362" spans="1:35" ht="12.6">
      <c r="A1362" s="10" t="s">
        <v>1516</v>
      </c>
      <c r="B1362" s="10">
        <v>266</v>
      </c>
      <c r="C1362" s="10" t="s">
        <v>1515</v>
      </c>
      <c r="D1362" s="388">
        <v>45192</v>
      </c>
      <c r="E1362" s="389">
        <v>45192</v>
      </c>
      <c r="F1362" s="390" t="str">
        <f t="shared" si="25"/>
        <v>Space heating &amp; cooling</v>
      </c>
      <c r="G1362" s="135">
        <v>8.5589099629598906E-3</v>
      </c>
      <c r="H1362" s="135">
        <v>8.8675026375491794E-3</v>
      </c>
      <c r="I1362" s="135">
        <v>1.04552190481216E-2</v>
      </c>
      <c r="J1362" s="135">
        <v>1.17579119066295E-2</v>
      </c>
      <c r="K1362" s="135">
        <v>2.34986462305929E-2</v>
      </c>
      <c r="L1362" s="135">
        <v>3.7992631328469598E-2</v>
      </c>
      <c r="M1362" s="135">
        <v>5.4435709548307398E-2</v>
      </c>
      <c r="N1362" s="135">
        <v>5.4642862062522897E-2</v>
      </c>
      <c r="O1362" s="135">
        <v>3.4914845598458498E-2</v>
      </c>
      <c r="P1362" s="135">
        <v>2.3545540065841999E-2</v>
      </c>
      <c r="Q1362" s="135">
        <v>1.6895090328183999E-2</v>
      </c>
      <c r="R1362" s="135">
        <v>1.8028427970699999E-2</v>
      </c>
      <c r="S1362" s="135">
        <v>1.6769874532907798E-2</v>
      </c>
      <c r="T1362" s="135">
        <v>1.7967283055498599E-2</v>
      </c>
      <c r="U1362" s="135">
        <v>1.76791433354558E-2</v>
      </c>
      <c r="V1362" s="135">
        <v>1.9568826231970701E-2</v>
      </c>
      <c r="W1362" s="135">
        <v>2.2862814795718601E-2</v>
      </c>
      <c r="X1362" s="135">
        <v>3.43993283160609E-2</v>
      </c>
      <c r="Y1362" s="135">
        <v>4.8977280876126898E-2</v>
      </c>
      <c r="Z1362" s="135">
        <v>5.5132719978189797E-2</v>
      </c>
      <c r="AA1362" s="135">
        <v>5.0655597958882199E-2</v>
      </c>
      <c r="AB1362" s="135">
        <v>3.5017412737214502E-2</v>
      </c>
      <c r="AC1362" s="135">
        <v>2.04092271514421E-2</v>
      </c>
      <c r="AD1362" s="135">
        <v>1.2132588822108501E-2</v>
      </c>
      <c r="AF1362" s="243">
        <f t="shared" si="26"/>
        <v>0.12977146025043551</v>
      </c>
      <c r="AG1362" s="275">
        <f t="shared" si="27"/>
        <v>0.28295628858773214</v>
      </c>
      <c r="AH1362" s="391">
        <f t="shared" si="28"/>
        <v>0.3722091058921817</v>
      </c>
      <c r="AI1362" s="135">
        <f t="shared" si="29"/>
        <v>0.65516539447991384</v>
      </c>
    </row>
    <row r="1363" spans="1:35" ht="12.6">
      <c r="A1363" s="10" t="s">
        <v>1516</v>
      </c>
      <c r="B1363" s="10">
        <v>267</v>
      </c>
      <c r="C1363" s="10" t="s">
        <v>1515</v>
      </c>
      <c r="D1363" s="388">
        <v>45193</v>
      </c>
      <c r="E1363" s="389">
        <v>45193</v>
      </c>
      <c r="F1363" s="390" t="str">
        <f t="shared" si="25"/>
        <v>Space heating &amp; cooling</v>
      </c>
      <c r="G1363" s="135">
        <v>8.5589099629598906E-3</v>
      </c>
      <c r="H1363" s="135">
        <v>8.8675026375491794E-3</v>
      </c>
      <c r="I1363" s="135">
        <v>1.04552190481216E-2</v>
      </c>
      <c r="J1363" s="135">
        <v>1.17579119066295E-2</v>
      </c>
      <c r="K1363" s="135">
        <v>2.34986462305929E-2</v>
      </c>
      <c r="L1363" s="135">
        <v>3.7992631328469598E-2</v>
      </c>
      <c r="M1363" s="135">
        <v>5.4435709548307398E-2</v>
      </c>
      <c r="N1363" s="135">
        <v>5.4642862062522897E-2</v>
      </c>
      <c r="O1363" s="135">
        <v>3.4914845598458498E-2</v>
      </c>
      <c r="P1363" s="135">
        <v>2.3545540065841999E-2</v>
      </c>
      <c r="Q1363" s="135">
        <v>1.6895090328183999E-2</v>
      </c>
      <c r="R1363" s="135">
        <v>1.8028427970699999E-2</v>
      </c>
      <c r="S1363" s="135">
        <v>1.6769874532907798E-2</v>
      </c>
      <c r="T1363" s="135">
        <v>1.7967283055498599E-2</v>
      </c>
      <c r="U1363" s="135">
        <v>1.76791433354558E-2</v>
      </c>
      <c r="V1363" s="135">
        <v>1.9568826231970701E-2</v>
      </c>
      <c r="W1363" s="135">
        <v>2.2862814795718601E-2</v>
      </c>
      <c r="X1363" s="135">
        <v>3.43993283160609E-2</v>
      </c>
      <c r="Y1363" s="135">
        <v>4.8977280876126898E-2</v>
      </c>
      <c r="Z1363" s="135">
        <v>5.5132719978189797E-2</v>
      </c>
      <c r="AA1363" s="135">
        <v>5.0655597958882199E-2</v>
      </c>
      <c r="AB1363" s="135">
        <v>3.5017412737214502E-2</v>
      </c>
      <c r="AC1363" s="135">
        <v>2.04092271514421E-2</v>
      </c>
      <c r="AD1363" s="135">
        <v>1.2132588822108501E-2</v>
      </c>
      <c r="AF1363" s="243">
        <f t="shared" si="26"/>
        <v>0.12977146025043551</v>
      </c>
      <c r="AG1363" s="275">
        <f t="shared" si="27"/>
        <v>0.28295628858773214</v>
      </c>
      <c r="AH1363" s="391">
        <f t="shared" si="28"/>
        <v>0.3722091058921817</v>
      </c>
      <c r="AI1363" s="135">
        <f t="shared" si="29"/>
        <v>0.65516539447991384</v>
      </c>
    </row>
    <row r="1364" spans="1:35" ht="12.6">
      <c r="A1364" s="10" t="s">
        <v>1516</v>
      </c>
      <c r="B1364" s="10">
        <v>268</v>
      </c>
      <c r="C1364" s="10" t="s">
        <v>1515</v>
      </c>
      <c r="D1364" s="388">
        <v>45194</v>
      </c>
      <c r="E1364" s="389">
        <v>45194</v>
      </c>
      <c r="F1364" s="390" t="str">
        <f t="shared" si="25"/>
        <v>Space heating &amp; cooling</v>
      </c>
      <c r="G1364" s="135">
        <v>7.9701093391319894E-3</v>
      </c>
      <c r="H1364" s="135">
        <v>7.4832665995385097E-3</v>
      </c>
      <c r="I1364" s="135">
        <v>7.69715627583944E-3</v>
      </c>
      <c r="J1364" s="135">
        <v>9.0558823834452698E-3</v>
      </c>
      <c r="K1364" s="135">
        <v>2.4256472792327101E-2</v>
      </c>
      <c r="L1364" s="135">
        <v>4.6381320016590302E-2</v>
      </c>
      <c r="M1364" s="135">
        <v>6.4789814476515495E-2</v>
      </c>
      <c r="N1364" s="135">
        <v>4.7465098165324501E-2</v>
      </c>
      <c r="O1364" s="135">
        <v>1.8542043362905901E-2</v>
      </c>
      <c r="P1364" s="135">
        <v>1.08258742611059E-2</v>
      </c>
      <c r="Q1364" s="135">
        <v>9.6955164226364896E-3</v>
      </c>
      <c r="R1364" s="135">
        <v>1.03498589498542E-2</v>
      </c>
      <c r="S1364" s="135">
        <v>1.26127772721338E-2</v>
      </c>
      <c r="T1364" s="135">
        <v>1.1232358446720001E-2</v>
      </c>
      <c r="U1364" s="135">
        <v>1.1356930660348499E-2</v>
      </c>
      <c r="V1364" s="135">
        <v>1.5888125066151899E-2</v>
      </c>
      <c r="W1364" s="135">
        <v>2.6579895552935301E-2</v>
      </c>
      <c r="X1364" s="135">
        <v>4.1891713722363298E-2</v>
      </c>
      <c r="Y1364" s="135">
        <v>5.4221897816034197E-2</v>
      </c>
      <c r="Z1364" s="135">
        <v>5.85242454944035E-2</v>
      </c>
      <c r="AA1364" s="135">
        <v>4.9229635916048502E-2</v>
      </c>
      <c r="AB1364" s="135">
        <v>2.87149553901715E-2</v>
      </c>
      <c r="AC1364" s="135">
        <v>1.39941036329968E-2</v>
      </c>
      <c r="AD1364" s="135">
        <v>8.3255300479366107E-3</v>
      </c>
      <c r="AF1364" s="243">
        <f t="shared" si="26"/>
        <v>9.7715462370780187E-2</v>
      </c>
      <c r="AG1364" s="275">
        <f t="shared" si="27"/>
        <v>0.26762374256261096</v>
      </c>
      <c r="AH1364" s="391">
        <f t="shared" si="28"/>
        <v>0.32946083950084798</v>
      </c>
      <c r="AI1364" s="135">
        <f t="shared" si="29"/>
        <v>0.59708458206345894</v>
      </c>
    </row>
    <row r="1365" spans="1:35" ht="12.6">
      <c r="A1365" s="10" t="s">
        <v>1516</v>
      </c>
      <c r="B1365" s="10">
        <v>269</v>
      </c>
      <c r="C1365" s="10" t="s">
        <v>1515</v>
      </c>
      <c r="D1365" s="388">
        <v>45195</v>
      </c>
      <c r="E1365" s="389">
        <v>45195</v>
      </c>
      <c r="F1365" s="390" t="str">
        <f t="shared" si="25"/>
        <v>Space heating &amp; cooling</v>
      </c>
      <c r="G1365" s="135">
        <v>7.9701093391319894E-3</v>
      </c>
      <c r="H1365" s="135">
        <v>7.4832665995385097E-3</v>
      </c>
      <c r="I1365" s="135">
        <v>7.69715627583944E-3</v>
      </c>
      <c r="J1365" s="135">
        <v>9.0558823834452698E-3</v>
      </c>
      <c r="K1365" s="135">
        <v>2.4256472792327101E-2</v>
      </c>
      <c r="L1365" s="135">
        <v>4.6381320016590302E-2</v>
      </c>
      <c r="M1365" s="135">
        <v>6.4789814476515495E-2</v>
      </c>
      <c r="N1365" s="135">
        <v>4.7465098165324501E-2</v>
      </c>
      <c r="O1365" s="135">
        <v>1.8542043362905901E-2</v>
      </c>
      <c r="P1365" s="135">
        <v>1.08258742611059E-2</v>
      </c>
      <c r="Q1365" s="135">
        <v>9.6955164226364896E-3</v>
      </c>
      <c r="R1365" s="135">
        <v>1.03498589498542E-2</v>
      </c>
      <c r="S1365" s="135">
        <v>1.26127772721338E-2</v>
      </c>
      <c r="T1365" s="135">
        <v>1.1232358446720001E-2</v>
      </c>
      <c r="U1365" s="135">
        <v>1.1356930660348499E-2</v>
      </c>
      <c r="V1365" s="135">
        <v>1.5888125066151899E-2</v>
      </c>
      <c r="W1365" s="135">
        <v>2.6579895552935301E-2</v>
      </c>
      <c r="X1365" s="135">
        <v>4.1891713722363298E-2</v>
      </c>
      <c r="Y1365" s="135">
        <v>5.4221897816034197E-2</v>
      </c>
      <c r="Z1365" s="135">
        <v>5.85242454944035E-2</v>
      </c>
      <c r="AA1365" s="135">
        <v>4.9229635916048502E-2</v>
      </c>
      <c r="AB1365" s="135">
        <v>2.87149553901715E-2</v>
      </c>
      <c r="AC1365" s="135">
        <v>1.39941036329968E-2</v>
      </c>
      <c r="AD1365" s="135">
        <v>8.3255300479366107E-3</v>
      </c>
      <c r="AF1365" s="243">
        <f t="shared" si="26"/>
        <v>9.7715462370780187E-2</v>
      </c>
      <c r="AG1365" s="275">
        <f t="shared" si="27"/>
        <v>0.26762374256261096</v>
      </c>
      <c r="AH1365" s="391">
        <f t="shared" si="28"/>
        <v>0.32946083950084798</v>
      </c>
      <c r="AI1365" s="135">
        <f t="shared" si="29"/>
        <v>0.59708458206345894</v>
      </c>
    </row>
    <row r="1366" spans="1:35" ht="12.6">
      <c r="A1366" s="10" t="s">
        <v>1516</v>
      </c>
      <c r="B1366" s="10">
        <v>270</v>
      </c>
      <c r="C1366" s="10" t="s">
        <v>1515</v>
      </c>
      <c r="D1366" s="388">
        <v>45196</v>
      </c>
      <c r="E1366" s="389">
        <v>45196</v>
      </c>
      <c r="F1366" s="390" t="str">
        <f t="shared" si="25"/>
        <v>Space heating &amp; cooling</v>
      </c>
      <c r="G1366" s="135">
        <v>7.9701093391319894E-3</v>
      </c>
      <c r="H1366" s="135">
        <v>7.4832665995385097E-3</v>
      </c>
      <c r="I1366" s="135">
        <v>7.69715627583944E-3</v>
      </c>
      <c r="J1366" s="135">
        <v>9.0558823834452698E-3</v>
      </c>
      <c r="K1366" s="135">
        <v>2.4256472792327101E-2</v>
      </c>
      <c r="L1366" s="135">
        <v>4.6381320016590302E-2</v>
      </c>
      <c r="M1366" s="135">
        <v>6.4789814476515495E-2</v>
      </c>
      <c r="N1366" s="135">
        <v>4.7465098165324501E-2</v>
      </c>
      <c r="O1366" s="135">
        <v>1.8542043362905901E-2</v>
      </c>
      <c r="P1366" s="135">
        <v>1.08258742611059E-2</v>
      </c>
      <c r="Q1366" s="135">
        <v>9.6955164226364896E-3</v>
      </c>
      <c r="R1366" s="135">
        <v>1.03498589498542E-2</v>
      </c>
      <c r="S1366" s="135">
        <v>1.26127772721338E-2</v>
      </c>
      <c r="T1366" s="135">
        <v>1.1232358446720001E-2</v>
      </c>
      <c r="U1366" s="135">
        <v>1.1356930660348499E-2</v>
      </c>
      <c r="V1366" s="135">
        <v>1.5888125066151899E-2</v>
      </c>
      <c r="W1366" s="135">
        <v>2.6579895552935301E-2</v>
      </c>
      <c r="X1366" s="135">
        <v>4.1891713722363298E-2</v>
      </c>
      <c r="Y1366" s="135">
        <v>5.4221897816034197E-2</v>
      </c>
      <c r="Z1366" s="135">
        <v>5.85242454944035E-2</v>
      </c>
      <c r="AA1366" s="135">
        <v>4.9229635916048502E-2</v>
      </c>
      <c r="AB1366" s="135">
        <v>2.87149553901715E-2</v>
      </c>
      <c r="AC1366" s="135">
        <v>1.39941036329968E-2</v>
      </c>
      <c r="AD1366" s="135">
        <v>8.3255300479366107E-3</v>
      </c>
      <c r="AF1366" s="243">
        <f t="shared" si="26"/>
        <v>9.7715462370780187E-2</v>
      </c>
      <c r="AG1366" s="275">
        <f t="shared" si="27"/>
        <v>0.26762374256261096</v>
      </c>
      <c r="AH1366" s="391">
        <f t="shared" si="28"/>
        <v>0.32946083950084798</v>
      </c>
      <c r="AI1366" s="135">
        <f t="shared" si="29"/>
        <v>0.59708458206345894</v>
      </c>
    </row>
    <row r="1367" spans="1:35" ht="12.6">
      <c r="A1367" s="10" t="s">
        <v>1516</v>
      </c>
      <c r="B1367" s="10">
        <v>271</v>
      </c>
      <c r="C1367" s="10" t="s">
        <v>1515</v>
      </c>
      <c r="D1367" s="388">
        <v>45197</v>
      </c>
      <c r="E1367" s="389">
        <v>45197</v>
      </c>
      <c r="F1367" s="390" t="str">
        <f t="shared" si="25"/>
        <v>Space heating &amp; cooling</v>
      </c>
      <c r="G1367" s="135">
        <v>7.9701093391319894E-3</v>
      </c>
      <c r="H1367" s="135">
        <v>7.4832665995385097E-3</v>
      </c>
      <c r="I1367" s="135">
        <v>7.69715627583944E-3</v>
      </c>
      <c r="J1367" s="135">
        <v>9.0558823834452698E-3</v>
      </c>
      <c r="K1367" s="135">
        <v>2.4256472792327101E-2</v>
      </c>
      <c r="L1367" s="135">
        <v>4.6381320016590302E-2</v>
      </c>
      <c r="M1367" s="135">
        <v>6.4789814476515495E-2</v>
      </c>
      <c r="N1367" s="135">
        <v>4.7465098165324501E-2</v>
      </c>
      <c r="O1367" s="135">
        <v>1.8542043362905901E-2</v>
      </c>
      <c r="P1367" s="135">
        <v>1.08258742611059E-2</v>
      </c>
      <c r="Q1367" s="135">
        <v>9.6955164226364896E-3</v>
      </c>
      <c r="R1367" s="135">
        <v>1.03498589498542E-2</v>
      </c>
      <c r="S1367" s="135">
        <v>1.26127772721338E-2</v>
      </c>
      <c r="T1367" s="135">
        <v>1.1232358446720001E-2</v>
      </c>
      <c r="U1367" s="135">
        <v>1.1356930660348499E-2</v>
      </c>
      <c r="V1367" s="135">
        <v>1.5888125066151899E-2</v>
      </c>
      <c r="W1367" s="135">
        <v>2.6579895552935301E-2</v>
      </c>
      <c r="X1367" s="135">
        <v>4.1891713722363298E-2</v>
      </c>
      <c r="Y1367" s="135">
        <v>5.4221897816034197E-2</v>
      </c>
      <c r="Z1367" s="135">
        <v>5.85242454944035E-2</v>
      </c>
      <c r="AA1367" s="135">
        <v>4.9229635916048502E-2</v>
      </c>
      <c r="AB1367" s="135">
        <v>2.87149553901715E-2</v>
      </c>
      <c r="AC1367" s="135">
        <v>1.39941036329968E-2</v>
      </c>
      <c r="AD1367" s="135">
        <v>8.3255300479366107E-3</v>
      </c>
      <c r="AF1367" s="243">
        <f t="shared" si="26"/>
        <v>9.7715462370780187E-2</v>
      </c>
      <c r="AG1367" s="275">
        <f t="shared" si="27"/>
        <v>0.26762374256261096</v>
      </c>
      <c r="AH1367" s="391">
        <f t="shared" si="28"/>
        <v>0.32946083950084798</v>
      </c>
      <c r="AI1367" s="135">
        <f t="shared" si="29"/>
        <v>0.59708458206345894</v>
      </c>
    </row>
    <row r="1368" spans="1:35" ht="12.6">
      <c r="A1368" s="10" t="s">
        <v>1516</v>
      </c>
      <c r="B1368" s="10">
        <v>272</v>
      </c>
      <c r="C1368" s="10" t="s">
        <v>1515</v>
      </c>
      <c r="D1368" s="388">
        <v>45198</v>
      </c>
      <c r="E1368" s="389">
        <v>45198</v>
      </c>
      <c r="F1368" s="390" t="str">
        <f t="shared" si="25"/>
        <v>Space heating &amp; cooling</v>
      </c>
      <c r="G1368" s="135">
        <v>7.9701093391319894E-3</v>
      </c>
      <c r="H1368" s="135">
        <v>7.4832665995385097E-3</v>
      </c>
      <c r="I1368" s="135">
        <v>7.69715627583944E-3</v>
      </c>
      <c r="J1368" s="135">
        <v>9.0558823834452698E-3</v>
      </c>
      <c r="K1368" s="135">
        <v>2.4256472792327101E-2</v>
      </c>
      <c r="L1368" s="135">
        <v>4.6381320016590302E-2</v>
      </c>
      <c r="M1368" s="135">
        <v>6.4789814476515495E-2</v>
      </c>
      <c r="N1368" s="135">
        <v>4.7465098165324501E-2</v>
      </c>
      <c r="O1368" s="135">
        <v>1.8542043362905901E-2</v>
      </c>
      <c r="P1368" s="135">
        <v>1.08258742611059E-2</v>
      </c>
      <c r="Q1368" s="135">
        <v>9.6955164226364896E-3</v>
      </c>
      <c r="R1368" s="135">
        <v>1.03498589498542E-2</v>
      </c>
      <c r="S1368" s="135">
        <v>1.26127772721338E-2</v>
      </c>
      <c r="T1368" s="135">
        <v>1.1232358446720001E-2</v>
      </c>
      <c r="U1368" s="135">
        <v>1.1356930660348499E-2</v>
      </c>
      <c r="V1368" s="135">
        <v>1.5888125066151899E-2</v>
      </c>
      <c r="W1368" s="135">
        <v>2.6579895552935301E-2</v>
      </c>
      <c r="X1368" s="135">
        <v>4.1891713722363298E-2</v>
      </c>
      <c r="Y1368" s="135">
        <v>5.4221897816034197E-2</v>
      </c>
      <c r="Z1368" s="135">
        <v>5.85242454944035E-2</v>
      </c>
      <c r="AA1368" s="135">
        <v>4.9229635916048502E-2</v>
      </c>
      <c r="AB1368" s="135">
        <v>2.87149553901715E-2</v>
      </c>
      <c r="AC1368" s="135">
        <v>1.39941036329968E-2</v>
      </c>
      <c r="AD1368" s="135">
        <v>8.3255300479366107E-3</v>
      </c>
      <c r="AF1368" s="243">
        <f t="shared" si="26"/>
        <v>9.7715462370780187E-2</v>
      </c>
      <c r="AG1368" s="275">
        <f t="shared" si="27"/>
        <v>0.26762374256261096</v>
      </c>
      <c r="AH1368" s="391">
        <f t="shared" si="28"/>
        <v>0.32946083950084798</v>
      </c>
      <c r="AI1368" s="135">
        <f t="shared" si="29"/>
        <v>0.59708458206345894</v>
      </c>
    </row>
    <row r="1369" spans="1:35" ht="12.6">
      <c r="A1369" s="10" t="s">
        <v>1516</v>
      </c>
      <c r="B1369" s="10">
        <v>273</v>
      </c>
      <c r="C1369" s="10" t="s">
        <v>1515</v>
      </c>
      <c r="D1369" s="388">
        <v>45199</v>
      </c>
      <c r="E1369" s="389">
        <v>45199</v>
      </c>
      <c r="F1369" s="390" t="str">
        <f t="shared" si="25"/>
        <v>Space heating &amp; cooling</v>
      </c>
      <c r="G1369" s="135">
        <v>8.5589099629598906E-3</v>
      </c>
      <c r="H1369" s="135">
        <v>8.8675026375491794E-3</v>
      </c>
      <c r="I1369" s="135">
        <v>1.04552190481216E-2</v>
      </c>
      <c r="J1369" s="135">
        <v>1.17579119066295E-2</v>
      </c>
      <c r="K1369" s="135">
        <v>2.34986462305929E-2</v>
      </c>
      <c r="L1369" s="135">
        <v>3.7992631328469598E-2</v>
      </c>
      <c r="M1369" s="135">
        <v>5.4435709548307398E-2</v>
      </c>
      <c r="N1369" s="135">
        <v>5.4642862062522897E-2</v>
      </c>
      <c r="O1369" s="135">
        <v>3.4914845598458498E-2</v>
      </c>
      <c r="P1369" s="135">
        <v>2.3545540065841999E-2</v>
      </c>
      <c r="Q1369" s="135">
        <v>1.6895090328183999E-2</v>
      </c>
      <c r="R1369" s="135">
        <v>1.8028427970699999E-2</v>
      </c>
      <c r="S1369" s="135">
        <v>1.6769874532907798E-2</v>
      </c>
      <c r="T1369" s="135">
        <v>1.7967283055498599E-2</v>
      </c>
      <c r="U1369" s="135">
        <v>1.76791433354558E-2</v>
      </c>
      <c r="V1369" s="135">
        <v>1.9568826231970701E-2</v>
      </c>
      <c r="W1369" s="135">
        <v>2.2862814795718601E-2</v>
      </c>
      <c r="X1369" s="135">
        <v>3.43993283160609E-2</v>
      </c>
      <c r="Y1369" s="135">
        <v>4.8977280876126898E-2</v>
      </c>
      <c r="Z1369" s="135">
        <v>5.5132719978189797E-2</v>
      </c>
      <c r="AA1369" s="135">
        <v>5.0655597958882199E-2</v>
      </c>
      <c r="AB1369" s="135">
        <v>3.5017412737214502E-2</v>
      </c>
      <c r="AC1369" s="135">
        <v>2.04092271514421E-2</v>
      </c>
      <c r="AD1369" s="135">
        <v>1.2132588822108501E-2</v>
      </c>
      <c r="AF1369" s="243">
        <f t="shared" si="26"/>
        <v>0.12977146025043551</v>
      </c>
      <c r="AG1369" s="275">
        <f t="shared" si="27"/>
        <v>0.28295628858773214</v>
      </c>
      <c r="AH1369" s="391">
        <f t="shared" si="28"/>
        <v>0.3722091058921817</v>
      </c>
      <c r="AI1369" s="135">
        <f t="shared" si="29"/>
        <v>0.65516539447991384</v>
      </c>
    </row>
    <row r="1370" spans="1:35" ht="12.6">
      <c r="A1370" s="10" t="s">
        <v>1516</v>
      </c>
      <c r="B1370" s="10">
        <v>274</v>
      </c>
      <c r="C1370" s="10" t="s">
        <v>1515</v>
      </c>
      <c r="D1370" s="388">
        <v>45200</v>
      </c>
      <c r="E1370" s="389">
        <v>45200</v>
      </c>
      <c r="F1370" s="390" t="str">
        <f t="shared" si="25"/>
        <v>Space heating &amp; cooling</v>
      </c>
      <c r="G1370" s="135">
        <v>8.5589099629598906E-3</v>
      </c>
      <c r="H1370" s="135">
        <v>8.8675026375491794E-3</v>
      </c>
      <c r="I1370" s="135">
        <v>1.04552190481216E-2</v>
      </c>
      <c r="J1370" s="135">
        <v>1.17579119066295E-2</v>
      </c>
      <c r="K1370" s="135">
        <v>2.34986462305929E-2</v>
      </c>
      <c r="L1370" s="135">
        <v>3.7992631328469598E-2</v>
      </c>
      <c r="M1370" s="135">
        <v>5.4435709548307398E-2</v>
      </c>
      <c r="N1370" s="135">
        <v>5.4642862062522897E-2</v>
      </c>
      <c r="O1370" s="135">
        <v>3.4914845598458498E-2</v>
      </c>
      <c r="P1370" s="135">
        <v>2.3545540065841999E-2</v>
      </c>
      <c r="Q1370" s="135">
        <v>1.6895090328183999E-2</v>
      </c>
      <c r="R1370" s="135">
        <v>1.8028427970699999E-2</v>
      </c>
      <c r="S1370" s="135">
        <v>1.6769874532907798E-2</v>
      </c>
      <c r="T1370" s="135">
        <v>1.7967283055498599E-2</v>
      </c>
      <c r="U1370" s="135">
        <v>1.76791433354558E-2</v>
      </c>
      <c r="V1370" s="135">
        <v>1.9568826231970701E-2</v>
      </c>
      <c r="W1370" s="135">
        <v>2.2862814795718601E-2</v>
      </c>
      <c r="X1370" s="135">
        <v>3.43993283160609E-2</v>
      </c>
      <c r="Y1370" s="135">
        <v>4.8977280876126898E-2</v>
      </c>
      <c r="Z1370" s="135">
        <v>5.5132719978189797E-2</v>
      </c>
      <c r="AA1370" s="135">
        <v>5.0655597958882199E-2</v>
      </c>
      <c r="AB1370" s="135">
        <v>3.5017412737214502E-2</v>
      </c>
      <c r="AC1370" s="135">
        <v>2.04092271514421E-2</v>
      </c>
      <c r="AD1370" s="135">
        <v>1.2132588822108501E-2</v>
      </c>
      <c r="AF1370" s="243">
        <f t="shared" si="26"/>
        <v>0.12977146025043551</v>
      </c>
      <c r="AG1370" s="275">
        <f t="shared" si="27"/>
        <v>0.28295628858773214</v>
      </c>
      <c r="AH1370" s="391">
        <f t="shared" si="28"/>
        <v>0.3722091058921817</v>
      </c>
      <c r="AI1370" s="135">
        <f t="shared" si="29"/>
        <v>0.65516539447991384</v>
      </c>
    </row>
    <row r="1371" spans="1:35" ht="12.6">
      <c r="A1371" s="10" t="s">
        <v>1516</v>
      </c>
      <c r="B1371" s="10">
        <v>275</v>
      </c>
      <c r="C1371" s="10" t="s">
        <v>1515</v>
      </c>
      <c r="D1371" s="388">
        <v>45201</v>
      </c>
      <c r="E1371" s="389">
        <v>45201</v>
      </c>
      <c r="F1371" s="390" t="str">
        <f t="shared" si="25"/>
        <v>Space heating &amp; cooling</v>
      </c>
      <c r="G1371" s="135">
        <v>7.9701093391319894E-3</v>
      </c>
      <c r="H1371" s="135">
        <v>7.4832665995385097E-3</v>
      </c>
      <c r="I1371" s="135">
        <v>7.69715627583944E-3</v>
      </c>
      <c r="J1371" s="135">
        <v>9.0558823834452698E-3</v>
      </c>
      <c r="K1371" s="135">
        <v>2.4256472792327101E-2</v>
      </c>
      <c r="L1371" s="135">
        <v>4.6381320016590302E-2</v>
      </c>
      <c r="M1371" s="135">
        <v>6.4789814476515495E-2</v>
      </c>
      <c r="N1371" s="135">
        <v>4.7465098165324501E-2</v>
      </c>
      <c r="O1371" s="135">
        <v>1.8542043362905901E-2</v>
      </c>
      <c r="P1371" s="135">
        <v>1.08258742611059E-2</v>
      </c>
      <c r="Q1371" s="135">
        <v>9.6955164226364896E-3</v>
      </c>
      <c r="R1371" s="135">
        <v>1.03498589498542E-2</v>
      </c>
      <c r="S1371" s="135">
        <v>1.26127772721338E-2</v>
      </c>
      <c r="T1371" s="135">
        <v>1.1232358446720001E-2</v>
      </c>
      <c r="U1371" s="135">
        <v>1.1356930660348499E-2</v>
      </c>
      <c r="V1371" s="135">
        <v>1.5888125066151899E-2</v>
      </c>
      <c r="W1371" s="135">
        <v>2.6579895552935301E-2</v>
      </c>
      <c r="X1371" s="135">
        <v>4.1891713722363298E-2</v>
      </c>
      <c r="Y1371" s="135">
        <v>5.4221897816034197E-2</v>
      </c>
      <c r="Z1371" s="135">
        <v>5.85242454944035E-2</v>
      </c>
      <c r="AA1371" s="135">
        <v>4.9229635916048502E-2</v>
      </c>
      <c r="AB1371" s="135">
        <v>2.87149553901715E-2</v>
      </c>
      <c r="AC1371" s="135">
        <v>1.39941036329968E-2</v>
      </c>
      <c r="AD1371" s="135">
        <v>8.3255300479366107E-3</v>
      </c>
      <c r="AF1371" s="243">
        <f t="shared" si="26"/>
        <v>9.7715462370780187E-2</v>
      </c>
      <c r="AG1371" s="275">
        <f t="shared" si="27"/>
        <v>0.26762374256261096</v>
      </c>
      <c r="AH1371" s="391">
        <f t="shared" si="28"/>
        <v>0.32946083950084798</v>
      </c>
      <c r="AI1371" s="135">
        <f t="shared" si="29"/>
        <v>0.59708458206345894</v>
      </c>
    </row>
    <row r="1372" spans="1:35" ht="12.6">
      <c r="A1372" s="10" t="s">
        <v>1516</v>
      </c>
      <c r="B1372" s="10">
        <v>276</v>
      </c>
      <c r="C1372" s="10" t="s">
        <v>1515</v>
      </c>
      <c r="D1372" s="388">
        <v>45202</v>
      </c>
      <c r="E1372" s="389">
        <v>45202</v>
      </c>
      <c r="F1372" s="390" t="str">
        <f t="shared" si="25"/>
        <v>Space heating &amp; cooling</v>
      </c>
      <c r="G1372" s="135">
        <v>7.9701093391319894E-3</v>
      </c>
      <c r="H1372" s="135">
        <v>7.4832665995385097E-3</v>
      </c>
      <c r="I1372" s="135">
        <v>7.69715627583944E-3</v>
      </c>
      <c r="J1372" s="135">
        <v>9.0558823834452698E-3</v>
      </c>
      <c r="K1372" s="135">
        <v>2.4256472792327101E-2</v>
      </c>
      <c r="L1372" s="135">
        <v>4.6381320016590302E-2</v>
      </c>
      <c r="M1372" s="135">
        <v>6.4789814476515495E-2</v>
      </c>
      <c r="N1372" s="135">
        <v>4.7465098165324501E-2</v>
      </c>
      <c r="O1372" s="135">
        <v>1.8542043362905901E-2</v>
      </c>
      <c r="P1372" s="135">
        <v>1.08258742611059E-2</v>
      </c>
      <c r="Q1372" s="135">
        <v>9.6955164226364896E-3</v>
      </c>
      <c r="R1372" s="135">
        <v>1.03498589498542E-2</v>
      </c>
      <c r="S1372" s="135">
        <v>1.26127772721338E-2</v>
      </c>
      <c r="T1372" s="135">
        <v>1.1232358446720001E-2</v>
      </c>
      <c r="U1372" s="135">
        <v>1.1356930660348499E-2</v>
      </c>
      <c r="V1372" s="135">
        <v>1.5888125066151899E-2</v>
      </c>
      <c r="W1372" s="135">
        <v>2.6579895552935301E-2</v>
      </c>
      <c r="X1372" s="135">
        <v>4.1891713722363298E-2</v>
      </c>
      <c r="Y1372" s="135">
        <v>5.4221897816034197E-2</v>
      </c>
      <c r="Z1372" s="135">
        <v>5.85242454944035E-2</v>
      </c>
      <c r="AA1372" s="135">
        <v>4.9229635916048502E-2</v>
      </c>
      <c r="AB1372" s="135">
        <v>2.87149553901715E-2</v>
      </c>
      <c r="AC1372" s="135">
        <v>1.39941036329968E-2</v>
      </c>
      <c r="AD1372" s="135">
        <v>8.3255300479366107E-3</v>
      </c>
      <c r="AF1372" s="243">
        <f t="shared" si="26"/>
        <v>9.7715462370780187E-2</v>
      </c>
      <c r="AG1372" s="275">
        <f t="shared" si="27"/>
        <v>0.26762374256261096</v>
      </c>
      <c r="AH1372" s="391">
        <f t="shared" si="28"/>
        <v>0.32946083950084798</v>
      </c>
      <c r="AI1372" s="135">
        <f t="shared" si="29"/>
        <v>0.59708458206345894</v>
      </c>
    </row>
    <row r="1373" spans="1:35" ht="12.6">
      <c r="A1373" s="10" t="s">
        <v>1516</v>
      </c>
      <c r="B1373" s="10">
        <v>277</v>
      </c>
      <c r="C1373" s="10" t="s">
        <v>1515</v>
      </c>
      <c r="D1373" s="388">
        <v>45203</v>
      </c>
      <c r="E1373" s="389">
        <v>45203</v>
      </c>
      <c r="F1373" s="390" t="str">
        <f t="shared" si="25"/>
        <v>Space heating &amp; cooling</v>
      </c>
      <c r="G1373" s="135">
        <v>7.9701093391319894E-3</v>
      </c>
      <c r="H1373" s="135">
        <v>7.4832665995385097E-3</v>
      </c>
      <c r="I1373" s="135">
        <v>7.69715627583944E-3</v>
      </c>
      <c r="J1373" s="135">
        <v>9.0558823834452698E-3</v>
      </c>
      <c r="K1373" s="135">
        <v>2.4256472792327101E-2</v>
      </c>
      <c r="L1373" s="135">
        <v>4.6381320016590302E-2</v>
      </c>
      <c r="M1373" s="135">
        <v>6.4789814476515495E-2</v>
      </c>
      <c r="N1373" s="135">
        <v>4.7465098165324501E-2</v>
      </c>
      <c r="O1373" s="135">
        <v>1.8542043362905901E-2</v>
      </c>
      <c r="P1373" s="135">
        <v>1.08258742611059E-2</v>
      </c>
      <c r="Q1373" s="135">
        <v>9.6955164226364896E-3</v>
      </c>
      <c r="R1373" s="135">
        <v>1.03498589498542E-2</v>
      </c>
      <c r="S1373" s="135">
        <v>1.26127772721338E-2</v>
      </c>
      <c r="T1373" s="135">
        <v>1.1232358446720001E-2</v>
      </c>
      <c r="U1373" s="135">
        <v>1.1356930660348499E-2</v>
      </c>
      <c r="V1373" s="135">
        <v>1.5888125066151899E-2</v>
      </c>
      <c r="W1373" s="135">
        <v>2.6579895552935301E-2</v>
      </c>
      <c r="X1373" s="135">
        <v>4.1891713722363298E-2</v>
      </c>
      <c r="Y1373" s="135">
        <v>5.4221897816034197E-2</v>
      </c>
      <c r="Z1373" s="135">
        <v>5.85242454944035E-2</v>
      </c>
      <c r="AA1373" s="135">
        <v>4.9229635916048502E-2</v>
      </c>
      <c r="AB1373" s="135">
        <v>2.87149553901715E-2</v>
      </c>
      <c r="AC1373" s="135">
        <v>1.39941036329968E-2</v>
      </c>
      <c r="AD1373" s="135">
        <v>8.3255300479366107E-3</v>
      </c>
      <c r="AF1373" s="243">
        <f t="shared" si="26"/>
        <v>9.7715462370780187E-2</v>
      </c>
      <c r="AG1373" s="275">
        <f t="shared" si="27"/>
        <v>0.26762374256261096</v>
      </c>
      <c r="AH1373" s="391">
        <f t="shared" si="28"/>
        <v>0.32946083950084798</v>
      </c>
      <c r="AI1373" s="135">
        <f t="shared" si="29"/>
        <v>0.59708458206345894</v>
      </c>
    </row>
    <row r="1374" spans="1:35" ht="12.6">
      <c r="A1374" s="10" t="s">
        <v>1516</v>
      </c>
      <c r="B1374" s="10">
        <v>278</v>
      </c>
      <c r="C1374" s="10" t="s">
        <v>1515</v>
      </c>
      <c r="D1374" s="388">
        <v>45204</v>
      </c>
      <c r="E1374" s="389">
        <v>45204</v>
      </c>
      <c r="F1374" s="390" t="str">
        <f t="shared" si="25"/>
        <v>Space heating &amp; cooling</v>
      </c>
      <c r="G1374" s="135">
        <v>7.9701093391319894E-3</v>
      </c>
      <c r="H1374" s="135">
        <v>7.4832665995385097E-3</v>
      </c>
      <c r="I1374" s="135">
        <v>7.69715627583944E-3</v>
      </c>
      <c r="J1374" s="135">
        <v>9.0558823834452698E-3</v>
      </c>
      <c r="K1374" s="135">
        <v>2.4256472792327101E-2</v>
      </c>
      <c r="L1374" s="135">
        <v>4.6381320016590302E-2</v>
      </c>
      <c r="M1374" s="135">
        <v>6.4789814476515495E-2</v>
      </c>
      <c r="N1374" s="135">
        <v>4.7465098165324501E-2</v>
      </c>
      <c r="O1374" s="135">
        <v>1.8542043362905901E-2</v>
      </c>
      <c r="P1374" s="135">
        <v>1.08258742611059E-2</v>
      </c>
      <c r="Q1374" s="135">
        <v>9.6955164226364896E-3</v>
      </c>
      <c r="R1374" s="135">
        <v>1.03498589498542E-2</v>
      </c>
      <c r="S1374" s="135">
        <v>1.26127772721338E-2</v>
      </c>
      <c r="T1374" s="135">
        <v>1.1232358446720001E-2</v>
      </c>
      <c r="U1374" s="135">
        <v>1.1356930660348499E-2</v>
      </c>
      <c r="V1374" s="135">
        <v>1.5888125066151899E-2</v>
      </c>
      <c r="W1374" s="135">
        <v>2.6579895552935301E-2</v>
      </c>
      <c r="X1374" s="135">
        <v>4.1891713722363298E-2</v>
      </c>
      <c r="Y1374" s="135">
        <v>5.4221897816034197E-2</v>
      </c>
      <c r="Z1374" s="135">
        <v>5.85242454944035E-2</v>
      </c>
      <c r="AA1374" s="135">
        <v>4.9229635916048502E-2</v>
      </c>
      <c r="AB1374" s="135">
        <v>2.87149553901715E-2</v>
      </c>
      <c r="AC1374" s="135">
        <v>1.39941036329968E-2</v>
      </c>
      <c r="AD1374" s="135">
        <v>8.3255300479366107E-3</v>
      </c>
      <c r="AF1374" s="243">
        <f t="shared" si="26"/>
        <v>9.7715462370780187E-2</v>
      </c>
      <c r="AG1374" s="275">
        <f t="shared" si="27"/>
        <v>0.26762374256261096</v>
      </c>
      <c r="AH1374" s="391">
        <f t="shared" si="28"/>
        <v>0.32946083950084798</v>
      </c>
      <c r="AI1374" s="135">
        <f t="shared" si="29"/>
        <v>0.59708458206345894</v>
      </c>
    </row>
    <row r="1375" spans="1:35" ht="12.6">
      <c r="A1375" s="10" t="s">
        <v>1516</v>
      </c>
      <c r="B1375" s="10">
        <v>279</v>
      </c>
      <c r="C1375" s="10" t="s">
        <v>1515</v>
      </c>
      <c r="D1375" s="388">
        <v>45205</v>
      </c>
      <c r="E1375" s="389">
        <v>45205</v>
      </c>
      <c r="F1375" s="390" t="str">
        <f t="shared" si="25"/>
        <v>Space heating &amp; cooling</v>
      </c>
      <c r="G1375" s="135">
        <v>7.9701093391319894E-3</v>
      </c>
      <c r="H1375" s="135">
        <v>7.4832665995385097E-3</v>
      </c>
      <c r="I1375" s="135">
        <v>7.69715627583944E-3</v>
      </c>
      <c r="J1375" s="135">
        <v>9.0558823834452698E-3</v>
      </c>
      <c r="K1375" s="135">
        <v>2.4256472792327101E-2</v>
      </c>
      <c r="L1375" s="135">
        <v>4.6381320016590302E-2</v>
      </c>
      <c r="M1375" s="135">
        <v>6.4789814476515495E-2</v>
      </c>
      <c r="N1375" s="135">
        <v>4.7465098165324501E-2</v>
      </c>
      <c r="O1375" s="135">
        <v>1.8542043362905901E-2</v>
      </c>
      <c r="P1375" s="135">
        <v>1.08258742611059E-2</v>
      </c>
      <c r="Q1375" s="135">
        <v>9.6955164226364896E-3</v>
      </c>
      <c r="R1375" s="135">
        <v>1.03498589498542E-2</v>
      </c>
      <c r="S1375" s="135">
        <v>1.26127772721338E-2</v>
      </c>
      <c r="T1375" s="135">
        <v>1.1232358446720001E-2</v>
      </c>
      <c r="U1375" s="135">
        <v>1.1356930660348499E-2</v>
      </c>
      <c r="V1375" s="135">
        <v>1.5888125066151899E-2</v>
      </c>
      <c r="W1375" s="135">
        <v>2.6579895552935301E-2</v>
      </c>
      <c r="X1375" s="135">
        <v>4.1891713722363298E-2</v>
      </c>
      <c r="Y1375" s="135">
        <v>5.4221897816034197E-2</v>
      </c>
      <c r="Z1375" s="135">
        <v>5.85242454944035E-2</v>
      </c>
      <c r="AA1375" s="135">
        <v>4.9229635916048502E-2</v>
      </c>
      <c r="AB1375" s="135">
        <v>2.87149553901715E-2</v>
      </c>
      <c r="AC1375" s="135">
        <v>1.39941036329968E-2</v>
      </c>
      <c r="AD1375" s="135">
        <v>8.3255300479366107E-3</v>
      </c>
      <c r="AF1375" s="243">
        <f t="shared" si="26"/>
        <v>9.7715462370780187E-2</v>
      </c>
      <c r="AG1375" s="275">
        <f t="shared" si="27"/>
        <v>0.26762374256261096</v>
      </c>
      <c r="AH1375" s="391">
        <f t="shared" si="28"/>
        <v>0.32946083950084798</v>
      </c>
      <c r="AI1375" s="135">
        <f t="shared" si="29"/>
        <v>0.59708458206345894</v>
      </c>
    </row>
    <row r="1376" spans="1:35" ht="12.6">
      <c r="A1376" s="10" t="s">
        <v>1516</v>
      </c>
      <c r="B1376" s="10">
        <v>280</v>
      </c>
      <c r="C1376" s="10" t="s">
        <v>1515</v>
      </c>
      <c r="D1376" s="388">
        <v>45206</v>
      </c>
      <c r="E1376" s="389">
        <v>45206</v>
      </c>
      <c r="F1376" s="390" t="str">
        <f t="shared" si="25"/>
        <v>Space heating &amp; cooling</v>
      </c>
      <c r="G1376" s="135">
        <v>8.5589099629598906E-3</v>
      </c>
      <c r="H1376" s="135">
        <v>8.8675026375491794E-3</v>
      </c>
      <c r="I1376" s="135">
        <v>1.04552190481216E-2</v>
      </c>
      <c r="J1376" s="135">
        <v>1.17579119066295E-2</v>
      </c>
      <c r="K1376" s="135">
        <v>2.34986462305929E-2</v>
      </c>
      <c r="L1376" s="135">
        <v>3.7992631328469598E-2</v>
      </c>
      <c r="M1376" s="135">
        <v>5.4435709548307398E-2</v>
      </c>
      <c r="N1376" s="135">
        <v>5.4642862062522897E-2</v>
      </c>
      <c r="O1376" s="135">
        <v>3.4914845598458498E-2</v>
      </c>
      <c r="P1376" s="135">
        <v>2.3545540065841999E-2</v>
      </c>
      <c r="Q1376" s="135">
        <v>1.6895090328183999E-2</v>
      </c>
      <c r="R1376" s="135">
        <v>1.8028427970699999E-2</v>
      </c>
      <c r="S1376" s="135">
        <v>1.6769874532907798E-2</v>
      </c>
      <c r="T1376" s="135">
        <v>1.7967283055498599E-2</v>
      </c>
      <c r="U1376" s="135">
        <v>1.76791433354558E-2</v>
      </c>
      <c r="V1376" s="135">
        <v>1.9568826231970701E-2</v>
      </c>
      <c r="W1376" s="135">
        <v>2.2862814795718601E-2</v>
      </c>
      <c r="X1376" s="135">
        <v>3.43993283160609E-2</v>
      </c>
      <c r="Y1376" s="135">
        <v>4.8977280876126898E-2</v>
      </c>
      <c r="Z1376" s="135">
        <v>5.5132719978189797E-2</v>
      </c>
      <c r="AA1376" s="135">
        <v>5.0655597958882199E-2</v>
      </c>
      <c r="AB1376" s="135">
        <v>3.5017412737214502E-2</v>
      </c>
      <c r="AC1376" s="135">
        <v>2.04092271514421E-2</v>
      </c>
      <c r="AD1376" s="135">
        <v>1.2132588822108501E-2</v>
      </c>
      <c r="AF1376" s="243">
        <f t="shared" si="26"/>
        <v>0.12977146025043551</v>
      </c>
      <c r="AG1376" s="275">
        <f t="shared" si="27"/>
        <v>0.28295628858773214</v>
      </c>
      <c r="AH1376" s="391">
        <f t="shared" si="28"/>
        <v>0.3722091058921817</v>
      </c>
      <c r="AI1376" s="135">
        <f t="shared" si="29"/>
        <v>0.65516539447991384</v>
      </c>
    </row>
    <row r="1377" spans="1:35" ht="12.6">
      <c r="A1377" s="10" t="s">
        <v>1516</v>
      </c>
      <c r="B1377" s="10">
        <v>281</v>
      </c>
      <c r="C1377" s="10" t="s">
        <v>1515</v>
      </c>
      <c r="D1377" s="388">
        <v>45207</v>
      </c>
      <c r="E1377" s="389">
        <v>45207</v>
      </c>
      <c r="F1377" s="390" t="str">
        <f t="shared" si="25"/>
        <v>Space heating &amp; cooling</v>
      </c>
      <c r="G1377" s="135">
        <v>8.5589099629598906E-3</v>
      </c>
      <c r="H1377" s="135">
        <v>8.8675026375491794E-3</v>
      </c>
      <c r="I1377" s="135">
        <v>1.04552190481216E-2</v>
      </c>
      <c r="J1377" s="135">
        <v>1.17579119066295E-2</v>
      </c>
      <c r="K1377" s="135">
        <v>2.34986462305929E-2</v>
      </c>
      <c r="L1377" s="135">
        <v>3.7992631328469598E-2</v>
      </c>
      <c r="M1377" s="135">
        <v>5.4435709548307398E-2</v>
      </c>
      <c r="N1377" s="135">
        <v>5.4642862062522897E-2</v>
      </c>
      <c r="O1377" s="135">
        <v>3.4914845598458498E-2</v>
      </c>
      <c r="P1377" s="135">
        <v>2.3545540065841999E-2</v>
      </c>
      <c r="Q1377" s="135">
        <v>1.6895090328183999E-2</v>
      </c>
      <c r="R1377" s="135">
        <v>1.8028427970699999E-2</v>
      </c>
      <c r="S1377" s="135">
        <v>1.6769874532907798E-2</v>
      </c>
      <c r="T1377" s="135">
        <v>1.7967283055498599E-2</v>
      </c>
      <c r="U1377" s="135">
        <v>1.76791433354558E-2</v>
      </c>
      <c r="V1377" s="135">
        <v>1.9568826231970701E-2</v>
      </c>
      <c r="W1377" s="135">
        <v>2.2862814795718601E-2</v>
      </c>
      <c r="X1377" s="135">
        <v>3.43993283160609E-2</v>
      </c>
      <c r="Y1377" s="135">
        <v>4.8977280876126898E-2</v>
      </c>
      <c r="Z1377" s="135">
        <v>5.5132719978189797E-2</v>
      </c>
      <c r="AA1377" s="135">
        <v>5.0655597958882199E-2</v>
      </c>
      <c r="AB1377" s="135">
        <v>3.5017412737214502E-2</v>
      </c>
      <c r="AC1377" s="135">
        <v>2.04092271514421E-2</v>
      </c>
      <c r="AD1377" s="135">
        <v>1.2132588822108501E-2</v>
      </c>
      <c r="AF1377" s="243">
        <f t="shared" si="26"/>
        <v>0.12977146025043551</v>
      </c>
      <c r="AG1377" s="275">
        <f t="shared" si="27"/>
        <v>0.28295628858773214</v>
      </c>
      <c r="AH1377" s="391">
        <f t="shared" si="28"/>
        <v>0.3722091058921817</v>
      </c>
      <c r="AI1377" s="135">
        <f t="shared" si="29"/>
        <v>0.65516539447991384</v>
      </c>
    </row>
    <row r="1378" spans="1:35" ht="12.6">
      <c r="A1378" s="10" t="s">
        <v>1516</v>
      </c>
      <c r="B1378" s="10">
        <v>282</v>
      </c>
      <c r="C1378" s="10" t="s">
        <v>1515</v>
      </c>
      <c r="D1378" s="388">
        <v>45208</v>
      </c>
      <c r="E1378" s="389">
        <v>45208</v>
      </c>
      <c r="F1378" s="390" t="str">
        <f t="shared" si="25"/>
        <v>Space heating &amp; cooling</v>
      </c>
      <c r="G1378" s="135">
        <v>7.9701093391319894E-3</v>
      </c>
      <c r="H1378" s="135">
        <v>7.4832665995385097E-3</v>
      </c>
      <c r="I1378" s="135">
        <v>7.69715627583944E-3</v>
      </c>
      <c r="J1378" s="135">
        <v>9.0558823834452698E-3</v>
      </c>
      <c r="K1378" s="135">
        <v>2.4256472792327101E-2</v>
      </c>
      <c r="L1378" s="135">
        <v>4.6381320016590302E-2</v>
      </c>
      <c r="M1378" s="135">
        <v>6.4789814476515495E-2</v>
      </c>
      <c r="N1378" s="135">
        <v>4.7465098165324501E-2</v>
      </c>
      <c r="O1378" s="135">
        <v>1.8542043362905901E-2</v>
      </c>
      <c r="P1378" s="135">
        <v>1.08258742611059E-2</v>
      </c>
      <c r="Q1378" s="135">
        <v>9.6955164226364896E-3</v>
      </c>
      <c r="R1378" s="135">
        <v>1.03498589498542E-2</v>
      </c>
      <c r="S1378" s="135">
        <v>1.26127772721338E-2</v>
      </c>
      <c r="T1378" s="135">
        <v>1.1232358446720001E-2</v>
      </c>
      <c r="U1378" s="135">
        <v>1.1356930660348499E-2</v>
      </c>
      <c r="V1378" s="135">
        <v>1.5888125066151899E-2</v>
      </c>
      <c r="W1378" s="135">
        <v>2.6579895552935301E-2</v>
      </c>
      <c r="X1378" s="135">
        <v>4.1891713722363298E-2</v>
      </c>
      <c r="Y1378" s="135">
        <v>5.4221897816034197E-2</v>
      </c>
      <c r="Z1378" s="135">
        <v>5.85242454944035E-2</v>
      </c>
      <c r="AA1378" s="135">
        <v>4.9229635916048502E-2</v>
      </c>
      <c r="AB1378" s="135">
        <v>2.87149553901715E-2</v>
      </c>
      <c r="AC1378" s="135">
        <v>1.39941036329968E-2</v>
      </c>
      <c r="AD1378" s="135">
        <v>8.3255300479366107E-3</v>
      </c>
      <c r="AF1378" s="243">
        <f t="shared" si="26"/>
        <v>9.7715462370780187E-2</v>
      </c>
      <c r="AG1378" s="275">
        <f t="shared" si="27"/>
        <v>0.26762374256261096</v>
      </c>
      <c r="AH1378" s="391">
        <f t="shared" si="28"/>
        <v>0.32946083950084798</v>
      </c>
      <c r="AI1378" s="135">
        <f t="shared" si="29"/>
        <v>0.59708458206345894</v>
      </c>
    </row>
    <row r="1379" spans="1:35" ht="12.6">
      <c r="A1379" s="10" t="s">
        <v>1516</v>
      </c>
      <c r="B1379" s="10">
        <v>283</v>
      </c>
      <c r="C1379" s="10" t="s">
        <v>1515</v>
      </c>
      <c r="D1379" s="388">
        <v>45209</v>
      </c>
      <c r="E1379" s="389">
        <v>45209</v>
      </c>
      <c r="F1379" s="390" t="str">
        <f t="shared" si="25"/>
        <v>Space heating &amp; cooling</v>
      </c>
      <c r="G1379" s="135">
        <v>7.9701093391319894E-3</v>
      </c>
      <c r="H1379" s="135">
        <v>7.4832665995385097E-3</v>
      </c>
      <c r="I1379" s="135">
        <v>7.69715627583944E-3</v>
      </c>
      <c r="J1379" s="135">
        <v>9.0558823834452698E-3</v>
      </c>
      <c r="K1379" s="135">
        <v>2.4256472792327101E-2</v>
      </c>
      <c r="L1379" s="135">
        <v>4.6381320016590302E-2</v>
      </c>
      <c r="M1379" s="135">
        <v>6.4789814476515495E-2</v>
      </c>
      <c r="N1379" s="135">
        <v>4.7465098165324501E-2</v>
      </c>
      <c r="O1379" s="135">
        <v>1.8542043362905901E-2</v>
      </c>
      <c r="P1379" s="135">
        <v>1.08258742611059E-2</v>
      </c>
      <c r="Q1379" s="135">
        <v>9.6955164226364896E-3</v>
      </c>
      <c r="R1379" s="135">
        <v>1.03498589498542E-2</v>
      </c>
      <c r="S1379" s="135">
        <v>1.26127772721338E-2</v>
      </c>
      <c r="T1379" s="135">
        <v>1.1232358446720001E-2</v>
      </c>
      <c r="U1379" s="135">
        <v>1.1356930660348499E-2</v>
      </c>
      <c r="V1379" s="135">
        <v>1.5888125066151899E-2</v>
      </c>
      <c r="W1379" s="135">
        <v>2.6579895552935301E-2</v>
      </c>
      <c r="X1379" s="135">
        <v>4.1891713722363298E-2</v>
      </c>
      <c r="Y1379" s="135">
        <v>5.4221897816034197E-2</v>
      </c>
      <c r="Z1379" s="135">
        <v>5.85242454944035E-2</v>
      </c>
      <c r="AA1379" s="135">
        <v>4.9229635916048502E-2</v>
      </c>
      <c r="AB1379" s="135">
        <v>2.87149553901715E-2</v>
      </c>
      <c r="AC1379" s="135">
        <v>1.39941036329968E-2</v>
      </c>
      <c r="AD1379" s="135">
        <v>8.3255300479366107E-3</v>
      </c>
      <c r="AF1379" s="243">
        <f t="shared" si="26"/>
        <v>9.7715462370780187E-2</v>
      </c>
      <c r="AG1379" s="275">
        <f t="shared" si="27"/>
        <v>0.26762374256261096</v>
      </c>
      <c r="AH1379" s="391">
        <f t="shared" si="28"/>
        <v>0.32946083950084798</v>
      </c>
      <c r="AI1379" s="135">
        <f t="shared" si="29"/>
        <v>0.59708458206345894</v>
      </c>
    </row>
    <row r="1380" spans="1:35" ht="12.6">
      <c r="A1380" s="10" t="s">
        <v>1516</v>
      </c>
      <c r="B1380" s="10">
        <v>284</v>
      </c>
      <c r="C1380" s="10" t="s">
        <v>1515</v>
      </c>
      <c r="D1380" s="388">
        <v>45210</v>
      </c>
      <c r="E1380" s="389">
        <v>45210</v>
      </c>
      <c r="F1380" s="390" t="str">
        <f t="shared" si="25"/>
        <v>Space heating &amp; cooling</v>
      </c>
      <c r="G1380" s="135">
        <v>7.9701093391319894E-3</v>
      </c>
      <c r="H1380" s="135">
        <v>7.4832665995385097E-3</v>
      </c>
      <c r="I1380" s="135">
        <v>7.69715627583944E-3</v>
      </c>
      <c r="J1380" s="135">
        <v>9.0558823834452698E-3</v>
      </c>
      <c r="K1380" s="135">
        <v>2.4256472792327101E-2</v>
      </c>
      <c r="L1380" s="135">
        <v>4.6381320016590302E-2</v>
      </c>
      <c r="M1380" s="135">
        <v>6.4789814476515495E-2</v>
      </c>
      <c r="N1380" s="135">
        <v>4.7465098165324501E-2</v>
      </c>
      <c r="O1380" s="135">
        <v>1.8542043362905901E-2</v>
      </c>
      <c r="P1380" s="135">
        <v>1.08258742611059E-2</v>
      </c>
      <c r="Q1380" s="135">
        <v>9.6955164226364896E-3</v>
      </c>
      <c r="R1380" s="135">
        <v>1.03498589498542E-2</v>
      </c>
      <c r="S1380" s="135">
        <v>1.26127772721338E-2</v>
      </c>
      <c r="T1380" s="135">
        <v>1.1232358446720001E-2</v>
      </c>
      <c r="U1380" s="135">
        <v>1.1356930660348499E-2</v>
      </c>
      <c r="V1380" s="135">
        <v>1.5888125066151899E-2</v>
      </c>
      <c r="W1380" s="135">
        <v>2.6579895552935301E-2</v>
      </c>
      <c r="X1380" s="135">
        <v>4.1891713722363298E-2</v>
      </c>
      <c r="Y1380" s="135">
        <v>5.4221897816034197E-2</v>
      </c>
      <c r="Z1380" s="135">
        <v>5.85242454944035E-2</v>
      </c>
      <c r="AA1380" s="135">
        <v>4.9229635916048502E-2</v>
      </c>
      <c r="AB1380" s="135">
        <v>2.87149553901715E-2</v>
      </c>
      <c r="AC1380" s="135">
        <v>1.39941036329968E-2</v>
      </c>
      <c r="AD1380" s="135">
        <v>8.3255300479366107E-3</v>
      </c>
      <c r="AF1380" s="243">
        <f t="shared" si="26"/>
        <v>9.7715462370780187E-2</v>
      </c>
      <c r="AG1380" s="275">
        <f t="shared" si="27"/>
        <v>0.26762374256261096</v>
      </c>
      <c r="AH1380" s="391">
        <f t="shared" si="28"/>
        <v>0.32946083950084798</v>
      </c>
      <c r="AI1380" s="135">
        <f t="shared" si="29"/>
        <v>0.59708458206345894</v>
      </c>
    </row>
    <row r="1381" spans="1:35" ht="12.6">
      <c r="A1381" s="10" t="s">
        <v>1516</v>
      </c>
      <c r="B1381" s="10">
        <v>285</v>
      </c>
      <c r="C1381" s="10" t="s">
        <v>1515</v>
      </c>
      <c r="D1381" s="388">
        <v>45211</v>
      </c>
      <c r="E1381" s="389">
        <v>45211</v>
      </c>
      <c r="F1381" s="390" t="str">
        <f t="shared" si="25"/>
        <v>Space heating &amp; cooling</v>
      </c>
      <c r="G1381" s="135">
        <v>7.9701093391319894E-3</v>
      </c>
      <c r="H1381" s="135">
        <v>7.4832665995385097E-3</v>
      </c>
      <c r="I1381" s="135">
        <v>7.69715627583944E-3</v>
      </c>
      <c r="J1381" s="135">
        <v>9.0558823834452698E-3</v>
      </c>
      <c r="K1381" s="135">
        <v>2.4256472792327101E-2</v>
      </c>
      <c r="L1381" s="135">
        <v>4.6381320016590302E-2</v>
      </c>
      <c r="M1381" s="135">
        <v>6.4789814476515495E-2</v>
      </c>
      <c r="N1381" s="135">
        <v>4.7465098165324501E-2</v>
      </c>
      <c r="O1381" s="135">
        <v>1.8542043362905901E-2</v>
      </c>
      <c r="P1381" s="135">
        <v>1.08258742611059E-2</v>
      </c>
      <c r="Q1381" s="135">
        <v>9.6955164226364896E-3</v>
      </c>
      <c r="R1381" s="135">
        <v>1.03498589498542E-2</v>
      </c>
      <c r="S1381" s="135">
        <v>1.26127772721338E-2</v>
      </c>
      <c r="T1381" s="135">
        <v>1.1232358446720001E-2</v>
      </c>
      <c r="U1381" s="135">
        <v>1.1356930660348499E-2</v>
      </c>
      <c r="V1381" s="135">
        <v>1.5888125066151899E-2</v>
      </c>
      <c r="W1381" s="135">
        <v>2.6579895552935301E-2</v>
      </c>
      <c r="X1381" s="135">
        <v>4.1891713722363298E-2</v>
      </c>
      <c r="Y1381" s="135">
        <v>5.4221897816034197E-2</v>
      </c>
      <c r="Z1381" s="135">
        <v>5.85242454944035E-2</v>
      </c>
      <c r="AA1381" s="135">
        <v>4.9229635916048502E-2</v>
      </c>
      <c r="AB1381" s="135">
        <v>2.87149553901715E-2</v>
      </c>
      <c r="AC1381" s="135">
        <v>1.39941036329968E-2</v>
      </c>
      <c r="AD1381" s="135">
        <v>8.3255300479366107E-3</v>
      </c>
      <c r="AF1381" s="243">
        <f t="shared" si="26"/>
        <v>9.7715462370780187E-2</v>
      </c>
      <c r="AG1381" s="275">
        <f t="shared" si="27"/>
        <v>0.26762374256261096</v>
      </c>
      <c r="AH1381" s="391">
        <f t="shared" si="28"/>
        <v>0.32946083950084798</v>
      </c>
      <c r="AI1381" s="135">
        <f t="shared" si="29"/>
        <v>0.59708458206345894</v>
      </c>
    </row>
    <row r="1382" spans="1:35" ht="12.6">
      <c r="A1382" s="10" t="s">
        <v>1516</v>
      </c>
      <c r="B1382" s="10">
        <v>286</v>
      </c>
      <c r="C1382" s="10" t="s">
        <v>1515</v>
      </c>
      <c r="D1382" s="388">
        <v>45212</v>
      </c>
      <c r="E1382" s="389">
        <v>45212</v>
      </c>
      <c r="F1382" s="390" t="str">
        <f t="shared" si="25"/>
        <v>Space heating &amp; cooling</v>
      </c>
      <c r="G1382" s="135">
        <v>7.9701093391319894E-3</v>
      </c>
      <c r="H1382" s="135">
        <v>7.4832665995385097E-3</v>
      </c>
      <c r="I1382" s="135">
        <v>7.69715627583944E-3</v>
      </c>
      <c r="J1382" s="135">
        <v>9.0558823834452698E-3</v>
      </c>
      <c r="K1382" s="135">
        <v>2.4256472792327101E-2</v>
      </c>
      <c r="L1382" s="135">
        <v>4.6381320016590302E-2</v>
      </c>
      <c r="M1382" s="135">
        <v>6.4789814476515495E-2</v>
      </c>
      <c r="N1382" s="135">
        <v>4.7465098165324501E-2</v>
      </c>
      <c r="O1382" s="135">
        <v>1.8542043362905901E-2</v>
      </c>
      <c r="P1382" s="135">
        <v>1.08258742611059E-2</v>
      </c>
      <c r="Q1382" s="135">
        <v>9.6955164226364896E-3</v>
      </c>
      <c r="R1382" s="135">
        <v>1.03498589498542E-2</v>
      </c>
      <c r="S1382" s="135">
        <v>1.26127772721338E-2</v>
      </c>
      <c r="T1382" s="135">
        <v>1.1232358446720001E-2</v>
      </c>
      <c r="U1382" s="135">
        <v>1.1356930660348499E-2</v>
      </c>
      <c r="V1382" s="135">
        <v>1.5888125066151899E-2</v>
      </c>
      <c r="W1382" s="135">
        <v>2.6579895552935301E-2</v>
      </c>
      <c r="X1382" s="135">
        <v>4.1891713722363298E-2</v>
      </c>
      <c r="Y1382" s="135">
        <v>5.4221897816034197E-2</v>
      </c>
      <c r="Z1382" s="135">
        <v>5.85242454944035E-2</v>
      </c>
      <c r="AA1382" s="135">
        <v>4.9229635916048502E-2</v>
      </c>
      <c r="AB1382" s="135">
        <v>2.87149553901715E-2</v>
      </c>
      <c r="AC1382" s="135">
        <v>1.39941036329968E-2</v>
      </c>
      <c r="AD1382" s="135">
        <v>8.3255300479366107E-3</v>
      </c>
      <c r="AF1382" s="243">
        <f t="shared" si="26"/>
        <v>9.7715462370780187E-2</v>
      </c>
      <c r="AG1382" s="275">
        <f t="shared" si="27"/>
        <v>0.26762374256261096</v>
      </c>
      <c r="AH1382" s="391">
        <f t="shared" si="28"/>
        <v>0.32946083950084798</v>
      </c>
      <c r="AI1382" s="135">
        <f t="shared" si="29"/>
        <v>0.59708458206345894</v>
      </c>
    </row>
    <row r="1383" spans="1:35" ht="12.6">
      <c r="A1383" s="10" t="s">
        <v>1516</v>
      </c>
      <c r="B1383" s="10">
        <v>287</v>
      </c>
      <c r="C1383" s="10" t="s">
        <v>1515</v>
      </c>
      <c r="D1383" s="388">
        <v>45213</v>
      </c>
      <c r="E1383" s="389">
        <v>45213</v>
      </c>
      <c r="F1383" s="390" t="str">
        <f t="shared" si="25"/>
        <v>Space heating &amp; cooling</v>
      </c>
      <c r="G1383" s="135">
        <v>8.5589099629598906E-3</v>
      </c>
      <c r="H1383" s="135">
        <v>8.8675026375491794E-3</v>
      </c>
      <c r="I1383" s="135">
        <v>1.04552190481216E-2</v>
      </c>
      <c r="J1383" s="135">
        <v>1.17579119066295E-2</v>
      </c>
      <c r="K1383" s="135">
        <v>2.34986462305929E-2</v>
      </c>
      <c r="L1383" s="135">
        <v>3.7992631328469598E-2</v>
      </c>
      <c r="M1383" s="135">
        <v>5.4435709548307398E-2</v>
      </c>
      <c r="N1383" s="135">
        <v>5.4642862062522897E-2</v>
      </c>
      <c r="O1383" s="135">
        <v>3.4914845598458498E-2</v>
      </c>
      <c r="P1383" s="135">
        <v>2.3545540065841999E-2</v>
      </c>
      <c r="Q1383" s="135">
        <v>1.6895090328183999E-2</v>
      </c>
      <c r="R1383" s="135">
        <v>1.8028427970699999E-2</v>
      </c>
      <c r="S1383" s="135">
        <v>1.6769874532907798E-2</v>
      </c>
      <c r="T1383" s="135">
        <v>1.7967283055498599E-2</v>
      </c>
      <c r="U1383" s="135">
        <v>1.76791433354558E-2</v>
      </c>
      <c r="V1383" s="135">
        <v>1.9568826231970701E-2</v>
      </c>
      <c r="W1383" s="135">
        <v>2.2862814795718601E-2</v>
      </c>
      <c r="X1383" s="135">
        <v>3.43993283160609E-2</v>
      </c>
      <c r="Y1383" s="135">
        <v>4.8977280876126898E-2</v>
      </c>
      <c r="Z1383" s="135">
        <v>5.5132719978189797E-2</v>
      </c>
      <c r="AA1383" s="135">
        <v>5.0655597958882199E-2</v>
      </c>
      <c r="AB1383" s="135">
        <v>3.5017412737214502E-2</v>
      </c>
      <c r="AC1383" s="135">
        <v>2.04092271514421E-2</v>
      </c>
      <c r="AD1383" s="135">
        <v>1.2132588822108501E-2</v>
      </c>
      <c r="AF1383" s="243">
        <f t="shared" si="26"/>
        <v>0.12977146025043551</v>
      </c>
      <c r="AG1383" s="275">
        <f t="shared" si="27"/>
        <v>0.28295628858773214</v>
      </c>
      <c r="AH1383" s="391">
        <f t="shared" si="28"/>
        <v>0.3722091058921817</v>
      </c>
      <c r="AI1383" s="135">
        <f t="shared" si="29"/>
        <v>0.65516539447991384</v>
      </c>
    </row>
    <row r="1384" spans="1:35" ht="12.6">
      <c r="A1384" s="10" t="s">
        <v>1516</v>
      </c>
      <c r="B1384" s="10">
        <v>288</v>
      </c>
      <c r="C1384" s="10" t="s">
        <v>1515</v>
      </c>
      <c r="D1384" s="388">
        <v>45214</v>
      </c>
      <c r="E1384" s="389">
        <v>45214</v>
      </c>
      <c r="F1384" s="390" t="str">
        <f t="shared" si="25"/>
        <v>Space heating &amp; cooling</v>
      </c>
      <c r="G1384" s="135">
        <v>8.5589099629598906E-3</v>
      </c>
      <c r="H1384" s="135">
        <v>8.8675026375491794E-3</v>
      </c>
      <c r="I1384" s="135">
        <v>1.04552190481216E-2</v>
      </c>
      <c r="J1384" s="135">
        <v>1.17579119066295E-2</v>
      </c>
      <c r="K1384" s="135">
        <v>2.34986462305929E-2</v>
      </c>
      <c r="L1384" s="135">
        <v>3.7992631328469598E-2</v>
      </c>
      <c r="M1384" s="135">
        <v>5.4435709548307398E-2</v>
      </c>
      <c r="N1384" s="135">
        <v>5.4642862062522897E-2</v>
      </c>
      <c r="O1384" s="135">
        <v>3.4914845598458498E-2</v>
      </c>
      <c r="P1384" s="135">
        <v>2.3545540065841999E-2</v>
      </c>
      <c r="Q1384" s="135">
        <v>1.6895090328183999E-2</v>
      </c>
      <c r="R1384" s="135">
        <v>1.8028427970699999E-2</v>
      </c>
      <c r="S1384" s="135">
        <v>1.6769874532907798E-2</v>
      </c>
      <c r="T1384" s="135">
        <v>1.7967283055498599E-2</v>
      </c>
      <c r="U1384" s="135">
        <v>1.76791433354558E-2</v>
      </c>
      <c r="V1384" s="135">
        <v>1.9568826231970701E-2</v>
      </c>
      <c r="W1384" s="135">
        <v>2.2862814795718601E-2</v>
      </c>
      <c r="X1384" s="135">
        <v>3.43993283160609E-2</v>
      </c>
      <c r="Y1384" s="135">
        <v>4.8977280876126898E-2</v>
      </c>
      <c r="Z1384" s="135">
        <v>5.5132719978189797E-2</v>
      </c>
      <c r="AA1384" s="135">
        <v>5.0655597958882199E-2</v>
      </c>
      <c r="AB1384" s="135">
        <v>3.5017412737214502E-2</v>
      </c>
      <c r="AC1384" s="135">
        <v>2.04092271514421E-2</v>
      </c>
      <c r="AD1384" s="135">
        <v>1.2132588822108501E-2</v>
      </c>
      <c r="AF1384" s="243">
        <f t="shared" si="26"/>
        <v>0.12977146025043551</v>
      </c>
      <c r="AG1384" s="275">
        <f t="shared" si="27"/>
        <v>0.28295628858773214</v>
      </c>
      <c r="AH1384" s="391">
        <f t="shared" si="28"/>
        <v>0.3722091058921817</v>
      </c>
      <c r="AI1384" s="135">
        <f t="shared" si="29"/>
        <v>0.65516539447991384</v>
      </c>
    </row>
    <row r="1385" spans="1:35" ht="12.6">
      <c r="A1385" s="10" t="s">
        <v>1516</v>
      </c>
      <c r="B1385" s="10">
        <v>289</v>
      </c>
      <c r="C1385" s="10" t="s">
        <v>1515</v>
      </c>
      <c r="D1385" s="388">
        <v>45215</v>
      </c>
      <c r="E1385" s="389">
        <v>45215</v>
      </c>
      <c r="F1385" s="390" t="str">
        <f t="shared" si="25"/>
        <v>Space heating &amp; cooling</v>
      </c>
      <c r="G1385" s="135">
        <v>7.9701093391319894E-3</v>
      </c>
      <c r="H1385" s="135">
        <v>7.4832665995385097E-3</v>
      </c>
      <c r="I1385" s="135">
        <v>7.69715627583944E-3</v>
      </c>
      <c r="J1385" s="135">
        <v>9.0558823834452698E-3</v>
      </c>
      <c r="K1385" s="135">
        <v>2.4256472792327101E-2</v>
      </c>
      <c r="L1385" s="135">
        <v>4.6381320016590302E-2</v>
      </c>
      <c r="M1385" s="135">
        <v>6.4789814476515495E-2</v>
      </c>
      <c r="N1385" s="135">
        <v>4.7465098165324501E-2</v>
      </c>
      <c r="O1385" s="135">
        <v>1.8542043362905901E-2</v>
      </c>
      <c r="P1385" s="135">
        <v>1.08258742611059E-2</v>
      </c>
      <c r="Q1385" s="135">
        <v>9.6955164226364896E-3</v>
      </c>
      <c r="R1385" s="135">
        <v>1.03498589498542E-2</v>
      </c>
      <c r="S1385" s="135">
        <v>1.26127772721338E-2</v>
      </c>
      <c r="T1385" s="135">
        <v>1.1232358446720001E-2</v>
      </c>
      <c r="U1385" s="135">
        <v>1.1356930660348499E-2</v>
      </c>
      <c r="V1385" s="135">
        <v>1.5888125066151899E-2</v>
      </c>
      <c r="W1385" s="135">
        <v>2.6579895552935301E-2</v>
      </c>
      <c r="X1385" s="135">
        <v>4.1891713722363298E-2</v>
      </c>
      <c r="Y1385" s="135">
        <v>5.4221897816034197E-2</v>
      </c>
      <c r="Z1385" s="135">
        <v>5.85242454944035E-2</v>
      </c>
      <c r="AA1385" s="135">
        <v>4.9229635916048502E-2</v>
      </c>
      <c r="AB1385" s="135">
        <v>2.87149553901715E-2</v>
      </c>
      <c r="AC1385" s="135">
        <v>1.39941036329968E-2</v>
      </c>
      <c r="AD1385" s="135">
        <v>8.3255300479366107E-3</v>
      </c>
      <c r="AF1385" s="243">
        <f t="shared" si="26"/>
        <v>9.7715462370780187E-2</v>
      </c>
      <c r="AG1385" s="275">
        <f t="shared" si="27"/>
        <v>0.26762374256261096</v>
      </c>
      <c r="AH1385" s="391">
        <f t="shared" si="28"/>
        <v>0.32946083950084798</v>
      </c>
      <c r="AI1385" s="135">
        <f t="shared" si="29"/>
        <v>0.59708458206345894</v>
      </c>
    </row>
    <row r="1386" spans="1:35" ht="12.6">
      <c r="A1386" s="10" t="s">
        <v>1516</v>
      </c>
      <c r="B1386" s="10">
        <v>290</v>
      </c>
      <c r="C1386" s="10" t="s">
        <v>1515</v>
      </c>
      <c r="D1386" s="388">
        <v>45216</v>
      </c>
      <c r="E1386" s="389">
        <v>45216</v>
      </c>
      <c r="F1386" s="390" t="str">
        <f t="shared" si="25"/>
        <v>Space heating &amp; cooling</v>
      </c>
      <c r="G1386" s="135">
        <v>7.9701093391319894E-3</v>
      </c>
      <c r="H1386" s="135">
        <v>7.4832665995385097E-3</v>
      </c>
      <c r="I1386" s="135">
        <v>7.69715627583944E-3</v>
      </c>
      <c r="J1386" s="135">
        <v>9.0558823834452698E-3</v>
      </c>
      <c r="K1386" s="135">
        <v>2.4256472792327101E-2</v>
      </c>
      <c r="L1386" s="135">
        <v>4.6381320016590302E-2</v>
      </c>
      <c r="M1386" s="135">
        <v>6.4789814476515495E-2</v>
      </c>
      <c r="N1386" s="135">
        <v>4.7465098165324501E-2</v>
      </c>
      <c r="O1386" s="135">
        <v>1.8542043362905901E-2</v>
      </c>
      <c r="P1386" s="135">
        <v>1.08258742611059E-2</v>
      </c>
      <c r="Q1386" s="135">
        <v>9.6955164226364896E-3</v>
      </c>
      <c r="R1386" s="135">
        <v>1.03498589498542E-2</v>
      </c>
      <c r="S1386" s="135">
        <v>1.26127772721338E-2</v>
      </c>
      <c r="T1386" s="135">
        <v>1.1232358446720001E-2</v>
      </c>
      <c r="U1386" s="135">
        <v>1.1356930660348499E-2</v>
      </c>
      <c r="V1386" s="135">
        <v>1.5888125066151899E-2</v>
      </c>
      <c r="W1386" s="135">
        <v>2.6579895552935301E-2</v>
      </c>
      <c r="X1386" s="135">
        <v>4.1891713722363298E-2</v>
      </c>
      <c r="Y1386" s="135">
        <v>5.4221897816034197E-2</v>
      </c>
      <c r="Z1386" s="135">
        <v>5.85242454944035E-2</v>
      </c>
      <c r="AA1386" s="135">
        <v>4.9229635916048502E-2</v>
      </c>
      <c r="AB1386" s="135">
        <v>2.87149553901715E-2</v>
      </c>
      <c r="AC1386" s="135">
        <v>1.39941036329968E-2</v>
      </c>
      <c r="AD1386" s="135">
        <v>8.3255300479366107E-3</v>
      </c>
      <c r="AF1386" s="243">
        <f t="shared" si="26"/>
        <v>9.7715462370780187E-2</v>
      </c>
      <c r="AG1386" s="275">
        <f t="shared" si="27"/>
        <v>0.26762374256261096</v>
      </c>
      <c r="AH1386" s="391">
        <f t="shared" si="28"/>
        <v>0.32946083950084798</v>
      </c>
      <c r="AI1386" s="135">
        <f t="shared" si="29"/>
        <v>0.59708458206345894</v>
      </c>
    </row>
    <row r="1387" spans="1:35" ht="12.6">
      <c r="A1387" s="10" t="s">
        <v>1516</v>
      </c>
      <c r="B1387" s="10">
        <v>291</v>
      </c>
      <c r="C1387" s="10" t="s">
        <v>1515</v>
      </c>
      <c r="D1387" s="388">
        <v>45217</v>
      </c>
      <c r="E1387" s="389">
        <v>45217</v>
      </c>
      <c r="F1387" s="390" t="str">
        <f t="shared" si="25"/>
        <v>Space heating &amp; cooling</v>
      </c>
      <c r="G1387" s="135">
        <v>7.9701093391319894E-3</v>
      </c>
      <c r="H1387" s="135">
        <v>7.4832665995385097E-3</v>
      </c>
      <c r="I1387" s="135">
        <v>7.69715627583944E-3</v>
      </c>
      <c r="J1387" s="135">
        <v>9.0558823834452698E-3</v>
      </c>
      <c r="K1387" s="135">
        <v>2.4256472792327101E-2</v>
      </c>
      <c r="L1387" s="135">
        <v>4.6381320016590302E-2</v>
      </c>
      <c r="M1387" s="135">
        <v>6.4789814476515495E-2</v>
      </c>
      <c r="N1387" s="135">
        <v>4.7465098165324501E-2</v>
      </c>
      <c r="O1387" s="135">
        <v>1.8542043362905901E-2</v>
      </c>
      <c r="P1387" s="135">
        <v>1.08258742611059E-2</v>
      </c>
      <c r="Q1387" s="135">
        <v>9.6955164226364896E-3</v>
      </c>
      <c r="R1387" s="135">
        <v>1.03498589498542E-2</v>
      </c>
      <c r="S1387" s="135">
        <v>1.26127772721338E-2</v>
      </c>
      <c r="T1387" s="135">
        <v>1.1232358446720001E-2</v>
      </c>
      <c r="U1387" s="135">
        <v>1.1356930660348499E-2</v>
      </c>
      <c r="V1387" s="135">
        <v>1.5888125066151899E-2</v>
      </c>
      <c r="W1387" s="135">
        <v>2.6579895552935301E-2</v>
      </c>
      <c r="X1387" s="135">
        <v>4.1891713722363298E-2</v>
      </c>
      <c r="Y1387" s="135">
        <v>5.4221897816034197E-2</v>
      </c>
      <c r="Z1387" s="135">
        <v>5.85242454944035E-2</v>
      </c>
      <c r="AA1387" s="135">
        <v>4.9229635916048502E-2</v>
      </c>
      <c r="AB1387" s="135">
        <v>2.87149553901715E-2</v>
      </c>
      <c r="AC1387" s="135">
        <v>1.39941036329968E-2</v>
      </c>
      <c r="AD1387" s="135">
        <v>8.3255300479366107E-3</v>
      </c>
      <c r="AF1387" s="243">
        <f t="shared" si="26"/>
        <v>9.7715462370780187E-2</v>
      </c>
      <c r="AG1387" s="275">
        <f t="shared" si="27"/>
        <v>0.26762374256261096</v>
      </c>
      <c r="AH1387" s="391">
        <f t="shared" si="28"/>
        <v>0.32946083950084798</v>
      </c>
      <c r="AI1387" s="135">
        <f t="shared" si="29"/>
        <v>0.59708458206345894</v>
      </c>
    </row>
    <row r="1388" spans="1:35" ht="12.6">
      <c r="A1388" s="10" t="s">
        <v>1516</v>
      </c>
      <c r="B1388" s="10">
        <v>292</v>
      </c>
      <c r="C1388" s="10" t="s">
        <v>1515</v>
      </c>
      <c r="D1388" s="388">
        <v>45218</v>
      </c>
      <c r="E1388" s="389">
        <v>45218</v>
      </c>
      <c r="F1388" s="390" t="str">
        <f t="shared" si="25"/>
        <v>Space heating &amp; cooling</v>
      </c>
      <c r="G1388" s="135">
        <v>7.9701093391319894E-3</v>
      </c>
      <c r="H1388" s="135">
        <v>7.4832665995385097E-3</v>
      </c>
      <c r="I1388" s="135">
        <v>7.69715627583944E-3</v>
      </c>
      <c r="J1388" s="135">
        <v>9.0558823834452698E-3</v>
      </c>
      <c r="K1388" s="135">
        <v>2.4256472792327101E-2</v>
      </c>
      <c r="L1388" s="135">
        <v>4.6381320016590302E-2</v>
      </c>
      <c r="M1388" s="135">
        <v>6.4789814476515495E-2</v>
      </c>
      <c r="N1388" s="135">
        <v>4.7465098165324501E-2</v>
      </c>
      <c r="O1388" s="135">
        <v>1.8542043362905901E-2</v>
      </c>
      <c r="P1388" s="135">
        <v>1.08258742611059E-2</v>
      </c>
      <c r="Q1388" s="135">
        <v>9.6955164226364896E-3</v>
      </c>
      <c r="R1388" s="135">
        <v>1.03498589498542E-2</v>
      </c>
      <c r="S1388" s="135">
        <v>1.26127772721338E-2</v>
      </c>
      <c r="T1388" s="135">
        <v>1.1232358446720001E-2</v>
      </c>
      <c r="U1388" s="135">
        <v>1.1356930660348499E-2</v>
      </c>
      <c r="V1388" s="135">
        <v>1.5888125066151899E-2</v>
      </c>
      <c r="W1388" s="135">
        <v>2.6579895552935301E-2</v>
      </c>
      <c r="X1388" s="135">
        <v>4.1891713722363298E-2</v>
      </c>
      <c r="Y1388" s="135">
        <v>5.4221897816034197E-2</v>
      </c>
      <c r="Z1388" s="135">
        <v>5.85242454944035E-2</v>
      </c>
      <c r="AA1388" s="135">
        <v>4.9229635916048502E-2</v>
      </c>
      <c r="AB1388" s="135">
        <v>2.87149553901715E-2</v>
      </c>
      <c r="AC1388" s="135">
        <v>1.39941036329968E-2</v>
      </c>
      <c r="AD1388" s="135">
        <v>8.3255300479366107E-3</v>
      </c>
      <c r="AF1388" s="243">
        <f t="shared" si="26"/>
        <v>9.7715462370780187E-2</v>
      </c>
      <c r="AG1388" s="275">
        <f t="shared" si="27"/>
        <v>0.26762374256261096</v>
      </c>
      <c r="AH1388" s="391">
        <f t="shared" si="28"/>
        <v>0.32946083950084798</v>
      </c>
      <c r="AI1388" s="135">
        <f t="shared" si="29"/>
        <v>0.59708458206345894</v>
      </c>
    </row>
    <row r="1389" spans="1:35" ht="12.6">
      <c r="A1389" s="10" t="s">
        <v>1516</v>
      </c>
      <c r="B1389" s="10">
        <v>293</v>
      </c>
      <c r="C1389" s="10" t="s">
        <v>1515</v>
      </c>
      <c r="D1389" s="388">
        <v>45219</v>
      </c>
      <c r="E1389" s="389">
        <v>45219</v>
      </c>
      <c r="F1389" s="390" t="str">
        <f t="shared" si="25"/>
        <v>Space heating &amp; cooling</v>
      </c>
      <c r="G1389" s="135">
        <v>7.9701093391319894E-3</v>
      </c>
      <c r="H1389" s="135">
        <v>7.4832665995385097E-3</v>
      </c>
      <c r="I1389" s="135">
        <v>7.69715627583944E-3</v>
      </c>
      <c r="J1389" s="135">
        <v>9.0558823834452698E-3</v>
      </c>
      <c r="K1389" s="135">
        <v>2.4256472792327101E-2</v>
      </c>
      <c r="L1389" s="135">
        <v>4.6381320016590302E-2</v>
      </c>
      <c r="M1389" s="135">
        <v>6.4789814476515495E-2</v>
      </c>
      <c r="N1389" s="135">
        <v>4.7465098165324501E-2</v>
      </c>
      <c r="O1389" s="135">
        <v>1.8542043362905901E-2</v>
      </c>
      <c r="P1389" s="135">
        <v>1.08258742611059E-2</v>
      </c>
      <c r="Q1389" s="135">
        <v>9.6955164226364896E-3</v>
      </c>
      <c r="R1389" s="135">
        <v>1.03498589498542E-2</v>
      </c>
      <c r="S1389" s="135">
        <v>1.26127772721338E-2</v>
      </c>
      <c r="T1389" s="135">
        <v>1.1232358446720001E-2</v>
      </c>
      <c r="U1389" s="135">
        <v>1.1356930660348499E-2</v>
      </c>
      <c r="V1389" s="135">
        <v>1.5888125066151899E-2</v>
      </c>
      <c r="W1389" s="135">
        <v>2.6579895552935301E-2</v>
      </c>
      <c r="X1389" s="135">
        <v>4.1891713722363298E-2</v>
      </c>
      <c r="Y1389" s="135">
        <v>5.4221897816034197E-2</v>
      </c>
      <c r="Z1389" s="135">
        <v>5.85242454944035E-2</v>
      </c>
      <c r="AA1389" s="135">
        <v>4.9229635916048502E-2</v>
      </c>
      <c r="AB1389" s="135">
        <v>2.87149553901715E-2</v>
      </c>
      <c r="AC1389" s="135">
        <v>1.39941036329968E-2</v>
      </c>
      <c r="AD1389" s="135">
        <v>8.3255300479366107E-3</v>
      </c>
      <c r="AF1389" s="243">
        <f t="shared" si="26"/>
        <v>9.7715462370780187E-2</v>
      </c>
      <c r="AG1389" s="275">
        <f t="shared" si="27"/>
        <v>0.26762374256261096</v>
      </c>
      <c r="AH1389" s="391">
        <f t="shared" si="28"/>
        <v>0.32946083950084798</v>
      </c>
      <c r="AI1389" s="135">
        <f t="shared" si="29"/>
        <v>0.59708458206345894</v>
      </c>
    </row>
    <row r="1390" spans="1:35" ht="12.6">
      <c r="A1390" s="10" t="s">
        <v>1516</v>
      </c>
      <c r="B1390" s="10">
        <v>294</v>
      </c>
      <c r="C1390" s="10" t="s">
        <v>1515</v>
      </c>
      <c r="D1390" s="388">
        <v>45220</v>
      </c>
      <c r="E1390" s="389">
        <v>45220</v>
      </c>
      <c r="F1390" s="390" t="str">
        <f t="shared" si="25"/>
        <v>Space heating &amp; cooling</v>
      </c>
      <c r="G1390" s="135">
        <v>8.5589099629598906E-3</v>
      </c>
      <c r="H1390" s="135">
        <v>8.8675026375491794E-3</v>
      </c>
      <c r="I1390" s="135">
        <v>1.04552190481216E-2</v>
      </c>
      <c r="J1390" s="135">
        <v>1.17579119066295E-2</v>
      </c>
      <c r="K1390" s="135">
        <v>2.34986462305929E-2</v>
      </c>
      <c r="L1390" s="135">
        <v>3.7992631328469598E-2</v>
      </c>
      <c r="M1390" s="135">
        <v>5.4435709548307398E-2</v>
      </c>
      <c r="N1390" s="135">
        <v>5.4642862062522897E-2</v>
      </c>
      <c r="O1390" s="135">
        <v>3.4914845598458498E-2</v>
      </c>
      <c r="P1390" s="135">
        <v>2.3545540065841999E-2</v>
      </c>
      <c r="Q1390" s="135">
        <v>1.6895090328183999E-2</v>
      </c>
      <c r="R1390" s="135">
        <v>1.8028427970699999E-2</v>
      </c>
      <c r="S1390" s="135">
        <v>1.6769874532907798E-2</v>
      </c>
      <c r="T1390" s="135">
        <v>1.7967283055498599E-2</v>
      </c>
      <c r="U1390" s="135">
        <v>1.76791433354558E-2</v>
      </c>
      <c r="V1390" s="135">
        <v>1.9568826231970701E-2</v>
      </c>
      <c r="W1390" s="135">
        <v>2.2862814795718601E-2</v>
      </c>
      <c r="X1390" s="135">
        <v>3.43993283160609E-2</v>
      </c>
      <c r="Y1390" s="135">
        <v>4.8977280876126898E-2</v>
      </c>
      <c r="Z1390" s="135">
        <v>5.5132719978189797E-2</v>
      </c>
      <c r="AA1390" s="135">
        <v>5.0655597958882199E-2</v>
      </c>
      <c r="AB1390" s="135">
        <v>3.5017412737214502E-2</v>
      </c>
      <c r="AC1390" s="135">
        <v>2.04092271514421E-2</v>
      </c>
      <c r="AD1390" s="135">
        <v>1.2132588822108501E-2</v>
      </c>
      <c r="AF1390" s="243">
        <f t="shared" si="26"/>
        <v>0.12977146025043551</v>
      </c>
      <c r="AG1390" s="275">
        <f t="shared" si="27"/>
        <v>0.28295628858773214</v>
      </c>
      <c r="AH1390" s="391">
        <f t="shared" si="28"/>
        <v>0.3722091058921817</v>
      </c>
      <c r="AI1390" s="135">
        <f t="shared" si="29"/>
        <v>0.65516539447991384</v>
      </c>
    </row>
    <row r="1391" spans="1:35" ht="12.6">
      <c r="A1391" s="10" t="s">
        <v>1516</v>
      </c>
      <c r="B1391" s="10">
        <v>295</v>
      </c>
      <c r="C1391" s="10" t="s">
        <v>1515</v>
      </c>
      <c r="D1391" s="388">
        <v>45221</v>
      </c>
      <c r="E1391" s="389">
        <v>45221</v>
      </c>
      <c r="F1391" s="390" t="str">
        <f t="shared" si="25"/>
        <v>Space heating &amp; cooling</v>
      </c>
      <c r="G1391" s="135">
        <v>8.5589099629598906E-3</v>
      </c>
      <c r="H1391" s="135">
        <v>8.8675026375491794E-3</v>
      </c>
      <c r="I1391" s="135">
        <v>1.04552190481216E-2</v>
      </c>
      <c r="J1391" s="135">
        <v>1.17579119066295E-2</v>
      </c>
      <c r="K1391" s="135">
        <v>2.34986462305929E-2</v>
      </c>
      <c r="L1391" s="135">
        <v>3.7992631328469598E-2</v>
      </c>
      <c r="M1391" s="135">
        <v>5.4435709548307398E-2</v>
      </c>
      <c r="N1391" s="135">
        <v>5.4642862062522897E-2</v>
      </c>
      <c r="O1391" s="135">
        <v>3.4914845598458498E-2</v>
      </c>
      <c r="P1391" s="135">
        <v>2.3545540065841999E-2</v>
      </c>
      <c r="Q1391" s="135">
        <v>1.6895090328183999E-2</v>
      </c>
      <c r="R1391" s="135">
        <v>1.8028427970699999E-2</v>
      </c>
      <c r="S1391" s="135">
        <v>1.6769874532907798E-2</v>
      </c>
      <c r="T1391" s="135">
        <v>1.7967283055498599E-2</v>
      </c>
      <c r="U1391" s="135">
        <v>1.76791433354558E-2</v>
      </c>
      <c r="V1391" s="135">
        <v>1.9568826231970701E-2</v>
      </c>
      <c r="W1391" s="135">
        <v>2.2862814795718601E-2</v>
      </c>
      <c r="X1391" s="135">
        <v>3.43993283160609E-2</v>
      </c>
      <c r="Y1391" s="135">
        <v>4.8977280876126898E-2</v>
      </c>
      <c r="Z1391" s="135">
        <v>5.5132719978189797E-2</v>
      </c>
      <c r="AA1391" s="135">
        <v>5.0655597958882199E-2</v>
      </c>
      <c r="AB1391" s="135">
        <v>3.5017412737214502E-2</v>
      </c>
      <c r="AC1391" s="135">
        <v>2.04092271514421E-2</v>
      </c>
      <c r="AD1391" s="135">
        <v>1.2132588822108501E-2</v>
      </c>
      <c r="AF1391" s="243">
        <f t="shared" si="26"/>
        <v>0.12977146025043551</v>
      </c>
      <c r="AG1391" s="275">
        <f t="shared" si="27"/>
        <v>0.28295628858773214</v>
      </c>
      <c r="AH1391" s="391">
        <f t="shared" si="28"/>
        <v>0.3722091058921817</v>
      </c>
      <c r="AI1391" s="135">
        <f t="shared" si="29"/>
        <v>0.65516539447991384</v>
      </c>
    </row>
    <row r="1392" spans="1:35" ht="12.6">
      <c r="A1392" s="10" t="s">
        <v>1516</v>
      </c>
      <c r="B1392" s="10">
        <v>296</v>
      </c>
      <c r="C1392" s="10" t="s">
        <v>1515</v>
      </c>
      <c r="D1392" s="388">
        <v>45222</v>
      </c>
      <c r="E1392" s="389">
        <v>45222</v>
      </c>
      <c r="F1392" s="390" t="str">
        <f t="shared" si="25"/>
        <v>Space heating &amp; cooling</v>
      </c>
      <c r="G1392" s="135">
        <v>7.9701093391319894E-3</v>
      </c>
      <c r="H1392" s="135">
        <v>7.4832665995385097E-3</v>
      </c>
      <c r="I1392" s="135">
        <v>7.69715627583944E-3</v>
      </c>
      <c r="J1392" s="135">
        <v>9.0558823834452698E-3</v>
      </c>
      <c r="K1392" s="135">
        <v>2.4256472792327101E-2</v>
      </c>
      <c r="L1392" s="135">
        <v>4.6381320016590302E-2</v>
      </c>
      <c r="M1392" s="135">
        <v>6.4789814476515495E-2</v>
      </c>
      <c r="N1392" s="135">
        <v>4.7465098165324501E-2</v>
      </c>
      <c r="O1392" s="135">
        <v>1.8542043362905901E-2</v>
      </c>
      <c r="P1392" s="135">
        <v>1.08258742611059E-2</v>
      </c>
      <c r="Q1392" s="135">
        <v>9.6955164226364896E-3</v>
      </c>
      <c r="R1392" s="135">
        <v>1.03498589498542E-2</v>
      </c>
      <c r="S1392" s="135">
        <v>1.26127772721338E-2</v>
      </c>
      <c r="T1392" s="135">
        <v>1.1232358446720001E-2</v>
      </c>
      <c r="U1392" s="135">
        <v>1.1356930660348499E-2</v>
      </c>
      <c r="V1392" s="135">
        <v>1.5888125066151899E-2</v>
      </c>
      <c r="W1392" s="135">
        <v>2.6579895552935301E-2</v>
      </c>
      <c r="X1392" s="135">
        <v>4.1891713722363298E-2</v>
      </c>
      <c r="Y1392" s="135">
        <v>5.4221897816034197E-2</v>
      </c>
      <c r="Z1392" s="135">
        <v>5.85242454944035E-2</v>
      </c>
      <c r="AA1392" s="135">
        <v>4.9229635916048502E-2</v>
      </c>
      <c r="AB1392" s="135">
        <v>2.87149553901715E-2</v>
      </c>
      <c r="AC1392" s="135">
        <v>1.39941036329968E-2</v>
      </c>
      <c r="AD1392" s="135">
        <v>8.3255300479366107E-3</v>
      </c>
      <c r="AF1392" s="243">
        <f t="shared" si="26"/>
        <v>9.7715462370780187E-2</v>
      </c>
      <c r="AG1392" s="275">
        <f t="shared" si="27"/>
        <v>0.26762374256261096</v>
      </c>
      <c r="AH1392" s="391">
        <f t="shared" si="28"/>
        <v>0.32946083950084798</v>
      </c>
      <c r="AI1392" s="135">
        <f t="shared" si="29"/>
        <v>0.59708458206345894</v>
      </c>
    </row>
    <row r="1393" spans="1:35" ht="12.6">
      <c r="A1393" s="10" t="s">
        <v>1516</v>
      </c>
      <c r="B1393" s="10">
        <v>297</v>
      </c>
      <c r="C1393" s="10" t="s">
        <v>1515</v>
      </c>
      <c r="D1393" s="388">
        <v>45223</v>
      </c>
      <c r="E1393" s="389">
        <v>45223</v>
      </c>
      <c r="F1393" s="390" t="str">
        <f t="shared" si="25"/>
        <v>Space heating &amp; cooling</v>
      </c>
      <c r="G1393" s="135">
        <v>7.9701093391319894E-3</v>
      </c>
      <c r="H1393" s="135">
        <v>7.4832665995385097E-3</v>
      </c>
      <c r="I1393" s="135">
        <v>7.69715627583944E-3</v>
      </c>
      <c r="J1393" s="135">
        <v>9.0558823834452698E-3</v>
      </c>
      <c r="K1393" s="135">
        <v>2.4256472792327101E-2</v>
      </c>
      <c r="L1393" s="135">
        <v>4.6381320016590302E-2</v>
      </c>
      <c r="M1393" s="135">
        <v>6.4789814476515495E-2</v>
      </c>
      <c r="N1393" s="135">
        <v>4.7465098165324501E-2</v>
      </c>
      <c r="O1393" s="135">
        <v>1.8542043362905901E-2</v>
      </c>
      <c r="P1393" s="135">
        <v>1.08258742611059E-2</v>
      </c>
      <c r="Q1393" s="135">
        <v>9.6955164226364896E-3</v>
      </c>
      <c r="R1393" s="135">
        <v>1.03498589498542E-2</v>
      </c>
      <c r="S1393" s="135">
        <v>1.26127772721338E-2</v>
      </c>
      <c r="T1393" s="135">
        <v>1.1232358446720001E-2</v>
      </c>
      <c r="U1393" s="135">
        <v>1.1356930660348499E-2</v>
      </c>
      <c r="V1393" s="135">
        <v>1.5888125066151899E-2</v>
      </c>
      <c r="W1393" s="135">
        <v>2.6579895552935301E-2</v>
      </c>
      <c r="X1393" s="135">
        <v>4.1891713722363298E-2</v>
      </c>
      <c r="Y1393" s="135">
        <v>5.4221897816034197E-2</v>
      </c>
      <c r="Z1393" s="135">
        <v>5.85242454944035E-2</v>
      </c>
      <c r="AA1393" s="135">
        <v>4.9229635916048502E-2</v>
      </c>
      <c r="AB1393" s="135">
        <v>2.87149553901715E-2</v>
      </c>
      <c r="AC1393" s="135">
        <v>1.39941036329968E-2</v>
      </c>
      <c r="AD1393" s="135">
        <v>8.3255300479366107E-3</v>
      </c>
      <c r="AF1393" s="243">
        <f t="shared" si="26"/>
        <v>9.7715462370780187E-2</v>
      </c>
      <c r="AG1393" s="275">
        <f t="shared" si="27"/>
        <v>0.26762374256261096</v>
      </c>
      <c r="AH1393" s="391">
        <f t="shared" si="28"/>
        <v>0.32946083950084798</v>
      </c>
      <c r="AI1393" s="135">
        <f t="shared" si="29"/>
        <v>0.59708458206345894</v>
      </c>
    </row>
    <row r="1394" spans="1:35" ht="12.6">
      <c r="A1394" s="10" t="s">
        <v>1516</v>
      </c>
      <c r="B1394" s="10">
        <v>298</v>
      </c>
      <c r="C1394" s="10" t="s">
        <v>1515</v>
      </c>
      <c r="D1394" s="388">
        <v>45224</v>
      </c>
      <c r="E1394" s="389">
        <v>45224</v>
      </c>
      <c r="F1394" s="390" t="str">
        <f t="shared" si="25"/>
        <v>Space heating &amp; cooling</v>
      </c>
      <c r="G1394" s="135">
        <v>7.9701093391319894E-3</v>
      </c>
      <c r="H1394" s="135">
        <v>7.4832665995385097E-3</v>
      </c>
      <c r="I1394" s="135">
        <v>7.69715627583944E-3</v>
      </c>
      <c r="J1394" s="135">
        <v>9.0558823834452698E-3</v>
      </c>
      <c r="K1394" s="135">
        <v>2.4256472792327101E-2</v>
      </c>
      <c r="L1394" s="135">
        <v>4.6381320016590302E-2</v>
      </c>
      <c r="M1394" s="135">
        <v>6.4789814476515495E-2</v>
      </c>
      <c r="N1394" s="135">
        <v>4.7465098165324501E-2</v>
      </c>
      <c r="O1394" s="135">
        <v>1.8542043362905901E-2</v>
      </c>
      <c r="P1394" s="135">
        <v>1.08258742611059E-2</v>
      </c>
      <c r="Q1394" s="135">
        <v>9.6955164226364896E-3</v>
      </c>
      <c r="R1394" s="135">
        <v>1.03498589498542E-2</v>
      </c>
      <c r="S1394" s="135">
        <v>1.26127772721338E-2</v>
      </c>
      <c r="T1394" s="135">
        <v>1.1232358446720001E-2</v>
      </c>
      <c r="U1394" s="135">
        <v>1.1356930660348499E-2</v>
      </c>
      <c r="V1394" s="135">
        <v>1.5888125066151899E-2</v>
      </c>
      <c r="W1394" s="135">
        <v>2.6579895552935301E-2</v>
      </c>
      <c r="X1394" s="135">
        <v>4.1891713722363298E-2</v>
      </c>
      <c r="Y1394" s="135">
        <v>5.4221897816034197E-2</v>
      </c>
      <c r="Z1394" s="135">
        <v>5.85242454944035E-2</v>
      </c>
      <c r="AA1394" s="135">
        <v>4.9229635916048502E-2</v>
      </c>
      <c r="AB1394" s="135">
        <v>2.87149553901715E-2</v>
      </c>
      <c r="AC1394" s="135">
        <v>1.39941036329968E-2</v>
      </c>
      <c r="AD1394" s="135">
        <v>8.3255300479366107E-3</v>
      </c>
      <c r="AF1394" s="243">
        <f t="shared" si="26"/>
        <v>9.7715462370780187E-2</v>
      </c>
      <c r="AG1394" s="275">
        <f t="shared" si="27"/>
        <v>0.26762374256261096</v>
      </c>
      <c r="AH1394" s="391">
        <f t="shared" si="28"/>
        <v>0.32946083950084798</v>
      </c>
      <c r="AI1394" s="135">
        <f t="shared" si="29"/>
        <v>0.59708458206345894</v>
      </c>
    </row>
    <row r="1395" spans="1:35" ht="12.6">
      <c r="A1395" s="10" t="s">
        <v>1516</v>
      </c>
      <c r="B1395" s="10">
        <v>299</v>
      </c>
      <c r="C1395" s="10" t="s">
        <v>1515</v>
      </c>
      <c r="D1395" s="388">
        <v>45225</v>
      </c>
      <c r="E1395" s="389">
        <v>45225</v>
      </c>
      <c r="F1395" s="390" t="str">
        <f t="shared" si="25"/>
        <v>Space heating &amp; cooling</v>
      </c>
      <c r="G1395" s="135">
        <v>7.9701093391319894E-3</v>
      </c>
      <c r="H1395" s="135">
        <v>7.4832665995385097E-3</v>
      </c>
      <c r="I1395" s="135">
        <v>7.69715627583944E-3</v>
      </c>
      <c r="J1395" s="135">
        <v>9.0558823834452698E-3</v>
      </c>
      <c r="K1395" s="135">
        <v>2.4256472792327101E-2</v>
      </c>
      <c r="L1395" s="135">
        <v>4.6381320016590302E-2</v>
      </c>
      <c r="M1395" s="135">
        <v>6.4789814476515495E-2</v>
      </c>
      <c r="N1395" s="135">
        <v>4.7465098165324501E-2</v>
      </c>
      <c r="O1395" s="135">
        <v>1.8542043362905901E-2</v>
      </c>
      <c r="P1395" s="135">
        <v>1.08258742611059E-2</v>
      </c>
      <c r="Q1395" s="135">
        <v>9.6955164226364896E-3</v>
      </c>
      <c r="R1395" s="135">
        <v>1.03498589498542E-2</v>
      </c>
      <c r="S1395" s="135">
        <v>1.26127772721338E-2</v>
      </c>
      <c r="T1395" s="135">
        <v>1.1232358446720001E-2</v>
      </c>
      <c r="U1395" s="135">
        <v>1.1356930660348499E-2</v>
      </c>
      <c r="V1395" s="135">
        <v>1.5888125066151899E-2</v>
      </c>
      <c r="W1395" s="135">
        <v>2.6579895552935301E-2</v>
      </c>
      <c r="X1395" s="135">
        <v>4.1891713722363298E-2</v>
      </c>
      <c r="Y1395" s="135">
        <v>5.4221897816034197E-2</v>
      </c>
      <c r="Z1395" s="135">
        <v>5.85242454944035E-2</v>
      </c>
      <c r="AA1395" s="135">
        <v>4.9229635916048502E-2</v>
      </c>
      <c r="AB1395" s="135">
        <v>2.87149553901715E-2</v>
      </c>
      <c r="AC1395" s="135">
        <v>1.39941036329968E-2</v>
      </c>
      <c r="AD1395" s="135">
        <v>8.3255300479366107E-3</v>
      </c>
      <c r="AF1395" s="243">
        <f t="shared" si="26"/>
        <v>9.7715462370780187E-2</v>
      </c>
      <c r="AG1395" s="275">
        <f t="shared" si="27"/>
        <v>0.26762374256261096</v>
      </c>
      <c r="AH1395" s="391">
        <f t="shared" si="28"/>
        <v>0.32946083950084798</v>
      </c>
      <c r="AI1395" s="135">
        <f t="shared" si="29"/>
        <v>0.59708458206345894</v>
      </c>
    </row>
    <row r="1396" spans="1:35" ht="12.6">
      <c r="A1396" s="10" t="s">
        <v>1516</v>
      </c>
      <c r="B1396" s="10">
        <v>300</v>
      </c>
      <c r="C1396" s="10" t="s">
        <v>1515</v>
      </c>
      <c r="D1396" s="388">
        <v>45226</v>
      </c>
      <c r="E1396" s="389">
        <v>45226</v>
      </c>
      <c r="F1396" s="390" t="str">
        <f t="shared" si="25"/>
        <v>Space heating &amp; cooling</v>
      </c>
      <c r="G1396" s="135">
        <v>7.9701093391319894E-3</v>
      </c>
      <c r="H1396" s="135">
        <v>7.4832665995385097E-3</v>
      </c>
      <c r="I1396" s="135">
        <v>7.69715627583944E-3</v>
      </c>
      <c r="J1396" s="135">
        <v>9.0558823834452698E-3</v>
      </c>
      <c r="K1396" s="135">
        <v>2.4256472792327101E-2</v>
      </c>
      <c r="L1396" s="135">
        <v>4.6381320016590302E-2</v>
      </c>
      <c r="M1396" s="135">
        <v>6.4789814476515495E-2</v>
      </c>
      <c r="N1396" s="135">
        <v>4.7465098165324501E-2</v>
      </c>
      <c r="O1396" s="135">
        <v>1.8542043362905901E-2</v>
      </c>
      <c r="P1396" s="135">
        <v>1.08258742611059E-2</v>
      </c>
      <c r="Q1396" s="135">
        <v>9.6955164226364896E-3</v>
      </c>
      <c r="R1396" s="135">
        <v>1.03498589498542E-2</v>
      </c>
      <c r="S1396" s="135">
        <v>1.26127772721338E-2</v>
      </c>
      <c r="T1396" s="135">
        <v>1.1232358446720001E-2</v>
      </c>
      <c r="U1396" s="135">
        <v>1.1356930660348499E-2</v>
      </c>
      <c r="V1396" s="135">
        <v>1.5888125066151899E-2</v>
      </c>
      <c r="W1396" s="135">
        <v>2.6579895552935301E-2</v>
      </c>
      <c r="X1396" s="135">
        <v>4.1891713722363298E-2</v>
      </c>
      <c r="Y1396" s="135">
        <v>5.4221897816034197E-2</v>
      </c>
      <c r="Z1396" s="135">
        <v>5.85242454944035E-2</v>
      </c>
      <c r="AA1396" s="135">
        <v>4.9229635916048502E-2</v>
      </c>
      <c r="AB1396" s="135">
        <v>2.87149553901715E-2</v>
      </c>
      <c r="AC1396" s="135">
        <v>1.39941036329968E-2</v>
      </c>
      <c r="AD1396" s="135">
        <v>8.3255300479366107E-3</v>
      </c>
      <c r="AF1396" s="243">
        <f t="shared" si="26"/>
        <v>9.7715462370780187E-2</v>
      </c>
      <c r="AG1396" s="275">
        <f t="shared" si="27"/>
        <v>0.26762374256261096</v>
      </c>
      <c r="AH1396" s="391">
        <f t="shared" si="28"/>
        <v>0.32946083950084798</v>
      </c>
      <c r="AI1396" s="135">
        <f t="shared" si="29"/>
        <v>0.59708458206345894</v>
      </c>
    </row>
    <row r="1397" spans="1:35" ht="12.6">
      <c r="A1397" s="10" t="s">
        <v>1516</v>
      </c>
      <c r="B1397" s="10">
        <v>301</v>
      </c>
      <c r="C1397" s="10" t="s">
        <v>1515</v>
      </c>
      <c r="D1397" s="388">
        <v>45227</v>
      </c>
      <c r="E1397" s="389">
        <v>45227</v>
      </c>
      <c r="F1397" s="390" t="str">
        <f t="shared" si="25"/>
        <v>Space heating &amp; cooling</v>
      </c>
      <c r="G1397" s="135">
        <v>8.5589099629598906E-3</v>
      </c>
      <c r="H1397" s="135">
        <v>8.8675026375491794E-3</v>
      </c>
      <c r="I1397" s="135">
        <v>1.04552190481216E-2</v>
      </c>
      <c r="J1397" s="135">
        <v>1.17579119066295E-2</v>
      </c>
      <c r="K1397" s="135">
        <v>2.34986462305929E-2</v>
      </c>
      <c r="L1397" s="135">
        <v>3.7992631328469598E-2</v>
      </c>
      <c r="M1397" s="135">
        <v>5.4435709548307398E-2</v>
      </c>
      <c r="N1397" s="135">
        <v>5.4642862062522897E-2</v>
      </c>
      <c r="O1397" s="135">
        <v>3.4914845598458498E-2</v>
      </c>
      <c r="P1397" s="135">
        <v>2.3545540065841999E-2</v>
      </c>
      <c r="Q1397" s="135">
        <v>1.6895090328183999E-2</v>
      </c>
      <c r="R1397" s="135">
        <v>1.8028427970699999E-2</v>
      </c>
      <c r="S1397" s="135">
        <v>1.6769874532907798E-2</v>
      </c>
      <c r="T1397" s="135">
        <v>1.7967283055498599E-2</v>
      </c>
      <c r="U1397" s="135">
        <v>1.76791433354558E-2</v>
      </c>
      <c r="V1397" s="135">
        <v>1.9568826231970701E-2</v>
      </c>
      <c r="W1397" s="135">
        <v>2.2862814795718601E-2</v>
      </c>
      <c r="X1397" s="135">
        <v>3.43993283160609E-2</v>
      </c>
      <c r="Y1397" s="135">
        <v>4.8977280876126898E-2</v>
      </c>
      <c r="Z1397" s="135">
        <v>5.5132719978189797E-2</v>
      </c>
      <c r="AA1397" s="135">
        <v>5.0655597958882199E-2</v>
      </c>
      <c r="AB1397" s="135">
        <v>3.5017412737214502E-2</v>
      </c>
      <c r="AC1397" s="135">
        <v>2.04092271514421E-2</v>
      </c>
      <c r="AD1397" s="135">
        <v>1.2132588822108501E-2</v>
      </c>
      <c r="AF1397" s="243">
        <f t="shared" si="26"/>
        <v>0.12977146025043551</v>
      </c>
      <c r="AG1397" s="275">
        <f t="shared" si="27"/>
        <v>0.28295628858773214</v>
      </c>
      <c r="AH1397" s="391">
        <f t="shared" si="28"/>
        <v>0.3722091058921817</v>
      </c>
      <c r="AI1397" s="135">
        <f t="shared" si="29"/>
        <v>0.65516539447991384</v>
      </c>
    </row>
    <row r="1398" spans="1:35" ht="12.6">
      <c r="A1398" s="10" t="s">
        <v>1516</v>
      </c>
      <c r="B1398" s="10">
        <v>302</v>
      </c>
      <c r="C1398" s="10" t="s">
        <v>1515</v>
      </c>
      <c r="D1398" s="388">
        <v>45228</v>
      </c>
      <c r="E1398" s="389">
        <v>45228</v>
      </c>
      <c r="F1398" s="390" t="str">
        <f t="shared" si="25"/>
        <v>Space heating &amp; cooling</v>
      </c>
      <c r="G1398" s="135">
        <v>8.5589099629598906E-3</v>
      </c>
      <c r="H1398" s="135">
        <v>8.8675026375491794E-3</v>
      </c>
      <c r="I1398" s="135">
        <v>1.04552190481216E-2</v>
      </c>
      <c r="J1398" s="135">
        <v>1.17579119066295E-2</v>
      </c>
      <c r="K1398" s="135">
        <v>2.34986462305929E-2</v>
      </c>
      <c r="L1398" s="135">
        <v>3.7992631328469598E-2</v>
      </c>
      <c r="M1398" s="135">
        <v>5.4435709548307398E-2</v>
      </c>
      <c r="N1398" s="135">
        <v>5.4642862062522897E-2</v>
      </c>
      <c r="O1398" s="135">
        <v>3.4914845598458498E-2</v>
      </c>
      <c r="P1398" s="135">
        <v>2.3545540065841999E-2</v>
      </c>
      <c r="Q1398" s="135">
        <v>1.6895090328183999E-2</v>
      </c>
      <c r="R1398" s="135">
        <v>1.8028427970699999E-2</v>
      </c>
      <c r="S1398" s="135">
        <v>1.6769874532907798E-2</v>
      </c>
      <c r="T1398" s="135">
        <v>1.7967283055498599E-2</v>
      </c>
      <c r="U1398" s="135">
        <v>1.76791433354558E-2</v>
      </c>
      <c r="V1398" s="135">
        <v>1.9568826231970701E-2</v>
      </c>
      <c r="W1398" s="135">
        <v>2.2862814795718601E-2</v>
      </c>
      <c r="X1398" s="135">
        <v>3.43993283160609E-2</v>
      </c>
      <c r="Y1398" s="135">
        <v>4.8977280876126898E-2</v>
      </c>
      <c r="Z1398" s="135">
        <v>5.5132719978189797E-2</v>
      </c>
      <c r="AA1398" s="135">
        <v>5.0655597958882199E-2</v>
      </c>
      <c r="AB1398" s="135">
        <v>3.5017412737214502E-2</v>
      </c>
      <c r="AC1398" s="135">
        <v>2.04092271514421E-2</v>
      </c>
      <c r="AD1398" s="135">
        <v>1.2132588822108501E-2</v>
      </c>
      <c r="AF1398" s="243">
        <f t="shared" si="26"/>
        <v>0.12977146025043551</v>
      </c>
      <c r="AG1398" s="275">
        <f t="shared" si="27"/>
        <v>0.28295628858773214</v>
      </c>
      <c r="AH1398" s="391">
        <f t="shared" si="28"/>
        <v>0.3722091058921817</v>
      </c>
      <c r="AI1398" s="135">
        <f t="shared" si="29"/>
        <v>0.65516539447991384</v>
      </c>
    </row>
    <row r="1399" spans="1:35" ht="12.6">
      <c r="A1399" s="10" t="s">
        <v>1516</v>
      </c>
      <c r="B1399" s="10">
        <v>303</v>
      </c>
      <c r="C1399" s="10" t="s">
        <v>1515</v>
      </c>
      <c r="D1399" s="388">
        <v>45229</v>
      </c>
      <c r="E1399" s="389">
        <v>45229</v>
      </c>
      <c r="F1399" s="390" t="str">
        <f t="shared" si="25"/>
        <v>Space heating &amp; cooling</v>
      </c>
      <c r="G1399" s="135">
        <v>7.9701093391319894E-3</v>
      </c>
      <c r="H1399" s="135">
        <v>7.4832665995385097E-3</v>
      </c>
      <c r="I1399" s="135">
        <v>7.69715627583944E-3</v>
      </c>
      <c r="J1399" s="135">
        <v>9.0558823834452698E-3</v>
      </c>
      <c r="K1399" s="135">
        <v>2.4256472792327101E-2</v>
      </c>
      <c r="L1399" s="135">
        <v>4.6381320016590302E-2</v>
      </c>
      <c r="M1399" s="135">
        <v>6.4789814476515495E-2</v>
      </c>
      <c r="N1399" s="135">
        <v>4.7465098165324501E-2</v>
      </c>
      <c r="O1399" s="135">
        <v>1.8542043362905901E-2</v>
      </c>
      <c r="P1399" s="135">
        <v>1.08258742611059E-2</v>
      </c>
      <c r="Q1399" s="135">
        <v>9.6955164226364896E-3</v>
      </c>
      <c r="R1399" s="135">
        <v>1.03498589498542E-2</v>
      </c>
      <c r="S1399" s="135">
        <v>1.26127772721338E-2</v>
      </c>
      <c r="T1399" s="135">
        <v>1.1232358446720001E-2</v>
      </c>
      <c r="U1399" s="135">
        <v>1.1356930660348499E-2</v>
      </c>
      <c r="V1399" s="135">
        <v>1.5888125066151899E-2</v>
      </c>
      <c r="W1399" s="135">
        <v>2.6579895552935301E-2</v>
      </c>
      <c r="X1399" s="135">
        <v>4.1891713722363298E-2</v>
      </c>
      <c r="Y1399" s="135">
        <v>5.4221897816034197E-2</v>
      </c>
      <c r="Z1399" s="135">
        <v>5.85242454944035E-2</v>
      </c>
      <c r="AA1399" s="135">
        <v>4.9229635916048502E-2</v>
      </c>
      <c r="AB1399" s="135">
        <v>2.87149553901715E-2</v>
      </c>
      <c r="AC1399" s="135">
        <v>1.39941036329968E-2</v>
      </c>
      <c r="AD1399" s="135">
        <v>8.3255300479366107E-3</v>
      </c>
      <c r="AF1399" s="243">
        <f t="shared" si="26"/>
        <v>9.7715462370780187E-2</v>
      </c>
      <c r="AG1399" s="275">
        <f t="shared" si="27"/>
        <v>0.26762374256261096</v>
      </c>
      <c r="AH1399" s="391">
        <f t="shared" si="28"/>
        <v>0.32946083950084798</v>
      </c>
      <c r="AI1399" s="135">
        <f t="shared" si="29"/>
        <v>0.59708458206345894</v>
      </c>
    </row>
    <row r="1400" spans="1:35" ht="12.6">
      <c r="A1400" s="10" t="s">
        <v>1516</v>
      </c>
      <c r="B1400" s="10">
        <v>304</v>
      </c>
      <c r="C1400" s="10" t="s">
        <v>1515</v>
      </c>
      <c r="D1400" s="388">
        <v>45230</v>
      </c>
      <c r="E1400" s="389">
        <v>45230</v>
      </c>
      <c r="F1400" s="390" t="str">
        <f t="shared" si="25"/>
        <v>Space heating &amp; cooling</v>
      </c>
      <c r="G1400" s="135">
        <v>7.9701093391319894E-3</v>
      </c>
      <c r="H1400" s="135">
        <v>7.4832665995385097E-3</v>
      </c>
      <c r="I1400" s="135">
        <v>7.69715627583944E-3</v>
      </c>
      <c r="J1400" s="135">
        <v>9.0558823834452698E-3</v>
      </c>
      <c r="K1400" s="135">
        <v>2.4256472792327101E-2</v>
      </c>
      <c r="L1400" s="135">
        <v>4.6381320016590302E-2</v>
      </c>
      <c r="M1400" s="135">
        <v>6.4789814476515495E-2</v>
      </c>
      <c r="N1400" s="135">
        <v>4.7465098165324501E-2</v>
      </c>
      <c r="O1400" s="135">
        <v>1.8542043362905901E-2</v>
      </c>
      <c r="P1400" s="135">
        <v>1.08258742611059E-2</v>
      </c>
      <c r="Q1400" s="135">
        <v>9.6955164226364896E-3</v>
      </c>
      <c r="R1400" s="135">
        <v>1.03498589498542E-2</v>
      </c>
      <c r="S1400" s="135">
        <v>1.26127772721338E-2</v>
      </c>
      <c r="T1400" s="135">
        <v>1.1232358446720001E-2</v>
      </c>
      <c r="U1400" s="135">
        <v>1.1356930660348499E-2</v>
      </c>
      <c r="V1400" s="135">
        <v>1.5888125066151899E-2</v>
      </c>
      <c r="W1400" s="135">
        <v>2.6579895552935301E-2</v>
      </c>
      <c r="X1400" s="135">
        <v>4.1891713722363298E-2</v>
      </c>
      <c r="Y1400" s="135">
        <v>5.4221897816034197E-2</v>
      </c>
      <c r="Z1400" s="135">
        <v>5.85242454944035E-2</v>
      </c>
      <c r="AA1400" s="135">
        <v>4.9229635916048502E-2</v>
      </c>
      <c r="AB1400" s="135">
        <v>2.87149553901715E-2</v>
      </c>
      <c r="AC1400" s="135">
        <v>1.39941036329968E-2</v>
      </c>
      <c r="AD1400" s="135">
        <v>8.3255300479366107E-3</v>
      </c>
      <c r="AF1400" s="243">
        <f t="shared" si="26"/>
        <v>9.7715462370780187E-2</v>
      </c>
      <c r="AG1400" s="275">
        <f t="shared" si="27"/>
        <v>0.26762374256261096</v>
      </c>
      <c r="AH1400" s="391">
        <f t="shared" si="28"/>
        <v>0.32946083950084798</v>
      </c>
      <c r="AI1400" s="135">
        <f t="shared" si="29"/>
        <v>0.59708458206345894</v>
      </c>
    </row>
    <row r="1401" spans="1:35" ht="12.6">
      <c r="A1401" s="10" t="s">
        <v>1516</v>
      </c>
      <c r="B1401" s="10">
        <v>305</v>
      </c>
      <c r="C1401" s="10" t="s">
        <v>1515</v>
      </c>
      <c r="D1401" s="388">
        <v>45231</v>
      </c>
      <c r="E1401" s="389">
        <v>45231</v>
      </c>
      <c r="F1401" s="390" t="str">
        <f t="shared" si="25"/>
        <v>Space heating &amp; cooling</v>
      </c>
      <c r="G1401" s="135">
        <v>7.9701093391319894E-3</v>
      </c>
      <c r="H1401" s="135">
        <v>7.4832665995385097E-3</v>
      </c>
      <c r="I1401" s="135">
        <v>7.69715627583944E-3</v>
      </c>
      <c r="J1401" s="135">
        <v>9.0558823834452698E-3</v>
      </c>
      <c r="K1401" s="135">
        <v>2.4256472792327101E-2</v>
      </c>
      <c r="L1401" s="135">
        <v>4.6381320016590302E-2</v>
      </c>
      <c r="M1401" s="135">
        <v>6.4789814476515495E-2</v>
      </c>
      <c r="N1401" s="135">
        <v>4.7465098165324501E-2</v>
      </c>
      <c r="O1401" s="135">
        <v>1.8542043362905901E-2</v>
      </c>
      <c r="P1401" s="135">
        <v>1.08258742611059E-2</v>
      </c>
      <c r="Q1401" s="135">
        <v>9.6955164226364896E-3</v>
      </c>
      <c r="R1401" s="135">
        <v>1.03498589498542E-2</v>
      </c>
      <c r="S1401" s="135">
        <v>1.26127772721338E-2</v>
      </c>
      <c r="T1401" s="135">
        <v>1.1232358446720001E-2</v>
      </c>
      <c r="U1401" s="135">
        <v>1.1356930660348499E-2</v>
      </c>
      <c r="V1401" s="135">
        <v>1.5888125066151899E-2</v>
      </c>
      <c r="W1401" s="135">
        <v>2.6579895552935301E-2</v>
      </c>
      <c r="X1401" s="135">
        <v>4.1891713722363298E-2</v>
      </c>
      <c r="Y1401" s="135">
        <v>5.4221897816034197E-2</v>
      </c>
      <c r="Z1401" s="135">
        <v>5.85242454944035E-2</v>
      </c>
      <c r="AA1401" s="135">
        <v>4.9229635916048502E-2</v>
      </c>
      <c r="AB1401" s="135">
        <v>2.87149553901715E-2</v>
      </c>
      <c r="AC1401" s="135">
        <v>1.39941036329968E-2</v>
      </c>
      <c r="AD1401" s="135">
        <v>8.3255300479366107E-3</v>
      </c>
      <c r="AF1401" s="243">
        <f t="shared" si="26"/>
        <v>9.7715462370780187E-2</v>
      </c>
      <c r="AG1401" s="275">
        <f t="shared" si="27"/>
        <v>0.26762374256261096</v>
      </c>
      <c r="AH1401" s="391">
        <f t="shared" si="28"/>
        <v>0.32946083950084798</v>
      </c>
      <c r="AI1401" s="135">
        <f t="shared" si="29"/>
        <v>0.59708458206345894</v>
      </c>
    </row>
    <row r="1402" spans="1:35" ht="12.6">
      <c r="A1402" s="10" t="s">
        <v>1516</v>
      </c>
      <c r="B1402" s="10">
        <v>306</v>
      </c>
      <c r="C1402" s="10" t="s">
        <v>1515</v>
      </c>
      <c r="D1402" s="388">
        <v>45232</v>
      </c>
      <c r="E1402" s="389">
        <v>45232</v>
      </c>
      <c r="F1402" s="390" t="str">
        <f t="shared" si="25"/>
        <v>Space heating &amp; cooling</v>
      </c>
      <c r="G1402" s="135">
        <v>7.9701093391319894E-3</v>
      </c>
      <c r="H1402" s="135">
        <v>7.4832665995385097E-3</v>
      </c>
      <c r="I1402" s="135">
        <v>7.69715627583944E-3</v>
      </c>
      <c r="J1402" s="135">
        <v>9.0558823834452698E-3</v>
      </c>
      <c r="K1402" s="135">
        <v>2.4256472792327101E-2</v>
      </c>
      <c r="L1402" s="135">
        <v>4.6381320016590302E-2</v>
      </c>
      <c r="M1402" s="135">
        <v>6.4789814476515495E-2</v>
      </c>
      <c r="N1402" s="135">
        <v>4.7465098165324501E-2</v>
      </c>
      <c r="O1402" s="135">
        <v>1.8542043362905901E-2</v>
      </c>
      <c r="P1402" s="135">
        <v>1.08258742611059E-2</v>
      </c>
      <c r="Q1402" s="135">
        <v>9.6955164226364896E-3</v>
      </c>
      <c r="R1402" s="135">
        <v>1.03498589498542E-2</v>
      </c>
      <c r="S1402" s="135">
        <v>1.26127772721338E-2</v>
      </c>
      <c r="T1402" s="135">
        <v>1.1232358446720001E-2</v>
      </c>
      <c r="U1402" s="135">
        <v>1.1356930660348499E-2</v>
      </c>
      <c r="V1402" s="135">
        <v>1.5888125066151899E-2</v>
      </c>
      <c r="W1402" s="135">
        <v>2.6579895552935301E-2</v>
      </c>
      <c r="X1402" s="135">
        <v>4.1891713722363298E-2</v>
      </c>
      <c r="Y1402" s="135">
        <v>5.4221897816034197E-2</v>
      </c>
      <c r="Z1402" s="135">
        <v>5.85242454944035E-2</v>
      </c>
      <c r="AA1402" s="135">
        <v>4.9229635916048502E-2</v>
      </c>
      <c r="AB1402" s="135">
        <v>2.87149553901715E-2</v>
      </c>
      <c r="AC1402" s="135">
        <v>1.39941036329968E-2</v>
      </c>
      <c r="AD1402" s="135">
        <v>8.3255300479366107E-3</v>
      </c>
      <c r="AF1402" s="243">
        <f t="shared" si="26"/>
        <v>9.7715462370780187E-2</v>
      </c>
      <c r="AG1402" s="275">
        <f t="shared" si="27"/>
        <v>0.26762374256261096</v>
      </c>
      <c r="AH1402" s="391">
        <f t="shared" si="28"/>
        <v>0.32946083950084798</v>
      </c>
      <c r="AI1402" s="135">
        <f t="shared" si="29"/>
        <v>0.59708458206345894</v>
      </c>
    </row>
    <row r="1403" spans="1:35" ht="12.6">
      <c r="A1403" s="10" t="s">
        <v>1516</v>
      </c>
      <c r="B1403" s="10">
        <v>307</v>
      </c>
      <c r="C1403" s="10" t="s">
        <v>1515</v>
      </c>
      <c r="D1403" s="388">
        <v>45233</v>
      </c>
      <c r="E1403" s="389">
        <v>45233</v>
      </c>
      <c r="F1403" s="390" t="str">
        <f t="shared" si="25"/>
        <v>Space heating &amp; cooling</v>
      </c>
      <c r="G1403" s="135">
        <v>7.9701093391319894E-3</v>
      </c>
      <c r="H1403" s="135">
        <v>7.4832665995385097E-3</v>
      </c>
      <c r="I1403" s="135">
        <v>7.69715627583944E-3</v>
      </c>
      <c r="J1403" s="135">
        <v>9.0558823834452698E-3</v>
      </c>
      <c r="K1403" s="135">
        <v>2.4256472792327101E-2</v>
      </c>
      <c r="L1403" s="135">
        <v>4.6381320016590302E-2</v>
      </c>
      <c r="M1403" s="135">
        <v>6.4789814476515495E-2</v>
      </c>
      <c r="N1403" s="135">
        <v>4.7465098165324501E-2</v>
      </c>
      <c r="O1403" s="135">
        <v>1.8542043362905901E-2</v>
      </c>
      <c r="P1403" s="135">
        <v>1.08258742611059E-2</v>
      </c>
      <c r="Q1403" s="135">
        <v>9.6955164226364896E-3</v>
      </c>
      <c r="R1403" s="135">
        <v>1.03498589498542E-2</v>
      </c>
      <c r="S1403" s="135">
        <v>1.26127772721338E-2</v>
      </c>
      <c r="T1403" s="135">
        <v>1.1232358446720001E-2</v>
      </c>
      <c r="U1403" s="135">
        <v>1.1356930660348499E-2</v>
      </c>
      <c r="V1403" s="135">
        <v>1.5888125066151899E-2</v>
      </c>
      <c r="W1403" s="135">
        <v>2.6579895552935301E-2</v>
      </c>
      <c r="X1403" s="135">
        <v>4.1891713722363298E-2</v>
      </c>
      <c r="Y1403" s="135">
        <v>5.4221897816034197E-2</v>
      </c>
      <c r="Z1403" s="135">
        <v>5.85242454944035E-2</v>
      </c>
      <c r="AA1403" s="135">
        <v>4.9229635916048502E-2</v>
      </c>
      <c r="AB1403" s="135">
        <v>2.87149553901715E-2</v>
      </c>
      <c r="AC1403" s="135">
        <v>1.39941036329968E-2</v>
      </c>
      <c r="AD1403" s="135">
        <v>8.3255300479366107E-3</v>
      </c>
      <c r="AF1403" s="243">
        <f t="shared" si="26"/>
        <v>9.7715462370780187E-2</v>
      </c>
      <c r="AG1403" s="275">
        <f t="shared" si="27"/>
        <v>0.26762374256261096</v>
      </c>
      <c r="AH1403" s="391">
        <f t="shared" si="28"/>
        <v>0.32946083950084798</v>
      </c>
      <c r="AI1403" s="135">
        <f t="shared" si="29"/>
        <v>0.59708458206345894</v>
      </c>
    </row>
    <row r="1404" spans="1:35" ht="12.6">
      <c r="A1404" s="10" t="s">
        <v>1516</v>
      </c>
      <c r="B1404" s="10">
        <v>308</v>
      </c>
      <c r="C1404" s="10" t="s">
        <v>1515</v>
      </c>
      <c r="D1404" s="388">
        <v>45234</v>
      </c>
      <c r="E1404" s="389">
        <v>45234</v>
      </c>
      <c r="F1404" s="390" t="str">
        <f t="shared" si="25"/>
        <v>Space heating &amp; cooling</v>
      </c>
      <c r="G1404" s="135">
        <v>8.5589099629598906E-3</v>
      </c>
      <c r="H1404" s="135">
        <v>8.8675026375491794E-3</v>
      </c>
      <c r="I1404" s="135">
        <v>1.04552190481216E-2</v>
      </c>
      <c r="J1404" s="135">
        <v>1.17579119066295E-2</v>
      </c>
      <c r="K1404" s="135">
        <v>2.34986462305929E-2</v>
      </c>
      <c r="L1404" s="135">
        <v>3.7992631328469598E-2</v>
      </c>
      <c r="M1404" s="135">
        <v>5.4435709548307398E-2</v>
      </c>
      <c r="N1404" s="135">
        <v>5.4642862062522897E-2</v>
      </c>
      <c r="O1404" s="135">
        <v>3.4914845598458498E-2</v>
      </c>
      <c r="P1404" s="135">
        <v>2.3545540065841999E-2</v>
      </c>
      <c r="Q1404" s="135">
        <v>1.6895090328183999E-2</v>
      </c>
      <c r="R1404" s="135">
        <v>1.8028427970699999E-2</v>
      </c>
      <c r="S1404" s="135">
        <v>1.6769874532907798E-2</v>
      </c>
      <c r="T1404" s="135">
        <v>1.7967283055498599E-2</v>
      </c>
      <c r="U1404" s="135">
        <v>1.76791433354558E-2</v>
      </c>
      <c r="V1404" s="135">
        <v>1.9568826231970701E-2</v>
      </c>
      <c r="W1404" s="135">
        <v>2.2862814795718601E-2</v>
      </c>
      <c r="X1404" s="135">
        <v>3.43993283160609E-2</v>
      </c>
      <c r="Y1404" s="135">
        <v>4.8977280876126898E-2</v>
      </c>
      <c r="Z1404" s="135">
        <v>5.5132719978189797E-2</v>
      </c>
      <c r="AA1404" s="135">
        <v>5.0655597958882199E-2</v>
      </c>
      <c r="AB1404" s="135">
        <v>3.5017412737214502E-2</v>
      </c>
      <c r="AC1404" s="135">
        <v>2.04092271514421E-2</v>
      </c>
      <c r="AD1404" s="135">
        <v>1.2132588822108501E-2</v>
      </c>
      <c r="AF1404" s="243">
        <f t="shared" si="26"/>
        <v>0.12977146025043551</v>
      </c>
      <c r="AG1404" s="275">
        <f t="shared" si="27"/>
        <v>0.28295628858773214</v>
      </c>
      <c r="AH1404" s="391">
        <f t="shared" si="28"/>
        <v>0.3722091058921817</v>
      </c>
      <c r="AI1404" s="135">
        <f t="shared" si="29"/>
        <v>0.65516539447991384</v>
      </c>
    </row>
    <row r="1405" spans="1:35" ht="12.6">
      <c r="A1405" s="10" t="s">
        <v>1516</v>
      </c>
      <c r="B1405" s="10">
        <v>309</v>
      </c>
      <c r="C1405" s="10" t="s">
        <v>1515</v>
      </c>
      <c r="D1405" s="388">
        <v>45235</v>
      </c>
      <c r="E1405" s="389">
        <v>45235</v>
      </c>
      <c r="F1405" s="390" t="str">
        <f t="shared" si="25"/>
        <v>Space heating &amp; cooling</v>
      </c>
      <c r="G1405" s="135">
        <v>8.5589099629598906E-3</v>
      </c>
      <c r="H1405" s="135">
        <v>8.8675026375491794E-3</v>
      </c>
      <c r="I1405" s="135">
        <v>1.04552190481216E-2</v>
      </c>
      <c r="J1405" s="135">
        <v>1.17579119066295E-2</v>
      </c>
      <c r="K1405" s="135">
        <v>2.34986462305929E-2</v>
      </c>
      <c r="L1405" s="135">
        <v>3.7992631328469598E-2</v>
      </c>
      <c r="M1405" s="135">
        <v>5.4435709548307398E-2</v>
      </c>
      <c r="N1405" s="135">
        <v>5.4642862062522897E-2</v>
      </c>
      <c r="O1405" s="135">
        <v>3.4914845598458498E-2</v>
      </c>
      <c r="P1405" s="135">
        <v>2.3545540065841999E-2</v>
      </c>
      <c r="Q1405" s="135">
        <v>1.6895090328183999E-2</v>
      </c>
      <c r="R1405" s="135">
        <v>1.8028427970699999E-2</v>
      </c>
      <c r="S1405" s="135">
        <v>1.6769874532907798E-2</v>
      </c>
      <c r="T1405" s="135">
        <v>1.7967283055498599E-2</v>
      </c>
      <c r="U1405" s="135">
        <v>1.76791433354558E-2</v>
      </c>
      <c r="V1405" s="135">
        <v>1.9568826231970701E-2</v>
      </c>
      <c r="W1405" s="135">
        <v>2.2862814795718601E-2</v>
      </c>
      <c r="X1405" s="135">
        <v>3.43993283160609E-2</v>
      </c>
      <c r="Y1405" s="135">
        <v>4.8977280876126898E-2</v>
      </c>
      <c r="Z1405" s="135">
        <v>5.5132719978189797E-2</v>
      </c>
      <c r="AA1405" s="135">
        <v>5.0655597958882199E-2</v>
      </c>
      <c r="AB1405" s="135">
        <v>3.5017412737214502E-2</v>
      </c>
      <c r="AC1405" s="135">
        <v>2.04092271514421E-2</v>
      </c>
      <c r="AD1405" s="135">
        <v>1.2132588822108501E-2</v>
      </c>
      <c r="AF1405" s="243">
        <f t="shared" si="26"/>
        <v>0.12977146025043551</v>
      </c>
      <c r="AG1405" s="275">
        <f t="shared" si="27"/>
        <v>0.28295628858773214</v>
      </c>
      <c r="AH1405" s="391">
        <f t="shared" si="28"/>
        <v>0.3722091058921817</v>
      </c>
      <c r="AI1405" s="135">
        <f t="shared" si="29"/>
        <v>0.65516539447991384</v>
      </c>
    </row>
    <row r="1406" spans="1:35" ht="12.6">
      <c r="A1406" s="10" t="s">
        <v>1516</v>
      </c>
      <c r="B1406" s="10">
        <v>310</v>
      </c>
      <c r="C1406" s="10" t="s">
        <v>1515</v>
      </c>
      <c r="D1406" s="388">
        <v>45236</v>
      </c>
      <c r="E1406" s="389">
        <v>45236</v>
      </c>
      <c r="F1406" s="390" t="str">
        <f t="shared" si="25"/>
        <v>Space heating &amp; cooling</v>
      </c>
      <c r="G1406" s="135">
        <v>7.9701093391319894E-3</v>
      </c>
      <c r="H1406" s="135">
        <v>7.4832665995385097E-3</v>
      </c>
      <c r="I1406" s="135">
        <v>7.69715627583944E-3</v>
      </c>
      <c r="J1406" s="135">
        <v>9.0558823834452698E-3</v>
      </c>
      <c r="K1406" s="135">
        <v>2.4256472792327101E-2</v>
      </c>
      <c r="L1406" s="135">
        <v>4.6381320016590302E-2</v>
      </c>
      <c r="M1406" s="135">
        <v>6.4789814476515495E-2</v>
      </c>
      <c r="N1406" s="135">
        <v>4.7465098165324501E-2</v>
      </c>
      <c r="O1406" s="135">
        <v>1.8542043362905901E-2</v>
      </c>
      <c r="P1406" s="135">
        <v>1.08258742611059E-2</v>
      </c>
      <c r="Q1406" s="135">
        <v>9.6955164226364896E-3</v>
      </c>
      <c r="R1406" s="135">
        <v>1.03498589498542E-2</v>
      </c>
      <c r="S1406" s="135">
        <v>1.26127772721338E-2</v>
      </c>
      <c r="T1406" s="135">
        <v>1.1232358446720001E-2</v>
      </c>
      <c r="U1406" s="135">
        <v>1.1356930660348499E-2</v>
      </c>
      <c r="V1406" s="135">
        <v>1.5888125066151899E-2</v>
      </c>
      <c r="W1406" s="135">
        <v>2.6579895552935301E-2</v>
      </c>
      <c r="X1406" s="135">
        <v>4.1891713722363298E-2</v>
      </c>
      <c r="Y1406" s="135">
        <v>5.4221897816034197E-2</v>
      </c>
      <c r="Z1406" s="135">
        <v>5.85242454944035E-2</v>
      </c>
      <c r="AA1406" s="135">
        <v>4.9229635916048502E-2</v>
      </c>
      <c r="AB1406" s="135">
        <v>2.87149553901715E-2</v>
      </c>
      <c r="AC1406" s="135">
        <v>1.39941036329968E-2</v>
      </c>
      <c r="AD1406" s="135">
        <v>8.3255300479366107E-3</v>
      </c>
      <c r="AF1406" s="243">
        <f t="shared" si="26"/>
        <v>9.7715462370780187E-2</v>
      </c>
      <c r="AG1406" s="275">
        <f t="shared" si="27"/>
        <v>0.26762374256261096</v>
      </c>
      <c r="AH1406" s="391">
        <f t="shared" si="28"/>
        <v>0.32946083950084798</v>
      </c>
      <c r="AI1406" s="135">
        <f t="shared" si="29"/>
        <v>0.59708458206345894</v>
      </c>
    </row>
    <row r="1407" spans="1:35" ht="12.6">
      <c r="A1407" s="10" t="s">
        <v>1516</v>
      </c>
      <c r="B1407" s="10">
        <v>311</v>
      </c>
      <c r="C1407" s="10" t="s">
        <v>1515</v>
      </c>
      <c r="D1407" s="388">
        <v>45237</v>
      </c>
      <c r="E1407" s="389">
        <v>45237</v>
      </c>
      <c r="F1407" s="390" t="str">
        <f t="shared" si="25"/>
        <v>Space heating &amp; cooling</v>
      </c>
      <c r="G1407" s="135">
        <v>7.9701093391319894E-3</v>
      </c>
      <c r="H1407" s="135">
        <v>7.4832665995385097E-3</v>
      </c>
      <c r="I1407" s="135">
        <v>7.69715627583944E-3</v>
      </c>
      <c r="J1407" s="135">
        <v>9.0558823834452698E-3</v>
      </c>
      <c r="K1407" s="135">
        <v>2.4256472792327101E-2</v>
      </c>
      <c r="L1407" s="135">
        <v>4.6381320016590302E-2</v>
      </c>
      <c r="M1407" s="135">
        <v>6.4789814476515495E-2</v>
      </c>
      <c r="N1407" s="135">
        <v>4.7465098165324501E-2</v>
      </c>
      <c r="O1407" s="135">
        <v>1.8542043362905901E-2</v>
      </c>
      <c r="P1407" s="135">
        <v>1.08258742611059E-2</v>
      </c>
      <c r="Q1407" s="135">
        <v>9.6955164226364896E-3</v>
      </c>
      <c r="R1407" s="135">
        <v>1.03498589498542E-2</v>
      </c>
      <c r="S1407" s="135">
        <v>1.26127772721338E-2</v>
      </c>
      <c r="T1407" s="135">
        <v>1.1232358446720001E-2</v>
      </c>
      <c r="U1407" s="135">
        <v>1.1356930660348499E-2</v>
      </c>
      <c r="V1407" s="135">
        <v>1.5888125066151899E-2</v>
      </c>
      <c r="W1407" s="135">
        <v>2.6579895552935301E-2</v>
      </c>
      <c r="X1407" s="135">
        <v>4.1891713722363298E-2</v>
      </c>
      <c r="Y1407" s="135">
        <v>5.4221897816034197E-2</v>
      </c>
      <c r="Z1407" s="135">
        <v>5.85242454944035E-2</v>
      </c>
      <c r="AA1407" s="135">
        <v>4.9229635916048502E-2</v>
      </c>
      <c r="AB1407" s="135">
        <v>2.87149553901715E-2</v>
      </c>
      <c r="AC1407" s="135">
        <v>1.39941036329968E-2</v>
      </c>
      <c r="AD1407" s="135">
        <v>8.3255300479366107E-3</v>
      </c>
      <c r="AF1407" s="243">
        <f t="shared" si="26"/>
        <v>9.7715462370780187E-2</v>
      </c>
      <c r="AG1407" s="275">
        <f t="shared" si="27"/>
        <v>0.26762374256261096</v>
      </c>
      <c r="AH1407" s="391">
        <f t="shared" si="28"/>
        <v>0.32946083950084798</v>
      </c>
      <c r="AI1407" s="135">
        <f t="shared" si="29"/>
        <v>0.59708458206345894</v>
      </c>
    </row>
    <row r="1408" spans="1:35" ht="12.6">
      <c r="A1408" s="10" t="s">
        <v>1516</v>
      </c>
      <c r="B1408" s="10">
        <v>312</v>
      </c>
      <c r="C1408" s="10" t="s">
        <v>1515</v>
      </c>
      <c r="D1408" s="388">
        <v>45238</v>
      </c>
      <c r="E1408" s="389">
        <v>45238</v>
      </c>
      <c r="F1408" s="390" t="str">
        <f t="shared" si="25"/>
        <v>Space heating &amp; cooling</v>
      </c>
      <c r="G1408" s="135">
        <v>7.9701093391319894E-3</v>
      </c>
      <c r="H1408" s="135">
        <v>7.4832665995385097E-3</v>
      </c>
      <c r="I1408" s="135">
        <v>7.69715627583944E-3</v>
      </c>
      <c r="J1408" s="135">
        <v>9.0558823834452698E-3</v>
      </c>
      <c r="K1408" s="135">
        <v>2.4256472792327101E-2</v>
      </c>
      <c r="L1408" s="135">
        <v>4.6381320016590302E-2</v>
      </c>
      <c r="M1408" s="135">
        <v>6.4789814476515495E-2</v>
      </c>
      <c r="N1408" s="135">
        <v>4.7465098165324501E-2</v>
      </c>
      <c r="O1408" s="135">
        <v>1.8542043362905901E-2</v>
      </c>
      <c r="P1408" s="135">
        <v>1.08258742611059E-2</v>
      </c>
      <c r="Q1408" s="135">
        <v>9.6955164226364896E-3</v>
      </c>
      <c r="R1408" s="135">
        <v>1.03498589498542E-2</v>
      </c>
      <c r="S1408" s="135">
        <v>1.26127772721338E-2</v>
      </c>
      <c r="T1408" s="135">
        <v>1.1232358446720001E-2</v>
      </c>
      <c r="U1408" s="135">
        <v>1.1356930660348499E-2</v>
      </c>
      <c r="V1408" s="135">
        <v>1.5888125066151899E-2</v>
      </c>
      <c r="W1408" s="135">
        <v>2.6579895552935301E-2</v>
      </c>
      <c r="X1408" s="135">
        <v>4.1891713722363298E-2</v>
      </c>
      <c r="Y1408" s="135">
        <v>5.4221897816034197E-2</v>
      </c>
      <c r="Z1408" s="135">
        <v>5.85242454944035E-2</v>
      </c>
      <c r="AA1408" s="135">
        <v>4.9229635916048502E-2</v>
      </c>
      <c r="AB1408" s="135">
        <v>2.87149553901715E-2</v>
      </c>
      <c r="AC1408" s="135">
        <v>1.39941036329968E-2</v>
      </c>
      <c r="AD1408" s="135">
        <v>8.3255300479366107E-3</v>
      </c>
      <c r="AF1408" s="243">
        <f t="shared" si="26"/>
        <v>9.7715462370780187E-2</v>
      </c>
      <c r="AG1408" s="275">
        <f t="shared" si="27"/>
        <v>0.26762374256261096</v>
      </c>
      <c r="AH1408" s="391">
        <f t="shared" si="28"/>
        <v>0.32946083950084798</v>
      </c>
      <c r="AI1408" s="135">
        <f t="shared" si="29"/>
        <v>0.59708458206345894</v>
      </c>
    </row>
    <row r="1409" spans="1:35" ht="12.6">
      <c r="A1409" s="10" t="s">
        <v>1516</v>
      </c>
      <c r="B1409" s="10">
        <v>313</v>
      </c>
      <c r="C1409" s="10" t="s">
        <v>1515</v>
      </c>
      <c r="D1409" s="388">
        <v>45239</v>
      </c>
      <c r="E1409" s="389">
        <v>45239</v>
      </c>
      <c r="F1409" s="390" t="str">
        <f t="shared" si="25"/>
        <v>Space heating &amp; cooling</v>
      </c>
      <c r="G1409" s="135">
        <v>7.9701093391319894E-3</v>
      </c>
      <c r="H1409" s="135">
        <v>7.4832665995385097E-3</v>
      </c>
      <c r="I1409" s="135">
        <v>7.69715627583944E-3</v>
      </c>
      <c r="J1409" s="135">
        <v>9.0558823834452698E-3</v>
      </c>
      <c r="K1409" s="135">
        <v>2.4256472792327101E-2</v>
      </c>
      <c r="L1409" s="135">
        <v>4.6381320016590302E-2</v>
      </c>
      <c r="M1409" s="135">
        <v>6.4789814476515495E-2</v>
      </c>
      <c r="N1409" s="135">
        <v>4.7465098165324501E-2</v>
      </c>
      <c r="O1409" s="135">
        <v>1.8542043362905901E-2</v>
      </c>
      <c r="P1409" s="135">
        <v>1.08258742611059E-2</v>
      </c>
      <c r="Q1409" s="135">
        <v>9.6955164226364896E-3</v>
      </c>
      <c r="R1409" s="135">
        <v>1.03498589498542E-2</v>
      </c>
      <c r="S1409" s="135">
        <v>1.26127772721338E-2</v>
      </c>
      <c r="T1409" s="135">
        <v>1.1232358446720001E-2</v>
      </c>
      <c r="U1409" s="135">
        <v>1.1356930660348499E-2</v>
      </c>
      <c r="V1409" s="135">
        <v>1.5888125066151899E-2</v>
      </c>
      <c r="W1409" s="135">
        <v>2.6579895552935301E-2</v>
      </c>
      <c r="X1409" s="135">
        <v>4.1891713722363298E-2</v>
      </c>
      <c r="Y1409" s="135">
        <v>5.4221897816034197E-2</v>
      </c>
      <c r="Z1409" s="135">
        <v>5.85242454944035E-2</v>
      </c>
      <c r="AA1409" s="135">
        <v>4.9229635916048502E-2</v>
      </c>
      <c r="AB1409" s="135">
        <v>2.87149553901715E-2</v>
      </c>
      <c r="AC1409" s="135">
        <v>1.39941036329968E-2</v>
      </c>
      <c r="AD1409" s="135">
        <v>8.3255300479366107E-3</v>
      </c>
      <c r="AF1409" s="243">
        <f t="shared" si="26"/>
        <v>9.7715462370780187E-2</v>
      </c>
      <c r="AG1409" s="275">
        <f t="shared" si="27"/>
        <v>0.26762374256261096</v>
      </c>
      <c r="AH1409" s="391">
        <f t="shared" si="28"/>
        <v>0.32946083950084798</v>
      </c>
      <c r="AI1409" s="135">
        <f t="shared" si="29"/>
        <v>0.59708458206345894</v>
      </c>
    </row>
    <row r="1410" spans="1:35" ht="12.6">
      <c r="A1410" s="10" t="s">
        <v>1516</v>
      </c>
      <c r="B1410" s="10">
        <v>314</v>
      </c>
      <c r="C1410" s="10" t="s">
        <v>1515</v>
      </c>
      <c r="D1410" s="388">
        <v>45240</v>
      </c>
      <c r="E1410" s="389">
        <v>45240</v>
      </c>
      <c r="F1410" s="390" t="str">
        <f t="shared" si="25"/>
        <v>Space heating &amp; cooling</v>
      </c>
      <c r="G1410" s="135">
        <v>7.9701093391319894E-3</v>
      </c>
      <c r="H1410" s="135">
        <v>7.4832665995385097E-3</v>
      </c>
      <c r="I1410" s="135">
        <v>7.69715627583944E-3</v>
      </c>
      <c r="J1410" s="135">
        <v>9.0558823834452698E-3</v>
      </c>
      <c r="K1410" s="135">
        <v>2.4256472792327101E-2</v>
      </c>
      <c r="L1410" s="135">
        <v>4.6381320016590302E-2</v>
      </c>
      <c r="M1410" s="135">
        <v>6.4789814476515495E-2</v>
      </c>
      <c r="N1410" s="135">
        <v>4.7465098165324501E-2</v>
      </c>
      <c r="O1410" s="135">
        <v>1.8542043362905901E-2</v>
      </c>
      <c r="P1410" s="135">
        <v>1.08258742611059E-2</v>
      </c>
      <c r="Q1410" s="135">
        <v>9.6955164226364896E-3</v>
      </c>
      <c r="R1410" s="135">
        <v>1.03498589498542E-2</v>
      </c>
      <c r="S1410" s="135">
        <v>1.26127772721338E-2</v>
      </c>
      <c r="T1410" s="135">
        <v>1.1232358446720001E-2</v>
      </c>
      <c r="U1410" s="135">
        <v>1.1356930660348499E-2</v>
      </c>
      <c r="V1410" s="135">
        <v>1.5888125066151899E-2</v>
      </c>
      <c r="W1410" s="135">
        <v>2.6579895552935301E-2</v>
      </c>
      <c r="X1410" s="135">
        <v>4.1891713722363298E-2</v>
      </c>
      <c r="Y1410" s="135">
        <v>5.4221897816034197E-2</v>
      </c>
      <c r="Z1410" s="135">
        <v>5.85242454944035E-2</v>
      </c>
      <c r="AA1410" s="135">
        <v>4.9229635916048502E-2</v>
      </c>
      <c r="AB1410" s="135">
        <v>2.87149553901715E-2</v>
      </c>
      <c r="AC1410" s="135">
        <v>1.39941036329968E-2</v>
      </c>
      <c r="AD1410" s="135">
        <v>8.3255300479366107E-3</v>
      </c>
      <c r="AF1410" s="243">
        <f t="shared" si="26"/>
        <v>9.7715462370780187E-2</v>
      </c>
      <c r="AG1410" s="275">
        <f t="shared" si="27"/>
        <v>0.26762374256261096</v>
      </c>
      <c r="AH1410" s="391">
        <f t="shared" si="28"/>
        <v>0.32946083950084798</v>
      </c>
      <c r="AI1410" s="135">
        <f t="shared" si="29"/>
        <v>0.59708458206345894</v>
      </c>
    </row>
    <row r="1411" spans="1:35" ht="12.6">
      <c r="A1411" s="10" t="s">
        <v>1516</v>
      </c>
      <c r="B1411" s="10">
        <v>315</v>
      </c>
      <c r="C1411" s="10" t="s">
        <v>1515</v>
      </c>
      <c r="D1411" s="388">
        <v>45241</v>
      </c>
      <c r="E1411" s="389">
        <v>45241</v>
      </c>
      <c r="F1411" s="390" t="str">
        <f t="shared" si="25"/>
        <v>Space heating &amp; cooling</v>
      </c>
      <c r="G1411" s="135">
        <v>8.5589099629598906E-3</v>
      </c>
      <c r="H1411" s="135">
        <v>8.8675026375491794E-3</v>
      </c>
      <c r="I1411" s="135">
        <v>1.04552190481216E-2</v>
      </c>
      <c r="J1411" s="135">
        <v>1.17579119066295E-2</v>
      </c>
      <c r="K1411" s="135">
        <v>2.34986462305929E-2</v>
      </c>
      <c r="L1411" s="135">
        <v>3.7992631328469598E-2</v>
      </c>
      <c r="M1411" s="135">
        <v>5.4435709548307398E-2</v>
      </c>
      <c r="N1411" s="135">
        <v>5.4642862062522897E-2</v>
      </c>
      <c r="O1411" s="135">
        <v>3.4914845598458498E-2</v>
      </c>
      <c r="P1411" s="135">
        <v>2.3545540065841999E-2</v>
      </c>
      <c r="Q1411" s="135">
        <v>1.6895090328183999E-2</v>
      </c>
      <c r="R1411" s="135">
        <v>1.8028427970699999E-2</v>
      </c>
      <c r="S1411" s="135">
        <v>1.6769874532907798E-2</v>
      </c>
      <c r="T1411" s="135">
        <v>1.7967283055498599E-2</v>
      </c>
      <c r="U1411" s="135">
        <v>1.76791433354558E-2</v>
      </c>
      <c r="V1411" s="135">
        <v>1.9568826231970701E-2</v>
      </c>
      <c r="W1411" s="135">
        <v>2.2862814795718601E-2</v>
      </c>
      <c r="X1411" s="135">
        <v>3.43993283160609E-2</v>
      </c>
      <c r="Y1411" s="135">
        <v>4.8977280876126898E-2</v>
      </c>
      <c r="Z1411" s="135">
        <v>5.5132719978189797E-2</v>
      </c>
      <c r="AA1411" s="135">
        <v>5.0655597958882199E-2</v>
      </c>
      <c r="AB1411" s="135">
        <v>3.5017412737214502E-2</v>
      </c>
      <c r="AC1411" s="135">
        <v>2.04092271514421E-2</v>
      </c>
      <c r="AD1411" s="135">
        <v>1.2132588822108501E-2</v>
      </c>
      <c r="AF1411" s="243">
        <f t="shared" si="26"/>
        <v>0.12977146025043551</v>
      </c>
      <c r="AG1411" s="275">
        <f t="shared" si="27"/>
        <v>0.28295628858773214</v>
      </c>
      <c r="AH1411" s="391">
        <f t="shared" si="28"/>
        <v>0.3722091058921817</v>
      </c>
      <c r="AI1411" s="135">
        <f t="shared" si="29"/>
        <v>0.65516539447991384</v>
      </c>
    </row>
    <row r="1412" spans="1:35" ht="12.6">
      <c r="A1412" s="10" t="s">
        <v>1516</v>
      </c>
      <c r="B1412" s="10">
        <v>316</v>
      </c>
      <c r="C1412" s="10" t="s">
        <v>1515</v>
      </c>
      <c r="D1412" s="388">
        <v>45242</v>
      </c>
      <c r="E1412" s="389">
        <v>45242</v>
      </c>
      <c r="F1412" s="390" t="str">
        <f t="shared" si="25"/>
        <v>Space heating &amp; cooling</v>
      </c>
      <c r="G1412" s="135">
        <v>8.5589099629598906E-3</v>
      </c>
      <c r="H1412" s="135">
        <v>8.8675026375491794E-3</v>
      </c>
      <c r="I1412" s="135">
        <v>1.04552190481216E-2</v>
      </c>
      <c r="J1412" s="135">
        <v>1.17579119066295E-2</v>
      </c>
      <c r="K1412" s="135">
        <v>2.34986462305929E-2</v>
      </c>
      <c r="L1412" s="135">
        <v>3.7992631328469598E-2</v>
      </c>
      <c r="M1412" s="135">
        <v>5.4435709548307398E-2</v>
      </c>
      <c r="N1412" s="135">
        <v>5.4642862062522897E-2</v>
      </c>
      <c r="O1412" s="135">
        <v>3.4914845598458498E-2</v>
      </c>
      <c r="P1412" s="135">
        <v>2.3545540065841999E-2</v>
      </c>
      <c r="Q1412" s="135">
        <v>1.6895090328183999E-2</v>
      </c>
      <c r="R1412" s="135">
        <v>1.8028427970699999E-2</v>
      </c>
      <c r="S1412" s="135">
        <v>1.6769874532907798E-2</v>
      </c>
      <c r="T1412" s="135">
        <v>1.7967283055498599E-2</v>
      </c>
      <c r="U1412" s="135">
        <v>1.76791433354558E-2</v>
      </c>
      <c r="V1412" s="135">
        <v>1.9568826231970701E-2</v>
      </c>
      <c r="W1412" s="135">
        <v>2.2862814795718601E-2</v>
      </c>
      <c r="X1412" s="135">
        <v>3.43993283160609E-2</v>
      </c>
      <c r="Y1412" s="135">
        <v>4.8977280876126898E-2</v>
      </c>
      <c r="Z1412" s="135">
        <v>5.5132719978189797E-2</v>
      </c>
      <c r="AA1412" s="135">
        <v>5.0655597958882199E-2</v>
      </c>
      <c r="AB1412" s="135">
        <v>3.5017412737214502E-2</v>
      </c>
      <c r="AC1412" s="135">
        <v>2.04092271514421E-2</v>
      </c>
      <c r="AD1412" s="135">
        <v>1.2132588822108501E-2</v>
      </c>
      <c r="AF1412" s="243">
        <f t="shared" si="26"/>
        <v>0.12977146025043551</v>
      </c>
      <c r="AG1412" s="275">
        <f t="shared" si="27"/>
        <v>0.28295628858773214</v>
      </c>
      <c r="AH1412" s="391">
        <f t="shared" si="28"/>
        <v>0.3722091058921817</v>
      </c>
      <c r="AI1412" s="135">
        <f t="shared" si="29"/>
        <v>0.65516539447991384</v>
      </c>
    </row>
    <row r="1413" spans="1:35" ht="12.6">
      <c r="A1413" s="10" t="s">
        <v>1516</v>
      </c>
      <c r="B1413" s="10">
        <v>317</v>
      </c>
      <c r="C1413" s="10" t="s">
        <v>1515</v>
      </c>
      <c r="D1413" s="388">
        <v>45243</v>
      </c>
      <c r="E1413" s="389">
        <v>45243</v>
      </c>
      <c r="F1413" s="390" t="str">
        <f t="shared" si="25"/>
        <v>Space heating &amp; cooling</v>
      </c>
      <c r="G1413" s="135">
        <v>7.9701093391319894E-3</v>
      </c>
      <c r="H1413" s="135">
        <v>7.4832665995385097E-3</v>
      </c>
      <c r="I1413" s="135">
        <v>7.69715627583944E-3</v>
      </c>
      <c r="J1413" s="135">
        <v>9.0558823834452698E-3</v>
      </c>
      <c r="K1413" s="135">
        <v>2.4256472792327101E-2</v>
      </c>
      <c r="L1413" s="135">
        <v>4.6381320016590302E-2</v>
      </c>
      <c r="M1413" s="135">
        <v>6.4789814476515495E-2</v>
      </c>
      <c r="N1413" s="135">
        <v>4.7465098165324501E-2</v>
      </c>
      <c r="O1413" s="135">
        <v>1.8542043362905901E-2</v>
      </c>
      <c r="P1413" s="135">
        <v>1.08258742611059E-2</v>
      </c>
      <c r="Q1413" s="135">
        <v>9.6955164226364896E-3</v>
      </c>
      <c r="R1413" s="135">
        <v>1.03498589498542E-2</v>
      </c>
      <c r="S1413" s="135">
        <v>1.26127772721338E-2</v>
      </c>
      <c r="T1413" s="135">
        <v>1.1232358446720001E-2</v>
      </c>
      <c r="U1413" s="135">
        <v>1.1356930660348499E-2</v>
      </c>
      <c r="V1413" s="135">
        <v>1.5888125066151899E-2</v>
      </c>
      <c r="W1413" s="135">
        <v>2.6579895552935301E-2</v>
      </c>
      <c r="X1413" s="135">
        <v>4.1891713722363298E-2</v>
      </c>
      <c r="Y1413" s="135">
        <v>5.4221897816034197E-2</v>
      </c>
      <c r="Z1413" s="135">
        <v>5.85242454944035E-2</v>
      </c>
      <c r="AA1413" s="135">
        <v>4.9229635916048502E-2</v>
      </c>
      <c r="AB1413" s="135">
        <v>2.87149553901715E-2</v>
      </c>
      <c r="AC1413" s="135">
        <v>1.39941036329968E-2</v>
      </c>
      <c r="AD1413" s="135">
        <v>8.3255300479366107E-3</v>
      </c>
      <c r="AF1413" s="243">
        <f t="shared" si="26"/>
        <v>9.7715462370780187E-2</v>
      </c>
      <c r="AG1413" s="275">
        <f t="shared" si="27"/>
        <v>0.26762374256261096</v>
      </c>
      <c r="AH1413" s="391">
        <f t="shared" si="28"/>
        <v>0.32946083950084798</v>
      </c>
      <c r="AI1413" s="135">
        <f t="shared" si="29"/>
        <v>0.59708458206345894</v>
      </c>
    </row>
    <row r="1414" spans="1:35" ht="12.6">
      <c r="A1414" s="10" t="s">
        <v>1516</v>
      </c>
      <c r="B1414" s="10">
        <v>318</v>
      </c>
      <c r="C1414" s="10" t="s">
        <v>1515</v>
      </c>
      <c r="D1414" s="388">
        <v>45244</v>
      </c>
      <c r="E1414" s="389">
        <v>45244</v>
      </c>
      <c r="F1414" s="390" t="str">
        <f t="shared" si="25"/>
        <v>Space heating &amp; cooling</v>
      </c>
      <c r="G1414" s="135">
        <v>7.9701093391319894E-3</v>
      </c>
      <c r="H1414" s="135">
        <v>7.4832665995385097E-3</v>
      </c>
      <c r="I1414" s="135">
        <v>7.69715627583944E-3</v>
      </c>
      <c r="J1414" s="135">
        <v>9.0558823834452698E-3</v>
      </c>
      <c r="K1414" s="135">
        <v>2.4256472792327101E-2</v>
      </c>
      <c r="L1414" s="135">
        <v>4.6381320016590302E-2</v>
      </c>
      <c r="M1414" s="135">
        <v>6.4789814476515495E-2</v>
      </c>
      <c r="N1414" s="135">
        <v>4.7465098165324501E-2</v>
      </c>
      <c r="O1414" s="135">
        <v>1.8542043362905901E-2</v>
      </c>
      <c r="P1414" s="135">
        <v>1.08258742611059E-2</v>
      </c>
      <c r="Q1414" s="135">
        <v>9.6955164226364896E-3</v>
      </c>
      <c r="R1414" s="135">
        <v>1.03498589498542E-2</v>
      </c>
      <c r="S1414" s="135">
        <v>1.26127772721338E-2</v>
      </c>
      <c r="T1414" s="135">
        <v>1.1232358446720001E-2</v>
      </c>
      <c r="U1414" s="135">
        <v>1.1356930660348499E-2</v>
      </c>
      <c r="V1414" s="135">
        <v>1.5888125066151899E-2</v>
      </c>
      <c r="W1414" s="135">
        <v>2.6579895552935301E-2</v>
      </c>
      <c r="X1414" s="135">
        <v>4.1891713722363298E-2</v>
      </c>
      <c r="Y1414" s="135">
        <v>5.4221897816034197E-2</v>
      </c>
      <c r="Z1414" s="135">
        <v>5.85242454944035E-2</v>
      </c>
      <c r="AA1414" s="135">
        <v>4.9229635916048502E-2</v>
      </c>
      <c r="AB1414" s="135">
        <v>2.87149553901715E-2</v>
      </c>
      <c r="AC1414" s="135">
        <v>1.39941036329968E-2</v>
      </c>
      <c r="AD1414" s="135">
        <v>8.3255300479366107E-3</v>
      </c>
      <c r="AF1414" s="243">
        <f t="shared" si="26"/>
        <v>9.7715462370780187E-2</v>
      </c>
      <c r="AG1414" s="275">
        <f t="shared" si="27"/>
        <v>0.26762374256261096</v>
      </c>
      <c r="AH1414" s="391">
        <f t="shared" si="28"/>
        <v>0.32946083950084798</v>
      </c>
      <c r="AI1414" s="135">
        <f t="shared" si="29"/>
        <v>0.59708458206345894</v>
      </c>
    </row>
    <row r="1415" spans="1:35" ht="12.6">
      <c r="A1415" s="10" t="s">
        <v>1516</v>
      </c>
      <c r="B1415" s="10">
        <v>319</v>
      </c>
      <c r="C1415" s="10" t="s">
        <v>1515</v>
      </c>
      <c r="D1415" s="388">
        <v>45245</v>
      </c>
      <c r="E1415" s="389">
        <v>45245</v>
      </c>
      <c r="F1415" s="390" t="str">
        <f t="shared" si="25"/>
        <v>Space heating &amp; cooling</v>
      </c>
      <c r="G1415" s="135">
        <v>7.9701093391319894E-3</v>
      </c>
      <c r="H1415" s="135">
        <v>7.4832665995385097E-3</v>
      </c>
      <c r="I1415" s="135">
        <v>7.69715627583944E-3</v>
      </c>
      <c r="J1415" s="135">
        <v>9.0558823834452698E-3</v>
      </c>
      <c r="K1415" s="135">
        <v>2.4256472792327101E-2</v>
      </c>
      <c r="L1415" s="135">
        <v>4.6381320016590302E-2</v>
      </c>
      <c r="M1415" s="135">
        <v>6.4789814476515495E-2</v>
      </c>
      <c r="N1415" s="135">
        <v>4.7465098165324501E-2</v>
      </c>
      <c r="O1415" s="135">
        <v>1.8542043362905901E-2</v>
      </c>
      <c r="P1415" s="135">
        <v>1.08258742611059E-2</v>
      </c>
      <c r="Q1415" s="135">
        <v>9.6955164226364896E-3</v>
      </c>
      <c r="R1415" s="135">
        <v>1.03498589498542E-2</v>
      </c>
      <c r="S1415" s="135">
        <v>1.26127772721338E-2</v>
      </c>
      <c r="T1415" s="135">
        <v>1.1232358446720001E-2</v>
      </c>
      <c r="U1415" s="135">
        <v>1.1356930660348499E-2</v>
      </c>
      <c r="V1415" s="135">
        <v>1.5888125066151899E-2</v>
      </c>
      <c r="W1415" s="135">
        <v>2.6579895552935301E-2</v>
      </c>
      <c r="X1415" s="135">
        <v>4.1891713722363298E-2</v>
      </c>
      <c r="Y1415" s="135">
        <v>5.4221897816034197E-2</v>
      </c>
      <c r="Z1415" s="135">
        <v>5.85242454944035E-2</v>
      </c>
      <c r="AA1415" s="135">
        <v>4.9229635916048502E-2</v>
      </c>
      <c r="AB1415" s="135">
        <v>2.87149553901715E-2</v>
      </c>
      <c r="AC1415" s="135">
        <v>1.39941036329968E-2</v>
      </c>
      <c r="AD1415" s="135">
        <v>8.3255300479366107E-3</v>
      </c>
      <c r="AF1415" s="243">
        <f t="shared" si="26"/>
        <v>9.7715462370780187E-2</v>
      </c>
      <c r="AG1415" s="275">
        <f t="shared" si="27"/>
        <v>0.26762374256261096</v>
      </c>
      <c r="AH1415" s="391">
        <f t="shared" si="28"/>
        <v>0.32946083950084798</v>
      </c>
      <c r="AI1415" s="135">
        <f t="shared" si="29"/>
        <v>0.59708458206345894</v>
      </c>
    </row>
    <row r="1416" spans="1:35" ht="12.6">
      <c r="A1416" s="10" t="s">
        <v>1516</v>
      </c>
      <c r="B1416" s="10">
        <v>320</v>
      </c>
      <c r="C1416" s="10" t="s">
        <v>1515</v>
      </c>
      <c r="D1416" s="388">
        <v>45246</v>
      </c>
      <c r="E1416" s="389">
        <v>45246</v>
      </c>
      <c r="F1416" s="390" t="str">
        <f t="shared" si="25"/>
        <v>Space heating &amp; cooling</v>
      </c>
      <c r="G1416" s="135">
        <v>7.9701093391319894E-3</v>
      </c>
      <c r="H1416" s="135">
        <v>7.4832665995385097E-3</v>
      </c>
      <c r="I1416" s="135">
        <v>7.69715627583944E-3</v>
      </c>
      <c r="J1416" s="135">
        <v>9.0558823834452698E-3</v>
      </c>
      <c r="K1416" s="135">
        <v>2.4256472792327101E-2</v>
      </c>
      <c r="L1416" s="135">
        <v>4.6381320016590302E-2</v>
      </c>
      <c r="M1416" s="135">
        <v>6.4789814476515495E-2</v>
      </c>
      <c r="N1416" s="135">
        <v>4.7465098165324501E-2</v>
      </c>
      <c r="O1416" s="135">
        <v>1.8542043362905901E-2</v>
      </c>
      <c r="P1416" s="135">
        <v>1.08258742611059E-2</v>
      </c>
      <c r="Q1416" s="135">
        <v>9.6955164226364896E-3</v>
      </c>
      <c r="R1416" s="135">
        <v>1.03498589498542E-2</v>
      </c>
      <c r="S1416" s="135">
        <v>1.26127772721338E-2</v>
      </c>
      <c r="T1416" s="135">
        <v>1.1232358446720001E-2</v>
      </c>
      <c r="U1416" s="135">
        <v>1.1356930660348499E-2</v>
      </c>
      <c r="V1416" s="135">
        <v>1.5888125066151899E-2</v>
      </c>
      <c r="W1416" s="135">
        <v>2.6579895552935301E-2</v>
      </c>
      <c r="X1416" s="135">
        <v>4.1891713722363298E-2</v>
      </c>
      <c r="Y1416" s="135">
        <v>5.4221897816034197E-2</v>
      </c>
      <c r="Z1416" s="135">
        <v>5.85242454944035E-2</v>
      </c>
      <c r="AA1416" s="135">
        <v>4.9229635916048502E-2</v>
      </c>
      <c r="AB1416" s="135">
        <v>2.87149553901715E-2</v>
      </c>
      <c r="AC1416" s="135">
        <v>1.39941036329968E-2</v>
      </c>
      <c r="AD1416" s="135">
        <v>8.3255300479366107E-3</v>
      </c>
      <c r="AF1416" s="243">
        <f t="shared" si="26"/>
        <v>9.7715462370780187E-2</v>
      </c>
      <c r="AG1416" s="275">
        <f t="shared" si="27"/>
        <v>0.26762374256261096</v>
      </c>
      <c r="AH1416" s="391">
        <f t="shared" si="28"/>
        <v>0.32946083950084798</v>
      </c>
      <c r="AI1416" s="135">
        <f t="shared" si="29"/>
        <v>0.59708458206345894</v>
      </c>
    </row>
    <row r="1417" spans="1:35" ht="12.6">
      <c r="A1417" s="10" t="s">
        <v>1516</v>
      </c>
      <c r="B1417" s="10">
        <v>321</v>
      </c>
      <c r="C1417" s="10" t="s">
        <v>1515</v>
      </c>
      <c r="D1417" s="388">
        <v>45247</v>
      </c>
      <c r="E1417" s="389">
        <v>45247</v>
      </c>
      <c r="F1417" s="390" t="str">
        <f t="shared" si="25"/>
        <v>Space heating &amp; cooling</v>
      </c>
      <c r="G1417" s="135">
        <v>7.9701093391319894E-3</v>
      </c>
      <c r="H1417" s="135">
        <v>7.4832665995385097E-3</v>
      </c>
      <c r="I1417" s="135">
        <v>7.69715627583944E-3</v>
      </c>
      <c r="J1417" s="135">
        <v>9.0558823834452698E-3</v>
      </c>
      <c r="K1417" s="135">
        <v>2.4256472792327101E-2</v>
      </c>
      <c r="L1417" s="135">
        <v>4.6381320016590302E-2</v>
      </c>
      <c r="M1417" s="135">
        <v>6.4789814476515495E-2</v>
      </c>
      <c r="N1417" s="135">
        <v>4.7465098165324501E-2</v>
      </c>
      <c r="O1417" s="135">
        <v>1.8542043362905901E-2</v>
      </c>
      <c r="P1417" s="135">
        <v>1.08258742611059E-2</v>
      </c>
      <c r="Q1417" s="135">
        <v>9.6955164226364896E-3</v>
      </c>
      <c r="R1417" s="135">
        <v>1.03498589498542E-2</v>
      </c>
      <c r="S1417" s="135">
        <v>1.26127772721338E-2</v>
      </c>
      <c r="T1417" s="135">
        <v>1.1232358446720001E-2</v>
      </c>
      <c r="U1417" s="135">
        <v>1.1356930660348499E-2</v>
      </c>
      <c r="V1417" s="135">
        <v>1.5888125066151899E-2</v>
      </c>
      <c r="W1417" s="135">
        <v>2.6579895552935301E-2</v>
      </c>
      <c r="X1417" s="135">
        <v>4.1891713722363298E-2</v>
      </c>
      <c r="Y1417" s="135">
        <v>5.4221897816034197E-2</v>
      </c>
      <c r="Z1417" s="135">
        <v>5.85242454944035E-2</v>
      </c>
      <c r="AA1417" s="135">
        <v>4.9229635916048502E-2</v>
      </c>
      <c r="AB1417" s="135">
        <v>2.87149553901715E-2</v>
      </c>
      <c r="AC1417" s="135">
        <v>1.39941036329968E-2</v>
      </c>
      <c r="AD1417" s="135">
        <v>8.3255300479366107E-3</v>
      </c>
      <c r="AF1417" s="243">
        <f t="shared" si="26"/>
        <v>9.7715462370780187E-2</v>
      </c>
      <c r="AG1417" s="275">
        <f t="shared" si="27"/>
        <v>0.26762374256261096</v>
      </c>
      <c r="AH1417" s="391">
        <f t="shared" si="28"/>
        <v>0.32946083950084798</v>
      </c>
      <c r="AI1417" s="135">
        <f t="shared" si="29"/>
        <v>0.59708458206345894</v>
      </c>
    </row>
    <row r="1418" spans="1:35" ht="12.6">
      <c r="A1418" s="10" t="s">
        <v>1516</v>
      </c>
      <c r="B1418" s="10">
        <v>322</v>
      </c>
      <c r="C1418" s="10" t="s">
        <v>1515</v>
      </c>
      <c r="D1418" s="388">
        <v>45248</v>
      </c>
      <c r="E1418" s="389">
        <v>45248</v>
      </c>
      <c r="F1418" s="390" t="str">
        <f t="shared" si="25"/>
        <v>Space heating &amp; cooling</v>
      </c>
      <c r="G1418" s="135">
        <v>8.5589099629598906E-3</v>
      </c>
      <c r="H1418" s="135">
        <v>8.8675026375491794E-3</v>
      </c>
      <c r="I1418" s="135">
        <v>1.04552190481216E-2</v>
      </c>
      <c r="J1418" s="135">
        <v>1.17579119066295E-2</v>
      </c>
      <c r="K1418" s="135">
        <v>2.34986462305929E-2</v>
      </c>
      <c r="L1418" s="135">
        <v>3.7992631328469598E-2</v>
      </c>
      <c r="M1418" s="135">
        <v>5.4435709548307398E-2</v>
      </c>
      <c r="N1418" s="135">
        <v>5.4642862062522897E-2</v>
      </c>
      <c r="O1418" s="135">
        <v>3.4914845598458498E-2</v>
      </c>
      <c r="P1418" s="135">
        <v>2.3545540065841999E-2</v>
      </c>
      <c r="Q1418" s="135">
        <v>1.6895090328183999E-2</v>
      </c>
      <c r="R1418" s="135">
        <v>1.8028427970699999E-2</v>
      </c>
      <c r="S1418" s="135">
        <v>1.6769874532907798E-2</v>
      </c>
      <c r="T1418" s="135">
        <v>1.7967283055498599E-2</v>
      </c>
      <c r="U1418" s="135">
        <v>1.76791433354558E-2</v>
      </c>
      <c r="V1418" s="135">
        <v>1.9568826231970701E-2</v>
      </c>
      <c r="W1418" s="135">
        <v>2.2862814795718601E-2</v>
      </c>
      <c r="X1418" s="135">
        <v>3.43993283160609E-2</v>
      </c>
      <c r="Y1418" s="135">
        <v>4.8977280876126898E-2</v>
      </c>
      <c r="Z1418" s="135">
        <v>5.5132719978189797E-2</v>
      </c>
      <c r="AA1418" s="135">
        <v>5.0655597958882199E-2</v>
      </c>
      <c r="AB1418" s="135">
        <v>3.5017412737214502E-2</v>
      </c>
      <c r="AC1418" s="135">
        <v>2.04092271514421E-2</v>
      </c>
      <c r="AD1418" s="135">
        <v>1.2132588822108501E-2</v>
      </c>
      <c r="AF1418" s="243">
        <f t="shared" si="26"/>
        <v>0.12977146025043551</v>
      </c>
      <c r="AG1418" s="275">
        <f t="shared" si="27"/>
        <v>0.28295628858773214</v>
      </c>
      <c r="AH1418" s="391">
        <f t="shared" si="28"/>
        <v>0.3722091058921817</v>
      </c>
      <c r="AI1418" s="135">
        <f t="shared" si="29"/>
        <v>0.65516539447991384</v>
      </c>
    </row>
    <row r="1419" spans="1:35" ht="12.6">
      <c r="A1419" s="10" t="s">
        <v>1516</v>
      </c>
      <c r="B1419" s="10">
        <v>323</v>
      </c>
      <c r="C1419" s="10" t="s">
        <v>1515</v>
      </c>
      <c r="D1419" s="388">
        <v>45249</v>
      </c>
      <c r="E1419" s="389">
        <v>45249</v>
      </c>
      <c r="F1419" s="390" t="str">
        <f t="shared" si="25"/>
        <v>Space heating &amp; cooling</v>
      </c>
      <c r="G1419" s="135">
        <v>8.5589099629598906E-3</v>
      </c>
      <c r="H1419" s="135">
        <v>8.8675026375491794E-3</v>
      </c>
      <c r="I1419" s="135">
        <v>1.04552190481216E-2</v>
      </c>
      <c r="J1419" s="135">
        <v>1.17579119066295E-2</v>
      </c>
      <c r="K1419" s="135">
        <v>2.34986462305929E-2</v>
      </c>
      <c r="L1419" s="135">
        <v>3.7992631328469598E-2</v>
      </c>
      <c r="M1419" s="135">
        <v>5.4435709548307398E-2</v>
      </c>
      <c r="N1419" s="135">
        <v>5.4642862062522897E-2</v>
      </c>
      <c r="O1419" s="135">
        <v>3.4914845598458498E-2</v>
      </c>
      <c r="P1419" s="135">
        <v>2.3545540065841999E-2</v>
      </c>
      <c r="Q1419" s="135">
        <v>1.6895090328183999E-2</v>
      </c>
      <c r="R1419" s="135">
        <v>1.8028427970699999E-2</v>
      </c>
      <c r="S1419" s="135">
        <v>1.6769874532907798E-2</v>
      </c>
      <c r="T1419" s="135">
        <v>1.7967283055498599E-2</v>
      </c>
      <c r="U1419" s="135">
        <v>1.76791433354558E-2</v>
      </c>
      <c r="V1419" s="135">
        <v>1.9568826231970701E-2</v>
      </c>
      <c r="W1419" s="135">
        <v>2.2862814795718601E-2</v>
      </c>
      <c r="X1419" s="135">
        <v>3.43993283160609E-2</v>
      </c>
      <c r="Y1419" s="135">
        <v>4.8977280876126898E-2</v>
      </c>
      <c r="Z1419" s="135">
        <v>5.5132719978189797E-2</v>
      </c>
      <c r="AA1419" s="135">
        <v>5.0655597958882199E-2</v>
      </c>
      <c r="AB1419" s="135">
        <v>3.5017412737214502E-2</v>
      </c>
      <c r="AC1419" s="135">
        <v>2.04092271514421E-2</v>
      </c>
      <c r="AD1419" s="135">
        <v>1.2132588822108501E-2</v>
      </c>
      <c r="AF1419" s="243">
        <f t="shared" si="26"/>
        <v>0.12977146025043551</v>
      </c>
      <c r="AG1419" s="275">
        <f t="shared" si="27"/>
        <v>0.28295628858773214</v>
      </c>
      <c r="AH1419" s="391">
        <f t="shared" si="28"/>
        <v>0.3722091058921817</v>
      </c>
      <c r="AI1419" s="135">
        <f t="shared" si="29"/>
        <v>0.65516539447991384</v>
      </c>
    </row>
    <row r="1420" spans="1:35" ht="12.6">
      <c r="A1420" s="10" t="s">
        <v>1516</v>
      </c>
      <c r="B1420" s="10">
        <v>324</v>
      </c>
      <c r="C1420" s="10" t="s">
        <v>1515</v>
      </c>
      <c r="D1420" s="388">
        <v>45250</v>
      </c>
      <c r="E1420" s="389">
        <v>45250</v>
      </c>
      <c r="F1420" s="390" t="str">
        <f t="shared" si="25"/>
        <v>Space heating &amp; cooling</v>
      </c>
      <c r="G1420" s="135">
        <v>7.9701093391319894E-3</v>
      </c>
      <c r="H1420" s="135">
        <v>7.4832665995385097E-3</v>
      </c>
      <c r="I1420" s="135">
        <v>7.69715627583944E-3</v>
      </c>
      <c r="J1420" s="135">
        <v>9.0558823834452698E-3</v>
      </c>
      <c r="K1420" s="135">
        <v>2.4256472792327101E-2</v>
      </c>
      <c r="L1420" s="135">
        <v>4.6381320016590302E-2</v>
      </c>
      <c r="M1420" s="135">
        <v>6.4789814476515495E-2</v>
      </c>
      <c r="N1420" s="135">
        <v>4.7465098165324501E-2</v>
      </c>
      <c r="O1420" s="135">
        <v>1.8542043362905901E-2</v>
      </c>
      <c r="P1420" s="135">
        <v>1.08258742611059E-2</v>
      </c>
      <c r="Q1420" s="135">
        <v>9.6955164226364896E-3</v>
      </c>
      <c r="R1420" s="135">
        <v>1.03498589498542E-2</v>
      </c>
      <c r="S1420" s="135">
        <v>1.26127772721338E-2</v>
      </c>
      <c r="T1420" s="135">
        <v>1.1232358446720001E-2</v>
      </c>
      <c r="U1420" s="135">
        <v>1.1356930660348499E-2</v>
      </c>
      <c r="V1420" s="135">
        <v>1.5888125066151899E-2</v>
      </c>
      <c r="W1420" s="135">
        <v>2.6579895552935301E-2</v>
      </c>
      <c r="X1420" s="135">
        <v>4.1891713722363298E-2</v>
      </c>
      <c r="Y1420" s="135">
        <v>5.4221897816034197E-2</v>
      </c>
      <c r="Z1420" s="135">
        <v>5.85242454944035E-2</v>
      </c>
      <c r="AA1420" s="135">
        <v>4.9229635916048502E-2</v>
      </c>
      <c r="AB1420" s="135">
        <v>2.87149553901715E-2</v>
      </c>
      <c r="AC1420" s="135">
        <v>1.39941036329968E-2</v>
      </c>
      <c r="AD1420" s="135">
        <v>8.3255300479366107E-3</v>
      </c>
      <c r="AF1420" s="243">
        <f t="shared" si="26"/>
        <v>9.7715462370780187E-2</v>
      </c>
      <c r="AG1420" s="275">
        <f t="shared" si="27"/>
        <v>0.26762374256261096</v>
      </c>
      <c r="AH1420" s="391">
        <f t="shared" si="28"/>
        <v>0.32946083950084798</v>
      </c>
      <c r="AI1420" s="135">
        <f t="shared" si="29"/>
        <v>0.59708458206345894</v>
      </c>
    </row>
    <row r="1421" spans="1:35" ht="12.6">
      <c r="A1421" s="10" t="s">
        <v>1516</v>
      </c>
      <c r="B1421" s="10">
        <v>325</v>
      </c>
      <c r="C1421" s="10" t="s">
        <v>1515</v>
      </c>
      <c r="D1421" s="388">
        <v>45251</v>
      </c>
      <c r="E1421" s="389">
        <v>45251</v>
      </c>
      <c r="F1421" s="390" t="str">
        <f t="shared" si="25"/>
        <v>Space heating &amp; cooling</v>
      </c>
      <c r="G1421" s="135">
        <v>7.9701093391319894E-3</v>
      </c>
      <c r="H1421" s="135">
        <v>7.4832665995385097E-3</v>
      </c>
      <c r="I1421" s="135">
        <v>7.69715627583944E-3</v>
      </c>
      <c r="J1421" s="135">
        <v>9.0558823834452698E-3</v>
      </c>
      <c r="K1421" s="135">
        <v>2.4256472792327101E-2</v>
      </c>
      <c r="L1421" s="135">
        <v>4.6381320016590302E-2</v>
      </c>
      <c r="M1421" s="135">
        <v>6.4789814476515495E-2</v>
      </c>
      <c r="N1421" s="135">
        <v>4.7465098165324501E-2</v>
      </c>
      <c r="O1421" s="135">
        <v>1.8542043362905901E-2</v>
      </c>
      <c r="P1421" s="135">
        <v>1.08258742611059E-2</v>
      </c>
      <c r="Q1421" s="135">
        <v>9.6955164226364896E-3</v>
      </c>
      <c r="R1421" s="135">
        <v>1.03498589498542E-2</v>
      </c>
      <c r="S1421" s="135">
        <v>1.26127772721338E-2</v>
      </c>
      <c r="T1421" s="135">
        <v>1.1232358446720001E-2</v>
      </c>
      <c r="U1421" s="135">
        <v>1.1356930660348499E-2</v>
      </c>
      <c r="V1421" s="135">
        <v>1.5888125066151899E-2</v>
      </c>
      <c r="W1421" s="135">
        <v>2.6579895552935301E-2</v>
      </c>
      <c r="X1421" s="135">
        <v>4.1891713722363298E-2</v>
      </c>
      <c r="Y1421" s="135">
        <v>5.4221897816034197E-2</v>
      </c>
      <c r="Z1421" s="135">
        <v>5.85242454944035E-2</v>
      </c>
      <c r="AA1421" s="135">
        <v>4.9229635916048502E-2</v>
      </c>
      <c r="AB1421" s="135">
        <v>2.87149553901715E-2</v>
      </c>
      <c r="AC1421" s="135">
        <v>1.39941036329968E-2</v>
      </c>
      <c r="AD1421" s="135">
        <v>8.3255300479366107E-3</v>
      </c>
      <c r="AF1421" s="243">
        <f t="shared" si="26"/>
        <v>9.7715462370780187E-2</v>
      </c>
      <c r="AG1421" s="275">
        <f t="shared" si="27"/>
        <v>0.26762374256261096</v>
      </c>
      <c r="AH1421" s="391">
        <f t="shared" si="28"/>
        <v>0.32946083950084798</v>
      </c>
      <c r="AI1421" s="135">
        <f t="shared" si="29"/>
        <v>0.59708458206345894</v>
      </c>
    </row>
    <row r="1422" spans="1:35" ht="12.6">
      <c r="A1422" s="10" t="s">
        <v>1516</v>
      </c>
      <c r="B1422" s="10">
        <v>326</v>
      </c>
      <c r="C1422" s="10" t="s">
        <v>1515</v>
      </c>
      <c r="D1422" s="388">
        <v>45252</v>
      </c>
      <c r="E1422" s="389">
        <v>45252</v>
      </c>
      <c r="F1422" s="390" t="str">
        <f t="shared" si="25"/>
        <v>Space heating &amp; cooling</v>
      </c>
      <c r="G1422" s="135">
        <v>7.9701093391319894E-3</v>
      </c>
      <c r="H1422" s="135">
        <v>7.4832665995385097E-3</v>
      </c>
      <c r="I1422" s="135">
        <v>7.69715627583944E-3</v>
      </c>
      <c r="J1422" s="135">
        <v>9.0558823834452698E-3</v>
      </c>
      <c r="K1422" s="135">
        <v>2.4256472792327101E-2</v>
      </c>
      <c r="L1422" s="135">
        <v>4.6381320016590302E-2</v>
      </c>
      <c r="M1422" s="135">
        <v>6.4789814476515495E-2</v>
      </c>
      <c r="N1422" s="135">
        <v>4.7465098165324501E-2</v>
      </c>
      <c r="O1422" s="135">
        <v>1.8542043362905901E-2</v>
      </c>
      <c r="P1422" s="135">
        <v>1.08258742611059E-2</v>
      </c>
      <c r="Q1422" s="135">
        <v>9.6955164226364896E-3</v>
      </c>
      <c r="R1422" s="135">
        <v>1.03498589498542E-2</v>
      </c>
      <c r="S1422" s="135">
        <v>1.26127772721338E-2</v>
      </c>
      <c r="T1422" s="135">
        <v>1.1232358446720001E-2</v>
      </c>
      <c r="U1422" s="135">
        <v>1.1356930660348499E-2</v>
      </c>
      <c r="V1422" s="135">
        <v>1.5888125066151899E-2</v>
      </c>
      <c r="W1422" s="135">
        <v>2.6579895552935301E-2</v>
      </c>
      <c r="X1422" s="135">
        <v>4.1891713722363298E-2</v>
      </c>
      <c r="Y1422" s="135">
        <v>5.4221897816034197E-2</v>
      </c>
      <c r="Z1422" s="135">
        <v>5.85242454944035E-2</v>
      </c>
      <c r="AA1422" s="135">
        <v>4.9229635916048502E-2</v>
      </c>
      <c r="AB1422" s="135">
        <v>2.87149553901715E-2</v>
      </c>
      <c r="AC1422" s="135">
        <v>1.39941036329968E-2</v>
      </c>
      <c r="AD1422" s="135">
        <v>8.3255300479366107E-3</v>
      </c>
      <c r="AF1422" s="243">
        <f t="shared" si="26"/>
        <v>9.7715462370780187E-2</v>
      </c>
      <c r="AG1422" s="275">
        <f t="shared" si="27"/>
        <v>0.26762374256261096</v>
      </c>
      <c r="AH1422" s="391">
        <f t="shared" si="28"/>
        <v>0.32946083950084798</v>
      </c>
      <c r="AI1422" s="135">
        <f t="shared" si="29"/>
        <v>0.59708458206345894</v>
      </c>
    </row>
    <row r="1423" spans="1:35" ht="12.6">
      <c r="A1423" s="10" t="s">
        <v>1516</v>
      </c>
      <c r="B1423" s="10">
        <v>327</v>
      </c>
      <c r="C1423" s="10" t="s">
        <v>1515</v>
      </c>
      <c r="D1423" s="388">
        <v>45253</v>
      </c>
      <c r="E1423" s="389">
        <v>45253</v>
      </c>
      <c r="F1423" s="390" t="str">
        <f t="shared" si="25"/>
        <v>Space heating &amp; cooling</v>
      </c>
      <c r="G1423" s="135">
        <v>7.9701093391319894E-3</v>
      </c>
      <c r="H1423" s="135">
        <v>7.4832665995385097E-3</v>
      </c>
      <c r="I1423" s="135">
        <v>7.69715627583944E-3</v>
      </c>
      <c r="J1423" s="135">
        <v>9.0558823834452698E-3</v>
      </c>
      <c r="K1423" s="135">
        <v>2.4256472792327101E-2</v>
      </c>
      <c r="L1423" s="135">
        <v>4.6381320016590302E-2</v>
      </c>
      <c r="M1423" s="135">
        <v>6.4789814476515495E-2</v>
      </c>
      <c r="N1423" s="135">
        <v>4.7465098165324501E-2</v>
      </c>
      <c r="O1423" s="135">
        <v>1.8542043362905901E-2</v>
      </c>
      <c r="P1423" s="135">
        <v>1.08258742611059E-2</v>
      </c>
      <c r="Q1423" s="135">
        <v>9.6955164226364896E-3</v>
      </c>
      <c r="R1423" s="135">
        <v>1.03498589498542E-2</v>
      </c>
      <c r="S1423" s="135">
        <v>1.26127772721338E-2</v>
      </c>
      <c r="T1423" s="135">
        <v>1.1232358446720001E-2</v>
      </c>
      <c r="U1423" s="135">
        <v>1.1356930660348499E-2</v>
      </c>
      <c r="V1423" s="135">
        <v>1.5888125066151899E-2</v>
      </c>
      <c r="W1423" s="135">
        <v>2.6579895552935301E-2</v>
      </c>
      <c r="X1423" s="135">
        <v>4.1891713722363298E-2</v>
      </c>
      <c r="Y1423" s="135">
        <v>5.4221897816034197E-2</v>
      </c>
      <c r="Z1423" s="135">
        <v>5.85242454944035E-2</v>
      </c>
      <c r="AA1423" s="135">
        <v>4.9229635916048502E-2</v>
      </c>
      <c r="AB1423" s="135">
        <v>2.87149553901715E-2</v>
      </c>
      <c r="AC1423" s="135">
        <v>1.39941036329968E-2</v>
      </c>
      <c r="AD1423" s="135">
        <v>8.3255300479366107E-3</v>
      </c>
      <c r="AF1423" s="243">
        <f t="shared" si="26"/>
        <v>9.7715462370780187E-2</v>
      </c>
      <c r="AG1423" s="275">
        <f t="shared" si="27"/>
        <v>0.26762374256261096</v>
      </c>
      <c r="AH1423" s="391">
        <f t="shared" si="28"/>
        <v>0.32946083950084798</v>
      </c>
      <c r="AI1423" s="135">
        <f t="shared" si="29"/>
        <v>0.59708458206345894</v>
      </c>
    </row>
    <row r="1424" spans="1:35" ht="12.6">
      <c r="A1424" s="10" t="s">
        <v>1516</v>
      </c>
      <c r="B1424" s="10">
        <v>328</v>
      </c>
      <c r="C1424" s="10" t="s">
        <v>1515</v>
      </c>
      <c r="D1424" s="388">
        <v>45254</v>
      </c>
      <c r="E1424" s="389">
        <v>45254</v>
      </c>
      <c r="F1424" s="390" t="str">
        <f t="shared" si="25"/>
        <v>Space heating &amp; cooling</v>
      </c>
      <c r="G1424" s="135">
        <v>7.9701093391319894E-3</v>
      </c>
      <c r="H1424" s="135">
        <v>7.4832665995385097E-3</v>
      </c>
      <c r="I1424" s="135">
        <v>7.69715627583944E-3</v>
      </c>
      <c r="J1424" s="135">
        <v>9.0558823834452698E-3</v>
      </c>
      <c r="K1424" s="135">
        <v>2.4256472792327101E-2</v>
      </c>
      <c r="L1424" s="135">
        <v>4.6381320016590302E-2</v>
      </c>
      <c r="M1424" s="135">
        <v>6.4789814476515495E-2</v>
      </c>
      <c r="N1424" s="135">
        <v>4.7465098165324501E-2</v>
      </c>
      <c r="O1424" s="135">
        <v>1.8542043362905901E-2</v>
      </c>
      <c r="P1424" s="135">
        <v>1.08258742611059E-2</v>
      </c>
      <c r="Q1424" s="135">
        <v>9.6955164226364896E-3</v>
      </c>
      <c r="R1424" s="135">
        <v>1.03498589498542E-2</v>
      </c>
      <c r="S1424" s="135">
        <v>1.26127772721338E-2</v>
      </c>
      <c r="T1424" s="135">
        <v>1.1232358446720001E-2</v>
      </c>
      <c r="U1424" s="135">
        <v>1.1356930660348499E-2</v>
      </c>
      <c r="V1424" s="135">
        <v>1.5888125066151899E-2</v>
      </c>
      <c r="W1424" s="135">
        <v>2.6579895552935301E-2</v>
      </c>
      <c r="X1424" s="135">
        <v>4.1891713722363298E-2</v>
      </c>
      <c r="Y1424" s="135">
        <v>5.4221897816034197E-2</v>
      </c>
      <c r="Z1424" s="135">
        <v>5.85242454944035E-2</v>
      </c>
      <c r="AA1424" s="135">
        <v>4.9229635916048502E-2</v>
      </c>
      <c r="AB1424" s="135">
        <v>2.87149553901715E-2</v>
      </c>
      <c r="AC1424" s="135">
        <v>1.39941036329968E-2</v>
      </c>
      <c r="AD1424" s="135">
        <v>8.3255300479366107E-3</v>
      </c>
      <c r="AF1424" s="243">
        <f t="shared" si="26"/>
        <v>9.7715462370780187E-2</v>
      </c>
      <c r="AG1424" s="275">
        <f t="shared" si="27"/>
        <v>0.26762374256261096</v>
      </c>
      <c r="AH1424" s="391">
        <f t="shared" si="28"/>
        <v>0.32946083950084798</v>
      </c>
      <c r="AI1424" s="135">
        <f t="shared" si="29"/>
        <v>0.59708458206345894</v>
      </c>
    </row>
    <row r="1425" spans="1:35" ht="12.6">
      <c r="A1425" s="10" t="s">
        <v>1516</v>
      </c>
      <c r="B1425" s="10">
        <v>329</v>
      </c>
      <c r="C1425" s="10" t="s">
        <v>1515</v>
      </c>
      <c r="D1425" s="388">
        <v>45255</v>
      </c>
      <c r="E1425" s="389">
        <v>45255</v>
      </c>
      <c r="F1425" s="390" t="str">
        <f t="shared" si="25"/>
        <v>Space heating &amp; cooling</v>
      </c>
      <c r="G1425" s="135">
        <v>8.5589099629598906E-3</v>
      </c>
      <c r="H1425" s="135">
        <v>8.8675026375491794E-3</v>
      </c>
      <c r="I1425" s="135">
        <v>1.04552190481216E-2</v>
      </c>
      <c r="J1425" s="135">
        <v>1.17579119066295E-2</v>
      </c>
      <c r="K1425" s="135">
        <v>2.34986462305929E-2</v>
      </c>
      <c r="L1425" s="135">
        <v>3.7992631328469598E-2</v>
      </c>
      <c r="M1425" s="135">
        <v>5.4435709548307398E-2</v>
      </c>
      <c r="N1425" s="135">
        <v>5.4642862062522897E-2</v>
      </c>
      <c r="O1425" s="135">
        <v>3.4914845598458498E-2</v>
      </c>
      <c r="P1425" s="135">
        <v>2.3545540065841999E-2</v>
      </c>
      <c r="Q1425" s="135">
        <v>1.6895090328183999E-2</v>
      </c>
      <c r="R1425" s="135">
        <v>1.8028427970699999E-2</v>
      </c>
      <c r="S1425" s="135">
        <v>1.6769874532907798E-2</v>
      </c>
      <c r="T1425" s="135">
        <v>1.7967283055498599E-2</v>
      </c>
      <c r="U1425" s="135">
        <v>1.76791433354558E-2</v>
      </c>
      <c r="V1425" s="135">
        <v>1.9568826231970701E-2</v>
      </c>
      <c r="W1425" s="135">
        <v>2.2862814795718601E-2</v>
      </c>
      <c r="X1425" s="135">
        <v>3.43993283160609E-2</v>
      </c>
      <c r="Y1425" s="135">
        <v>4.8977280876126898E-2</v>
      </c>
      <c r="Z1425" s="135">
        <v>5.5132719978189797E-2</v>
      </c>
      <c r="AA1425" s="135">
        <v>5.0655597958882199E-2</v>
      </c>
      <c r="AB1425" s="135">
        <v>3.5017412737214502E-2</v>
      </c>
      <c r="AC1425" s="135">
        <v>2.04092271514421E-2</v>
      </c>
      <c r="AD1425" s="135">
        <v>1.2132588822108501E-2</v>
      </c>
      <c r="AF1425" s="243">
        <f t="shared" si="26"/>
        <v>0.12977146025043551</v>
      </c>
      <c r="AG1425" s="275">
        <f t="shared" si="27"/>
        <v>0.28295628858773214</v>
      </c>
      <c r="AH1425" s="391">
        <f t="shared" si="28"/>
        <v>0.3722091058921817</v>
      </c>
      <c r="AI1425" s="135">
        <f t="shared" si="29"/>
        <v>0.65516539447991384</v>
      </c>
    </row>
    <row r="1426" spans="1:35" ht="12.6">
      <c r="A1426" s="10" t="s">
        <v>1516</v>
      </c>
      <c r="B1426" s="10">
        <v>330</v>
      </c>
      <c r="C1426" s="10" t="s">
        <v>1515</v>
      </c>
      <c r="D1426" s="388">
        <v>45256</v>
      </c>
      <c r="E1426" s="389">
        <v>45256</v>
      </c>
      <c r="F1426" s="390" t="str">
        <f t="shared" si="25"/>
        <v>Space heating &amp; cooling</v>
      </c>
      <c r="G1426" s="135">
        <v>8.5589099629598906E-3</v>
      </c>
      <c r="H1426" s="135">
        <v>8.8675026375491794E-3</v>
      </c>
      <c r="I1426" s="135">
        <v>1.04552190481216E-2</v>
      </c>
      <c r="J1426" s="135">
        <v>1.17579119066295E-2</v>
      </c>
      <c r="K1426" s="135">
        <v>2.34986462305929E-2</v>
      </c>
      <c r="L1426" s="135">
        <v>3.7992631328469598E-2</v>
      </c>
      <c r="M1426" s="135">
        <v>5.4435709548307398E-2</v>
      </c>
      <c r="N1426" s="135">
        <v>5.4642862062522897E-2</v>
      </c>
      <c r="O1426" s="135">
        <v>3.4914845598458498E-2</v>
      </c>
      <c r="P1426" s="135">
        <v>2.3545540065841999E-2</v>
      </c>
      <c r="Q1426" s="135">
        <v>1.6895090328183999E-2</v>
      </c>
      <c r="R1426" s="135">
        <v>1.8028427970699999E-2</v>
      </c>
      <c r="S1426" s="135">
        <v>1.6769874532907798E-2</v>
      </c>
      <c r="T1426" s="135">
        <v>1.7967283055498599E-2</v>
      </c>
      <c r="U1426" s="135">
        <v>1.76791433354558E-2</v>
      </c>
      <c r="V1426" s="135">
        <v>1.9568826231970701E-2</v>
      </c>
      <c r="W1426" s="135">
        <v>2.2862814795718601E-2</v>
      </c>
      <c r="X1426" s="135">
        <v>3.43993283160609E-2</v>
      </c>
      <c r="Y1426" s="135">
        <v>4.8977280876126898E-2</v>
      </c>
      <c r="Z1426" s="135">
        <v>5.5132719978189797E-2</v>
      </c>
      <c r="AA1426" s="135">
        <v>5.0655597958882199E-2</v>
      </c>
      <c r="AB1426" s="135">
        <v>3.5017412737214502E-2</v>
      </c>
      <c r="AC1426" s="135">
        <v>2.04092271514421E-2</v>
      </c>
      <c r="AD1426" s="135">
        <v>1.2132588822108501E-2</v>
      </c>
      <c r="AF1426" s="243">
        <f t="shared" si="26"/>
        <v>0.12977146025043551</v>
      </c>
      <c r="AG1426" s="275">
        <f t="shared" si="27"/>
        <v>0.28295628858773214</v>
      </c>
      <c r="AH1426" s="391">
        <f t="shared" si="28"/>
        <v>0.3722091058921817</v>
      </c>
      <c r="AI1426" s="135">
        <f t="shared" si="29"/>
        <v>0.65516539447991384</v>
      </c>
    </row>
    <row r="1427" spans="1:35" ht="12.6">
      <c r="A1427" s="10" t="s">
        <v>1516</v>
      </c>
      <c r="B1427" s="10">
        <v>331</v>
      </c>
      <c r="C1427" s="10" t="s">
        <v>1515</v>
      </c>
      <c r="D1427" s="388">
        <v>45257</v>
      </c>
      <c r="E1427" s="389">
        <v>45257</v>
      </c>
      <c r="F1427" s="390" t="str">
        <f t="shared" si="25"/>
        <v>Space heating &amp; cooling</v>
      </c>
      <c r="G1427" s="135">
        <v>7.9701093391319894E-3</v>
      </c>
      <c r="H1427" s="135">
        <v>7.4832665995385097E-3</v>
      </c>
      <c r="I1427" s="135">
        <v>7.69715627583944E-3</v>
      </c>
      <c r="J1427" s="135">
        <v>9.0558823834452698E-3</v>
      </c>
      <c r="K1427" s="135">
        <v>2.4256472792327101E-2</v>
      </c>
      <c r="L1427" s="135">
        <v>4.6381320016590302E-2</v>
      </c>
      <c r="M1427" s="135">
        <v>6.4789814476515495E-2</v>
      </c>
      <c r="N1427" s="135">
        <v>4.7465098165324501E-2</v>
      </c>
      <c r="O1427" s="135">
        <v>1.8542043362905901E-2</v>
      </c>
      <c r="P1427" s="135">
        <v>1.08258742611059E-2</v>
      </c>
      <c r="Q1427" s="135">
        <v>9.6955164226364896E-3</v>
      </c>
      <c r="R1427" s="135">
        <v>1.03498589498542E-2</v>
      </c>
      <c r="S1427" s="135">
        <v>1.26127772721338E-2</v>
      </c>
      <c r="T1427" s="135">
        <v>1.1232358446720001E-2</v>
      </c>
      <c r="U1427" s="135">
        <v>1.1356930660348499E-2</v>
      </c>
      <c r="V1427" s="135">
        <v>1.5888125066151899E-2</v>
      </c>
      <c r="W1427" s="135">
        <v>2.6579895552935301E-2</v>
      </c>
      <c r="X1427" s="135">
        <v>4.1891713722363298E-2</v>
      </c>
      <c r="Y1427" s="135">
        <v>5.4221897816034197E-2</v>
      </c>
      <c r="Z1427" s="135">
        <v>5.85242454944035E-2</v>
      </c>
      <c r="AA1427" s="135">
        <v>4.9229635916048502E-2</v>
      </c>
      <c r="AB1427" s="135">
        <v>2.87149553901715E-2</v>
      </c>
      <c r="AC1427" s="135">
        <v>1.39941036329968E-2</v>
      </c>
      <c r="AD1427" s="135">
        <v>8.3255300479366107E-3</v>
      </c>
      <c r="AF1427" s="243">
        <f t="shared" si="26"/>
        <v>9.7715462370780187E-2</v>
      </c>
      <c r="AG1427" s="275">
        <f t="shared" si="27"/>
        <v>0.26762374256261096</v>
      </c>
      <c r="AH1427" s="391">
        <f t="shared" si="28"/>
        <v>0.32946083950084798</v>
      </c>
      <c r="AI1427" s="135">
        <f t="shared" si="29"/>
        <v>0.59708458206345894</v>
      </c>
    </row>
    <row r="1428" spans="1:35" ht="12.6">
      <c r="A1428" s="10" t="s">
        <v>1516</v>
      </c>
      <c r="B1428" s="10">
        <v>332</v>
      </c>
      <c r="C1428" s="10" t="s">
        <v>1515</v>
      </c>
      <c r="D1428" s="388">
        <v>45258</v>
      </c>
      <c r="E1428" s="389">
        <v>45258</v>
      </c>
      <c r="F1428" s="390" t="str">
        <f t="shared" si="25"/>
        <v>Space heating &amp; cooling</v>
      </c>
      <c r="G1428" s="135">
        <v>7.9701093391319894E-3</v>
      </c>
      <c r="H1428" s="135">
        <v>7.4832665995385097E-3</v>
      </c>
      <c r="I1428" s="135">
        <v>7.69715627583944E-3</v>
      </c>
      <c r="J1428" s="135">
        <v>9.0558823834452698E-3</v>
      </c>
      <c r="K1428" s="135">
        <v>2.4256472792327101E-2</v>
      </c>
      <c r="L1428" s="135">
        <v>4.6381320016590302E-2</v>
      </c>
      <c r="M1428" s="135">
        <v>6.4789814476515495E-2</v>
      </c>
      <c r="N1428" s="135">
        <v>4.7465098165324501E-2</v>
      </c>
      <c r="O1428" s="135">
        <v>1.8542043362905901E-2</v>
      </c>
      <c r="P1428" s="135">
        <v>1.08258742611059E-2</v>
      </c>
      <c r="Q1428" s="135">
        <v>9.6955164226364896E-3</v>
      </c>
      <c r="R1428" s="135">
        <v>1.03498589498542E-2</v>
      </c>
      <c r="S1428" s="135">
        <v>1.26127772721338E-2</v>
      </c>
      <c r="T1428" s="135">
        <v>1.1232358446720001E-2</v>
      </c>
      <c r="U1428" s="135">
        <v>1.1356930660348499E-2</v>
      </c>
      <c r="V1428" s="135">
        <v>1.5888125066151899E-2</v>
      </c>
      <c r="W1428" s="135">
        <v>2.6579895552935301E-2</v>
      </c>
      <c r="X1428" s="135">
        <v>4.1891713722363298E-2</v>
      </c>
      <c r="Y1428" s="135">
        <v>5.4221897816034197E-2</v>
      </c>
      <c r="Z1428" s="135">
        <v>5.85242454944035E-2</v>
      </c>
      <c r="AA1428" s="135">
        <v>4.9229635916048502E-2</v>
      </c>
      <c r="AB1428" s="135">
        <v>2.87149553901715E-2</v>
      </c>
      <c r="AC1428" s="135">
        <v>1.39941036329968E-2</v>
      </c>
      <c r="AD1428" s="135">
        <v>8.3255300479366107E-3</v>
      </c>
      <c r="AF1428" s="243">
        <f t="shared" si="26"/>
        <v>9.7715462370780187E-2</v>
      </c>
      <c r="AG1428" s="275">
        <f t="shared" si="27"/>
        <v>0.26762374256261096</v>
      </c>
      <c r="AH1428" s="391">
        <f t="shared" si="28"/>
        <v>0.32946083950084798</v>
      </c>
      <c r="AI1428" s="135">
        <f t="shared" si="29"/>
        <v>0.59708458206345894</v>
      </c>
    </row>
    <row r="1429" spans="1:35" ht="12.6">
      <c r="A1429" s="10" t="s">
        <v>1516</v>
      </c>
      <c r="B1429" s="10">
        <v>333</v>
      </c>
      <c r="C1429" s="10" t="s">
        <v>1515</v>
      </c>
      <c r="D1429" s="388">
        <v>45259</v>
      </c>
      <c r="E1429" s="389">
        <v>45259</v>
      </c>
      <c r="F1429" s="390" t="str">
        <f t="shared" si="25"/>
        <v>Space heating &amp; cooling</v>
      </c>
      <c r="G1429" s="135">
        <v>7.9701093391319894E-3</v>
      </c>
      <c r="H1429" s="135">
        <v>7.4832665995385097E-3</v>
      </c>
      <c r="I1429" s="135">
        <v>7.69715627583944E-3</v>
      </c>
      <c r="J1429" s="135">
        <v>9.0558823834452698E-3</v>
      </c>
      <c r="K1429" s="135">
        <v>2.4256472792327101E-2</v>
      </c>
      <c r="L1429" s="135">
        <v>4.6381320016590302E-2</v>
      </c>
      <c r="M1429" s="135">
        <v>6.4789814476515495E-2</v>
      </c>
      <c r="N1429" s="135">
        <v>4.7465098165324501E-2</v>
      </c>
      <c r="O1429" s="135">
        <v>1.8542043362905901E-2</v>
      </c>
      <c r="P1429" s="135">
        <v>1.08258742611059E-2</v>
      </c>
      <c r="Q1429" s="135">
        <v>9.6955164226364896E-3</v>
      </c>
      <c r="R1429" s="135">
        <v>1.03498589498542E-2</v>
      </c>
      <c r="S1429" s="135">
        <v>1.26127772721338E-2</v>
      </c>
      <c r="T1429" s="135">
        <v>1.1232358446720001E-2</v>
      </c>
      <c r="U1429" s="135">
        <v>1.1356930660348499E-2</v>
      </c>
      <c r="V1429" s="135">
        <v>1.5888125066151899E-2</v>
      </c>
      <c r="W1429" s="135">
        <v>2.6579895552935301E-2</v>
      </c>
      <c r="X1429" s="135">
        <v>4.1891713722363298E-2</v>
      </c>
      <c r="Y1429" s="135">
        <v>5.4221897816034197E-2</v>
      </c>
      <c r="Z1429" s="135">
        <v>5.85242454944035E-2</v>
      </c>
      <c r="AA1429" s="135">
        <v>4.9229635916048502E-2</v>
      </c>
      <c r="AB1429" s="135">
        <v>2.87149553901715E-2</v>
      </c>
      <c r="AC1429" s="135">
        <v>1.39941036329968E-2</v>
      </c>
      <c r="AD1429" s="135">
        <v>8.3255300479366107E-3</v>
      </c>
      <c r="AF1429" s="243">
        <f t="shared" si="26"/>
        <v>9.7715462370780187E-2</v>
      </c>
      <c r="AG1429" s="275">
        <f t="shared" si="27"/>
        <v>0.26762374256261096</v>
      </c>
      <c r="AH1429" s="391">
        <f t="shared" si="28"/>
        <v>0.32946083950084798</v>
      </c>
      <c r="AI1429" s="135">
        <f t="shared" si="29"/>
        <v>0.59708458206345894</v>
      </c>
    </row>
    <row r="1430" spans="1:35" ht="12.6">
      <c r="A1430" s="10" t="s">
        <v>1516</v>
      </c>
      <c r="B1430" s="10">
        <v>334</v>
      </c>
      <c r="C1430" s="10" t="s">
        <v>1515</v>
      </c>
      <c r="D1430" s="388">
        <v>45260</v>
      </c>
      <c r="E1430" s="389">
        <v>45260</v>
      </c>
      <c r="F1430" s="390" t="str">
        <f t="shared" si="25"/>
        <v>Space heating &amp; cooling</v>
      </c>
      <c r="G1430" s="135">
        <v>7.9701093391319894E-3</v>
      </c>
      <c r="H1430" s="135">
        <v>7.4832665995385097E-3</v>
      </c>
      <c r="I1430" s="135">
        <v>7.69715627583944E-3</v>
      </c>
      <c r="J1430" s="135">
        <v>9.0558823834452698E-3</v>
      </c>
      <c r="K1430" s="135">
        <v>2.4256472792327101E-2</v>
      </c>
      <c r="L1430" s="135">
        <v>4.6381320016590302E-2</v>
      </c>
      <c r="M1430" s="135">
        <v>6.4789814476515495E-2</v>
      </c>
      <c r="N1430" s="135">
        <v>4.7465098165324501E-2</v>
      </c>
      <c r="O1430" s="135">
        <v>1.8542043362905901E-2</v>
      </c>
      <c r="P1430" s="135">
        <v>1.08258742611059E-2</v>
      </c>
      <c r="Q1430" s="135">
        <v>9.6955164226364896E-3</v>
      </c>
      <c r="R1430" s="135">
        <v>1.03498589498542E-2</v>
      </c>
      <c r="S1430" s="135">
        <v>1.26127772721338E-2</v>
      </c>
      <c r="T1430" s="135">
        <v>1.1232358446720001E-2</v>
      </c>
      <c r="U1430" s="135">
        <v>1.1356930660348499E-2</v>
      </c>
      <c r="V1430" s="135">
        <v>1.5888125066151899E-2</v>
      </c>
      <c r="W1430" s="135">
        <v>2.6579895552935301E-2</v>
      </c>
      <c r="X1430" s="135">
        <v>4.1891713722363298E-2</v>
      </c>
      <c r="Y1430" s="135">
        <v>5.4221897816034197E-2</v>
      </c>
      <c r="Z1430" s="135">
        <v>5.85242454944035E-2</v>
      </c>
      <c r="AA1430" s="135">
        <v>4.9229635916048502E-2</v>
      </c>
      <c r="AB1430" s="135">
        <v>2.87149553901715E-2</v>
      </c>
      <c r="AC1430" s="135">
        <v>1.39941036329968E-2</v>
      </c>
      <c r="AD1430" s="135">
        <v>8.3255300479366107E-3</v>
      </c>
      <c r="AF1430" s="243">
        <f t="shared" si="26"/>
        <v>9.7715462370780187E-2</v>
      </c>
      <c r="AG1430" s="275">
        <f t="shared" si="27"/>
        <v>0.26762374256261096</v>
      </c>
      <c r="AH1430" s="391">
        <f t="shared" si="28"/>
        <v>0.32946083950084798</v>
      </c>
      <c r="AI1430" s="135">
        <f t="shared" si="29"/>
        <v>0.59708458206345894</v>
      </c>
    </row>
    <row r="1431" spans="1:35" ht="12.6">
      <c r="A1431" s="10" t="s">
        <v>1516</v>
      </c>
      <c r="B1431" s="10">
        <v>335</v>
      </c>
      <c r="C1431" s="10" t="s">
        <v>1512</v>
      </c>
      <c r="D1431" s="388">
        <v>45261</v>
      </c>
      <c r="E1431" s="389">
        <v>45261</v>
      </c>
      <c r="F1431" s="390" t="str">
        <f t="shared" si="25"/>
        <v>Space heating &amp; cooling</v>
      </c>
      <c r="G1431" s="135">
        <v>7.9953571716747905E-3</v>
      </c>
      <c r="H1431" s="135">
        <v>7.8245831116129094E-3</v>
      </c>
      <c r="I1431" s="135">
        <v>8.0300339165570792E-3</v>
      </c>
      <c r="J1431" s="135">
        <v>8.4416246859035302E-3</v>
      </c>
      <c r="K1431" s="135">
        <v>8.97309956887417E-3</v>
      </c>
      <c r="L1431" s="135">
        <v>9.6802006859900806E-3</v>
      </c>
      <c r="M1431" s="135">
        <v>7.4874400160792999E-3</v>
      </c>
      <c r="N1431" s="135">
        <v>5.5926251676814004E-3</v>
      </c>
      <c r="O1431" s="135">
        <v>5.0911588033517603E-3</v>
      </c>
      <c r="P1431" s="135">
        <v>5.6938699301580702E-3</v>
      </c>
      <c r="Q1431" s="135">
        <v>6.4300445804596398E-3</v>
      </c>
      <c r="R1431" s="135">
        <v>1.0969740341545501E-2</v>
      </c>
      <c r="S1431" s="135">
        <v>1.38866577700715E-2</v>
      </c>
      <c r="T1431" s="135">
        <v>2.3836397515582201E-2</v>
      </c>
      <c r="U1431" s="135">
        <v>3.8825545760309499E-2</v>
      </c>
      <c r="V1431" s="135">
        <v>4.9716714272106499E-2</v>
      </c>
      <c r="W1431" s="135">
        <v>5.5850918839803303E-2</v>
      </c>
      <c r="X1431" s="135">
        <v>5.4135627227204997E-2</v>
      </c>
      <c r="Y1431" s="135">
        <v>5.0544177007237699E-2</v>
      </c>
      <c r="Z1431" s="135">
        <v>3.3339036030354E-2</v>
      </c>
      <c r="AA1431" s="135">
        <v>2.4565604873120199E-2</v>
      </c>
      <c r="AB1431" s="135">
        <v>1.8129659040456301E-2</v>
      </c>
      <c r="AC1431" s="135">
        <v>1.1319737988053399E-2</v>
      </c>
      <c r="AD1431" s="135">
        <v>1.0202793425540001E-2</v>
      </c>
      <c r="AF1431" s="243">
        <f t="shared" si="26"/>
        <v>0.19951601907987815</v>
      </c>
      <c r="AG1431" s="275">
        <f t="shared" si="27"/>
        <v>0.26207110472815831</v>
      </c>
      <c r="AH1431" s="391">
        <f t="shared" si="28"/>
        <v>0.21449154300156956</v>
      </c>
      <c r="AI1431" s="135">
        <f t="shared" si="29"/>
        <v>0.47656264772972784</v>
      </c>
    </row>
    <row r="1432" spans="1:35" ht="12.6">
      <c r="A1432" s="10" t="s">
        <v>1516</v>
      </c>
      <c r="B1432" s="10">
        <v>336</v>
      </c>
      <c r="C1432" s="10" t="s">
        <v>1512</v>
      </c>
      <c r="D1432" s="388">
        <v>45262</v>
      </c>
      <c r="E1432" s="389">
        <v>45262</v>
      </c>
      <c r="F1432" s="390" t="str">
        <f t="shared" si="25"/>
        <v>Space heating &amp; cooling</v>
      </c>
      <c r="G1432" s="135">
        <v>7.3042221050607804E-3</v>
      </c>
      <c r="H1432" s="135">
        <v>7.9860453334460804E-3</v>
      </c>
      <c r="I1432" s="135">
        <v>8.2067902760984308E-3</v>
      </c>
      <c r="J1432" s="135">
        <v>9.3749866615557998E-3</v>
      </c>
      <c r="K1432" s="135">
        <v>9.2645336050987299E-3</v>
      </c>
      <c r="L1432" s="135">
        <v>9.6349493269929799E-3</v>
      </c>
      <c r="M1432" s="135">
        <v>8.3405229864516699E-3</v>
      </c>
      <c r="N1432" s="135">
        <v>6.0454666879825704E-3</v>
      </c>
      <c r="O1432" s="135">
        <v>7.9840599698071495E-3</v>
      </c>
      <c r="P1432" s="135">
        <v>9.1141018722067802E-3</v>
      </c>
      <c r="Q1432" s="135">
        <v>8.9484741912523608E-3</v>
      </c>
      <c r="R1432" s="135">
        <v>1.2309643634535501E-2</v>
      </c>
      <c r="S1432" s="135">
        <v>1.9128368451632901E-2</v>
      </c>
      <c r="T1432" s="135">
        <v>2.8000139427327101E-2</v>
      </c>
      <c r="U1432" s="135">
        <v>5.04285740920506E-2</v>
      </c>
      <c r="V1432" s="135">
        <v>5.3460177738221301E-2</v>
      </c>
      <c r="W1432" s="135">
        <v>5.1854687043523098E-2</v>
      </c>
      <c r="X1432" s="135">
        <v>3.8054831227056801E-2</v>
      </c>
      <c r="Y1432" s="135">
        <v>3.0808022173456E-2</v>
      </c>
      <c r="Z1432" s="135">
        <v>2.8021319669542501E-2</v>
      </c>
      <c r="AA1432" s="135">
        <v>2.4835408297673701E-2</v>
      </c>
      <c r="AB1432" s="135">
        <v>1.3768829918079E-2</v>
      </c>
      <c r="AC1432" s="135">
        <v>7.5681054157869599E-3</v>
      </c>
      <c r="AD1432" s="135">
        <v>7.20527428759506E-3</v>
      </c>
      <c r="AF1432" s="243">
        <f t="shared" si="26"/>
        <v>0.22413006457854284</v>
      </c>
      <c r="AG1432" s="275">
        <f t="shared" si="27"/>
        <v>0.2777573767508415</v>
      </c>
      <c r="AH1432" s="391">
        <f t="shared" si="28"/>
        <v>0.17989015764159239</v>
      </c>
      <c r="AI1432" s="135">
        <f t="shared" si="29"/>
        <v>0.45764753439243389</v>
      </c>
    </row>
    <row r="1433" spans="1:35" ht="12.6">
      <c r="A1433" s="10" t="s">
        <v>1516</v>
      </c>
      <c r="B1433" s="10">
        <v>337</v>
      </c>
      <c r="C1433" s="10" t="s">
        <v>1512</v>
      </c>
      <c r="D1433" s="388">
        <v>45263</v>
      </c>
      <c r="E1433" s="389">
        <v>45263</v>
      </c>
      <c r="F1433" s="390" t="str">
        <f t="shared" si="25"/>
        <v>Space heating &amp; cooling</v>
      </c>
      <c r="G1433" s="135">
        <v>7.3042221050607804E-3</v>
      </c>
      <c r="H1433" s="135">
        <v>7.9860453334460804E-3</v>
      </c>
      <c r="I1433" s="135">
        <v>8.2067902760984308E-3</v>
      </c>
      <c r="J1433" s="135">
        <v>9.3749866615557998E-3</v>
      </c>
      <c r="K1433" s="135">
        <v>9.2645336050987299E-3</v>
      </c>
      <c r="L1433" s="135">
        <v>9.6349493269929799E-3</v>
      </c>
      <c r="M1433" s="135">
        <v>8.3405229864516699E-3</v>
      </c>
      <c r="N1433" s="135">
        <v>6.0454666879825704E-3</v>
      </c>
      <c r="O1433" s="135">
        <v>7.9840599698071495E-3</v>
      </c>
      <c r="P1433" s="135">
        <v>9.1141018722067802E-3</v>
      </c>
      <c r="Q1433" s="135">
        <v>8.9484741912523608E-3</v>
      </c>
      <c r="R1433" s="135">
        <v>1.2309643634535501E-2</v>
      </c>
      <c r="S1433" s="135">
        <v>1.9128368451632901E-2</v>
      </c>
      <c r="T1433" s="135">
        <v>2.8000139427327101E-2</v>
      </c>
      <c r="U1433" s="135">
        <v>5.04285740920506E-2</v>
      </c>
      <c r="V1433" s="135">
        <v>5.3460177738221301E-2</v>
      </c>
      <c r="W1433" s="135">
        <v>5.1854687043523098E-2</v>
      </c>
      <c r="X1433" s="135">
        <v>3.8054831227056801E-2</v>
      </c>
      <c r="Y1433" s="135">
        <v>3.0808022173456E-2</v>
      </c>
      <c r="Z1433" s="135">
        <v>2.8021319669542501E-2</v>
      </c>
      <c r="AA1433" s="135">
        <v>2.4835408297673701E-2</v>
      </c>
      <c r="AB1433" s="135">
        <v>1.3768829918079E-2</v>
      </c>
      <c r="AC1433" s="135">
        <v>7.5681054157869599E-3</v>
      </c>
      <c r="AD1433" s="135">
        <v>7.20527428759506E-3</v>
      </c>
      <c r="AF1433" s="243">
        <f t="shared" si="26"/>
        <v>0.22413006457854284</v>
      </c>
      <c r="AG1433" s="275">
        <f t="shared" si="27"/>
        <v>0.2777573767508415</v>
      </c>
      <c r="AH1433" s="391">
        <f t="shared" si="28"/>
        <v>0.17989015764159239</v>
      </c>
      <c r="AI1433" s="135">
        <f t="shared" si="29"/>
        <v>0.45764753439243389</v>
      </c>
    </row>
    <row r="1434" spans="1:35" ht="12.6">
      <c r="A1434" s="10" t="s">
        <v>1516</v>
      </c>
      <c r="B1434" s="10">
        <v>338</v>
      </c>
      <c r="C1434" s="10" t="s">
        <v>1512</v>
      </c>
      <c r="D1434" s="388">
        <v>45264</v>
      </c>
      <c r="E1434" s="389">
        <v>45264</v>
      </c>
      <c r="F1434" s="390" t="str">
        <f t="shared" si="25"/>
        <v>Space heating &amp; cooling</v>
      </c>
      <c r="G1434" s="135">
        <v>7.9953571716747905E-3</v>
      </c>
      <c r="H1434" s="135">
        <v>7.8245831116129094E-3</v>
      </c>
      <c r="I1434" s="135">
        <v>8.0300339165570792E-3</v>
      </c>
      <c r="J1434" s="135">
        <v>8.4416246859035302E-3</v>
      </c>
      <c r="K1434" s="135">
        <v>8.97309956887417E-3</v>
      </c>
      <c r="L1434" s="135">
        <v>9.6802006859900806E-3</v>
      </c>
      <c r="M1434" s="135">
        <v>7.4874400160792999E-3</v>
      </c>
      <c r="N1434" s="135">
        <v>5.5926251676814004E-3</v>
      </c>
      <c r="O1434" s="135">
        <v>5.0911588033517603E-3</v>
      </c>
      <c r="P1434" s="135">
        <v>5.6938699301580702E-3</v>
      </c>
      <c r="Q1434" s="135">
        <v>6.4300445804596398E-3</v>
      </c>
      <c r="R1434" s="135">
        <v>1.0969740341545501E-2</v>
      </c>
      <c r="S1434" s="135">
        <v>1.38866577700715E-2</v>
      </c>
      <c r="T1434" s="135">
        <v>2.3836397515582201E-2</v>
      </c>
      <c r="U1434" s="135">
        <v>3.8825545760309499E-2</v>
      </c>
      <c r="V1434" s="135">
        <v>4.9716714272106499E-2</v>
      </c>
      <c r="W1434" s="135">
        <v>5.5850918839803303E-2</v>
      </c>
      <c r="X1434" s="135">
        <v>5.4135627227204997E-2</v>
      </c>
      <c r="Y1434" s="135">
        <v>5.0544177007237699E-2</v>
      </c>
      <c r="Z1434" s="135">
        <v>3.3339036030354E-2</v>
      </c>
      <c r="AA1434" s="135">
        <v>2.4565604873120199E-2</v>
      </c>
      <c r="AB1434" s="135">
        <v>1.8129659040456301E-2</v>
      </c>
      <c r="AC1434" s="135">
        <v>1.1319737988053399E-2</v>
      </c>
      <c r="AD1434" s="135">
        <v>1.0202793425540001E-2</v>
      </c>
      <c r="AF1434" s="243">
        <f t="shared" si="26"/>
        <v>0.19951601907987815</v>
      </c>
      <c r="AG1434" s="275">
        <f t="shared" si="27"/>
        <v>0.26207110472815831</v>
      </c>
      <c r="AH1434" s="391">
        <f t="shared" si="28"/>
        <v>0.21449154300156956</v>
      </c>
      <c r="AI1434" s="135">
        <f t="shared" si="29"/>
        <v>0.47656264772972784</v>
      </c>
    </row>
    <row r="1435" spans="1:35" ht="12.6">
      <c r="A1435" s="10" t="s">
        <v>1516</v>
      </c>
      <c r="B1435" s="10">
        <v>339</v>
      </c>
      <c r="C1435" s="10" t="s">
        <v>1512</v>
      </c>
      <c r="D1435" s="388">
        <v>45265</v>
      </c>
      <c r="E1435" s="389">
        <v>45265</v>
      </c>
      <c r="F1435" s="390" t="str">
        <f t="shared" si="25"/>
        <v>Space heating &amp; cooling</v>
      </c>
      <c r="G1435" s="135">
        <v>7.9953571716747905E-3</v>
      </c>
      <c r="H1435" s="135">
        <v>7.8245831116129094E-3</v>
      </c>
      <c r="I1435" s="135">
        <v>8.0300339165570792E-3</v>
      </c>
      <c r="J1435" s="135">
        <v>8.4416246859035302E-3</v>
      </c>
      <c r="K1435" s="135">
        <v>8.97309956887417E-3</v>
      </c>
      <c r="L1435" s="135">
        <v>9.6802006859900806E-3</v>
      </c>
      <c r="M1435" s="135">
        <v>7.4874400160792999E-3</v>
      </c>
      <c r="N1435" s="135">
        <v>5.5926251676814004E-3</v>
      </c>
      <c r="O1435" s="135">
        <v>5.0911588033517603E-3</v>
      </c>
      <c r="P1435" s="135">
        <v>5.6938699301580702E-3</v>
      </c>
      <c r="Q1435" s="135">
        <v>6.4300445804596398E-3</v>
      </c>
      <c r="R1435" s="135">
        <v>1.0969740341545501E-2</v>
      </c>
      <c r="S1435" s="135">
        <v>1.38866577700715E-2</v>
      </c>
      <c r="T1435" s="135">
        <v>2.3836397515582201E-2</v>
      </c>
      <c r="U1435" s="135">
        <v>3.8825545760309499E-2</v>
      </c>
      <c r="V1435" s="135">
        <v>4.9716714272106499E-2</v>
      </c>
      <c r="W1435" s="135">
        <v>5.5850918839803303E-2</v>
      </c>
      <c r="X1435" s="135">
        <v>5.4135627227204997E-2</v>
      </c>
      <c r="Y1435" s="135">
        <v>5.0544177007237699E-2</v>
      </c>
      <c r="Z1435" s="135">
        <v>3.3339036030354E-2</v>
      </c>
      <c r="AA1435" s="135">
        <v>2.4565604873120199E-2</v>
      </c>
      <c r="AB1435" s="135">
        <v>1.8129659040456301E-2</v>
      </c>
      <c r="AC1435" s="135">
        <v>1.1319737988053399E-2</v>
      </c>
      <c r="AD1435" s="135">
        <v>1.0202793425540001E-2</v>
      </c>
      <c r="AF1435" s="243">
        <f t="shared" si="26"/>
        <v>0.19951601907987815</v>
      </c>
      <c r="AG1435" s="275">
        <f t="shared" si="27"/>
        <v>0.26207110472815831</v>
      </c>
      <c r="AH1435" s="391">
        <f t="shared" si="28"/>
        <v>0.21449154300156956</v>
      </c>
      <c r="AI1435" s="135">
        <f t="shared" si="29"/>
        <v>0.47656264772972784</v>
      </c>
    </row>
    <row r="1436" spans="1:35" ht="12.6">
      <c r="A1436" s="10" t="s">
        <v>1516</v>
      </c>
      <c r="B1436" s="10">
        <v>340</v>
      </c>
      <c r="C1436" s="10" t="s">
        <v>1512</v>
      </c>
      <c r="D1436" s="388">
        <v>45266</v>
      </c>
      <c r="E1436" s="389">
        <v>45266</v>
      </c>
      <c r="F1436" s="390" t="str">
        <f t="shared" si="25"/>
        <v>Space heating &amp; cooling</v>
      </c>
      <c r="G1436" s="135">
        <v>7.9953571716747905E-3</v>
      </c>
      <c r="H1436" s="135">
        <v>7.8245831116129094E-3</v>
      </c>
      <c r="I1436" s="135">
        <v>8.0300339165570792E-3</v>
      </c>
      <c r="J1436" s="135">
        <v>8.4416246859035302E-3</v>
      </c>
      <c r="K1436" s="135">
        <v>8.97309956887417E-3</v>
      </c>
      <c r="L1436" s="135">
        <v>9.6802006859900806E-3</v>
      </c>
      <c r="M1436" s="135">
        <v>7.4874400160792999E-3</v>
      </c>
      <c r="N1436" s="135">
        <v>5.5926251676814004E-3</v>
      </c>
      <c r="O1436" s="135">
        <v>5.0911588033517603E-3</v>
      </c>
      <c r="P1436" s="135">
        <v>5.6938699301580702E-3</v>
      </c>
      <c r="Q1436" s="135">
        <v>6.4300445804596398E-3</v>
      </c>
      <c r="R1436" s="135">
        <v>1.0969740341545501E-2</v>
      </c>
      <c r="S1436" s="135">
        <v>1.38866577700715E-2</v>
      </c>
      <c r="T1436" s="135">
        <v>2.3836397515582201E-2</v>
      </c>
      <c r="U1436" s="135">
        <v>3.8825545760309499E-2</v>
      </c>
      <c r="V1436" s="135">
        <v>4.9716714272106499E-2</v>
      </c>
      <c r="W1436" s="135">
        <v>5.5850918839803303E-2</v>
      </c>
      <c r="X1436" s="135">
        <v>5.4135627227204997E-2</v>
      </c>
      <c r="Y1436" s="135">
        <v>5.0544177007237699E-2</v>
      </c>
      <c r="Z1436" s="135">
        <v>3.3339036030354E-2</v>
      </c>
      <c r="AA1436" s="135">
        <v>2.4565604873120199E-2</v>
      </c>
      <c r="AB1436" s="135">
        <v>1.8129659040456301E-2</v>
      </c>
      <c r="AC1436" s="135">
        <v>1.1319737988053399E-2</v>
      </c>
      <c r="AD1436" s="135">
        <v>1.0202793425540001E-2</v>
      </c>
      <c r="AF1436" s="243">
        <f t="shared" si="26"/>
        <v>0.19951601907987815</v>
      </c>
      <c r="AG1436" s="275">
        <f t="shared" si="27"/>
        <v>0.26207110472815831</v>
      </c>
      <c r="AH1436" s="391">
        <f t="shared" si="28"/>
        <v>0.21449154300156956</v>
      </c>
      <c r="AI1436" s="135">
        <f t="shared" si="29"/>
        <v>0.47656264772972784</v>
      </c>
    </row>
    <row r="1437" spans="1:35" ht="12.6">
      <c r="A1437" s="10" t="s">
        <v>1516</v>
      </c>
      <c r="B1437" s="10">
        <v>341</v>
      </c>
      <c r="C1437" s="10" t="s">
        <v>1512</v>
      </c>
      <c r="D1437" s="388">
        <v>45267</v>
      </c>
      <c r="E1437" s="389">
        <v>45267</v>
      </c>
      <c r="F1437" s="390" t="str">
        <f t="shared" si="25"/>
        <v>Space heating &amp; cooling</v>
      </c>
      <c r="G1437" s="135">
        <v>7.9953571716747905E-3</v>
      </c>
      <c r="H1437" s="135">
        <v>7.8245831116129094E-3</v>
      </c>
      <c r="I1437" s="135">
        <v>8.0300339165570792E-3</v>
      </c>
      <c r="J1437" s="135">
        <v>8.4416246859035302E-3</v>
      </c>
      <c r="K1437" s="135">
        <v>8.97309956887417E-3</v>
      </c>
      <c r="L1437" s="135">
        <v>9.6802006859900806E-3</v>
      </c>
      <c r="M1437" s="135">
        <v>7.4874400160792999E-3</v>
      </c>
      <c r="N1437" s="135">
        <v>5.5926251676814004E-3</v>
      </c>
      <c r="O1437" s="135">
        <v>5.0911588033517603E-3</v>
      </c>
      <c r="P1437" s="135">
        <v>5.6938699301580702E-3</v>
      </c>
      <c r="Q1437" s="135">
        <v>6.4300445804596398E-3</v>
      </c>
      <c r="R1437" s="135">
        <v>1.0969740341545501E-2</v>
      </c>
      <c r="S1437" s="135">
        <v>1.38866577700715E-2</v>
      </c>
      <c r="T1437" s="135">
        <v>2.3836397515582201E-2</v>
      </c>
      <c r="U1437" s="135">
        <v>3.8825545760309499E-2</v>
      </c>
      <c r="V1437" s="135">
        <v>4.9716714272106499E-2</v>
      </c>
      <c r="W1437" s="135">
        <v>5.5850918839803303E-2</v>
      </c>
      <c r="X1437" s="135">
        <v>5.4135627227204997E-2</v>
      </c>
      <c r="Y1437" s="135">
        <v>5.0544177007237699E-2</v>
      </c>
      <c r="Z1437" s="135">
        <v>3.3339036030354E-2</v>
      </c>
      <c r="AA1437" s="135">
        <v>2.4565604873120199E-2</v>
      </c>
      <c r="AB1437" s="135">
        <v>1.8129659040456301E-2</v>
      </c>
      <c r="AC1437" s="135">
        <v>1.1319737988053399E-2</v>
      </c>
      <c r="AD1437" s="135">
        <v>1.0202793425540001E-2</v>
      </c>
      <c r="AF1437" s="243">
        <f t="shared" si="26"/>
        <v>0.19951601907987815</v>
      </c>
      <c r="AG1437" s="275">
        <f t="shared" si="27"/>
        <v>0.26207110472815831</v>
      </c>
      <c r="AH1437" s="391">
        <f t="shared" si="28"/>
        <v>0.21449154300156956</v>
      </c>
      <c r="AI1437" s="135">
        <f t="shared" si="29"/>
        <v>0.47656264772972784</v>
      </c>
    </row>
    <row r="1438" spans="1:35" ht="12.6">
      <c r="A1438" s="10" t="s">
        <v>1516</v>
      </c>
      <c r="B1438" s="10">
        <v>342</v>
      </c>
      <c r="C1438" s="10" t="s">
        <v>1512</v>
      </c>
      <c r="D1438" s="388">
        <v>45268</v>
      </c>
      <c r="E1438" s="389">
        <v>45268</v>
      </c>
      <c r="F1438" s="390" t="str">
        <f t="shared" si="25"/>
        <v>Space heating &amp; cooling</v>
      </c>
      <c r="G1438" s="135">
        <v>7.9953571716747905E-3</v>
      </c>
      <c r="H1438" s="135">
        <v>7.8245831116129094E-3</v>
      </c>
      <c r="I1438" s="135">
        <v>8.0300339165570792E-3</v>
      </c>
      <c r="J1438" s="135">
        <v>8.4416246859035302E-3</v>
      </c>
      <c r="K1438" s="135">
        <v>8.97309956887417E-3</v>
      </c>
      <c r="L1438" s="135">
        <v>9.6802006859900806E-3</v>
      </c>
      <c r="M1438" s="135">
        <v>7.4874400160792999E-3</v>
      </c>
      <c r="N1438" s="135">
        <v>5.5926251676814004E-3</v>
      </c>
      <c r="O1438" s="135">
        <v>5.0911588033517603E-3</v>
      </c>
      <c r="P1438" s="135">
        <v>5.6938699301580702E-3</v>
      </c>
      <c r="Q1438" s="135">
        <v>6.4300445804596398E-3</v>
      </c>
      <c r="R1438" s="135">
        <v>1.0969740341545501E-2</v>
      </c>
      <c r="S1438" s="135">
        <v>1.38866577700715E-2</v>
      </c>
      <c r="T1438" s="135">
        <v>2.3836397515582201E-2</v>
      </c>
      <c r="U1438" s="135">
        <v>3.8825545760309499E-2</v>
      </c>
      <c r="V1438" s="135">
        <v>4.9716714272106499E-2</v>
      </c>
      <c r="W1438" s="135">
        <v>5.5850918839803303E-2</v>
      </c>
      <c r="X1438" s="135">
        <v>5.4135627227204997E-2</v>
      </c>
      <c r="Y1438" s="135">
        <v>5.0544177007237699E-2</v>
      </c>
      <c r="Z1438" s="135">
        <v>3.3339036030354E-2</v>
      </c>
      <c r="AA1438" s="135">
        <v>2.4565604873120199E-2</v>
      </c>
      <c r="AB1438" s="135">
        <v>1.8129659040456301E-2</v>
      </c>
      <c r="AC1438" s="135">
        <v>1.1319737988053399E-2</v>
      </c>
      <c r="AD1438" s="135">
        <v>1.0202793425540001E-2</v>
      </c>
      <c r="AF1438" s="243">
        <f t="shared" si="26"/>
        <v>0.19951601907987815</v>
      </c>
      <c r="AG1438" s="275">
        <f t="shared" si="27"/>
        <v>0.26207110472815831</v>
      </c>
      <c r="AH1438" s="391">
        <f t="shared" si="28"/>
        <v>0.21449154300156956</v>
      </c>
      <c r="AI1438" s="135">
        <f t="shared" si="29"/>
        <v>0.47656264772972784</v>
      </c>
    </row>
    <row r="1439" spans="1:35" ht="12.6">
      <c r="A1439" s="10" t="s">
        <v>1516</v>
      </c>
      <c r="B1439" s="10">
        <v>343</v>
      </c>
      <c r="C1439" s="10" t="s">
        <v>1512</v>
      </c>
      <c r="D1439" s="388">
        <v>45269</v>
      </c>
      <c r="E1439" s="389">
        <v>45269</v>
      </c>
      <c r="F1439" s="390" t="str">
        <f t="shared" si="25"/>
        <v>Space heating &amp; cooling</v>
      </c>
      <c r="G1439" s="135">
        <v>7.3042221050607804E-3</v>
      </c>
      <c r="H1439" s="135">
        <v>7.9860453334460804E-3</v>
      </c>
      <c r="I1439" s="135">
        <v>8.2067902760984308E-3</v>
      </c>
      <c r="J1439" s="135">
        <v>9.3749866615557998E-3</v>
      </c>
      <c r="K1439" s="135">
        <v>9.2645336050987299E-3</v>
      </c>
      <c r="L1439" s="135">
        <v>9.6349493269929799E-3</v>
      </c>
      <c r="M1439" s="135">
        <v>8.3405229864516699E-3</v>
      </c>
      <c r="N1439" s="135">
        <v>6.0454666879825704E-3</v>
      </c>
      <c r="O1439" s="135">
        <v>7.9840599698071495E-3</v>
      </c>
      <c r="P1439" s="135">
        <v>9.1141018722067802E-3</v>
      </c>
      <c r="Q1439" s="135">
        <v>8.9484741912523608E-3</v>
      </c>
      <c r="R1439" s="135">
        <v>1.2309643634535501E-2</v>
      </c>
      <c r="S1439" s="135">
        <v>1.9128368451632901E-2</v>
      </c>
      <c r="T1439" s="135">
        <v>2.8000139427327101E-2</v>
      </c>
      <c r="U1439" s="135">
        <v>5.04285740920506E-2</v>
      </c>
      <c r="V1439" s="135">
        <v>5.3460177738221301E-2</v>
      </c>
      <c r="W1439" s="135">
        <v>5.1854687043523098E-2</v>
      </c>
      <c r="X1439" s="135">
        <v>3.8054831227056801E-2</v>
      </c>
      <c r="Y1439" s="135">
        <v>3.0808022173456E-2</v>
      </c>
      <c r="Z1439" s="135">
        <v>2.8021319669542501E-2</v>
      </c>
      <c r="AA1439" s="135">
        <v>2.4835408297673701E-2</v>
      </c>
      <c r="AB1439" s="135">
        <v>1.3768829918079E-2</v>
      </c>
      <c r="AC1439" s="135">
        <v>7.5681054157869599E-3</v>
      </c>
      <c r="AD1439" s="135">
        <v>7.20527428759506E-3</v>
      </c>
      <c r="AF1439" s="243">
        <f t="shared" si="26"/>
        <v>0.22413006457854284</v>
      </c>
      <c r="AG1439" s="275">
        <f t="shared" si="27"/>
        <v>0.2777573767508415</v>
      </c>
      <c r="AH1439" s="391">
        <f t="shared" si="28"/>
        <v>0.17989015764159239</v>
      </c>
      <c r="AI1439" s="135">
        <f t="shared" si="29"/>
        <v>0.45764753439243389</v>
      </c>
    </row>
    <row r="1440" spans="1:35" ht="12.6">
      <c r="A1440" s="10" t="s">
        <v>1516</v>
      </c>
      <c r="B1440" s="10">
        <v>344</v>
      </c>
      <c r="C1440" s="10" t="s">
        <v>1512</v>
      </c>
      <c r="D1440" s="388">
        <v>45270</v>
      </c>
      <c r="E1440" s="389">
        <v>45270</v>
      </c>
      <c r="F1440" s="390" t="str">
        <f t="shared" si="25"/>
        <v>Space heating &amp; cooling</v>
      </c>
      <c r="G1440" s="135">
        <v>7.3042221050607804E-3</v>
      </c>
      <c r="H1440" s="135">
        <v>7.9860453334460804E-3</v>
      </c>
      <c r="I1440" s="135">
        <v>8.2067902760984308E-3</v>
      </c>
      <c r="J1440" s="135">
        <v>9.3749866615557998E-3</v>
      </c>
      <c r="K1440" s="135">
        <v>9.2645336050987299E-3</v>
      </c>
      <c r="L1440" s="135">
        <v>9.6349493269929799E-3</v>
      </c>
      <c r="M1440" s="135">
        <v>8.3405229864516699E-3</v>
      </c>
      <c r="N1440" s="135">
        <v>6.0454666879825704E-3</v>
      </c>
      <c r="O1440" s="135">
        <v>7.9840599698071495E-3</v>
      </c>
      <c r="P1440" s="135">
        <v>9.1141018722067802E-3</v>
      </c>
      <c r="Q1440" s="135">
        <v>8.9484741912523608E-3</v>
      </c>
      <c r="R1440" s="135">
        <v>1.2309643634535501E-2</v>
      </c>
      <c r="S1440" s="135">
        <v>1.9128368451632901E-2</v>
      </c>
      <c r="T1440" s="135">
        <v>2.8000139427327101E-2</v>
      </c>
      <c r="U1440" s="135">
        <v>5.04285740920506E-2</v>
      </c>
      <c r="V1440" s="135">
        <v>5.3460177738221301E-2</v>
      </c>
      <c r="W1440" s="135">
        <v>5.1854687043523098E-2</v>
      </c>
      <c r="X1440" s="135">
        <v>3.8054831227056801E-2</v>
      </c>
      <c r="Y1440" s="135">
        <v>3.0808022173456E-2</v>
      </c>
      <c r="Z1440" s="135">
        <v>2.8021319669542501E-2</v>
      </c>
      <c r="AA1440" s="135">
        <v>2.4835408297673701E-2</v>
      </c>
      <c r="AB1440" s="135">
        <v>1.3768829918079E-2</v>
      </c>
      <c r="AC1440" s="135">
        <v>7.5681054157869599E-3</v>
      </c>
      <c r="AD1440" s="135">
        <v>7.20527428759506E-3</v>
      </c>
      <c r="AF1440" s="243">
        <f t="shared" si="26"/>
        <v>0.22413006457854284</v>
      </c>
      <c r="AG1440" s="275">
        <f t="shared" si="27"/>
        <v>0.2777573767508415</v>
      </c>
      <c r="AH1440" s="391">
        <f t="shared" si="28"/>
        <v>0.17989015764159239</v>
      </c>
      <c r="AI1440" s="135">
        <f t="shared" si="29"/>
        <v>0.45764753439243389</v>
      </c>
    </row>
    <row r="1441" spans="1:35" ht="12.6">
      <c r="A1441" s="10" t="s">
        <v>1516</v>
      </c>
      <c r="B1441" s="10">
        <v>345</v>
      </c>
      <c r="C1441" s="10" t="s">
        <v>1512</v>
      </c>
      <c r="D1441" s="388">
        <v>45271</v>
      </c>
      <c r="E1441" s="389">
        <v>45271</v>
      </c>
      <c r="F1441" s="390" t="str">
        <f t="shared" si="25"/>
        <v>Space heating &amp; cooling</v>
      </c>
      <c r="G1441" s="135">
        <v>7.9953571716747905E-3</v>
      </c>
      <c r="H1441" s="135">
        <v>7.8245831116129094E-3</v>
      </c>
      <c r="I1441" s="135">
        <v>8.0300339165570792E-3</v>
      </c>
      <c r="J1441" s="135">
        <v>8.4416246859035302E-3</v>
      </c>
      <c r="K1441" s="135">
        <v>8.97309956887417E-3</v>
      </c>
      <c r="L1441" s="135">
        <v>9.6802006859900806E-3</v>
      </c>
      <c r="M1441" s="135">
        <v>7.4874400160792999E-3</v>
      </c>
      <c r="N1441" s="135">
        <v>5.5926251676814004E-3</v>
      </c>
      <c r="O1441" s="135">
        <v>5.0911588033517603E-3</v>
      </c>
      <c r="P1441" s="135">
        <v>5.6938699301580702E-3</v>
      </c>
      <c r="Q1441" s="135">
        <v>6.4300445804596398E-3</v>
      </c>
      <c r="R1441" s="135">
        <v>1.0969740341545501E-2</v>
      </c>
      <c r="S1441" s="135">
        <v>1.38866577700715E-2</v>
      </c>
      <c r="T1441" s="135">
        <v>2.3836397515582201E-2</v>
      </c>
      <c r="U1441" s="135">
        <v>3.8825545760309499E-2</v>
      </c>
      <c r="V1441" s="135">
        <v>4.9716714272106499E-2</v>
      </c>
      <c r="W1441" s="135">
        <v>5.5850918839803303E-2</v>
      </c>
      <c r="X1441" s="135">
        <v>5.4135627227204997E-2</v>
      </c>
      <c r="Y1441" s="135">
        <v>5.0544177007237699E-2</v>
      </c>
      <c r="Z1441" s="135">
        <v>3.3339036030354E-2</v>
      </c>
      <c r="AA1441" s="135">
        <v>2.4565604873120199E-2</v>
      </c>
      <c r="AB1441" s="135">
        <v>1.8129659040456301E-2</v>
      </c>
      <c r="AC1441" s="135">
        <v>1.1319737988053399E-2</v>
      </c>
      <c r="AD1441" s="135">
        <v>1.0202793425540001E-2</v>
      </c>
      <c r="AF1441" s="243">
        <f t="shared" si="26"/>
        <v>0.19951601907987815</v>
      </c>
      <c r="AG1441" s="275">
        <f t="shared" si="27"/>
        <v>0.26207110472815831</v>
      </c>
      <c r="AH1441" s="391">
        <f t="shared" si="28"/>
        <v>0.21449154300156956</v>
      </c>
      <c r="AI1441" s="135">
        <f t="shared" si="29"/>
        <v>0.47656264772972784</v>
      </c>
    </row>
    <row r="1442" spans="1:35" ht="12.6">
      <c r="A1442" s="10" t="s">
        <v>1516</v>
      </c>
      <c r="B1442" s="10">
        <v>346</v>
      </c>
      <c r="C1442" s="10" t="s">
        <v>1512</v>
      </c>
      <c r="D1442" s="388">
        <v>45272</v>
      </c>
      <c r="E1442" s="389">
        <v>45272</v>
      </c>
      <c r="F1442" s="390" t="str">
        <f t="shared" si="25"/>
        <v>Space heating &amp; cooling</v>
      </c>
      <c r="G1442" s="135">
        <v>7.9953571716747905E-3</v>
      </c>
      <c r="H1442" s="135">
        <v>7.8245831116129094E-3</v>
      </c>
      <c r="I1442" s="135">
        <v>8.0300339165570792E-3</v>
      </c>
      <c r="J1442" s="135">
        <v>8.4416246859035302E-3</v>
      </c>
      <c r="K1442" s="135">
        <v>8.97309956887417E-3</v>
      </c>
      <c r="L1442" s="135">
        <v>9.6802006859900806E-3</v>
      </c>
      <c r="M1442" s="135">
        <v>7.4874400160792999E-3</v>
      </c>
      <c r="N1442" s="135">
        <v>5.5926251676814004E-3</v>
      </c>
      <c r="O1442" s="135">
        <v>5.0911588033517603E-3</v>
      </c>
      <c r="P1442" s="135">
        <v>5.6938699301580702E-3</v>
      </c>
      <c r="Q1442" s="135">
        <v>6.4300445804596398E-3</v>
      </c>
      <c r="R1442" s="135">
        <v>1.0969740341545501E-2</v>
      </c>
      <c r="S1442" s="135">
        <v>1.38866577700715E-2</v>
      </c>
      <c r="T1442" s="135">
        <v>2.3836397515582201E-2</v>
      </c>
      <c r="U1442" s="135">
        <v>3.8825545760309499E-2</v>
      </c>
      <c r="V1442" s="135">
        <v>4.9716714272106499E-2</v>
      </c>
      <c r="W1442" s="135">
        <v>5.5850918839803303E-2</v>
      </c>
      <c r="X1442" s="135">
        <v>5.4135627227204997E-2</v>
      </c>
      <c r="Y1442" s="135">
        <v>5.0544177007237699E-2</v>
      </c>
      <c r="Z1442" s="135">
        <v>3.3339036030354E-2</v>
      </c>
      <c r="AA1442" s="135">
        <v>2.4565604873120199E-2</v>
      </c>
      <c r="AB1442" s="135">
        <v>1.8129659040456301E-2</v>
      </c>
      <c r="AC1442" s="135">
        <v>1.1319737988053399E-2</v>
      </c>
      <c r="AD1442" s="135">
        <v>1.0202793425540001E-2</v>
      </c>
      <c r="AF1442" s="243">
        <f t="shared" si="26"/>
        <v>0.19951601907987815</v>
      </c>
      <c r="AG1442" s="275">
        <f t="shared" si="27"/>
        <v>0.26207110472815831</v>
      </c>
      <c r="AH1442" s="391">
        <f t="shared" si="28"/>
        <v>0.21449154300156956</v>
      </c>
      <c r="AI1442" s="135">
        <f t="shared" si="29"/>
        <v>0.47656264772972784</v>
      </c>
    </row>
    <row r="1443" spans="1:35" ht="12.6">
      <c r="A1443" s="10" t="s">
        <v>1516</v>
      </c>
      <c r="B1443" s="10">
        <v>347</v>
      </c>
      <c r="C1443" s="10" t="s">
        <v>1512</v>
      </c>
      <c r="D1443" s="388">
        <v>45273</v>
      </c>
      <c r="E1443" s="389">
        <v>45273</v>
      </c>
      <c r="F1443" s="390" t="str">
        <f t="shared" si="25"/>
        <v>Space heating &amp; cooling</v>
      </c>
      <c r="G1443" s="135">
        <v>7.9953571716747905E-3</v>
      </c>
      <c r="H1443" s="135">
        <v>7.8245831116129094E-3</v>
      </c>
      <c r="I1443" s="135">
        <v>8.0300339165570792E-3</v>
      </c>
      <c r="J1443" s="135">
        <v>8.4416246859035302E-3</v>
      </c>
      <c r="K1443" s="135">
        <v>8.97309956887417E-3</v>
      </c>
      <c r="L1443" s="135">
        <v>9.6802006859900806E-3</v>
      </c>
      <c r="M1443" s="135">
        <v>7.4874400160792999E-3</v>
      </c>
      <c r="N1443" s="135">
        <v>5.5926251676814004E-3</v>
      </c>
      <c r="O1443" s="135">
        <v>5.0911588033517603E-3</v>
      </c>
      <c r="P1443" s="135">
        <v>5.6938699301580702E-3</v>
      </c>
      <c r="Q1443" s="135">
        <v>6.4300445804596398E-3</v>
      </c>
      <c r="R1443" s="135">
        <v>1.0969740341545501E-2</v>
      </c>
      <c r="S1443" s="135">
        <v>1.38866577700715E-2</v>
      </c>
      <c r="T1443" s="135">
        <v>2.3836397515582201E-2</v>
      </c>
      <c r="U1443" s="135">
        <v>3.8825545760309499E-2</v>
      </c>
      <c r="V1443" s="135">
        <v>4.9716714272106499E-2</v>
      </c>
      <c r="W1443" s="135">
        <v>5.5850918839803303E-2</v>
      </c>
      <c r="X1443" s="135">
        <v>5.4135627227204997E-2</v>
      </c>
      <c r="Y1443" s="135">
        <v>5.0544177007237699E-2</v>
      </c>
      <c r="Z1443" s="135">
        <v>3.3339036030354E-2</v>
      </c>
      <c r="AA1443" s="135">
        <v>2.4565604873120199E-2</v>
      </c>
      <c r="AB1443" s="135">
        <v>1.8129659040456301E-2</v>
      </c>
      <c r="AC1443" s="135">
        <v>1.1319737988053399E-2</v>
      </c>
      <c r="AD1443" s="135">
        <v>1.0202793425540001E-2</v>
      </c>
      <c r="AF1443" s="243">
        <f t="shared" si="26"/>
        <v>0.19951601907987815</v>
      </c>
      <c r="AG1443" s="275">
        <f t="shared" si="27"/>
        <v>0.26207110472815831</v>
      </c>
      <c r="AH1443" s="391">
        <f t="shared" si="28"/>
        <v>0.21449154300156956</v>
      </c>
      <c r="AI1443" s="135">
        <f t="shared" si="29"/>
        <v>0.47656264772972784</v>
      </c>
    </row>
    <row r="1444" spans="1:35" ht="12.6">
      <c r="A1444" s="10" t="s">
        <v>1516</v>
      </c>
      <c r="B1444" s="10">
        <v>348</v>
      </c>
      <c r="C1444" s="10" t="s">
        <v>1512</v>
      </c>
      <c r="D1444" s="388">
        <v>45274</v>
      </c>
      <c r="E1444" s="389">
        <v>45274</v>
      </c>
      <c r="F1444" s="390" t="str">
        <f t="shared" si="25"/>
        <v>Space heating &amp; cooling</v>
      </c>
      <c r="G1444" s="135">
        <v>7.9953571716747905E-3</v>
      </c>
      <c r="H1444" s="135">
        <v>7.8245831116129094E-3</v>
      </c>
      <c r="I1444" s="135">
        <v>8.0300339165570792E-3</v>
      </c>
      <c r="J1444" s="135">
        <v>8.4416246859035302E-3</v>
      </c>
      <c r="K1444" s="135">
        <v>8.97309956887417E-3</v>
      </c>
      <c r="L1444" s="135">
        <v>9.6802006859900806E-3</v>
      </c>
      <c r="M1444" s="135">
        <v>7.4874400160792999E-3</v>
      </c>
      <c r="N1444" s="135">
        <v>5.5926251676814004E-3</v>
      </c>
      <c r="O1444" s="135">
        <v>5.0911588033517603E-3</v>
      </c>
      <c r="P1444" s="135">
        <v>5.6938699301580702E-3</v>
      </c>
      <c r="Q1444" s="135">
        <v>6.4300445804596398E-3</v>
      </c>
      <c r="R1444" s="135">
        <v>1.0969740341545501E-2</v>
      </c>
      <c r="S1444" s="135">
        <v>1.38866577700715E-2</v>
      </c>
      <c r="T1444" s="135">
        <v>2.3836397515582201E-2</v>
      </c>
      <c r="U1444" s="135">
        <v>3.8825545760309499E-2</v>
      </c>
      <c r="V1444" s="135">
        <v>4.9716714272106499E-2</v>
      </c>
      <c r="W1444" s="135">
        <v>5.5850918839803303E-2</v>
      </c>
      <c r="X1444" s="135">
        <v>5.4135627227204997E-2</v>
      </c>
      <c r="Y1444" s="135">
        <v>5.0544177007237699E-2</v>
      </c>
      <c r="Z1444" s="135">
        <v>3.3339036030354E-2</v>
      </c>
      <c r="AA1444" s="135">
        <v>2.4565604873120199E-2</v>
      </c>
      <c r="AB1444" s="135">
        <v>1.8129659040456301E-2</v>
      </c>
      <c r="AC1444" s="135">
        <v>1.1319737988053399E-2</v>
      </c>
      <c r="AD1444" s="135">
        <v>1.0202793425540001E-2</v>
      </c>
      <c r="AF1444" s="243">
        <f t="shared" si="26"/>
        <v>0.19951601907987815</v>
      </c>
      <c r="AG1444" s="275">
        <f t="shared" si="27"/>
        <v>0.26207110472815831</v>
      </c>
      <c r="AH1444" s="391">
        <f t="shared" si="28"/>
        <v>0.21449154300156956</v>
      </c>
      <c r="AI1444" s="135">
        <f t="shared" si="29"/>
        <v>0.47656264772972784</v>
      </c>
    </row>
    <row r="1445" spans="1:35" ht="12.6">
      <c r="A1445" s="10" t="s">
        <v>1516</v>
      </c>
      <c r="B1445" s="10">
        <v>349</v>
      </c>
      <c r="C1445" s="10" t="s">
        <v>1512</v>
      </c>
      <c r="D1445" s="388">
        <v>45275</v>
      </c>
      <c r="E1445" s="389">
        <v>45275</v>
      </c>
      <c r="F1445" s="390" t="str">
        <f t="shared" si="25"/>
        <v>Space heating &amp; cooling</v>
      </c>
      <c r="G1445" s="135">
        <v>7.9953571716747905E-3</v>
      </c>
      <c r="H1445" s="135">
        <v>7.8245831116129094E-3</v>
      </c>
      <c r="I1445" s="135">
        <v>8.0300339165570792E-3</v>
      </c>
      <c r="J1445" s="135">
        <v>8.4416246859035302E-3</v>
      </c>
      <c r="K1445" s="135">
        <v>8.97309956887417E-3</v>
      </c>
      <c r="L1445" s="135">
        <v>9.6802006859900806E-3</v>
      </c>
      <c r="M1445" s="135">
        <v>7.4874400160792999E-3</v>
      </c>
      <c r="N1445" s="135">
        <v>5.5926251676814004E-3</v>
      </c>
      <c r="O1445" s="135">
        <v>5.0911588033517603E-3</v>
      </c>
      <c r="P1445" s="135">
        <v>5.6938699301580702E-3</v>
      </c>
      <c r="Q1445" s="135">
        <v>6.4300445804596398E-3</v>
      </c>
      <c r="R1445" s="135">
        <v>1.0969740341545501E-2</v>
      </c>
      <c r="S1445" s="135">
        <v>1.38866577700715E-2</v>
      </c>
      <c r="T1445" s="135">
        <v>2.3836397515582201E-2</v>
      </c>
      <c r="U1445" s="135">
        <v>3.8825545760309499E-2</v>
      </c>
      <c r="V1445" s="135">
        <v>4.9716714272106499E-2</v>
      </c>
      <c r="W1445" s="135">
        <v>5.5850918839803303E-2</v>
      </c>
      <c r="X1445" s="135">
        <v>5.4135627227204997E-2</v>
      </c>
      <c r="Y1445" s="135">
        <v>5.0544177007237699E-2</v>
      </c>
      <c r="Z1445" s="135">
        <v>3.3339036030354E-2</v>
      </c>
      <c r="AA1445" s="135">
        <v>2.4565604873120199E-2</v>
      </c>
      <c r="AB1445" s="135">
        <v>1.8129659040456301E-2</v>
      </c>
      <c r="AC1445" s="135">
        <v>1.1319737988053399E-2</v>
      </c>
      <c r="AD1445" s="135">
        <v>1.0202793425540001E-2</v>
      </c>
      <c r="AF1445" s="243">
        <f t="shared" si="26"/>
        <v>0.19951601907987815</v>
      </c>
      <c r="AG1445" s="275">
        <f t="shared" si="27"/>
        <v>0.26207110472815831</v>
      </c>
      <c r="AH1445" s="391">
        <f t="shared" si="28"/>
        <v>0.21449154300156956</v>
      </c>
      <c r="AI1445" s="135">
        <f t="shared" si="29"/>
        <v>0.47656264772972784</v>
      </c>
    </row>
    <row r="1446" spans="1:35" ht="12.6">
      <c r="A1446" s="10" t="s">
        <v>1516</v>
      </c>
      <c r="B1446" s="10">
        <v>350</v>
      </c>
      <c r="C1446" s="10" t="s">
        <v>1512</v>
      </c>
      <c r="D1446" s="388">
        <v>45276</v>
      </c>
      <c r="E1446" s="389">
        <v>45276</v>
      </c>
      <c r="F1446" s="390" t="str">
        <f t="shared" si="25"/>
        <v>Space heating &amp; cooling</v>
      </c>
      <c r="G1446" s="135">
        <v>7.3042221050607804E-3</v>
      </c>
      <c r="H1446" s="135">
        <v>7.9860453334460804E-3</v>
      </c>
      <c r="I1446" s="135">
        <v>8.2067902760984308E-3</v>
      </c>
      <c r="J1446" s="135">
        <v>9.3749866615557998E-3</v>
      </c>
      <c r="K1446" s="135">
        <v>9.2645336050987299E-3</v>
      </c>
      <c r="L1446" s="135">
        <v>9.6349493269929799E-3</v>
      </c>
      <c r="M1446" s="135">
        <v>8.3405229864516699E-3</v>
      </c>
      <c r="N1446" s="135">
        <v>6.0454666879825704E-3</v>
      </c>
      <c r="O1446" s="135">
        <v>7.9840599698071495E-3</v>
      </c>
      <c r="P1446" s="135">
        <v>9.1141018722067802E-3</v>
      </c>
      <c r="Q1446" s="135">
        <v>8.9484741912523608E-3</v>
      </c>
      <c r="R1446" s="135">
        <v>1.2309643634535501E-2</v>
      </c>
      <c r="S1446" s="135">
        <v>1.9128368451632901E-2</v>
      </c>
      <c r="T1446" s="135">
        <v>2.8000139427327101E-2</v>
      </c>
      <c r="U1446" s="135">
        <v>5.04285740920506E-2</v>
      </c>
      <c r="V1446" s="135">
        <v>5.3460177738221301E-2</v>
      </c>
      <c r="W1446" s="135">
        <v>5.1854687043523098E-2</v>
      </c>
      <c r="X1446" s="135">
        <v>3.8054831227056801E-2</v>
      </c>
      <c r="Y1446" s="135">
        <v>3.0808022173456E-2</v>
      </c>
      <c r="Z1446" s="135">
        <v>2.8021319669542501E-2</v>
      </c>
      <c r="AA1446" s="135">
        <v>2.4835408297673701E-2</v>
      </c>
      <c r="AB1446" s="135">
        <v>1.3768829918079E-2</v>
      </c>
      <c r="AC1446" s="135">
        <v>7.5681054157869599E-3</v>
      </c>
      <c r="AD1446" s="135">
        <v>7.20527428759506E-3</v>
      </c>
      <c r="AF1446" s="243">
        <f t="shared" si="26"/>
        <v>0.22413006457854284</v>
      </c>
      <c r="AG1446" s="275">
        <f t="shared" si="27"/>
        <v>0.2777573767508415</v>
      </c>
      <c r="AH1446" s="391">
        <f t="shared" si="28"/>
        <v>0.17989015764159239</v>
      </c>
      <c r="AI1446" s="135">
        <f t="shared" si="29"/>
        <v>0.45764753439243389</v>
      </c>
    </row>
    <row r="1447" spans="1:35" ht="12.6">
      <c r="A1447" s="10" t="s">
        <v>1516</v>
      </c>
      <c r="B1447" s="10">
        <v>351</v>
      </c>
      <c r="C1447" s="10" t="s">
        <v>1512</v>
      </c>
      <c r="D1447" s="388">
        <v>45277</v>
      </c>
      <c r="E1447" s="389">
        <v>45277</v>
      </c>
      <c r="F1447" s="390" t="str">
        <f t="shared" si="25"/>
        <v>Space heating &amp; cooling</v>
      </c>
      <c r="G1447" s="135">
        <v>7.3042221050607804E-3</v>
      </c>
      <c r="H1447" s="135">
        <v>7.9860453334460804E-3</v>
      </c>
      <c r="I1447" s="135">
        <v>8.2067902760984308E-3</v>
      </c>
      <c r="J1447" s="135">
        <v>9.3749866615557998E-3</v>
      </c>
      <c r="K1447" s="135">
        <v>9.2645336050987299E-3</v>
      </c>
      <c r="L1447" s="135">
        <v>9.6349493269929799E-3</v>
      </c>
      <c r="M1447" s="135">
        <v>8.3405229864516699E-3</v>
      </c>
      <c r="N1447" s="135">
        <v>6.0454666879825704E-3</v>
      </c>
      <c r="O1447" s="135">
        <v>7.9840599698071495E-3</v>
      </c>
      <c r="P1447" s="135">
        <v>9.1141018722067802E-3</v>
      </c>
      <c r="Q1447" s="135">
        <v>8.9484741912523608E-3</v>
      </c>
      <c r="R1447" s="135">
        <v>1.2309643634535501E-2</v>
      </c>
      <c r="S1447" s="135">
        <v>1.9128368451632901E-2</v>
      </c>
      <c r="T1447" s="135">
        <v>2.8000139427327101E-2</v>
      </c>
      <c r="U1447" s="135">
        <v>5.04285740920506E-2</v>
      </c>
      <c r="V1447" s="135">
        <v>5.3460177738221301E-2</v>
      </c>
      <c r="W1447" s="135">
        <v>5.1854687043523098E-2</v>
      </c>
      <c r="X1447" s="135">
        <v>3.8054831227056801E-2</v>
      </c>
      <c r="Y1447" s="135">
        <v>3.0808022173456E-2</v>
      </c>
      <c r="Z1447" s="135">
        <v>2.8021319669542501E-2</v>
      </c>
      <c r="AA1447" s="135">
        <v>2.4835408297673701E-2</v>
      </c>
      <c r="AB1447" s="135">
        <v>1.3768829918079E-2</v>
      </c>
      <c r="AC1447" s="135">
        <v>7.5681054157869599E-3</v>
      </c>
      <c r="AD1447" s="135">
        <v>7.20527428759506E-3</v>
      </c>
      <c r="AF1447" s="243">
        <f t="shared" si="26"/>
        <v>0.22413006457854284</v>
      </c>
      <c r="AG1447" s="275">
        <f t="shared" si="27"/>
        <v>0.2777573767508415</v>
      </c>
      <c r="AH1447" s="391">
        <f t="shared" si="28"/>
        <v>0.17989015764159239</v>
      </c>
      <c r="AI1447" s="135">
        <f t="shared" si="29"/>
        <v>0.45764753439243389</v>
      </c>
    </row>
    <row r="1448" spans="1:35" ht="12.6">
      <c r="A1448" s="10" t="s">
        <v>1516</v>
      </c>
      <c r="B1448" s="10">
        <v>352</v>
      </c>
      <c r="C1448" s="10" t="s">
        <v>1512</v>
      </c>
      <c r="D1448" s="388">
        <v>45278</v>
      </c>
      <c r="E1448" s="389">
        <v>45278</v>
      </c>
      <c r="F1448" s="390" t="str">
        <f t="shared" si="25"/>
        <v>Space heating &amp; cooling</v>
      </c>
      <c r="G1448" s="135">
        <v>7.9953571716747905E-3</v>
      </c>
      <c r="H1448" s="135">
        <v>7.8245831116129094E-3</v>
      </c>
      <c r="I1448" s="135">
        <v>8.0300339165570792E-3</v>
      </c>
      <c r="J1448" s="135">
        <v>8.4416246859035302E-3</v>
      </c>
      <c r="K1448" s="135">
        <v>8.97309956887417E-3</v>
      </c>
      <c r="L1448" s="135">
        <v>9.6802006859900806E-3</v>
      </c>
      <c r="M1448" s="135">
        <v>7.4874400160792999E-3</v>
      </c>
      <c r="N1448" s="135">
        <v>5.5926251676814004E-3</v>
      </c>
      <c r="O1448" s="135">
        <v>5.0911588033517603E-3</v>
      </c>
      <c r="P1448" s="135">
        <v>5.6938699301580702E-3</v>
      </c>
      <c r="Q1448" s="135">
        <v>6.4300445804596398E-3</v>
      </c>
      <c r="R1448" s="135">
        <v>1.0969740341545501E-2</v>
      </c>
      <c r="S1448" s="135">
        <v>1.38866577700715E-2</v>
      </c>
      <c r="T1448" s="135">
        <v>2.3836397515582201E-2</v>
      </c>
      <c r="U1448" s="135">
        <v>3.8825545760309499E-2</v>
      </c>
      <c r="V1448" s="135">
        <v>4.9716714272106499E-2</v>
      </c>
      <c r="W1448" s="135">
        <v>5.5850918839803303E-2</v>
      </c>
      <c r="X1448" s="135">
        <v>5.4135627227204997E-2</v>
      </c>
      <c r="Y1448" s="135">
        <v>5.0544177007237699E-2</v>
      </c>
      <c r="Z1448" s="135">
        <v>3.3339036030354E-2</v>
      </c>
      <c r="AA1448" s="135">
        <v>2.4565604873120199E-2</v>
      </c>
      <c r="AB1448" s="135">
        <v>1.8129659040456301E-2</v>
      </c>
      <c r="AC1448" s="135">
        <v>1.1319737988053399E-2</v>
      </c>
      <c r="AD1448" s="135">
        <v>1.0202793425540001E-2</v>
      </c>
      <c r="AF1448" s="243">
        <f t="shared" si="26"/>
        <v>0.19951601907987815</v>
      </c>
      <c r="AG1448" s="275">
        <f t="shared" si="27"/>
        <v>0.26207110472815831</v>
      </c>
      <c r="AH1448" s="391">
        <f t="shared" si="28"/>
        <v>0.21449154300156956</v>
      </c>
      <c r="AI1448" s="135">
        <f t="shared" si="29"/>
        <v>0.47656264772972784</v>
      </c>
    </row>
    <row r="1449" spans="1:35" ht="12.6">
      <c r="A1449" s="10" t="s">
        <v>1516</v>
      </c>
      <c r="B1449" s="10">
        <v>353</v>
      </c>
      <c r="C1449" s="10" t="s">
        <v>1512</v>
      </c>
      <c r="D1449" s="388">
        <v>45279</v>
      </c>
      <c r="E1449" s="389">
        <v>45279</v>
      </c>
      <c r="F1449" s="390" t="str">
        <f t="shared" si="25"/>
        <v>Space heating &amp; cooling</v>
      </c>
      <c r="G1449" s="135">
        <v>7.9953571716747905E-3</v>
      </c>
      <c r="H1449" s="135">
        <v>7.8245831116129094E-3</v>
      </c>
      <c r="I1449" s="135">
        <v>8.0300339165570792E-3</v>
      </c>
      <c r="J1449" s="135">
        <v>8.4416246859035302E-3</v>
      </c>
      <c r="K1449" s="135">
        <v>8.97309956887417E-3</v>
      </c>
      <c r="L1449" s="135">
        <v>9.6802006859900806E-3</v>
      </c>
      <c r="M1449" s="135">
        <v>7.4874400160792999E-3</v>
      </c>
      <c r="N1449" s="135">
        <v>5.5926251676814004E-3</v>
      </c>
      <c r="O1449" s="135">
        <v>5.0911588033517603E-3</v>
      </c>
      <c r="P1449" s="135">
        <v>5.6938699301580702E-3</v>
      </c>
      <c r="Q1449" s="135">
        <v>6.4300445804596398E-3</v>
      </c>
      <c r="R1449" s="135">
        <v>1.0969740341545501E-2</v>
      </c>
      <c r="S1449" s="135">
        <v>1.38866577700715E-2</v>
      </c>
      <c r="T1449" s="135">
        <v>2.3836397515582201E-2</v>
      </c>
      <c r="U1449" s="135">
        <v>3.8825545760309499E-2</v>
      </c>
      <c r="V1449" s="135">
        <v>4.9716714272106499E-2</v>
      </c>
      <c r="W1449" s="135">
        <v>5.5850918839803303E-2</v>
      </c>
      <c r="X1449" s="135">
        <v>5.4135627227204997E-2</v>
      </c>
      <c r="Y1449" s="135">
        <v>5.0544177007237699E-2</v>
      </c>
      <c r="Z1449" s="135">
        <v>3.3339036030354E-2</v>
      </c>
      <c r="AA1449" s="135">
        <v>2.4565604873120199E-2</v>
      </c>
      <c r="AB1449" s="135">
        <v>1.8129659040456301E-2</v>
      </c>
      <c r="AC1449" s="135">
        <v>1.1319737988053399E-2</v>
      </c>
      <c r="AD1449" s="135">
        <v>1.0202793425540001E-2</v>
      </c>
      <c r="AF1449" s="243">
        <f t="shared" si="26"/>
        <v>0.19951601907987815</v>
      </c>
      <c r="AG1449" s="275">
        <f t="shared" si="27"/>
        <v>0.26207110472815831</v>
      </c>
      <c r="AH1449" s="391">
        <f t="shared" si="28"/>
        <v>0.21449154300156956</v>
      </c>
      <c r="AI1449" s="135">
        <f t="shared" si="29"/>
        <v>0.47656264772972784</v>
      </c>
    </row>
    <row r="1450" spans="1:35" ht="12.6">
      <c r="A1450" s="10" t="s">
        <v>1516</v>
      </c>
      <c r="B1450" s="10">
        <v>354</v>
      </c>
      <c r="C1450" s="10" t="s">
        <v>1512</v>
      </c>
      <c r="D1450" s="388">
        <v>45280</v>
      </c>
      <c r="E1450" s="389">
        <v>45280</v>
      </c>
      <c r="F1450" s="390" t="str">
        <f t="shared" si="25"/>
        <v>Space heating &amp; cooling</v>
      </c>
      <c r="G1450" s="135">
        <v>7.9953571716747905E-3</v>
      </c>
      <c r="H1450" s="135">
        <v>7.8245831116129094E-3</v>
      </c>
      <c r="I1450" s="135">
        <v>8.0300339165570792E-3</v>
      </c>
      <c r="J1450" s="135">
        <v>8.4416246859035302E-3</v>
      </c>
      <c r="K1450" s="135">
        <v>8.97309956887417E-3</v>
      </c>
      <c r="L1450" s="135">
        <v>9.6802006859900806E-3</v>
      </c>
      <c r="M1450" s="135">
        <v>7.4874400160792999E-3</v>
      </c>
      <c r="N1450" s="135">
        <v>5.5926251676814004E-3</v>
      </c>
      <c r="O1450" s="135">
        <v>5.0911588033517603E-3</v>
      </c>
      <c r="P1450" s="135">
        <v>5.6938699301580702E-3</v>
      </c>
      <c r="Q1450" s="135">
        <v>6.4300445804596398E-3</v>
      </c>
      <c r="R1450" s="135">
        <v>1.0969740341545501E-2</v>
      </c>
      <c r="S1450" s="135">
        <v>1.38866577700715E-2</v>
      </c>
      <c r="T1450" s="135">
        <v>2.3836397515582201E-2</v>
      </c>
      <c r="U1450" s="135">
        <v>3.8825545760309499E-2</v>
      </c>
      <c r="V1450" s="135">
        <v>4.9716714272106499E-2</v>
      </c>
      <c r="W1450" s="135">
        <v>5.5850918839803303E-2</v>
      </c>
      <c r="X1450" s="135">
        <v>5.4135627227204997E-2</v>
      </c>
      <c r="Y1450" s="135">
        <v>5.0544177007237699E-2</v>
      </c>
      <c r="Z1450" s="135">
        <v>3.3339036030354E-2</v>
      </c>
      <c r="AA1450" s="135">
        <v>2.4565604873120199E-2</v>
      </c>
      <c r="AB1450" s="135">
        <v>1.8129659040456301E-2</v>
      </c>
      <c r="AC1450" s="135">
        <v>1.1319737988053399E-2</v>
      </c>
      <c r="AD1450" s="135">
        <v>1.0202793425540001E-2</v>
      </c>
      <c r="AF1450" s="243">
        <f t="shared" si="26"/>
        <v>0.19951601907987815</v>
      </c>
      <c r="AG1450" s="275">
        <f t="shared" si="27"/>
        <v>0.26207110472815831</v>
      </c>
      <c r="AH1450" s="391">
        <f t="shared" si="28"/>
        <v>0.21449154300156956</v>
      </c>
      <c r="AI1450" s="135">
        <f t="shared" si="29"/>
        <v>0.47656264772972784</v>
      </c>
    </row>
    <row r="1451" spans="1:35" ht="12.6">
      <c r="A1451" s="10" t="s">
        <v>1516</v>
      </c>
      <c r="B1451" s="10">
        <v>355</v>
      </c>
      <c r="C1451" s="10" t="s">
        <v>1512</v>
      </c>
      <c r="D1451" s="388">
        <v>45281</v>
      </c>
      <c r="E1451" s="389">
        <v>45281</v>
      </c>
      <c r="F1451" s="390" t="str">
        <f t="shared" si="25"/>
        <v>Space heating &amp; cooling</v>
      </c>
      <c r="G1451" s="135">
        <v>7.9953571716747905E-3</v>
      </c>
      <c r="H1451" s="135">
        <v>7.8245831116129094E-3</v>
      </c>
      <c r="I1451" s="135">
        <v>8.0300339165570792E-3</v>
      </c>
      <c r="J1451" s="135">
        <v>8.4416246859035302E-3</v>
      </c>
      <c r="K1451" s="135">
        <v>8.97309956887417E-3</v>
      </c>
      <c r="L1451" s="135">
        <v>9.6802006859900806E-3</v>
      </c>
      <c r="M1451" s="135">
        <v>7.4874400160792999E-3</v>
      </c>
      <c r="N1451" s="135">
        <v>5.5926251676814004E-3</v>
      </c>
      <c r="O1451" s="135">
        <v>5.0911588033517603E-3</v>
      </c>
      <c r="P1451" s="135">
        <v>5.6938699301580702E-3</v>
      </c>
      <c r="Q1451" s="135">
        <v>6.4300445804596398E-3</v>
      </c>
      <c r="R1451" s="135">
        <v>1.0969740341545501E-2</v>
      </c>
      <c r="S1451" s="135">
        <v>1.38866577700715E-2</v>
      </c>
      <c r="T1451" s="135">
        <v>2.3836397515582201E-2</v>
      </c>
      <c r="U1451" s="135">
        <v>3.8825545760309499E-2</v>
      </c>
      <c r="V1451" s="135">
        <v>4.9716714272106499E-2</v>
      </c>
      <c r="W1451" s="135">
        <v>5.5850918839803303E-2</v>
      </c>
      <c r="X1451" s="135">
        <v>5.4135627227204997E-2</v>
      </c>
      <c r="Y1451" s="135">
        <v>5.0544177007237699E-2</v>
      </c>
      <c r="Z1451" s="135">
        <v>3.3339036030354E-2</v>
      </c>
      <c r="AA1451" s="135">
        <v>2.4565604873120199E-2</v>
      </c>
      <c r="AB1451" s="135">
        <v>1.8129659040456301E-2</v>
      </c>
      <c r="AC1451" s="135">
        <v>1.1319737988053399E-2</v>
      </c>
      <c r="AD1451" s="135">
        <v>1.0202793425540001E-2</v>
      </c>
      <c r="AF1451" s="243">
        <f t="shared" si="26"/>
        <v>0.19951601907987815</v>
      </c>
      <c r="AG1451" s="275">
        <f t="shared" si="27"/>
        <v>0.26207110472815831</v>
      </c>
      <c r="AH1451" s="391">
        <f t="shared" si="28"/>
        <v>0.21449154300156956</v>
      </c>
      <c r="AI1451" s="135">
        <f t="shared" si="29"/>
        <v>0.47656264772972784</v>
      </c>
    </row>
    <row r="1452" spans="1:35" ht="12.6">
      <c r="A1452" s="10" t="s">
        <v>1516</v>
      </c>
      <c r="B1452" s="10">
        <v>356</v>
      </c>
      <c r="C1452" s="10" t="s">
        <v>1512</v>
      </c>
      <c r="D1452" s="388">
        <v>45282</v>
      </c>
      <c r="E1452" s="389">
        <v>45282</v>
      </c>
      <c r="F1452" s="390" t="str">
        <f t="shared" si="25"/>
        <v>Space heating &amp; cooling</v>
      </c>
      <c r="G1452" s="135">
        <v>7.9953571716747905E-3</v>
      </c>
      <c r="H1452" s="135">
        <v>7.8245831116129094E-3</v>
      </c>
      <c r="I1452" s="135">
        <v>8.0300339165570792E-3</v>
      </c>
      <c r="J1452" s="135">
        <v>8.4416246859035302E-3</v>
      </c>
      <c r="K1452" s="135">
        <v>8.97309956887417E-3</v>
      </c>
      <c r="L1452" s="135">
        <v>9.6802006859900806E-3</v>
      </c>
      <c r="M1452" s="135">
        <v>7.4874400160792999E-3</v>
      </c>
      <c r="N1452" s="135">
        <v>5.5926251676814004E-3</v>
      </c>
      <c r="O1452" s="135">
        <v>5.0911588033517603E-3</v>
      </c>
      <c r="P1452" s="135">
        <v>5.6938699301580702E-3</v>
      </c>
      <c r="Q1452" s="135">
        <v>6.4300445804596398E-3</v>
      </c>
      <c r="R1452" s="135">
        <v>1.0969740341545501E-2</v>
      </c>
      <c r="S1452" s="135">
        <v>1.38866577700715E-2</v>
      </c>
      <c r="T1452" s="135">
        <v>2.3836397515582201E-2</v>
      </c>
      <c r="U1452" s="135">
        <v>3.8825545760309499E-2</v>
      </c>
      <c r="V1452" s="135">
        <v>4.9716714272106499E-2</v>
      </c>
      <c r="W1452" s="135">
        <v>5.5850918839803303E-2</v>
      </c>
      <c r="X1452" s="135">
        <v>5.4135627227204997E-2</v>
      </c>
      <c r="Y1452" s="135">
        <v>5.0544177007237699E-2</v>
      </c>
      <c r="Z1452" s="135">
        <v>3.3339036030354E-2</v>
      </c>
      <c r="AA1452" s="135">
        <v>2.4565604873120199E-2</v>
      </c>
      <c r="AB1452" s="135">
        <v>1.8129659040456301E-2</v>
      </c>
      <c r="AC1452" s="135">
        <v>1.1319737988053399E-2</v>
      </c>
      <c r="AD1452" s="135">
        <v>1.0202793425540001E-2</v>
      </c>
      <c r="AF1452" s="243">
        <f t="shared" si="26"/>
        <v>0.19951601907987815</v>
      </c>
      <c r="AG1452" s="275">
        <f t="shared" si="27"/>
        <v>0.26207110472815831</v>
      </c>
      <c r="AH1452" s="391">
        <f t="shared" si="28"/>
        <v>0.21449154300156956</v>
      </c>
      <c r="AI1452" s="135">
        <f t="shared" si="29"/>
        <v>0.47656264772972784</v>
      </c>
    </row>
    <row r="1453" spans="1:35" ht="12.6">
      <c r="A1453" s="10" t="s">
        <v>1516</v>
      </c>
      <c r="B1453" s="10">
        <v>357</v>
      </c>
      <c r="C1453" s="10" t="s">
        <v>1512</v>
      </c>
      <c r="D1453" s="388">
        <v>45283</v>
      </c>
      <c r="E1453" s="389">
        <v>45283</v>
      </c>
      <c r="F1453" s="390" t="str">
        <f t="shared" si="25"/>
        <v>Space heating &amp; cooling</v>
      </c>
      <c r="G1453" s="135">
        <v>7.3042221050607804E-3</v>
      </c>
      <c r="H1453" s="135">
        <v>7.9860453334460804E-3</v>
      </c>
      <c r="I1453" s="135">
        <v>8.2067902760984308E-3</v>
      </c>
      <c r="J1453" s="135">
        <v>9.3749866615557998E-3</v>
      </c>
      <c r="K1453" s="135">
        <v>9.2645336050987299E-3</v>
      </c>
      <c r="L1453" s="135">
        <v>9.6349493269929799E-3</v>
      </c>
      <c r="M1453" s="135">
        <v>8.3405229864516699E-3</v>
      </c>
      <c r="N1453" s="135">
        <v>6.0454666879825704E-3</v>
      </c>
      <c r="O1453" s="135">
        <v>7.9840599698071495E-3</v>
      </c>
      <c r="P1453" s="135">
        <v>9.1141018722067802E-3</v>
      </c>
      <c r="Q1453" s="135">
        <v>8.9484741912523608E-3</v>
      </c>
      <c r="R1453" s="135">
        <v>1.2309643634535501E-2</v>
      </c>
      <c r="S1453" s="135">
        <v>1.9128368451632901E-2</v>
      </c>
      <c r="T1453" s="135">
        <v>2.8000139427327101E-2</v>
      </c>
      <c r="U1453" s="135">
        <v>5.04285740920506E-2</v>
      </c>
      <c r="V1453" s="135">
        <v>5.3460177738221301E-2</v>
      </c>
      <c r="W1453" s="135">
        <v>5.1854687043523098E-2</v>
      </c>
      <c r="X1453" s="135">
        <v>3.8054831227056801E-2</v>
      </c>
      <c r="Y1453" s="135">
        <v>3.0808022173456E-2</v>
      </c>
      <c r="Z1453" s="135">
        <v>2.8021319669542501E-2</v>
      </c>
      <c r="AA1453" s="135">
        <v>2.4835408297673701E-2</v>
      </c>
      <c r="AB1453" s="135">
        <v>1.3768829918079E-2</v>
      </c>
      <c r="AC1453" s="135">
        <v>7.5681054157869599E-3</v>
      </c>
      <c r="AD1453" s="135">
        <v>7.20527428759506E-3</v>
      </c>
      <c r="AF1453" s="243">
        <f t="shared" si="26"/>
        <v>0.22413006457854284</v>
      </c>
      <c r="AG1453" s="275">
        <f t="shared" si="27"/>
        <v>0.2777573767508415</v>
      </c>
      <c r="AH1453" s="391">
        <f t="shared" si="28"/>
        <v>0.17989015764159239</v>
      </c>
      <c r="AI1453" s="135">
        <f t="shared" si="29"/>
        <v>0.45764753439243389</v>
      </c>
    </row>
    <row r="1454" spans="1:35" ht="12.6">
      <c r="A1454" s="10" t="s">
        <v>1516</v>
      </c>
      <c r="B1454" s="10">
        <v>358</v>
      </c>
      <c r="C1454" s="10" t="s">
        <v>1512</v>
      </c>
      <c r="D1454" s="388">
        <v>45284</v>
      </c>
      <c r="E1454" s="389">
        <v>45284</v>
      </c>
      <c r="F1454" s="390" t="str">
        <f t="shared" si="25"/>
        <v>Space heating &amp; cooling</v>
      </c>
      <c r="G1454" s="135">
        <v>7.3042221050607804E-3</v>
      </c>
      <c r="H1454" s="135">
        <v>7.9860453334460804E-3</v>
      </c>
      <c r="I1454" s="135">
        <v>8.2067902760984308E-3</v>
      </c>
      <c r="J1454" s="135">
        <v>9.3749866615557998E-3</v>
      </c>
      <c r="K1454" s="135">
        <v>9.2645336050987299E-3</v>
      </c>
      <c r="L1454" s="135">
        <v>9.6349493269929799E-3</v>
      </c>
      <c r="M1454" s="135">
        <v>8.3405229864516699E-3</v>
      </c>
      <c r="N1454" s="135">
        <v>6.0454666879825704E-3</v>
      </c>
      <c r="O1454" s="135">
        <v>7.9840599698071495E-3</v>
      </c>
      <c r="P1454" s="135">
        <v>9.1141018722067802E-3</v>
      </c>
      <c r="Q1454" s="135">
        <v>8.9484741912523608E-3</v>
      </c>
      <c r="R1454" s="135">
        <v>1.2309643634535501E-2</v>
      </c>
      <c r="S1454" s="135">
        <v>1.9128368451632901E-2</v>
      </c>
      <c r="T1454" s="135">
        <v>2.8000139427327101E-2</v>
      </c>
      <c r="U1454" s="135">
        <v>5.04285740920506E-2</v>
      </c>
      <c r="V1454" s="135">
        <v>5.3460177738221301E-2</v>
      </c>
      <c r="W1454" s="135">
        <v>5.1854687043523098E-2</v>
      </c>
      <c r="X1454" s="135">
        <v>3.8054831227056801E-2</v>
      </c>
      <c r="Y1454" s="135">
        <v>3.0808022173456E-2</v>
      </c>
      <c r="Z1454" s="135">
        <v>2.8021319669542501E-2</v>
      </c>
      <c r="AA1454" s="135">
        <v>2.4835408297673701E-2</v>
      </c>
      <c r="AB1454" s="135">
        <v>1.3768829918079E-2</v>
      </c>
      <c r="AC1454" s="135">
        <v>7.5681054157869599E-3</v>
      </c>
      <c r="AD1454" s="135">
        <v>7.20527428759506E-3</v>
      </c>
      <c r="AF1454" s="243">
        <f t="shared" si="26"/>
        <v>0.22413006457854284</v>
      </c>
      <c r="AG1454" s="275">
        <f t="shared" si="27"/>
        <v>0.2777573767508415</v>
      </c>
      <c r="AH1454" s="391">
        <f t="shared" si="28"/>
        <v>0.17989015764159239</v>
      </c>
      <c r="AI1454" s="135">
        <f t="shared" si="29"/>
        <v>0.45764753439243389</v>
      </c>
    </row>
    <row r="1455" spans="1:35" ht="12.6">
      <c r="A1455" s="10" t="s">
        <v>1516</v>
      </c>
      <c r="B1455" s="10">
        <v>359</v>
      </c>
      <c r="C1455" s="10" t="s">
        <v>1512</v>
      </c>
      <c r="D1455" s="388">
        <v>45285</v>
      </c>
      <c r="E1455" s="389">
        <v>45285</v>
      </c>
      <c r="F1455" s="390" t="str">
        <f t="shared" si="25"/>
        <v>Space heating &amp; cooling</v>
      </c>
      <c r="G1455" s="135">
        <v>7.9953571716747905E-3</v>
      </c>
      <c r="H1455" s="135">
        <v>7.8245831116129094E-3</v>
      </c>
      <c r="I1455" s="135">
        <v>8.0300339165570792E-3</v>
      </c>
      <c r="J1455" s="135">
        <v>8.4416246859035302E-3</v>
      </c>
      <c r="K1455" s="135">
        <v>8.97309956887417E-3</v>
      </c>
      <c r="L1455" s="135">
        <v>9.6802006859900806E-3</v>
      </c>
      <c r="M1455" s="135">
        <v>7.4874400160792999E-3</v>
      </c>
      <c r="N1455" s="135">
        <v>5.5926251676814004E-3</v>
      </c>
      <c r="O1455" s="135">
        <v>5.0911588033517603E-3</v>
      </c>
      <c r="P1455" s="135">
        <v>5.6938699301580702E-3</v>
      </c>
      <c r="Q1455" s="135">
        <v>6.4300445804596398E-3</v>
      </c>
      <c r="R1455" s="135">
        <v>1.0969740341545501E-2</v>
      </c>
      <c r="S1455" s="135">
        <v>1.38866577700715E-2</v>
      </c>
      <c r="T1455" s="135">
        <v>2.3836397515582201E-2</v>
      </c>
      <c r="U1455" s="135">
        <v>3.8825545760309499E-2</v>
      </c>
      <c r="V1455" s="135">
        <v>4.9716714272106499E-2</v>
      </c>
      <c r="W1455" s="135">
        <v>5.5850918839803303E-2</v>
      </c>
      <c r="X1455" s="135">
        <v>5.4135627227204997E-2</v>
      </c>
      <c r="Y1455" s="135">
        <v>5.0544177007237699E-2</v>
      </c>
      <c r="Z1455" s="135">
        <v>3.3339036030354E-2</v>
      </c>
      <c r="AA1455" s="135">
        <v>2.4565604873120199E-2</v>
      </c>
      <c r="AB1455" s="135">
        <v>1.8129659040456301E-2</v>
      </c>
      <c r="AC1455" s="135">
        <v>1.1319737988053399E-2</v>
      </c>
      <c r="AD1455" s="135">
        <v>1.0202793425540001E-2</v>
      </c>
      <c r="AF1455" s="243">
        <f t="shared" si="26"/>
        <v>0.19951601907987815</v>
      </c>
      <c r="AG1455" s="275">
        <f t="shared" si="27"/>
        <v>0.26207110472815831</v>
      </c>
      <c r="AH1455" s="391">
        <f t="shared" si="28"/>
        <v>0.21449154300156956</v>
      </c>
      <c r="AI1455" s="135">
        <f t="shared" si="29"/>
        <v>0.47656264772972784</v>
      </c>
    </row>
    <row r="1456" spans="1:35" ht="12.6">
      <c r="A1456" s="10" t="s">
        <v>1516</v>
      </c>
      <c r="B1456" s="10">
        <v>360</v>
      </c>
      <c r="C1456" s="10" t="s">
        <v>1512</v>
      </c>
      <c r="D1456" s="388">
        <v>45286</v>
      </c>
      <c r="E1456" s="389">
        <v>45286</v>
      </c>
      <c r="F1456" s="390" t="str">
        <f t="shared" si="25"/>
        <v>Space heating &amp; cooling</v>
      </c>
      <c r="G1456" s="135">
        <v>7.9953571716747905E-3</v>
      </c>
      <c r="H1456" s="135">
        <v>7.8245831116129094E-3</v>
      </c>
      <c r="I1456" s="135">
        <v>8.0300339165570792E-3</v>
      </c>
      <c r="J1456" s="135">
        <v>8.4416246859035302E-3</v>
      </c>
      <c r="K1456" s="135">
        <v>8.97309956887417E-3</v>
      </c>
      <c r="L1456" s="135">
        <v>9.6802006859900806E-3</v>
      </c>
      <c r="M1456" s="135">
        <v>7.4874400160792999E-3</v>
      </c>
      <c r="N1456" s="135">
        <v>5.5926251676814004E-3</v>
      </c>
      <c r="O1456" s="135">
        <v>5.0911588033517603E-3</v>
      </c>
      <c r="P1456" s="135">
        <v>5.6938699301580702E-3</v>
      </c>
      <c r="Q1456" s="135">
        <v>6.4300445804596398E-3</v>
      </c>
      <c r="R1456" s="135">
        <v>1.0969740341545501E-2</v>
      </c>
      <c r="S1456" s="135">
        <v>1.38866577700715E-2</v>
      </c>
      <c r="T1456" s="135">
        <v>2.3836397515582201E-2</v>
      </c>
      <c r="U1456" s="135">
        <v>3.8825545760309499E-2</v>
      </c>
      <c r="V1456" s="135">
        <v>4.9716714272106499E-2</v>
      </c>
      <c r="W1456" s="135">
        <v>5.5850918839803303E-2</v>
      </c>
      <c r="X1456" s="135">
        <v>5.4135627227204997E-2</v>
      </c>
      <c r="Y1456" s="135">
        <v>5.0544177007237699E-2</v>
      </c>
      <c r="Z1456" s="135">
        <v>3.3339036030354E-2</v>
      </c>
      <c r="AA1456" s="135">
        <v>2.4565604873120199E-2</v>
      </c>
      <c r="AB1456" s="135">
        <v>1.8129659040456301E-2</v>
      </c>
      <c r="AC1456" s="135">
        <v>1.1319737988053399E-2</v>
      </c>
      <c r="AD1456" s="135">
        <v>1.0202793425540001E-2</v>
      </c>
      <c r="AF1456" s="243">
        <f t="shared" si="26"/>
        <v>0.19951601907987815</v>
      </c>
      <c r="AG1456" s="275">
        <f t="shared" si="27"/>
        <v>0.26207110472815831</v>
      </c>
      <c r="AH1456" s="391">
        <f t="shared" si="28"/>
        <v>0.21449154300156956</v>
      </c>
      <c r="AI1456" s="135">
        <f t="shared" si="29"/>
        <v>0.47656264772972784</v>
      </c>
    </row>
    <row r="1457" spans="1:35" ht="12.6">
      <c r="A1457" s="10" t="s">
        <v>1516</v>
      </c>
      <c r="B1457" s="10">
        <v>361</v>
      </c>
      <c r="C1457" s="10" t="s">
        <v>1512</v>
      </c>
      <c r="D1457" s="388">
        <v>45287</v>
      </c>
      <c r="E1457" s="389">
        <v>45287</v>
      </c>
      <c r="F1457" s="390" t="str">
        <f t="shared" si="25"/>
        <v>Space heating &amp; cooling</v>
      </c>
      <c r="G1457" s="135">
        <v>7.9953571716747905E-3</v>
      </c>
      <c r="H1457" s="135">
        <v>7.8245831116129094E-3</v>
      </c>
      <c r="I1457" s="135">
        <v>8.0300339165570792E-3</v>
      </c>
      <c r="J1457" s="135">
        <v>8.4416246859035302E-3</v>
      </c>
      <c r="K1457" s="135">
        <v>8.97309956887417E-3</v>
      </c>
      <c r="L1457" s="135">
        <v>9.6802006859900806E-3</v>
      </c>
      <c r="M1457" s="135">
        <v>7.4874400160792999E-3</v>
      </c>
      <c r="N1457" s="135">
        <v>5.5926251676814004E-3</v>
      </c>
      <c r="O1457" s="135">
        <v>5.0911588033517603E-3</v>
      </c>
      <c r="P1457" s="135">
        <v>5.6938699301580702E-3</v>
      </c>
      <c r="Q1457" s="135">
        <v>6.4300445804596398E-3</v>
      </c>
      <c r="R1457" s="135">
        <v>1.0969740341545501E-2</v>
      </c>
      <c r="S1457" s="135">
        <v>1.38866577700715E-2</v>
      </c>
      <c r="T1457" s="135">
        <v>2.3836397515582201E-2</v>
      </c>
      <c r="U1457" s="135">
        <v>3.8825545760309499E-2</v>
      </c>
      <c r="V1457" s="135">
        <v>4.9716714272106499E-2</v>
      </c>
      <c r="W1457" s="135">
        <v>5.5850918839803303E-2</v>
      </c>
      <c r="X1457" s="135">
        <v>5.4135627227204997E-2</v>
      </c>
      <c r="Y1457" s="135">
        <v>5.0544177007237699E-2</v>
      </c>
      <c r="Z1457" s="135">
        <v>3.3339036030354E-2</v>
      </c>
      <c r="AA1457" s="135">
        <v>2.4565604873120199E-2</v>
      </c>
      <c r="AB1457" s="135">
        <v>1.8129659040456301E-2</v>
      </c>
      <c r="AC1457" s="135">
        <v>1.1319737988053399E-2</v>
      </c>
      <c r="AD1457" s="135">
        <v>1.0202793425540001E-2</v>
      </c>
      <c r="AF1457" s="243">
        <f t="shared" si="26"/>
        <v>0.19951601907987815</v>
      </c>
      <c r="AG1457" s="275">
        <f t="shared" si="27"/>
        <v>0.26207110472815831</v>
      </c>
      <c r="AH1457" s="391">
        <f t="shared" si="28"/>
        <v>0.21449154300156956</v>
      </c>
      <c r="AI1457" s="135">
        <f t="shared" si="29"/>
        <v>0.47656264772972784</v>
      </c>
    </row>
    <row r="1458" spans="1:35" ht="12.6">
      <c r="A1458" s="10" t="s">
        <v>1516</v>
      </c>
      <c r="B1458" s="10">
        <v>362</v>
      </c>
      <c r="C1458" s="10" t="s">
        <v>1512</v>
      </c>
      <c r="D1458" s="388">
        <v>45288</v>
      </c>
      <c r="E1458" s="389">
        <v>45288</v>
      </c>
      <c r="F1458" s="390" t="str">
        <f t="shared" si="25"/>
        <v>Space heating &amp; cooling</v>
      </c>
      <c r="G1458" s="135">
        <v>7.9953571716747905E-3</v>
      </c>
      <c r="H1458" s="135">
        <v>7.8245831116129094E-3</v>
      </c>
      <c r="I1458" s="135">
        <v>8.0300339165570792E-3</v>
      </c>
      <c r="J1458" s="135">
        <v>8.4416246859035302E-3</v>
      </c>
      <c r="K1458" s="135">
        <v>8.97309956887417E-3</v>
      </c>
      <c r="L1458" s="135">
        <v>9.6802006859900806E-3</v>
      </c>
      <c r="M1458" s="135">
        <v>7.4874400160792999E-3</v>
      </c>
      <c r="N1458" s="135">
        <v>5.5926251676814004E-3</v>
      </c>
      <c r="O1458" s="135">
        <v>5.0911588033517603E-3</v>
      </c>
      <c r="P1458" s="135">
        <v>5.6938699301580702E-3</v>
      </c>
      <c r="Q1458" s="135">
        <v>6.4300445804596398E-3</v>
      </c>
      <c r="R1458" s="135">
        <v>1.0969740341545501E-2</v>
      </c>
      <c r="S1458" s="135">
        <v>1.38866577700715E-2</v>
      </c>
      <c r="T1458" s="135">
        <v>2.3836397515582201E-2</v>
      </c>
      <c r="U1458" s="135">
        <v>3.8825545760309499E-2</v>
      </c>
      <c r="V1458" s="135">
        <v>4.9716714272106499E-2</v>
      </c>
      <c r="W1458" s="135">
        <v>5.5850918839803303E-2</v>
      </c>
      <c r="X1458" s="135">
        <v>5.4135627227204997E-2</v>
      </c>
      <c r="Y1458" s="135">
        <v>5.0544177007237699E-2</v>
      </c>
      <c r="Z1458" s="135">
        <v>3.3339036030354E-2</v>
      </c>
      <c r="AA1458" s="135">
        <v>2.4565604873120199E-2</v>
      </c>
      <c r="AB1458" s="135">
        <v>1.8129659040456301E-2</v>
      </c>
      <c r="AC1458" s="135">
        <v>1.1319737988053399E-2</v>
      </c>
      <c r="AD1458" s="135">
        <v>1.0202793425540001E-2</v>
      </c>
      <c r="AF1458" s="243">
        <f t="shared" si="26"/>
        <v>0.19951601907987815</v>
      </c>
      <c r="AG1458" s="275">
        <f t="shared" si="27"/>
        <v>0.26207110472815831</v>
      </c>
      <c r="AH1458" s="391">
        <f t="shared" si="28"/>
        <v>0.21449154300156956</v>
      </c>
      <c r="AI1458" s="135">
        <f t="shared" si="29"/>
        <v>0.47656264772972784</v>
      </c>
    </row>
    <row r="1459" spans="1:35" ht="12.6">
      <c r="A1459" s="10" t="s">
        <v>1516</v>
      </c>
      <c r="B1459" s="10">
        <v>363</v>
      </c>
      <c r="C1459" s="10" t="s">
        <v>1512</v>
      </c>
      <c r="D1459" s="388">
        <v>45289</v>
      </c>
      <c r="E1459" s="389">
        <v>45289</v>
      </c>
      <c r="F1459" s="390" t="str">
        <f t="shared" si="25"/>
        <v>Space heating &amp; cooling</v>
      </c>
      <c r="G1459" s="135">
        <v>7.9953571716747905E-3</v>
      </c>
      <c r="H1459" s="135">
        <v>7.8245831116129094E-3</v>
      </c>
      <c r="I1459" s="135">
        <v>8.0300339165570792E-3</v>
      </c>
      <c r="J1459" s="135">
        <v>8.4416246859035302E-3</v>
      </c>
      <c r="K1459" s="135">
        <v>8.97309956887417E-3</v>
      </c>
      <c r="L1459" s="135">
        <v>9.6802006859900806E-3</v>
      </c>
      <c r="M1459" s="135">
        <v>7.4874400160792999E-3</v>
      </c>
      <c r="N1459" s="135">
        <v>5.5926251676814004E-3</v>
      </c>
      <c r="O1459" s="135">
        <v>5.0911588033517603E-3</v>
      </c>
      <c r="P1459" s="135">
        <v>5.6938699301580702E-3</v>
      </c>
      <c r="Q1459" s="135">
        <v>6.4300445804596398E-3</v>
      </c>
      <c r="R1459" s="135">
        <v>1.0969740341545501E-2</v>
      </c>
      <c r="S1459" s="135">
        <v>1.38866577700715E-2</v>
      </c>
      <c r="T1459" s="135">
        <v>2.3836397515582201E-2</v>
      </c>
      <c r="U1459" s="135">
        <v>3.8825545760309499E-2</v>
      </c>
      <c r="V1459" s="135">
        <v>4.9716714272106499E-2</v>
      </c>
      <c r="W1459" s="135">
        <v>5.5850918839803303E-2</v>
      </c>
      <c r="X1459" s="135">
        <v>5.4135627227204997E-2</v>
      </c>
      <c r="Y1459" s="135">
        <v>5.0544177007237699E-2</v>
      </c>
      <c r="Z1459" s="135">
        <v>3.3339036030354E-2</v>
      </c>
      <c r="AA1459" s="135">
        <v>2.4565604873120199E-2</v>
      </c>
      <c r="AB1459" s="135">
        <v>1.8129659040456301E-2</v>
      </c>
      <c r="AC1459" s="135">
        <v>1.1319737988053399E-2</v>
      </c>
      <c r="AD1459" s="135">
        <v>1.0202793425540001E-2</v>
      </c>
      <c r="AF1459" s="243">
        <f t="shared" si="26"/>
        <v>0.19951601907987815</v>
      </c>
      <c r="AG1459" s="275">
        <f t="shared" si="27"/>
        <v>0.26207110472815831</v>
      </c>
      <c r="AH1459" s="391">
        <f t="shared" si="28"/>
        <v>0.21449154300156956</v>
      </c>
      <c r="AI1459" s="135">
        <f t="shared" si="29"/>
        <v>0.47656264772972784</v>
      </c>
    </row>
    <row r="1460" spans="1:35" ht="12.6">
      <c r="A1460" s="10" t="s">
        <v>1516</v>
      </c>
      <c r="B1460" s="10">
        <v>364</v>
      </c>
      <c r="C1460" s="10" t="s">
        <v>1512</v>
      </c>
      <c r="D1460" s="388">
        <v>45290</v>
      </c>
      <c r="E1460" s="389">
        <v>45290</v>
      </c>
      <c r="F1460" s="390" t="str">
        <f t="shared" si="25"/>
        <v>Space heating &amp; cooling</v>
      </c>
      <c r="G1460" s="135">
        <v>7.3042221050607804E-3</v>
      </c>
      <c r="H1460" s="135">
        <v>7.9860453334460804E-3</v>
      </c>
      <c r="I1460" s="135">
        <v>8.2067902760984308E-3</v>
      </c>
      <c r="J1460" s="135">
        <v>9.3749866615557998E-3</v>
      </c>
      <c r="K1460" s="135">
        <v>9.2645336050987299E-3</v>
      </c>
      <c r="L1460" s="135">
        <v>9.6349493269929799E-3</v>
      </c>
      <c r="M1460" s="135">
        <v>8.3405229864516699E-3</v>
      </c>
      <c r="N1460" s="135">
        <v>6.0454666879825704E-3</v>
      </c>
      <c r="O1460" s="135">
        <v>7.9840599698071495E-3</v>
      </c>
      <c r="P1460" s="135">
        <v>9.1141018722067802E-3</v>
      </c>
      <c r="Q1460" s="135">
        <v>8.9484741912523608E-3</v>
      </c>
      <c r="R1460" s="135">
        <v>1.2309643634535501E-2</v>
      </c>
      <c r="S1460" s="135">
        <v>1.9128368451632901E-2</v>
      </c>
      <c r="T1460" s="135">
        <v>2.8000139427327101E-2</v>
      </c>
      <c r="U1460" s="135">
        <v>5.04285740920506E-2</v>
      </c>
      <c r="V1460" s="135">
        <v>5.3460177738221301E-2</v>
      </c>
      <c r="W1460" s="135">
        <v>5.1854687043523098E-2</v>
      </c>
      <c r="X1460" s="135">
        <v>3.8054831227056801E-2</v>
      </c>
      <c r="Y1460" s="135">
        <v>3.0808022173456E-2</v>
      </c>
      <c r="Z1460" s="135">
        <v>2.8021319669542501E-2</v>
      </c>
      <c r="AA1460" s="135">
        <v>2.4835408297673701E-2</v>
      </c>
      <c r="AB1460" s="135">
        <v>1.3768829918079E-2</v>
      </c>
      <c r="AC1460" s="135">
        <v>7.5681054157869599E-3</v>
      </c>
      <c r="AD1460" s="135">
        <v>7.20527428759506E-3</v>
      </c>
      <c r="AF1460" s="243">
        <f t="shared" si="26"/>
        <v>0.22413006457854284</v>
      </c>
      <c r="AG1460" s="275">
        <f t="shared" si="27"/>
        <v>0.2777573767508415</v>
      </c>
      <c r="AH1460" s="391">
        <f t="shared" si="28"/>
        <v>0.17989015764159239</v>
      </c>
      <c r="AI1460" s="135">
        <f t="shared" si="29"/>
        <v>0.45764753439243389</v>
      </c>
    </row>
    <row r="1461" spans="1:35" ht="12.6">
      <c r="A1461" s="10" t="s">
        <v>1516</v>
      </c>
      <c r="B1461" s="10">
        <v>365</v>
      </c>
      <c r="C1461" s="10" t="s">
        <v>1512</v>
      </c>
      <c r="D1461" s="388">
        <v>45291</v>
      </c>
      <c r="E1461" s="389">
        <v>45291</v>
      </c>
      <c r="F1461" s="390" t="str">
        <f t="shared" si="25"/>
        <v>Space heating &amp; cooling</v>
      </c>
      <c r="G1461" s="135">
        <v>7.3042221050607804E-3</v>
      </c>
      <c r="H1461" s="135">
        <v>7.9860453334460804E-3</v>
      </c>
      <c r="I1461" s="135">
        <v>8.2067902760984308E-3</v>
      </c>
      <c r="J1461" s="135">
        <v>9.3749866615557998E-3</v>
      </c>
      <c r="K1461" s="135">
        <v>9.2645336050987299E-3</v>
      </c>
      <c r="L1461" s="135">
        <v>9.6349493269929799E-3</v>
      </c>
      <c r="M1461" s="135">
        <v>8.3405229864516699E-3</v>
      </c>
      <c r="N1461" s="135">
        <v>6.0454666879825704E-3</v>
      </c>
      <c r="O1461" s="135">
        <v>7.9840599698071495E-3</v>
      </c>
      <c r="P1461" s="135">
        <v>9.1141018722067802E-3</v>
      </c>
      <c r="Q1461" s="135">
        <v>8.9484741912523608E-3</v>
      </c>
      <c r="R1461" s="135">
        <v>1.2309643634535501E-2</v>
      </c>
      <c r="S1461" s="135">
        <v>1.9128368451632901E-2</v>
      </c>
      <c r="T1461" s="135">
        <v>2.8000139427327101E-2</v>
      </c>
      <c r="U1461" s="135">
        <v>5.04285740920506E-2</v>
      </c>
      <c r="V1461" s="135">
        <v>5.3460177738221301E-2</v>
      </c>
      <c r="W1461" s="135">
        <v>5.1854687043523098E-2</v>
      </c>
      <c r="X1461" s="135">
        <v>3.8054831227056801E-2</v>
      </c>
      <c r="Y1461" s="135">
        <v>3.0808022173456E-2</v>
      </c>
      <c r="Z1461" s="135">
        <v>2.8021319669542501E-2</v>
      </c>
      <c r="AA1461" s="135">
        <v>2.4835408297673701E-2</v>
      </c>
      <c r="AB1461" s="135">
        <v>1.3768829918079E-2</v>
      </c>
      <c r="AC1461" s="135">
        <v>7.5681054157869599E-3</v>
      </c>
      <c r="AD1461" s="135">
        <v>7.20527428759506E-3</v>
      </c>
      <c r="AF1461" s="243">
        <f t="shared" si="26"/>
        <v>0.22413006457854284</v>
      </c>
      <c r="AG1461" s="275">
        <f t="shared" si="27"/>
        <v>0.2777573767508415</v>
      </c>
      <c r="AH1461" s="391">
        <f t="shared" si="28"/>
        <v>0.17989015764159239</v>
      </c>
      <c r="AI1461" s="135">
        <f t="shared" si="29"/>
        <v>0.45764753439243389</v>
      </c>
    </row>
    <row r="1462" spans="1:35" ht="12.6">
      <c r="A1462" s="10" t="s">
        <v>58</v>
      </c>
      <c r="B1462" s="10">
        <v>1</v>
      </c>
      <c r="C1462" s="10" t="s">
        <v>1512</v>
      </c>
      <c r="D1462" s="388">
        <v>44927</v>
      </c>
      <c r="E1462" s="389">
        <v>44927</v>
      </c>
      <c r="F1462" s="390" t="str">
        <f t="shared" si="25"/>
        <v>Water heating</v>
      </c>
      <c r="G1462" s="135">
        <v>1.3082508954344801E-2</v>
      </c>
      <c r="H1462" s="135">
        <v>1.30811024928857E-2</v>
      </c>
      <c r="I1462" s="135">
        <v>1.3969953325436499E-2</v>
      </c>
      <c r="J1462" s="135">
        <v>2.3270448127445501E-2</v>
      </c>
      <c r="K1462" s="135">
        <v>2.3431258737808699E-2</v>
      </c>
      <c r="L1462" s="135">
        <v>1.5268551845299501E-2</v>
      </c>
      <c r="M1462" s="135">
        <v>2.5537282166894298E-2</v>
      </c>
      <c r="N1462" s="135">
        <v>4.44994470182054E-2</v>
      </c>
      <c r="O1462" s="135">
        <v>5.6016654668283199E-2</v>
      </c>
      <c r="P1462" s="135">
        <v>6.1019297108309799E-2</v>
      </c>
      <c r="Q1462" s="135">
        <v>5.9123118977511199E-2</v>
      </c>
      <c r="R1462" s="135">
        <v>4.9855023254526801E-2</v>
      </c>
      <c r="S1462" s="135">
        <v>4.0995148354533398E-2</v>
      </c>
      <c r="T1462" s="135">
        <v>3.4706222089425399E-2</v>
      </c>
      <c r="U1462" s="135">
        <v>3.35569285310768E-2</v>
      </c>
      <c r="V1462" s="135">
        <v>3.2753972728766199E-2</v>
      </c>
      <c r="W1462" s="135">
        <v>3.72649469581691E-2</v>
      </c>
      <c r="X1462" s="135">
        <v>4.2264625569504499E-2</v>
      </c>
      <c r="Y1462" s="135">
        <v>4.5599815132900297E-2</v>
      </c>
      <c r="Z1462" s="135">
        <v>3.7239510258981701E-2</v>
      </c>
      <c r="AA1462" s="135">
        <v>3.4788289899310598E-2</v>
      </c>
      <c r="AB1462" s="135">
        <v>3.0151795852275801E-2</v>
      </c>
      <c r="AC1462" s="135">
        <v>2.1868440841799001E-2</v>
      </c>
      <c r="AD1462" s="135">
        <v>1.6419778304740999E-2</v>
      </c>
      <c r="AF1462" s="243">
        <f t="shared" si="26"/>
        <v>0.28825536089400888</v>
      </c>
      <c r="AG1462" s="275">
        <f t="shared" si="27"/>
        <v>0.34520654345862584</v>
      </c>
      <c r="AH1462" s="391">
        <f t="shared" si="28"/>
        <v>0.46055757773980927</v>
      </c>
      <c r="AI1462" s="135">
        <f t="shared" si="29"/>
        <v>0.8057641211984351</v>
      </c>
    </row>
    <row r="1463" spans="1:35" ht="12.6">
      <c r="A1463" s="10" t="s">
        <v>58</v>
      </c>
      <c r="B1463" s="10">
        <v>2</v>
      </c>
      <c r="C1463" s="10" t="s">
        <v>1512</v>
      </c>
      <c r="D1463" s="388">
        <v>44928</v>
      </c>
      <c r="E1463" s="389">
        <v>44928</v>
      </c>
      <c r="F1463" s="390" t="str">
        <f t="shared" si="25"/>
        <v>Water heating</v>
      </c>
      <c r="G1463" s="135">
        <v>1.5290893441557801E-2</v>
      </c>
      <c r="H1463" s="135">
        <v>1.32263342863906E-2</v>
      </c>
      <c r="I1463" s="135">
        <v>1.30000935110582E-2</v>
      </c>
      <c r="J1463" s="135">
        <v>2.4830167929257699E-2</v>
      </c>
      <c r="K1463" s="135">
        <v>2.9859242664659499E-2</v>
      </c>
      <c r="L1463" s="135">
        <v>4.55896593242196E-2</v>
      </c>
      <c r="M1463" s="135">
        <v>8.2967846317717003E-2</v>
      </c>
      <c r="N1463" s="135">
        <v>6.4131388567432293E-2</v>
      </c>
      <c r="O1463" s="135">
        <v>4.0091954260129799E-2</v>
      </c>
      <c r="P1463" s="135">
        <v>4.5536797125460597E-2</v>
      </c>
      <c r="Q1463" s="135">
        <v>4.51589913472598E-2</v>
      </c>
      <c r="R1463" s="135">
        <v>3.3097581465197798E-2</v>
      </c>
      <c r="S1463" s="135">
        <v>2.6686336580521702E-2</v>
      </c>
      <c r="T1463" s="135">
        <v>2.2993216443812099E-2</v>
      </c>
      <c r="U1463" s="135">
        <v>2.4504916112011901E-2</v>
      </c>
      <c r="V1463" s="135">
        <v>2.6107546601569699E-2</v>
      </c>
      <c r="W1463" s="135">
        <v>3.1549530243412602E-2</v>
      </c>
      <c r="X1463" s="135">
        <v>4.3709661298243101E-2</v>
      </c>
      <c r="Y1463" s="135">
        <v>4.3444733521360197E-2</v>
      </c>
      <c r="Z1463" s="135">
        <v>4.2809475962730499E-2</v>
      </c>
      <c r="AA1463" s="135">
        <v>3.9741311901719603E-2</v>
      </c>
      <c r="AB1463" s="135">
        <v>3.28856203452823E-2</v>
      </c>
      <c r="AC1463" s="135">
        <v>2.29838001729794E-2</v>
      </c>
      <c r="AD1463" s="135">
        <v>1.54474575522471E-2</v>
      </c>
      <c r="AF1463" s="243">
        <f t="shared" si="26"/>
        <v>0.21009811879378559</v>
      </c>
      <c r="AG1463" s="275">
        <f t="shared" si="27"/>
        <v>0.39503704118141486</v>
      </c>
      <c r="AH1463" s="391">
        <f t="shared" si="28"/>
        <v>0.43060751579481599</v>
      </c>
      <c r="AI1463" s="135">
        <f t="shared" si="29"/>
        <v>0.82564455697623085</v>
      </c>
    </row>
    <row r="1464" spans="1:35" ht="12.6">
      <c r="A1464" s="10" t="s">
        <v>58</v>
      </c>
      <c r="B1464" s="10">
        <v>3</v>
      </c>
      <c r="C1464" s="10" t="s">
        <v>1512</v>
      </c>
      <c r="D1464" s="388">
        <v>44929</v>
      </c>
      <c r="E1464" s="389">
        <v>44929</v>
      </c>
      <c r="F1464" s="390" t="str">
        <f t="shared" si="25"/>
        <v>Water heating</v>
      </c>
      <c r="G1464" s="135">
        <v>1.5290893441557801E-2</v>
      </c>
      <c r="H1464" s="135">
        <v>1.32263342863906E-2</v>
      </c>
      <c r="I1464" s="135">
        <v>1.30000935110582E-2</v>
      </c>
      <c r="J1464" s="135">
        <v>2.4830167929257699E-2</v>
      </c>
      <c r="K1464" s="135">
        <v>2.9859242664659499E-2</v>
      </c>
      <c r="L1464" s="135">
        <v>4.55896593242196E-2</v>
      </c>
      <c r="M1464" s="135">
        <v>8.2967846317717003E-2</v>
      </c>
      <c r="N1464" s="135">
        <v>6.4131388567432293E-2</v>
      </c>
      <c r="O1464" s="135">
        <v>4.0091954260129799E-2</v>
      </c>
      <c r="P1464" s="135">
        <v>4.5536797125460597E-2</v>
      </c>
      <c r="Q1464" s="135">
        <v>4.51589913472598E-2</v>
      </c>
      <c r="R1464" s="135">
        <v>3.3097581465197798E-2</v>
      </c>
      <c r="S1464" s="135">
        <v>2.6686336580521702E-2</v>
      </c>
      <c r="T1464" s="135">
        <v>2.2993216443812099E-2</v>
      </c>
      <c r="U1464" s="135">
        <v>2.4504916112011901E-2</v>
      </c>
      <c r="V1464" s="135">
        <v>2.6107546601569699E-2</v>
      </c>
      <c r="W1464" s="135">
        <v>3.1549530243412602E-2</v>
      </c>
      <c r="X1464" s="135">
        <v>4.3709661298243101E-2</v>
      </c>
      <c r="Y1464" s="135">
        <v>4.3444733521360197E-2</v>
      </c>
      <c r="Z1464" s="135">
        <v>4.2809475962730499E-2</v>
      </c>
      <c r="AA1464" s="135">
        <v>3.9741311901719603E-2</v>
      </c>
      <c r="AB1464" s="135">
        <v>3.28856203452823E-2</v>
      </c>
      <c r="AC1464" s="135">
        <v>2.29838001729794E-2</v>
      </c>
      <c r="AD1464" s="135">
        <v>1.54474575522471E-2</v>
      </c>
      <c r="AF1464" s="243">
        <f t="shared" si="26"/>
        <v>0.21009811879378559</v>
      </c>
      <c r="AG1464" s="275">
        <f t="shared" si="27"/>
        <v>0.39503704118141486</v>
      </c>
      <c r="AH1464" s="391">
        <f t="shared" si="28"/>
        <v>0.43060751579481599</v>
      </c>
      <c r="AI1464" s="135">
        <f t="shared" si="29"/>
        <v>0.82564455697623085</v>
      </c>
    </row>
    <row r="1465" spans="1:35" ht="12.6">
      <c r="A1465" s="10" t="s">
        <v>58</v>
      </c>
      <c r="B1465" s="10">
        <v>4</v>
      </c>
      <c r="C1465" s="10" t="s">
        <v>1512</v>
      </c>
      <c r="D1465" s="388">
        <v>44930</v>
      </c>
      <c r="E1465" s="389">
        <v>44930</v>
      </c>
      <c r="F1465" s="390" t="str">
        <f t="shared" si="25"/>
        <v>Water heating</v>
      </c>
      <c r="G1465" s="135">
        <v>1.5290893441557801E-2</v>
      </c>
      <c r="H1465" s="135">
        <v>1.32263342863906E-2</v>
      </c>
      <c r="I1465" s="135">
        <v>1.30000935110582E-2</v>
      </c>
      <c r="J1465" s="135">
        <v>2.4830167929257699E-2</v>
      </c>
      <c r="K1465" s="135">
        <v>2.9859242664659499E-2</v>
      </c>
      <c r="L1465" s="135">
        <v>4.55896593242196E-2</v>
      </c>
      <c r="M1465" s="135">
        <v>8.2967846317717003E-2</v>
      </c>
      <c r="N1465" s="135">
        <v>6.4131388567432293E-2</v>
      </c>
      <c r="O1465" s="135">
        <v>4.0091954260129799E-2</v>
      </c>
      <c r="P1465" s="135">
        <v>4.5536797125460597E-2</v>
      </c>
      <c r="Q1465" s="135">
        <v>4.51589913472598E-2</v>
      </c>
      <c r="R1465" s="135">
        <v>3.3097581465197798E-2</v>
      </c>
      <c r="S1465" s="135">
        <v>2.6686336580521702E-2</v>
      </c>
      <c r="T1465" s="135">
        <v>2.2993216443812099E-2</v>
      </c>
      <c r="U1465" s="135">
        <v>2.4504916112011901E-2</v>
      </c>
      <c r="V1465" s="135">
        <v>2.6107546601569699E-2</v>
      </c>
      <c r="W1465" s="135">
        <v>3.1549530243412602E-2</v>
      </c>
      <c r="X1465" s="135">
        <v>4.3709661298243101E-2</v>
      </c>
      <c r="Y1465" s="135">
        <v>4.3444733521360197E-2</v>
      </c>
      <c r="Z1465" s="135">
        <v>4.2809475962730499E-2</v>
      </c>
      <c r="AA1465" s="135">
        <v>3.9741311901719603E-2</v>
      </c>
      <c r="AB1465" s="135">
        <v>3.28856203452823E-2</v>
      </c>
      <c r="AC1465" s="135">
        <v>2.29838001729794E-2</v>
      </c>
      <c r="AD1465" s="135">
        <v>1.54474575522471E-2</v>
      </c>
      <c r="AF1465" s="243">
        <f t="shared" si="26"/>
        <v>0.21009811879378559</v>
      </c>
      <c r="AG1465" s="275">
        <f t="shared" si="27"/>
        <v>0.39503704118141486</v>
      </c>
      <c r="AH1465" s="391">
        <f t="shared" si="28"/>
        <v>0.43060751579481599</v>
      </c>
      <c r="AI1465" s="135">
        <f t="shared" si="29"/>
        <v>0.82564455697623085</v>
      </c>
    </row>
    <row r="1466" spans="1:35" ht="12.6">
      <c r="A1466" s="10" t="s">
        <v>58</v>
      </c>
      <c r="B1466" s="10">
        <v>5</v>
      </c>
      <c r="C1466" s="10" t="s">
        <v>1512</v>
      </c>
      <c r="D1466" s="388">
        <v>44931</v>
      </c>
      <c r="E1466" s="389">
        <v>44931</v>
      </c>
      <c r="F1466" s="390" t="str">
        <f t="shared" si="25"/>
        <v>Water heating</v>
      </c>
      <c r="G1466" s="135">
        <v>1.5290893441557801E-2</v>
      </c>
      <c r="H1466" s="135">
        <v>1.32263342863906E-2</v>
      </c>
      <c r="I1466" s="135">
        <v>1.30000935110582E-2</v>
      </c>
      <c r="J1466" s="135">
        <v>2.4830167929257699E-2</v>
      </c>
      <c r="K1466" s="135">
        <v>2.9859242664659499E-2</v>
      </c>
      <c r="L1466" s="135">
        <v>4.55896593242196E-2</v>
      </c>
      <c r="M1466" s="135">
        <v>8.2967846317717003E-2</v>
      </c>
      <c r="N1466" s="135">
        <v>6.4131388567432293E-2</v>
      </c>
      <c r="O1466" s="135">
        <v>4.0091954260129799E-2</v>
      </c>
      <c r="P1466" s="135">
        <v>4.5536797125460597E-2</v>
      </c>
      <c r="Q1466" s="135">
        <v>4.51589913472598E-2</v>
      </c>
      <c r="R1466" s="135">
        <v>3.3097581465197798E-2</v>
      </c>
      <c r="S1466" s="135">
        <v>2.6686336580521702E-2</v>
      </c>
      <c r="T1466" s="135">
        <v>2.2993216443812099E-2</v>
      </c>
      <c r="U1466" s="135">
        <v>2.4504916112011901E-2</v>
      </c>
      <c r="V1466" s="135">
        <v>2.6107546601569699E-2</v>
      </c>
      <c r="W1466" s="135">
        <v>3.1549530243412602E-2</v>
      </c>
      <c r="X1466" s="135">
        <v>4.3709661298243101E-2</v>
      </c>
      <c r="Y1466" s="135">
        <v>4.3444733521360197E-2</v>
      </c>
      <c r="Z1466" s="135">
        <v>4.2809475962730499E-2</v>
      </c>
      <c r="AA1466" s="135">
        <v>3.9741311901719603E-2</v>
      </c>
      <c r="AB1466" s="135">
        <v>3.28856203452823E-2</v>
      </c>
      <c r="AC1466" s="135">
        <v>2.29838001729794E-2</v>
      </c>
      <c r="AD1466" s="135">
        <v>1.54474575522471E-2</v>
      </c>
      <c r="AF1466" s="243">
        <f t="shared" si="26"/>
        <v>0.21009811879378559</v>
      </c>
      <c r="AG1466" s="275">
        <f t="shared" si="27"/>
        <v>0.39503704118141486</v>
      </c>
      <c r="AH1466" s="391">
        <f t="shared" si="28"/>
        <v>0.43060751579481599</v>
      </c>
      <c r="AI1466" s="135">
        <f t="shared" si="29"/>
        <v>0.82564455697623085</v>
      </c>
    </row>
    <row r="1467" spans="1:35" ht="12.6">
      <c r="A1467" s="10" t="s">
        <v>58</v>
      </c>
      <c r="B1467" s="10">
        <v>6</v>
      </c>
      <c r="C1467" s="10" t="s">
        <v>1512</v>
      </c>
      <c r="D1467" s="388">
        <v>44932</v>
      </c>
      <c r="E1467" s="389">
        <v>44932</v>
      </c>
      <c r="F1467" s="390" t="str">
        <f t="shared" si="25"/>
        <v>Water heating</v>
      </c>
      <c r="G1467" s="135">
        <v>1.5290893441557801E-2</v>
      </c>
      <c r="H1467" s="135">
        <v>1.32263342863906E-2</v>
      </c>
      <c r="I1467" s="135">
        <v>1.30000935110582E-2</v>
      </c>
      <c r="J1467" s="135">
        <v>2.4830167929257699E-2</v>
      </c>
      <c r="K1467" s="135">
        <v>2.9859242664659499E-2</v>
      </c>
      <c r="L1467" s="135">
        <v>4.55896593242196E-2</v>
      </c>
      <c r="M1467" s="135">
        <v>8.2967846317717003E-2</v>
      </c>
      <c r="N1467" s="135">
        <v>6.4131388567432293E-2</v>
      </c>
      <c r="O1467" s="135">
        <v>4.0091954260129799E-2</v>
      </c>
      <c r="P1467" s="135">
        <v>4.5536797125460597E-2</v>
      </c>
      <c r="Q1467" s="135">
        <v>4.51589913472598E-2</v>
      </c>
      <c r="R1467" s="135">
        <v>3.3097581465197798E-2</v>
      </c>
      <c r="S1467" s="135">
        <v>2.6686336580521702E-2</v>
      </c>
      <c r="T1467" s="135">
        <v>2.2993216443812099E-2</v>
      </c>
      <c r="U1467" s="135">
        <v>2.4504916112011901E-2</v>
      </c>
      <c r="V1467" s="135">
        <v>2.6107546601569699E-2</v>
      </c>
      <c r="W1467" s="135">
        <v>3.1549530243412602E-2</v>
      </c>
      <c r="X1467" s="135">
        <v>4.3709661298243101E-2</v>
      </c>
      <c r="Y1467" s="135">
        <v>4.3444733521360197E-2</v>
      </c>
      <c r="Z1467" s="135">
        <v>4.2809475962730499E-2</v>
      </c>
      <c r="AA1467" s="135">
        <v>3.9741311901719603E-2</v>
      </c>
      <c r="AB1467" s="135">
        <v>3.28856203452823E-2</v>
      </c>
      <c r="AC1467" s="135">
        <v>2.29838001729794E-2</v>
      </c>
      <c r="AD1467" s="135">
        <v>1.54474575522471E-2</v>
      </c>
      <c r="AF1467" s="243">
        <f t="shared" si="26"/>
        <v>0.21009811879378559</v>
      </c>
      <c r="AG1467" s="275">
        <f t="shared" si="27"/>
        <v>0.39503704118141486</v>
      </c>
      <c r="AH1467" s="391">
        <f t="shared" si="28"/>
        <v>0.43060751579481599</v>
      </c>
      <c r="AI1467" s="135">
        <f t="shared" si="29"/>
        <v>0.82564455697623085</v>
      </c>
    </row>
    <row r="1468" spans="1:35" ht="12.6">
      <c r="A1468" s="10" t="s">
        <v>58</v>
      </c>
      <c r="B1468" s="10">
        <v>7</v>
      </c>
      <c r="C1468" s="10" t="s">
        <v>1512</v>
      </c>
      <c r="D1468" s="388">
        <v>44933</v>
      </c>
      <c r="E1468" s="389">
        <v>44933</v>
      </c>
      <c r="F1468" s="390" t="str">
        <f t="shared" si="25"/>
        <v>Water heating</v>
      </c>
      <c r="G1468" s="135">
        <v>1.3082508954344801E-2</v>
      </c>
      <c r="H1468" s="135">
        <v>1.30811024928857E-2</v>
      </c>
      <c r="I1468" s="135">
        <v>1.3969953325436499E-2</v>
      </c>
      <c r="J1468" s="135">
        <v>2.3270448127445501E-2</v>
      </c>
      <c r="K1468" s="135">
        <v>2.3431258737808699E-2</v>
      </c>
      <c r="L1468" s="135">
        <v>1.5268551845299501E-2</v>
      </c>
      <c r="M1468" s="135">
        <v>2.5537282166894298E-2</v>
      </c>
      <c r="N1468" s="135">
        <v>4.44994470182054E-2</v>
      </c>
      <c r="O1468" s="135">
        <v>5.6016654668283199E-2</v>
      </c>
      <c r="P1468" s="135">
        <v>6.1019297108309799E-2</v>
      </c>
      <c r="Q1468" s="135">
        <v>5.9123118977511199E-2</v>
      </c>
      <c r="R1468" s="135">
        <v>4.9855023254526801E-2</v>
      </c>
      <c r="S1468" s="135">
        <v>4.0995148354533398E-2</v>
      </c>
      <c r="T1468" s="135">
        <v>3.4706222089425399E-2</v>
      </c>
      <c r="U1468" s="135">
        <v>3.35569285310768E-2</v>
      </c>
      <c r="V1468" s="135">
        <v>3.2753972728766199E-2</v>
      </c>
      <c r="W1468" s="135">
        <v>3.72649469581691E-2</v>
      </c>
      <c r="X1468" s="135">
        <v>4.2264625569504499E-2</v>
      </c>
      <c r="Y1468" s="135">
        <v>4.5599815132900297E-2</v>
      </c>
      <c r="Z1468" s="135">
        <v>3.7239510258981701E-2</v>
      </c>
      <c r="AA1468" s="135">
        <v>3.4788289899310598E-2</v>
      </c>
      <c r="AB1468" s="135">
        <v>3.0151795852275801E-2</v>
      </c>
      <c r="AC1468" s="135">
        <v>2.1868440841799001E-2</v>
      </c>
      <c r="AD1468" s="135">
        <v>1.6419778304740999E-2</v>
      </c>
      <c r="AF1468" s="243">
        <f t="shared" si="26"/>
        <v>0.28825536089400888</v>
      </c>
      <c r="AG1468" s="275">
        <f t="shared" si="27"/>
        <v>0.34520654345862584</v>
      </c>
      <c r="AH1468" s="391">
        <f t="shared" si="28"/>
        <v>0.46055757773980927</v>
      </c>
      <c r="AI1468" s="135">
        <f t="shared" si="29"/>
        <v>0.8057641211984351</v>
      </c>
    </row>
    <row r="1469" spans="1:35" ht="12.6">
      <c r="A1469" s="10" t="s">
        <v>58</v>
      </c>
      <c r="B1469" s="10">
        <v>8</v>
      </c>
      <c r="C1469" s="10" t="s">
        <v>1512</v>
      </c>
      <c r="D1469" s="388">
        <v>44934</v>
      </c>
      <c r="E1469" s="389">
        <v>44934</v>
      </c>
      <c r="F1469" s="390" t="str">
        <f t="shared" si="25"/>
        <v>Water heating</v>
      </c>
      <c r="G1469" s="135">
        <v>1.3082508954344801E-2</v>
      </c>
      <c r="H1469" s="135">
        <v>1.30811024928857E-2</v>
      </c>
      <c r="I1469" s="135">
        <v>1.3969953325436499E-2</v>
      </c>
      <c r="J1469" s="135">
        <v>2.3270448127445501E-2</v>
      </c>
      <c r="K1469" s="135">
        <v>2.3431258737808699E-2</v>
      </c>
      <c r="L1469" s="135">
        <v>1.5268551845299501E-2</v>
      </c>
      <c r="M1469" s="135">
        <v>2.5537282166894298E-2</v>
      </c>
      <c r="N1469" s="135">
        <v>4.44994470182054E-2</v>
      </c>
      <c r="O1469" s="135">
        <v>5.6016654668283199E-2</v>
      </c>
      <c r="P1469" s="135">
        <v>6.1019297108309799E-2</v>
      </c>
      <c r="Q1469" s="135">
        <v>5.9123118977511199E-2</v>
      </c>
      <c r="R1469" s="135">
        <v>4.9855023254526801E-2</v>
      </c>
      <c r="S1469" s="135">
        <v>4.0995148354533398E-2</v>
      </c>
      <c r="T1469" s="135">
        <v>3.4706222089425399E-2</v>
      </c>
      <c r="U1469" s="135">
        <v>3.35569285310768E-2</v>
      </c>
      <c r="V1469" s="135">
        <v>3.2753972728766199E-2</v>
      </c>
      <c r="W1469" s="135">
        <v>3.72649469581691E-2</v>
      </c>
      <c r="X1469" s="135">
        <v>4.2264625569504499E-2</v>
      </c>
      <c r="Y1469" s="135">
        <v>4.5599815132900297E-2</v>
      </c>
      <c r="Z1469" s="135">
        <v>3.7239510258981701E-2</v>
      </c>
      <c r="AA1469" s="135">
        <v>3.4788289899310598E-2</v>
      </c>
      <c r="AB1469" s="135">
        <v>3.0151795852275801E-2</v>
      </c>
      <c r="AC1469" s="135">
        <v>2.1868440841799001E-2</v>
      </c>
      <c r="AD1469" s="135">
        <v>1.6419778304740999E-2</v>
      </c>
      <c r="AF1469" s="243">
        <f t="shared" si="26"/>
        <v>0.28825536089400888</v>
      </c>
      <c r="AG1469" s="275">
        <f t="shared" si="27"/>
        <v>0.34520654345862584</v>
      </c>
      <c r="AH1469" s="391">
        <f t="shared" si="28"/>
        <v>0.46055757773980927</v>
      </c>
      <c r="AI1469" s="135">
        <f t="shared" si="29"/>
        <v>0.8057641211984351</v>
      </c>
    </row>
    <row r="1470" spans="1:35" ht="12.6">
      <c r="A1470" s="10" t="s">
        <v>58</v>
      </c>
      <c r="B1470" s="10">
        <v>9</v>
      </c>
      <c r="C1470" s="10" t="s">
        <v>1512</v>
      </c>
      <c r="D1470" s="388">
        <v>44935</v>
      </c>
      <c r="E1470" s="389">
        <v>44935</v>
      </c>
      <c r="F1470" s="390" t="str">
        <f t="shared" si="25"/>
        <v>Water heating</v>
      </c>
      <c r="G1470" s="135">
        <v>1.5290893441557801E-2</v>
      </c>
      <c r="H1470" s="135">
        <v>1.32263342863906E-2</v>
      </c>
      <c r="I1470" s="135">
        <v>1.30000935110582E-2</v>
      </c>
      <c r="J1470" s="135">
        <v>2.4830167929257699E-2</v>
      </c>
      <c r="K1470" s="135">
        <v>2.9859242664659499E-2</v>
      </c>
      <c r="L1470" s="135">
        <v>4.55896593242196E-2</v>
      </c>
      <c r="M1470" s="135">
        <v>8.2967846317717003E-2</v>
      </c>
      <c r="N1470" s="135">
        <v>6.4131388567432293E-2</v>
      </c>
      <c r="O1470" s="135">
        <v>4.0091954260129799E-2</v>
      </c>
      <c r="P1470" s="135">
        <v>4.5536797125460597E-2</v>
      </c>
      <c r="Q1470" s="135">
        <v>4.51589913472598E-2</v>
      </c>
      <c r="R1470" s="135">
        <v>3.3097581465197798E-2</v>
      </c>
      <c r="S1470" s="135">
        <v>2.6686336580521702E-2</v>
      </c>
      <c r="T1470" s="135">
        <v>2.2993216443812099E-2</v>
      </c>
      <c r="U1470" s="135">
        <v>2.4504916112011901E-2</v>
      </c>
      <c r="V1470" s="135">
        <v>2.6107546601569699E-2</v>
      </c>
      <c r="W1470" s="135">
        <v>3.1549530243412602E-2</v>
      </c>
      <c r="X1470" s="135">
        <v>4.3709661298243101E-2</v>
      </c>
      <c r="Y1470" s="135">
        <v>4.3444733521360197E-2</v>
      </c>
      <c r="Z1470" s="135">
        <v>4.2809475962730499E-2</v>
      </c>
      <c r="AA1470" s="135">
        <v>3.9741311901719603E-2</v>
      </c>
      <c r="AB1470" s="135">
        <v>3.28856203452823E-2</v>
      </c>
      <c r="AC1470" s="135">
        <v>2.29838001729794E-2</v>
      </c>
      <c r="AD1470" s="135">
        <v>1.54474575522471E-2</v>
      </c>
      <c r="AF1470" s="243">
        <f t="shared" si="26"/>
        <v>0.21009811879378559</v>
      </c>
      <c r="AG1470" s="275">
        <f t="shared" si="27"/>
        <v>0.39503704118141486</v>
      </c>
      <c r="AH1470" s="391">
        <f t="shared" si="28"/>
        <v>0.43060751579481599</v>
      </c>
      <c r="AI1470" s="135">
        <f t="shared" si="29"/>
        <v>0.82564455697623085</v>
      </c>
    </row>
    <row r="1471" spans="1:35" ht="12.6">
      <c r="A1471" s="10" t="s">
        <v>58</v>
      </c>
      <c r="B1471" s="10">
        <v>10</v>
      </c>
      <c r="C1471" s="10" t="s">
        <v>1512</v>
      </c>
      <c r="D1471" s="388">
        <v>44936</v>
      </c>
      <c r="E1471" s="389">
        <v>44936</v>
      </c>
      <c r="F1471" s="390" t="str">
        <f t="shared" si="25"/>
        <v>Water heating</v>
      </c>
      <c r="G1471" s="135">
        <v>1.5290893441557801E-2</v>
      </c>
      <c r="H1471" s="135">
        <v>1.32263342863906E-2</v>
      </c>
      <c r="I1471" s="135">
        <v>1.30000935110582E-2</v>
      </c>
      <c r="J1471" s="135">
        <v>2.4830167929257699E-2</v>
      </c>
      <c r="K1471" s="135">
        <v>2.9859242664659499E-2</v>
      </c>
      <c r="L1471" s="135">
        <v>4.55896593242196E-2</v>
      </c>
      <c r="M1471" s="135">
        <v>8.2967846317717003E-2</v>
      </c>
      <c r="N1471" s="135">
        <v>6.4131388567432293E-2</v>
      </c>
      <c r="O1471" s="135">
        <v>4.0091954260129799E-2</v>
      </c>
      <c r="P1471" s="135">
        <v>4.5536797125460597E-2</v>
      </c>
      <c r="Q1471" s="135">
        <v>4.51589913472598E-2</v>
      </c>
      <c r="R1471" s="135">
        <v>3.3097581465197798E-2</v>
      </c>
      <c r="S1471" s="135">
        <v>2.6686336580521702E-2</v>
      </c>
      <c r="T1471" s="135">
        <v>2.2993216443812099E-2</v>
      </c>
      <c r="U1471" s="135">
        <v>2.4504916112011901E-2</v>
      </c>
      <c r="V1471" s="135">
        <v>2.6107546601569699E-2</v>
      </c>
      <c r="W1471" s="135">
        <v>3.1549530243412602E-2</v>
      </c>
      <c r="X1471" s="135">
        <v>4.3709661298243101E-2</v>
      </c>
      <c r="Y1471" s="135">
        <v>4.3444733521360197E-2</v>
      </c>
      <c r="Z1471" s="135">
        <v>4.2809475962730499E-2</v>
      </c>
      <c r="AA1471" s="135">
        <v>3.9741311901719603E-2</v>
      </c>
      <c r="AB1471" s="135">
        <v>3.28856203452823E-2</v>
      </c>
      <c r="AC1471" s="135">
        <v>2.29838001729794E-2</v>
      </c>
      <c r="AD1471" s="135">
        <v>1.54474575522471E-2</v>
      </c>
      <c r="AF1471" s="243">
        <f t="shared" si="26"/>
        <v>0.21009811879378559</v>
      </c>
      <c r="AG1471" s="275">
        <f t="shared" si="27"/>
        <v>0.39503704118141486</v>
      </c>
      <c r="AH1471" s="391">
        <f t="shared" si="28"/>
        <v>0.43060751579481599</v>
      </c>
      <c r="AI1471" s="135">
        <f t="shared" si="29"/>
        <v>0.82564455697623085</v>
      </c>
    </row>
    <row r="1472" spans="1:35" ht="12.6">
      <c r="A1472" s="10" t="s">
        <v>58</v>
      </c>
      <c r="B1472" s="10">
        <v>11</v>
      </c>
      <c r="C1472" s="10" t="s">
        <v>1512</v>
      </c>
      <c r="D1472" s="388">
        <v>44937</v>
      </c>
      <c r="E1472" s="389">
        <v>44937</v>
      </c>
      <c r="F1472" s="390" t="str">
        <f t="shared" si="25"/>
        <v>Water heating</v>
      </c>
      <c r="G1472" s="135">
        <v>1.5290893441557801E-2</v>
      </c>
      <c r="H1472" s="135">
        <v>1.32263342863906E-2</v>
      </c>
      <c r="I1472" s="135">
        <v>1.30000935110582E-2</v>
      </c>
      <c r="J1472" s="135">
        <v>2.4830167929257699E-2</v>
      </c>
      <c r="K1472" s="135">
        <v>2.9859242664659499E-2</v>
      </c>
      <c r="L1472" s="135">
        <v>4.55896593242196E-2</v>
      </c>
      <c r="M1472" s="135">
        <v>8.2967846317717003E-2</v>
      </c>
      <c r="N1472" s="135">
        <v>6.4131388567432293E-2</v>
      </c>
      <c r="O1472" s="135">
        <v>4.0091954260129799E-2</v>
      </c>
      <c r="P1472" s="135">
        <v>4.5536797125460597E-2</v>
      </c>
      <c r="Q1472" s="135">
        <v>4.51589913472598E-2</v>
      </c>
      <c r="R1472" s="135">
        <v>3.3097581465197798E-2</v>
      </c>
      <c r="S1472" s="135">
        <v>2.6686336580521702E-2</v>
      </c>
      <c r="T1472" s="135">
        <v>2.2993216443812099E-2</v>
      </c>
      <c r="U1472" s="135">
        <v>2.4504916112011901E-2</v>
      </c>
      <c r="V1472" s="135">
        <v>2.6107546601569699E-2</v>
      </c>
      <c r="W1472" s="135">
        <v>3.1549530243412602E-2</v>
      </c>
      <c r="X1472" s="135">
        <v>4.3709661298243101E-2</v>
      </c>
      <c r="Y1472" s="135">
        <v>4.3444733521360197E-2</v>
      </c>
      <c r="Z1472" s="135">
        <v>4.2809475962730499E-2</v>
      </c>
      <c r="AA1472" s="135">
        <v>3.9741311901719603E-2</v>
      </c>
      <c r="AB1472" s="135">
        <v>3.28856203452823E-2</v>
      </c>
      <c r="AC1472" s="135">
        <v>2.29838001729794E-2</v>
      </c>
      <c r="AD1472" s="135">
        <v>1.54474575522471E-2</v>
      </c>
      <c r="AF1472" s="243">
        <f t="shared" si="26"/>
        <v>0.21009811879378559</v>
      </c>
      <c r="AG1472" s="275">
        <f t="shared" si="27"/>
        <v>0.39503704118141486</v>
      </c>
      <c r="AH1472" s="391">
        <f t="shared" si="28"/>
        <v>0.43060751579481599</v>
      </c>
      <c r="AI1472" s="135">
        <f t="shared" si="29"/>
        <v>0.82564455697623085</v>
      </c>
    </row>
    <row r="1473" spans="1:35" ht="12.6">
      <c r="A1473" s="10" t="s">
        <v>58</v>
      </c>
      <c r="B1473" s="10">
        <v>12</v>
      </c>
      <c r="C1473" s="10" t="s">
        <v>1512</v>
      </c>
      <c r="D1473" s="388">
        <v>44938</v>
      </c>
      <c r="E1473" s="389">
        <v>44938</v>
      </c>
      <c r="F1473" s="390" t="str">
        <f t="shared" si="25"/>
        <v>Water heating</v>
      </c>
      <c r="G1473" s="135">
        <v>1.5290893441557801E-2</v>
      </c>
      <c r="H1473" s="135">
        <v>1.32263342863906E-2</v>
      </c>
      <c r="I1473" s="135">
        <v>1.30000935110582E-2</v>
      </c>
      <c r="J1473" s="135">
        <v>2.4830167929257699E-2</v>
      </c>
      <c r="K1473" s="135">
        <v>2.9859242664659499E-2</v>
      </c>
      <c r="L1473" s="135">
        <v>4.55896593242196E-2</v>
      </c>
      <c r="M1473" s="135">
        <v>8.2967846317717003E-2</v>
      </c>
      <c r="N1473" s="135">
        <v>6.4131388567432293E-2</v>
      </c>
      <c r="O1473" s="135">
        <v>4.0091954260129799E-2</v>
      </c>
      <c r="P1473" s="135">
        <v>4.5536797125460597E-2</v>
      </c>
      <c r="Q1473" s="135">
        <v>4.51589913472598E-2</v>
      </c>
      <c r="R1473" s="135">
        <v>3.3097581465197798E-2</v>
      </c>
      <c r="S1473" s="135">
        <v>2.6686336580521702E-2</v>
      </c>
      <c r="T1473" s="135">
        <v>2.2993216443812099E-2</v>
      </c>
      <c r="U1473" s="135">
        <v>2.4504916112011901E-2</v>
      </c>
      <c r="V1473" s="135">
        <v>2.6107546601569699E-2</v>
      </c>
      <c r="W1473" s="135">
        <v>3.1549530243412602E-2</v>
      </c>
      <c r="X1473" s="135">
        <v>4.3709661298243101E-2</v>
      </c>
      <c r="Y1473" s="135">
        <v>4.3444733521360197E-2</v>
      </c>
      <c r="Z1473" s="135">
        <v>4.2809475962730499E-2</v>
      </c>
      <c r="AA1473" s="135">
        <v>3.9741311901719603E-2</v>
      </c>
      <c r="AB1473" s="135">
        <v>3.28856203452823E-2</v>
      </c>
      <c r="AC1473" s="135">
        <v>2.29838001729794E-2</v>
      </c>
      <c r="AD1473" s="135">
        <v>1.54474575522471E-2</v>
      </c>
      <c r="AF1473" s="243">
        <f t="shared" si="26"/>
        <v>0.21009811879378559</v>
      </c>
      <c r="AG1473" s="275">
        <f t="shared" si="27"/>
        <v>0.39503704118141486</v>
      </c>
      <c r="AH1473" s="391">
        <f t="shared" si="28"/>
        <v>0.43060751579481599</v>
      </c>
      <c r="AI1473" s="135">
        <f t="shared" si="29"/>
        <v>0.82564455697623085</v>
      </c>
    </row>
    <row r="1474" spans="1:35" ht="12.6">
      <c r="A1474" s="10" t="s">
        <v>58</v>
      </c>
      <c r="B1474" s="10">
        <v>13</v>
      </c>
      <c r="C1474" s="10" t="s">
        <v>1512</v>
      </c>
      <c r="D1474" s="388">
        <v>44939</v>
      </c>
      <c r="E1474" s="389">
        <v>44939</v>
      </c>
      <c r="F1474" s="390" t="str">
        <f t="shared" si="25"/>
        <v>Water heating</v>
      </c>
      <c r="G1474" s="135">
        <v>1.5290893441557801E-2</v>
      </c>
      <c r="H1474" s="135">
        <v>1.32263342863906E-2</v>
      </c>
      <c r="I1474" s="135">
        <v>1.30000935110582E-2</v>
      </c>
      <c r="J1474" s="135">
        <v>2.4830167929257699E-2</v>
      </c>
      <c r="K1474" s="135">
        <v>2.9859242664659499E-2</v>
      </c>
      <c r="L1474" s="135">
        <v>4.55896593242196E-2</v>
      </c>
      <c r="M1474" s="135">
        <v>8.2967846317717003E-2</v>
      </c>
      <c r="N1474" s="135">
        <v>6.4131388567432293E-2</v>
      </c>
      <c r="O1474" s="135">
        <v>4.0091954260129799E-2</v>
      </c>
      <c r="P1474" s="135">
        <v>4.5536797125460597E-2</v>
      </c>
      <c r="Q1474" s="135">
        <v>4.51589913472598E-2</v>
      </c>
      <c r="R1474" s="135">
        <v>3.3097581465197798E-2</v>
      </c>
      <c r="S1474" s="135">
        <v>2.6686336580521702E-2</v>
      </c>
      <c r="T1474" s="135">
        <v>2.2993216443812099E-2</v>
      </c>
      <c r="U1474" s="135">
        <v>2.4504916112011901E-2</v>
      </c>
      <c r="V1474" s="135">
        <v>2.6107546601569699E-2</v>
      </c>
      <c r="W1474" s="135">
        <v>3.1549530243412602E-2</v>
      </c>
      <c r="X1474" s="135">
        <v>4.3709661298243101E-2</v>
      </c>
      <c r="Y1474" s="135">
        <v>4.3444733521360197E-2</v>
      </c>
      <c r="Z1474" s="135">
        <v>4.2809475962730499E-2</v>
      </c>
      <c r="AA1474" s="135">
        <v>3.9741311901719603E-2</v>
      </c>
      <c r="AB1474" s="135">
        <v>3.28856203452823E-2</v>
      </c>
      <c r="AC1474" s="135">
        <v>2.29838001729794E-2</v>
      </c>
      <c r="AD1474" s="135">
        <v>1.54474575522471E-2</v>
      </c>
      <c r="AF1474" s="243">
        <f t="shared" si="26"/>
        <v>0.21009811879378559</v>
      </c>
      <c r="AG1474" s="275">
        <f t="shared" si="27"/>
        <v>0.39503704118141486</v>
      </c>
      <c r="AH1474" s="391">
        <f t="shared" si="28"/>
        <v>0.43060751579481599</v>
      </c>
      <c r="AI1474" s="135">
        <f t="shared" si="29"/>
        <v>0.82564455697623085</v>
      </c>
    </row>
    <row r="1475" spans="1:35" ht="12.6">
      <c r="A1475" s="10" t="s">
        <v>58</v>
      </c>
      <c r="B1475" s="10">
        <v>14</v>
      </c>
      <c r="C1475" s="10" t="s">
        <v>1512</v>
      </c>
      <c r="D1475" s="388">
        <v>44940</v>
      </c>
      <c r="E1475" s="389">
        <v>44940</v>
      </c>
      <c r="F1475" s="390" t="str">
        <f t="shared" si="25"/>
        <v>Water heating</v>
      </c>
      <c r="G1475" s="135">
        <v>1.3082508954344801E-2</v>
      </c>
      <c r="H1475" s="135">
        <v>1.30811024928857E-2</v>
      </c>
      <c r="I1475" s="135">
        <v>1.3969953325436499E-2</v>
      </c>
      <c r="J1475" s="135">
        <v>2.3270448127445501E-2</v>
      </c>
      <c r="K1475" s="135">
        <v>2.3431258737808699E-2</v>
      </c>
      <c r="L1475" s="135">
        <v>1.5268551845299501E-2</v>
      </c>
      <c r="M1475" s="135">
        <v>2.5537282166894298E-2</v>
      </c>
      <c r="N1475" s="135">
        <v>4.44994470182054E-2</v>
      </c>
      <c r="O1475" s="135">
        <v>5.6016654668283199E-2</v>
      </c>
      <c r="P1475" s="135">
        <v>6.1019297108309799E-2</v>
      </c>
      <c r="Q1475" s="135">
        <v>5.9123118977511199E-2</v>
      </c>
      <c r="R1475" s="135">
        <v>4.9855023254526801E-2</v>
      </c>
      <c r="S1475" s="135">
        <v>4.0995148354533398E-2</v>
      </c>
      <c r="T1475" s="135">
        <v>3.4706222089425399E-2</v>
      </c>
      <c r="U1475" s="135">
        <v>3.35569285310768E-2</v>
      </c>
      <c r="V1475" s="135">
        <v>3.2753972728766199E-2</v>
      </c>
      <c r="W1475" s="135">
        <v>3.72649469581691E-2</v>
      </c>
      <c r="X1475" s="135">
        <v>4.2264625569504499E-2</v>
      </c>
      <c r="Y1475" s="135">
        <v>4.5599815132900297E-2</v>
      </c>
      <c r="Z1475" s="135">
        <v>3.7239510258981701E-2</v>
      </c>
      <c r="AA1475" s="135">
        <v>3.4788289899310598E-2</v>
      </c>
      <c r="AB1475" s="135">
        <v>3.0151795852275801E-2</v>
      </c>
      <c r="AC1475" s="135">
        <v>2.1868440841799001E-2</v>
      </c>
      <c r="AD1475" s="135">
        <v>1.6419778304740999E-2</v>
      </c>
      <c r="AF1475" s="243">
        <f t="shared" si="26"/>
        <v>0.28825536089400888</v>
      </c>
      <c r="AG1475" s="275">
        <f t="shared" si="27"/>
        <v>0.34520654345862584</v>
      </c>
      <c r="AH1475" s="391">
        <f t="shared" si="28"/>
        <v>0.46055757773980927</v>
      </c>
      <c r="AI1475" s="135">
        <f t="shared" si="29"/>
        <v>0.8057641211984351</v>
      </c>
    </row>
    <row r="1476" spans="1:35" ht="12.6">
      <c r="A1476" s="10" t="s">
        <v>58</v>
      </c>
      <c r="B1476" s="10">
        <v>15</v>
      </c>
      <c r="C1476" s="10" t="s">
        <v>1512</v>
      </c>
      <c r="D1476" s="388">
        <v>44941</v>
      </c>
      <c r="E1476" s="389">
        <v>44941</v>
      </c>
      <c r="F1476" s="390" t="str">
        <f t="shared" si="25"/>
        <v>Water heating</v>
      </c>
      <c r="G1476" s="135">
        <v>1.3082508954344801E-2</v>
      </c>
      <c r="H1476" s="135">
        <v>1.30811024928857E-2</v>
      </c>
      <c r="I1476" s="135">
        <v>1.3969953325436499E-2</v>
      </c>
      <c r="J1476" s="135">
        <v>2.3270448127445501E-2</v>
      </c>
      <c r="K1476" s="135">
        <v>2.3431258737808699E-2</v>
      </c>
      <c r="L1476" s="135">
        <v>1.5268551845299501E-2</v>
      </c>
      <c r="M1476" s="135">
        <v>2.5537282166894298E-2</v>
      </c>
      <c r="N1476" s="135">
        <v>4.44994470182054E-2</v>
      </c>
      <c r="O1476" s="135">
        <v>5.6016654668283199E-2</v>
      </c>
      <c r="P1476" s="135">
        <v>6.1019297108309799E-2</v>
      </c>
      <c r="Q1476" s="135">
        <v>5.9123118977511199E-2</v>
      </c>
      <c r="R1476" s="135">
        <v>4.9855023254526801E-2</v>
      </c>
      <c r="S1476" s="135">
        <v>4.0995148354533398E-2</v>
      </c>
      <c r="T1476" s="135">
        <v>3.4706222089425399E-2</v>
      </c>
      <c r="U1476" s="135">
        <v>3.35569285310768E-2</v>
      </c>
      <c r="V1476" s="135">
        <v>3.2753972728766199E-2</v>
      </c>
      <c r="W1476" s="135">
        <v>3.72649469581691E-2</v>
      </c>
      <c r="X1476" s="135">
        <v>4.2264625569504499E-2</v>
      </c>
      <c r="Y1476" s="135">
        <v>4.5599815132900297E-2</v>
      </c>
      <c r="Z1476" s="135">
        <v>3.7239510258981701E-2</v>
      </c>
      <c r="AA1476" s="135">
        <v>3.4788289899310598E-2</v>
      </c>
      <c r="AB1476" s="135">
        <v>3.0151795852275801E-2</v>
      </c>
      <c r="AC1476" s="135">
        <v>2.1868440841799001E-2</v>
      </c>
      <c r="AD1476" s="135">
        <v>1.6419778304740999E-2</v>
      </c>
      <c r="AF1476" s="243">
        <f t="shared" si="26"/>
        <v>0.28825536089400888</v>
      </c>
      <c r="AG1476" s="275">
        <f t="shared" si="27"/>
        <v>0.34520654345862584</v>
      </c>
      <c r="AH1476" s="391">
        <f t="shared" si="28"/>
        <v>0.46055757773980927</v>
      </c>
      <c r="AI1476" s="135">
        <f t="shared" si="29"/>
        <v>0.8057641211984351</v>
      </c>
    </row>
    <row r="1477" spans="1:35" ht="12.6">
      <c r="A1477" s="10" t="s">
        <v>58</v>
      </c>
      <c r="B1477" s="10">
        <v>16</v>
      </c>
      <c r="C1477" s="10" t="s">
        <v>1512</v>
      </c>
      <c r="D1477" s="388">
        <v>44942</v>
      </c>
      <c r="E1477" s="389">
        <v>44942</v>
      </c>
      <c r="F1477" s="390" t="str">
        <f t="shared" si="25"/>
        <v>Water heating</v>
      </c>
      <c r="G1477" s="135">
        <v>1.5290893441557801E-2</v>
      </c>
      <c r="H1477" s="135">
        <v>1.32263342863906E-2</v>
      </c>
      <c r="I1477" s="135">
        <v>1.30000935110582E-2</v>
      </c>
      <c r="J1477" s="135">
        <v>2.4830167929257699E-2</v>
      </c>
      <c r="K1477" s="135">
        <v>2.9859242664659499E-2</v>
      </c>
      <c r="L1477" s="135">
        <v>4.55896593242196E-2</v>
      </c>
      <c r="M1477" s="135">
        <v>8.2967846317717003E-2</v>
      </c>
      <c r="N1477" s="135">
        <v>6.4131388567432293E-2</v>
      </c>
      <c r="O1477" s="135">
        <v>4.0091954260129799E-2</v>
      </c>
      <c r="P1477" s="135">
        <v>4.5536797125460597E-2</v>
      </c>
      <c r="Q1477" s="135">
        <v>4.51589913472598E-2</v>
      </c>
      <c r="R1477" s="135">
        <v>3.3097581465197798E-2</v>
      </c>
      <c r="S1477" s="135">
        <v>2.6686336580521702E-2</v>
      </c>
      <c r="T1477" s="135">
        <v>2.2993216443812099E-2</v>
      </c>
      <c r="U1477" s="135">
        <v>2.4504916112011901E-2</v>
      </c>
      <c r="V1477" s="135">
        <v>2.6107546601569699E-2</v>
      </c>
      <c r="W1477" s="135">
        <v>3.1549530243412602E-2</v>
      </c>
      <c r="X1477" s="135">
        <v>4.3709661298243101E-2</v>
      </c>
      <c r="Y1477" s="135">
        <v>4.3444733521360197E-2</v>
      </c>
      <c r="Z1477" s="135">
        <v>4.2809475962730499E-2</v>
      </c>
      <c r="AA1477" s="135">
        <v>3.9741311901719603E-2</v>
      </c>
      <c r="AB1477" s="135">
        <v>3.28856203452823E-2</v>
      </c>
      <c r="AC1477" s="135">
        <v>2.29838001729794E-2</v>
      </c>
      <c r="AD1477" s="135">
        <v>1.54474575522471E-2</v>
      </c>
      <c r="AF1477" s="243">
        <f t="shared" si="26"/>
        <v>0.21009811879378559</v>
      </c>
      <c r="AG1477" s="275">
        <f t="shared" si="27"/>
        <v>0.39503704118141486</v>
      </c>
      <c r="AH1477" s="391">
        <f t="shared" si="28"/>
        <v>0.43060751579481599</v>
      </c>
      <c r="AI1477" s="135">
        <f t="shared" si="29"/>
        <v>0.82564455697623085</v>
      </c>
    </row>
    <row r="1478" spans="1:35" ht="12.6">
      <c r="A1478" s="10" t="s">
        <v>58</v>
      </c>
      <c r="B1478" s="10">
        <v>17</v>
      </c>
      <c r="C1478" s="10" t="s">
        <v>1512</v>
      </c>
      <c r="D1478" s="388">
        <v>44943</v>
      </c>
      <c r="E1478" s="389">
        <v>44943</v>
      </c>
      <c r="F1478" s="390" t="str">
        <f t="shared" si="25"/>
        <v>Water heating</v>
      </c>
      <c r="G1478" s="135">
        <v>1.5290893441557801E-2</v>
      </c>
      <c r="H1478" s="135">
        <v>1.32263342863906E-2</v>
      </c>
      <c r="I1478" s="135">
        <v>1.30000935110582E-2</v>
      </c>
      <c r="J1478" s="135">
        <v>2.4830167929257699E-2</v>
      </c>
      <c r="K1478" s="135">
        <v>2.9859242664659499E-2</v>
      </c>
      <c r="L1478" s="135">
        <v>4.55896593242196E-2</v>
      </c>
      <c r="M1478" s="135">
        <v>8.2967846317717003E-2</v>
      </c>
      <c r="N1478" s="135">
        <v>6.4131388567432293E-2</v>
      </c>
      <c r="O1478" s="135">
        <v>4.0091954260129799E-2</v>
      </c>
      <c r="P1478" s="135">
        <v>4.5536797125460597E-2</v>
      </c>
      <c r="Q1478" s="135">
        <v>4.51589913472598E-2</v>
      </c>
      <c r="R1478" s="135">
        <v>3.3097581465197798E-2</v>
      </c>
      <c r="S1478" s="135">
        <v>2.6686336580521702E-2</v>
      </c>
      <c r="T1478" s="135">
        <v>2.2993216443812099E-2</v>
      </c>
      <c r="U1478" s="135">
        <v>2.4504916112011901E-2</v>
      </c>
      <c r="V1478" s="135">
        <v>2.6107546601569699E-2</v>
      </c>
      <c r="W1478" s="135">
        <v>3.1549530243412602E-2</v>
      </c>
      <c r="X1478" s="135">
        <v>4.3709661298243101E-2</v>
      </c>
      <c r="Y1478" s="135">
        <v>4.3444733521360197E-2</v>
      </c>
      <c r="Z1478" s="135">
        <v>4.2809475962730499E-2</v>
      </c>
      <c r="AA1478" s="135">
        <v>3.9741311901719603E-2</v>
      </c>
      <c r="AB1478" s="135">
        <v>3.28856203452823E-2</v>
      </c>
      <c r="AC1478" s="135">
        <v>2.29838001729794E-2</v>
      </c>
      <c r="AD1478" s="135">
        <v>1.54474575522471E-2</v>
      </c>
      <c r="AF1478" s="243">
        <f t="shared" si="26"/>
        <v>0.21009811879378559</v>
      </c>
      <c r="AG1478" s="275">
        <f t="shared" si="27"/>
        <v>0.39503704118141486</v>
      </c>
      <c r="AH1478" s="391">
        <f t="shared" si="28"/>
        <v>0.43060751579481599</v>
      </c>
      <c r="AI1478" s="135">
        <f t="shared" si="29"/>
        <v>0.82564455697623085</v>
      </c>
    </row>
    <row r="1479" spans="1:35" ht="12.6">
      <c r="A1479" s="10" t="s">
        <v>58</v>
      </c>
      <c r="B1479" s="10">
        <v>18</v>
      </c>
      <c r="C1479" s="10" t="s">
        <v>1512</v>
      </c>
      <c r="D1479" s="388">
        <v>44944</v>
      </c>
      <c r="E1479" s="389">
        <v>44944</v>
      </c>
      <c r="F1479" s="390" t="str">
        <f t="shared" si="25"/>
        <v>Water heating</v>
      </c>
      <c r="G1479" s="135">
        <v>1.5290893441557801E-2</v>
      </c>
      <c r="H1479" s="135">
        <v>1.32263342863906E-2</v>
      </c>
      <c r="I1479" s="135">
        <v>1.30000935110582E-2</v>
      </c>
      <c r="J1479" s="135">
        <v>2.4830167929257699E-2</v>
      </c>
      <c r="K1479" s="135">
        <v>2.9859242664659499E-2</v>
      </c>
      <c r="L1479" s="135">
        <v>4.55896593242196E-2</v>
      </c>
      <c r="M1479" s="135">
        <v>8.2967846317717003E-2</v>
      </c>
      <c r="N1479" s="135">
        <v>6.4131388567432293E-2</v>
      </c>
      <c r="O1479" s="135">
        <v>4.0091954260129799E-2</v>
      </c>
      <c r="P1479" s="135">
        <v>4.5536797125460597E-2</v>
      </c>
      <c r="Q1479" s="135">
        <v>4.51589913472598E-2</v>
      </c>
      <c r="R1479" s="135">
        <v>3.3097581465197798E-2</v>
      </c>
      <c r="S1479" s="135">
        <v>2.6686336580521702E-2</v>
      </c>
      <c r="T1479" s="135">
        <v>2.2993216443812099E-2</v>
      </c>
      <c r="U1479" s="135">
        <v>2.4504916112011901E-2</v>
      </c>
      <c r="V1479" s="135">
        <v>2.6107546601569699E-2</v>
      </c>
      <c r="W1479" s="135">
        <v>3.1549530243412602E-2</v>
      </c>
      <c r="X1479" s="135">
        <v>4.3709661298243101E-2</v>
      </c>
      <c r="Y1479" s="135">
        <v>4.3444733521360197E-2</v>
      </c>
      <c r="Z1479" s="135">
        <v>4.2809475962730499E-2</v>
      </c>
      <c r="AA1479" s="135">
        <v>3.9741311901719603E-2</v>
      </c>
      <c r="AB1479" s="135">
        <v>3.28856203452823E-2</v>
      </c>
      <c r="AC1479" s="135">
        <v>2.29838001729794E-2</v>
      </c>
      <c r="AD1479" s="135">
        <v>1.54474575522471E-2</v>
      </c>
      <c r="AF1479" s="243">
        <f t="shared" si="26"/>
        <v>0.21009811879378559</v>
      </c>
      <c r="AG1479" s="275">
        <f t="shared" si="27"/>
        <v>0.39503704118141486</v>
      </c>
      <c r="AH1479" s="391">
        <f t="shared" si="28"/>
        <v>0.43060751579481599</v>
      </c>
      <c r="AI1479" s="135">
        <f t="shared" si="29"/>
        <v>0.82564455697623085</v>
      </c>
    </row>
    <row r="1480" spans="1:35" ht="12.6">
      <c r="A1480" s="10" t="s">
        <v>58</v>
      </c>
      <c r="B1480" s="10">
        <v>19</v>
      </c>
      <c r="C1480" s="10" t="s">
        <v>1512</v>
      </c>
      <c r="D1480" s="388">
        <v>44945</v>
      </c>
      <c r="E1480" s="389">
        <v>44945</v>
      </c>
      <c r="F1480" s="390" t="str">
        <f t="shared" si="25"/>
        <v>Water heating</v>
      </c>
      <c r="G1480" s="135">
        <v>1.5290893441557801E-2</v>
      </c>
      <c r="H1480" s="135">
        <v>1.32263342863906E-2</v>
      </c>
      <c r="I1480" s="135">
        <v>1.30000935110582E-2</v>
      </c>
      <c r="J1480" s="135">
        <v>2.4830167929257699E-2</v>
      </c>
      <c r="K1480" s="135">
        <v>2.9859242664659499E-2</v>
      </c>
      <c r="L1480" s="135">
        <v>4.55896593242196E-2</v>
      </c>
      <c r="M1480" s="135">
        <v>8.2967846317717003E-2</v>
      </c>
      <c r="N1480" s="135">
        <v>6.4131388567432293E-2</v>
      </c>
      <c r="O1480" s="135">
        <v>4.0091954260129799E-2</v>
      </c>
      <c r="P1480" s="135">
        <v>4.5536797125460597E-2</v>
      </c>
      <c r="Q1480" s="135">
        <v>4.51589913472598E-2</v>
      </c>
      <c r="R1480" s="135">
        <v>3.3097581465197798E-2</v>
      </c>
      <c r="S1480" s="135">
        <v>2.6686336580521702E-2</v>
      </c>
      <c r="T1480" s="135">
        <v>2.2993216443812099E-2</v>
      </c>
      <c r="U1480" s="135">
        <v>2.4504916112011901E-2</v>
      </c>
      <c r="V1480" s="135">
        <v>2.6107546601569699E-2</v>
      </c>
      <c r="W1480" s="135">
        <v>3.1549530243412602E-2</v>
      </c>
      <c r="X1480" s="135">
        <v>4.3709661298243101E-2</v>
      </c>
      <c r="Y1480" s="135">
        <v>4.3444733521360197E-2</v>
      </c>
      <c r="Z1480" s="135">
        <v>4.2809475962730499E-2</v>
      </c>
      <c r="AA1480" s="135">
        <v>3.9741311901719603E-2</v>
      </c>
      <c r="AB1480" s="135">
        <v>3.28856203452823E-2</v>
      </c>
      <c r="AC1480" s="135">
        <v>2.29838001729794E-2</v>
      </c>
      <c r="AD1480" s="135">
        <v>1.54474575522471E-2</v>
      </c>
      <c r="AF1480" s="243">
        <f t="shared" si="26"/>
        <v>0.21009811879378559</v>
      </c>
      <c r="AG1480" s="275">
        <f t="shared" si="27"/>
        <v>0.39503704118141486</v>
      </c>
      <c r="AH1480" s="391">
        <f t="shared" si="28"/>
        <v>0.43060751579481599</v>
      </c>
      <c r="AI1480" s="135">
        <f t="shared" si="29"/>
        <v>0.82564455697623085</v>
      </c>
    </row>
    <row r="1481" spans="1:35" ht="12.6">
      <c r="A1481" s="10" t="s">
        <v>58</v>
      </c>
      <c r="B1481" s="10">
        <v>20</v>
      </c>
      <c r="C1481" s="10" t="s">
        <v>1512</v>
      </c>
      <c r="D1481" s="388">
        <v>44946</v>
      </c>
      <c r="E1481" s="389">
        <v>44946</v>
      </c>
      <c r="F1481" s="390" t="str">
        <f t="shared" si="25"/>
        <v>Water heating</v>
      </c>
      <c r="G1481" s="135">
        <v>1.5290893441557801E-2</v>
      </c>
      <c r="H1481" s="135">
        <v>1.32263342863906E-2</v>
      </c>
      <c r="I1481" s="135">
        <v>1.30000935110582E-2</v>
      </c>
      <c r="J1481" s="135">
        <v>2.4830167929257699E-2</v>
      </c>
      <c r="K1481" s="135">
        <v>2.9859242664659499E-2</v>
      </c>
      <c r="L1481" s="135">
        <v>4.55896593242196E-2</v>
      </c>
      <c r="M1481" s="135">
        <v>8.2967846317717003E-2</v>
      </c>
      <c r="N1481" s="135">
        <v>6.4131388567432293E-2</v>
      </c>
      <c r="O1481" s="135">
        <v>4.0091954260129799E-2</v>
      </c>
      <c r="P1481" s="135">
        <v>4.5536797125460597E-2</v>
      </c>
      <c r="Q1481" s="135">
        <v>4.51589913472598E-2</v>
      </c>
      <c r="R1481" s="135">
        <v>3.3097581465197798E-2</v>
      </c>
      <c r="S1481" s="135">
        <v>2.6686336580521702E-2</v>
      </c>
      <c r="T1481" s="135">
        <v>2.2993216443812099E-2</v>
      </c>
      <c r="U1481" s="135">
        <v>2.4504916112011901E-2</v>
      </c>
      <c r="V1481" s="135">
        <v>2.6107546601569699E-2</v>
      </c>
      <c r="W1481" s="135">
        <v>3.1549530243412602E-2</v>
      </c>
      <c r="X1481" s="135">
        <v>4.3709661298243101E-2</v>
      </c>
      <c r="Y1481" s="135">
        <v>4.3444733521360197E-2</v>
      </c>
      <c r="Z1481" s="135">
        <v>4.2809475962730499E-2</v>
      </c>
      <c r="AA1481" s="135">
        <v>3.9741311901719603E-2</v>
      </c>
      <c r="AB1481" s="135">
        <v>3.28856203452823E-2</v>
      </c>
      <c r="AC1481" s="135">
        <v>2.29838001729794E-2</v>
      </c>
      <c r="AD1481" s="135">
        <v>1.54474575522471E-2</v>
      </c>
      <c r="AF1481" s="243">
        <f t="shared" si="26"/>
        <v>0.21009811879378559</v>
      </c>
      <c r="AG1481" s="275">
        <f t="shared" si="27"/>
        <v>0.39503704118141486</v>
      </c>
      <c r="AH1481" s="391">
        <f t="shared" si="28"/>
        <v>0.43060751579481599</v>
      </c>
      <c r="AI1481" s="135">
        <f t="shared" si="29"/>
        <v>0.82564455697623085</v>
      </c>
    </row>
    <row r="1482" spans="1:35" ht="12.6">
      <c r="A1482" s="10" t="s">
        <v>58</v>
      </c>
      <c r="B1482" s="10">
        <v>21</v>
      </c>
      <c r="C1482" s="10" t="s">
        <v>1512</v>
      </c>
      <c r="D1482" s="388">
        <v>44947</v>
      </c>
      <c r="E1482" s="389">
        <v>44947</v>
      </c>
      <c r="F1482" s="390" t="str">
        <f t="shared" si="25"/>
        <v>Water heating</v>
      </c>
      <c r="G1482" s="135">
        <v>1.3082508954344801E-2</v>
      </c>
      <c r="H1482" s="135">
        <v>1.30811024928857E-2</v>
      </c>
      <c r="I1482" s="135">
        <v>1.3969953325436499E-2</v>
      </c>
      <c r="J1482" s="135">
        <v>2.3270448127445501E-2</v>
      </c>
      <c r="K1482" s="135">
        <v>2.3431258737808699E-2</v>
      </c>
      <c r="L1482" s="135">
        <v>1.5268551845299501E-2</v>
      </c>
      <c r="M1482" s="135">
        <v>2.5537282166894298E-2</v>
      </c>
      <c r="N1482" s="135">
        <v>4.44994470182054E-2</v>
      </c>
      <c r="O1482" s="135">
        <v>5.6016654668283199E-2</v>
      </c>
      <c r="P1482" s="135">
        <v>6.1019297108309799E-2</v>
      </c>
      <c r="Q1482" s="135">
        <v>5.9123118977511199E-2</v>
      </c>
      <c r="R1482" s="135">
        <v>4.9855023254526801E-2</v>
      </c>
      <c r="S1482" s="135">
        <v>4.0995148354533398E-2</v>
      </c>
      <c r="T1482" s="135">
        <v>3.4706222089425399E-2</v>
      </c>
      <c r="U1482" s="135">
        <v>3.35569285310768E-2</v>
      </c>
      <c r="V1482" s="135">
        <v>3.2753972728766199E-2</v>
      </c>
      <c r="W1482" s="135">
        <v>3.72649469581691E-2</v>
      </c>
      <c r="X1482" s="135">
        <v>4.2264625569504499E-2</v>
      </c>
      <c r="Y1482" s="135">
        <v>4.5599815132900297E-2</v>
      </c>
      <c r="Z1482" s="135">
        <v>3.7239510258981701E-2</v>
      </c>
      <c r="AA1482" s="135">
        <v>3.4788289899310598E-2</v>
      </c>
      <c r="AB1482" s="135">
        <v>3.0151795852275801E-2</v>
      </c>
      <c r="AC1482" s="135">
        <v>2.1868440841799001E-2</v>
      </c>
      <c r="AD1482" s="135">
        <v>1.6419778304740999E-2</v>
      </c>
      <c r="AF1482" s="243">
        <f t="shared" si="26"/>
        <v>0.28825536089400888</v>
      </c>
      <c r="AG1482" s="275">
        <f t="shared" si="27"/>
        <v>0.34520654345862584</v>
      </c>
      <c r="AH1482" s="391">
        <f t="shared" si="28"/>
        <v>0.46055757773980927</v>
      </c>
      <c r="AI1482" s="135">
        <f t="shared" si="29"/>
        <v>0.8057641211984351</v>
      </c>
    </row>
    <row r="1483" spans="1:35" ht="12.6">
      <c r="A1483" s="10" t="s">
        <v>58</v>
      </c>
      <c r="B1483" s="10">
        <v>22</v>
      </c>
      <c r="C1483" s="10" t="s">
        <v>1512</v>
      </c>
      <c r="D1483" s="388">
        <v>44948</v>
      </c>
      <c r="E1483" s="389">
        <v>44948</v>
      </c>
      <c r="F1483" s="390" t="str">
        <f t="shared" si="25"/>
        <v>Water heating</v>
      </c>
      <c r="G1483" s="135">
        <v>1.3082508954344801E-2</v>
      </c>
      <c r="H1483" s="135">
        <v>1.30811024928857E-2</v>
      </c>
      <c r="I1483" s="135">
        <v>1.3969953325436499E-2</v>
      </c>
      <c r="J1483" s="135">
        <v>2.3270448127445501E-2</v>
      </c>
      <c r="K1483" s="135">
        <v>2.3431258737808699E-2</v>
      </c>
      <c r="L1483" s="135">
        <v>1.5268551845299501E-2</v>
      </c>
      <c r="M1483" s="135">
        <v>2.5537282166894298E-2</v>
      </c>
      <c r="N1483" s="135">
        <v>4.44994470182054E-2</v>
      </c>
      <c r="O1483" s="135">
        <v>5.6016654668283199E-2</v>
      </c>
      <c r="P1483" s="135">
        <v>6.1019297108309799E-2</v>
      </c>
      <c r="Q1483" s="135">
        <v>5.9123118977511199E-2</v>
      </c>
      <c r="R1483" s="135">
        <v>4.9855023254526801E-2</v>
      </c>
      <c r="S1483" s="135">
        <v>4.0995148354533398E-2</v>
      </c>
      <c r="T1483" s="135">
        <v>3.4706222089425399E-2</v>
      </c>
      <c r="U1483" s="135">
        <v>3.35569285310768E-2</v>
      </c>
      <c r="V1483" s="135">
        <v>3.2753972728766199E-2</v>
      </c>
      <c r="W1483" s="135">
        <v>3.72649469581691E-2</v>
      </c>
      <c r="X1483" s="135">
        <v>4.2264625569504499E-2</v>
      </c>
      <c r="Y1483" s="135">
        <v>4.5599815132900297E-2</v>
      </c>
      <c r="Z1483" s="135">
        <v>3.7239510258981701E-2</v>
      </c>
      <c r="AA1483" s="135">
        <v>3.4788289899310598E-2</v>
      </c>
      <c r="AB1483" s="135">
        <v>3.0151795852275801E-2</v>
      </c>
      <c r="AC1483" s="135">
        <v>2.1868440841799001E-2</v>
      </c>
      <c r="AD1483" s="135">
        <v>1.6419778304740999E-2</v>
      </c>
      <c r="AF1483" s="243">
        <f t="shared" si="26"/>
        <v>0.28825536089400888</v>
      </c>
      <c r="AG1483" s="275">
        <f t="shared" si="27"/>
        <v>0.34520654345862584</v>
      </c>
      <c r="AH1483" s="391">
        <f t="shared" si="28"/>
        <v>0.46055757773980927</v>
      </c>
      <c r="AI1483" s="135">
        <f t="shared" si="29"/>
        <v>0.8057641211984351</v>
      </c>
    </row>
    <row r="1484" spans="1:35" ht="12.6">
      <c r="A1484" s="10" t="s">
        <v>58</v>
      </c>
      <c r="B1484" s="10">
        <v>23</v>
      </c>
      <c r="C1484" s="10" t="s">
        <v>1512</v>
      </c>
      <c r="D1484" s="388">
        <v>44949</v>
      </c>
      <c r="E1484" s="389">
        <v>44949</v>
      </c>
      <c r="F1484" s="390" t="str">
        <f t="shared" si="25"/>
        <v>Water heating</v>
      </c>
      <c r="G1484" s="135">
        <v>1.5290893441557801E-2</v>
      </c>
      <c r="H1484" s="135">
        <v>1.32263342863906E-2</v>
      </c>
      <c r="I1484" s="135">
        <v>1.30000935110582E-2</v>
      </c>
      <c r="J1484" s="135">
        <v>2.4830167929257699E-2</v>
      </c>
      <c r="K1484" s="135">
        <v>2.9859242664659499E-2</v>
      </c>
      <c r="L1484" s="135">
        <v>4.55896593242196E-2</v>
      </c>
      <c r="M1484" s="135">
        <v>8.2967846317717003E-2</v>
      </c>
      <c r="N1484" s="135">
        <v>6.4131388567432293E-2</v>
      </c>
      <c r="O1484" s="135">
        <v>4.0091954260129799E-2</v>
      </c>
      <c r="P1484" s="135">
        <v>4.5536797125460597E-2</v>
      </c>
      <c r="Q1484" s="135">
        <v>4.51589913472598E-2</v>
      </c>
      <c r="R1484" s="135">
        <v>3.3097581465197798E-2</v>
      </c>
      <c r="S1484" s="135">
        <v>2.6686336580521702E-2</v>
      </c>
      <c r="T1484" s="135">
        <v>2.2993216443812099E-2</v>
      </c>
      <c r="U1484" s="135">
        <v>2.4504916112011901E-2</v>
      </c>
      <c r="V1484" s="135">
        <v>2.6107546601569699E-2</v>
      </c>
      <c r="W1484" s="135">
        <v>3.1549530243412602E-2</v>
      </c>
      <c r="X1484" s="135">
        <v>4.3709661298243101E-2</v>
      </c>
      <c r="Y1484" s="135">
        <v>4.3444733521360197E-2</v>
      </c>
      <c r="Z1484" s="135">
        <v>4.2809475962730499E-2</v>
      </c>
      <c r="AA1484" s="135">
        <v>3.9741311901719603E-2</v>
      </c>
      <c r="AB1484" s="135">
        <v>3.28856203452823E-2</v>
      </c>
      <c r="AC1484" s="135">
        <v>2.29838001729794E-2</v>
      </c>
      <c r="AD1484" s="135">
        <v>1.54474575522471E-2</v>
      </c>
      <c r="AF1484" s="243">
        <f t="shared" si="26"/>
        <v>0.21009811879378559</v>
      </c>
      <c r="AG1484" s="275">
        <f t="shared" si="27"/>
        <v>0.39503704118141486</v>
      </c>
      <c r="AH1484" s="391">
        <f t="shared" si="28"/>
        <v>0.43060751579481599</v>
      </c>
      <c r="AI1484" s="135">
        <f t="shared" si="29"/>
        <v>0.82564455697623085</v>
      </c>
    </row>
    <row r="1485" spans="1:35" ht="12.6">
      <c r="A1485" s="10" t="s">
        <v>58</v>
      </c>
      <c r="B1485" s="10">
        <v>24</v>
      </c>
      <c r="C1485" s="10" t="s">
        <v>1512</v>
      </c>
      <c r="D1485" s="388">
        <v>44950</v>
      </c>
      <c r="E1485" s="389">
        <v>44950</v>
      </c>
      <c r="F1485" s="390" t="str">
        <f t="shared" si="25"/>
        <v>Water heating</v>
      </c>
      <c r="G1485" s="135">
        <v>1.5290893441557801E-2</v>
      </c>
      <c r="H1485" s="135">
        <v>1.32263342863906E-2</v>
      </c>
      <c r="I1485" s="135">
        <v>1.30000935110582E-2</v>
      </c>
      <c r="J1485" s="135">
        <v>2.4830167929257699E-2</v>
      </c>
      <c r="K1485" s="135">
        <v>2.9859242664659499E-2</v>
      </c>
      <c r="L1485" s="135">
        <v>4.55896593242196E-2</v>
      </c>
      <c r="M1485" s="135">
        <v>8.2967846317717003E-2</v>
      </c>
      <c r="N1485" s="135">
        <v>6.4131388567432293E-2</v>
      </c>
      <c r="O1485" s="135">
        <v>4.0091954260129799E-2</v>
      </c>
      <c r="P1485" s="135">
        <v>4.5536797125460597E-2</v>
      </c>
      <c r="Q1485" s="135">
        <v>4.51589913472598E-2</v>
      </c>
      <c r="R1485" s="135">
        <v>3.3097581465197798E-2</v>
      </c>
      <c r="S1485" s="135">
        <v>2.6686336580521702E-2</v>
      </c>
      <c r="T1485" s="135">
        <v>2.2993216443812099E-2</v>
      </c>
      <c r="U1485" s="135">
        <v>2.4504916112011901E-2</v>
      </c>
      <c r="V1485" s="135">
        <v>2.6107546601569699E-2</v>
      </c>
      <c r="W1485" s="135">
        <v>3.1549530243412602E-2</v>
      </c>
      <c r="X1485" s="135">
        <v>4.3709661298243101E-2</v>
      </c>
      <c r="Y1485" s="135">
        <v>4.3444733521360197E-2</v>
      </c>
      <c r="Z1485" s="135">
        <v>4.2809475962730499E-2</v>
      </c>
      <c r="AA1485" s="135">
        <v>3.9741311901719603E-2</v>
      </c>
      <c r="AB1485" s="135">
        <v>3.28856203452823E-2</v>
      </c>
      <c r="AC1485" s="135">
        <v>2.29838001729794E-2</v>
      </c>
      <c r="AD1485" s="135">
        <v>1.54474575522471E-2</v>
      </c>
      <c r="AF1485" s="243">
        <f t="shared" si="26"/>
        <v>0.21009811879378559</v>
      </c>
      <c r="AG1485" s="275">
        <f t="shared" si="27"/>
        <v>0.39503704118141486</v>
      </c>
      <c r="AH1485" s="391">
        <f t="shared" si="28"/>
        <v>0.43060751579481599</v>
      </c>
      <c r="AI1485" s="135">
        <f t="shared" si="29"/>
        <v>0.82564455697623085</v>
      </c>
    </row>
    <row r="1486" spans="1:35" ht="12.6">
      <c r="A1486" s="10" t="s">
        <v>58</v>
      </c>
      <c r="B1486" s="10">
        <v>25</v>
      </c>
      <c r="C1486" s="10" t="s">
        <v>1512</v>
      </c>
      <c r="D1486" s="388">
        <v>44951</v>
      </c>
      <c r="E1486" s="389">
        <v>44951</v>
      </c>
      <c r="F1486" s="390" t="str">
        <f t="shared" si="25"/>
        <v>Water heating</v>
      </c>
      <c r="G1486" s="135">
        <v>1.5290893441557801E-2</v>
      </c>
      <c r="H1486" s="135">
        <v>1.32263342863906E-2</v>
      </c>
      <c r="I1486" s="135">
        <v>1.30000935110582E-2</v>
      </c>
      <c r="J1486" s="135">
        <v>2.4830167929257699E-2</v>
      </c>
      <c r="K1486" s="135">
        <v>2.9859242664659499E-2</v>
      </c>
      <c r="L1486" s="135">
        <v>4.55896593242196E-2</v>
      </c>
      <c r="M1486" s="135">
        <v>8.2967846317717003E-2</v>
      </c>
      <c r="N1486" s="135">
        <v>6.4131388567432293E-2</v>
      </c>
      <c r="O1486" s="135">
        <v>4.0091954260129799E-2</v>
      </c>
      <c r="P1486" s="135">
        <v>4.5536797125460597E-2</v>
      </c>
      <c r="Q1486" s="135">
        <v>4.51589913472598E-2</v>
      </c>
      <c r="R1486" s="135">
        <v>3.3097581465197798E-2</v>
      </c>
      <c r="S1486" s="135">
        <v>2.6686336580521702E-2</v>
      </c>
      <c r="T1486" s="135">
        <v>2.2993216443812099E-2</v>
      </c>
      <c r="U1486" s="135">
        <v>2.4504916112011901E-2</v>
      </c>
      <c r="V1486" s="135">
        <v>2.6107546601569699E-2</v>
      </c>
      <c r="W1486" s="135">
        <v>3.1549530243412602E-2</v>
      </c>
      <c r="X1486" s="135">
        <v>4.3709661298243101E-2</v>
      </c>
      <c r="Y1486" s="135">
        <v>4.3444733521360197E-2</v>
      </c>
      <c r="Z1486" s="135">
        <v>4.2809475962730499E-2</v>
      </c>
      <c r="AA1486" s="135">
        <v>3.9741311901719603E-2</v>
      </c>
      <c r="AB1486" s="135">
        <v>3.28856203452823E-2</v>
      </c>
      <c r="AC1486" s="135">
        <v>2.29838001729794E-2</v>
      </c>
      <c r="AD1486" s="135">
        <v>1.54474575522471E-2</v>
      </c>
      <c r="AF1486" s="243">
        <f t="shared" si="26"/>
        <v>0.21009811879378559</v>
      </c>
      <c r="AG1486" s="275">
        <f t="shared" si="27"/>
        <v>0.39503704118141486</v>
      </c>
      <c r="AH1486" s="391">
        <f t="shared" si="28"/>
        <v>0.43060751579481599</v>
      </c>
      <c r="AI1486" s="135">
        <f t="shared" si="29"/>
        <v>0.82564455697623085</v>
      </c>
    </row>
    <row r="1487" spans="1:35" ht="12.6">
      <c r="A1487" s="10" t="s">
        <v>58</v>
      </c>
      <c r="B1487" s="10">
        <v>26</v>
      </c>
      <c r="C1487" s="10" t="s">
        <v>1512</v>
      </c>
      <c r="D1487" s="388">
        <v>44952</v>
      </c>
      <c r="E1487" s="389">
        <v>44952</v>
      </c>
      <c r="F1487" s="390" t="str">
        <f t="shared" si="25"/>
        <v>Water heating</v>
      </c>
      <c r="G1487" s="135">
        <v>1.5290893441557801E-2</v>
      </c>
      <c r="H1487" s="135">
        <v>1.32263342863906E-2</v>
      </c>
      <c r="I1487" s="135">
        <v>1.30000935110582E-2</v>
      </c>
      <c r="J1487" s="135">
        <v>2.4830167929257699E-2</v>
      </c>
      <c r="K1487" s="135">
        <v>2.9859242664659499E-2</v>
      </c>
      <c r="L1487" s="135">
        <v>4.55896593242196E-2</v>
      </c>
      <c r="M1487" s="135">
        <v>8.2967846317717003E-2</v>
      </c>
      <c r="N1487" s="135">
        <v>6.4131388567432293E-2</v>
      </c>
      <c r="O1487" s="135">
        <v>4.0091954260129799E-2</v>
      </c>
      <c r="P1487" s="135">
        <v>4.5536797125460597E-2</v>
      </c>
      <c r="Q1487" s="135">
        <v>4.51589913472598E-2</v>
      </c>
      <c r="R1487" s="135">
        <v>3.3097581465197798E-2</v>
      </c>
      <c r="S1487" s="135">
        <v>2.6686336580521702E-2</v>
      </c>
      <c r="T1487" s="135">
        <v>2.2993216443812099E-2</v>
      </c>
      <c r="U1487" s="135">
        <v>2.4504916112011901E-2</v>
      </c>
      <c r="V1487" s="135">
        <v>2.6107546601569699E-2</v>
      </c>
      <c r="W1487" s="135">
        <v>3.1549530243412602E-2</v>
      </c>
      <c r="X1487" s="135">
        <v>4.3709661298243101E-2</v>
      </c>
      <c r="Y1487" s="135">
        <v>4.3444733521360197E-2</v>
      </c>
      <c r="Z1487" s="135">
        <v>4.2809475962730499E-2</v>
      </c>
      <c r="AA1487" s="135">
        <v>3.9741311901719603E-2</v>
      </c>
      <c r="AB1487" s="135">
        <v>3.28856203452823E-2</v>
      </c>
      <c r="AC1487" s="135">
        <v>2.29838001729794E-2</v>
      </c>
      <c r="AD1487" s="135">
        <v>1.54474575522471E-2</v>
      </c>
      <c r="AF1487" s="243">
        <f t="shared" si="26"/>
        <v>0.21009811879378559</v>
      </c>
      <c r="AG1487" s="275">
        <f t="shared" si="27"/>
        <v>0.39503704118141486</v>
      </c>
      <c r="AH1487" s="391">
        <f t="shared" si="28"/>
        <v>0.43060751579481599</v>
      </c>
      <c r="AI1487" s="135">
        <f t="shared" si="29"/>
        <v>0.82564455697623085</v>
      </c>
    </row>
    <row r="1488" spans="1:35" ht="12.6">
      <c r="A1488" s="10" t="s">
        <v>58</v>
      </c>
      <c r="B1488" s="10">
        <v>27</v>
      </c>
      <c r="C1488" s="10" t="s">
        <v>1512</v>
      </c>
      <c r="D1488" s="388">
        <v>44953</v>
      </c>
      <c r="E1488" s="389">
        <v>44953</v>
      </c>
      <c r="F1488" s="390" t="str">
        <f t="shared" si="25"/>
        <v>Water heating</v>
      </c>
      <c r="G1488" s="135">
        <v>1.5290893441557801E-2</v>
      </c>
      <c r="H1488" s="135">
        <v>1.32263342863906E-2</v>
      </c>
      <c r="I1488" s="135">
        <v>1.30000935110582E-2</v>
      </c>
      <c r="J1488" s="135">
        <v>2.4830167929257699E-2</v>
      </c>
      <c r="K1488" s="135">
        <v>2.9859242664659499E-2</v>
      </c>
      <c r="L1488" s="135">
        <v>4.55896593242196E-2</v>
      </c>
      <c r="M1488" s="135">
        <v>8.2967846317717003E-2</v>
      </c>
      <c r="N1488" s="135">
        <v>6.4131388567432293E-2</v>
      </c>
      <c r="O1488" s="135">
        <v>4.0091954260129799E-2</v>
      </c>
      <c r="P1488" s="135">
        <v>4.5536797125460597E-2</v>
      </c>
      <c r="Q1488" s="135">
        <v>4.51589913472598E-2</v>
      </c>
      <c r="R1488" s="135">
        <v>3.3097581465197798E-2</v>
      </c>
      <c r="S1488" s="135">
        <v>2.6686336580521702E-2</v>
      </c>
      <c r="T1488" s="135">
        <v>2.2993216443812099E-2</v>
      </c>
      <c r="U1488" s="135">
        <v>2.4504916112011901E-2</v>
      </c>
      <c r="V1488" s="135">
        <v>2.6107546601569699E-2</v>
      </c>
      <c r="W1488" s="135">
        <v>3.1549530243412602E-2</v>
      </c>
      <c r="X1488" s="135">
        <v>4.3709661298243101E-2</v>
      </c>
      <c r="Y1488" s="135">
        <v>4.3444733521360197E-2</v>
      </c>
      <c r="Z1488" s="135">
        <v>4.2809475962730499E-2</v>
      </c>
      <c r="AA1488" s="135">
        <v>3.9741311901719603E-2</v>
      </c>
      <c r="AB1488" s="135">
        <v>3.28856203452823E-2</v>
      </c>
      <c r="AC1488" s="135">
        <v>2.29838001729794E-2</v>
      </c>
      <c r="AD1488" s="135">
        <v>1.54474575522471E-2</v>
      </c>
      <c r="AF1488" s="243">
        <f t="shared" si="26"/>
        <v>0.21009811879378559</v>
      </c>
      <c r="AG1488" s="275">
        <f t="shared" si="27"/>
        <v>0.39503704118141486</v>
      </c>
      <c r="AH1488" s="391">
        <f t="shared" si="28"/>
        <v>0.43060751579481599</v>
      </c>
      <c r="AI1488" s="135">
        <f t="shared" si="29"/>
        <v>0.82564455697623085</v>
      </c>
    </row>
    <row r="1489" spans="1:35" ht="12.6">
      <c r="A1489" s="10" t="s">
        <v>58</v>
      </c>
      <c r="B1489" s="10">
        <v>28</v>
      </c>
      <c r="C1489" s="10" t="s">
        <v>1512</v>
      </c>
      <c r="D1489" s="388">
        <v>44954</v>
      </c>
      <c r="E1489" s="389">
        <v>44954</v>
      </c>
      <c r="F1489" s="390" t="str">
        <f t="shared" si="25"/>
        <v>Water heating</v>
      </c>
      <c r="G1489" s="135">
        <v>1.3082508954344801E-2</v>
      </c>
      <c r="H1489" s="135">
        <v>1.30811024928857E-2</v>
      </c>
      <c r="I1489" s="135">
        <v>1.3969953325436499E-2</v>
      </c>
      <c r="J1489" s="135">
        <v>2.3270448127445501E-2</v>
      </c>
      <c r="K1489" s="135">
        <v>2.3431258737808699E-2</v>
      </c>
      <c r="L1489" s="135">
        <v>1.5268551845299501E-2</v>
      </c>
      <c r="M1489" s="135">
        <v>2.5537282166894298E-2</v>
      </c>
      <c r="N1489" s="135">
        <v>4.44994470182054E-2</v>
      </c>
      <c r="O1489" s="135">
        <v>5.6016654668283199E-2</v>
      </c>
      <c r="P1489" s="135">
        <v>6.1019297108309799E-2</v>
      </c>
      <c r="Q1489" s="135">
        <v>5.9123118977511199E-2</v>
      </c>
      <c r="R1489" s="135">
        <v>4.9855023254526801E-2</v>
      </c>
      <c r="S1489" s="135">
        <v>4.0995148354533398E-2</v>
      </c>
      <c r="T1489" s="135">
        <v>3.4706222089425399E-2</v>
      </c>
      <c r="U1489" s="135">
        <v>3.35569285310768E-2</v>
      </c>
      <c r="V1489" s="135">
        <v>3.2753972728766199E-2</v>
      </c>
      <c r="W1489" s="135">
        <v>3.72649469581691E-2</v>
      </c>
      <c r="X1489" s="135">
        <v>4.2264625569504499E-2</v>
      </c>
      <c r="Y1489" s="135">
        <v>4.5599815132900297E-2</v>
      </c>
      <c r="Z1489" s="135">
        <v>3.7239510258981701E-2</v>
      </c>
      <c r="AA1489" s="135">
        <v>3.4788289899310598E-2</v>
      </c>
      <c r="AB1489" s="135">
        <v>3.0151795852275801E-2</v>
      </c>
      <c r="AC1489" s="135">
        <v>2.1868440841799001E-2</v>
      </c>
      <c r="AD1489" s="135">
        <v>1.6419778304740999E-2</v>
      </c>
      <c r="AF1489" s="243">
        <f t="shared" si="26"/>
        <v>0.28825536089400888</v>
      </c>
      <c r="AG1489" s="275">
        <f t="shared" si="27"/>
        <v>0.34520654345862584</v>
      </c>
      <c r="AH1489" s="391">
        <f t="shared" si="28"/>
        <v>0.46055757773980927</v>
      </c>
      <c r="AI1489" s="135">
        <f t="shared" si="29"/>
        <v>0.8057641211984351</v>
      </c>
    </row>
    <row r="1490" spans="1:35" ht="12.6">
      <c r="A1490" s="10" t="s">
        <v>58</v>
      </c>
      <c r="B1490" s="10">
        <v>29</v>
      </c>
      <c r="C1490" s="10" t="s">
        <v>1512</v>
      </c>
      <c r="D1490" s="388">
        <v>44955</v>
      </c>
      <c r="E1490" s="389">
        <v>44955</v>
      </c>
      <c r="F1490" s="390" t="str">
        <f t="shared" si="25"/>
        <v>Water heating</v>
      </c>
      <c r="G1490" s="135">
        <v>1.3082508954344801E-2</v>
      </c>
      <c r="H1490" s="135">
        <v>1.30811024928857E-2</v>
      </c>
      <c r="I1490" s="135">
        <v>1.3969953325436499E-2</v>
      </c>
      <c r="J1490" s="135">
        <v>2.3270448127445501E-2</v>
      </c>
      <c r="K1490" s="135">
        <v>2.3431258737808699E-2</v>
      </c>
      <c r="L1490" s="135">
        <v>1.5268551845299501E-2</v>
      </c>
      <c r="M1490" s="135">
        <v>2.5537282166894298E-2</v>
      </c>
      <c r="N1490" s="135">
        <v>4.44994470182054E-2</v>
      </c>
      <c r="O1490" s="135">
        <v>5.6016654668283199E-2</v>
      </c>
      <c r="P1490" s="135">
        <v>6.1019297108309799E-2</v>
      </c>
      <c r="Q1490" s="135">
        <v>5.9123118977511199E-2</v>
      </c>
      <c r="R1490" s="135">
        <v>4.9855023254526801E-2</v>
      </c>
      <c r="S1490" s="135">
        <v>4.0995148354533398E-2</v>
      </c>
      <c r="T1490" s="135">
        <v>3.4706222089425399E-2</v>
      </c>
      <c r="U1490" s="135">
        <v>3.35569285310768E-2</v>
      </c>
      <c r="V1490" s="135">
        <v>3.2753972728766199E-2</v>
      </c>
      <c r="W1490" s="135">
        <v>3.72649469581691E-2</v>
      </c>
      <c r="X1490" s="135">
        <v>4.2264625569504499E-2</v>
      </c>
      <c r="Y1490" s="135">
        <v>4.5599815132900297E-2</v>
      </c>
      <c r="Z1490" s="135">
        <v>3.7239510258981701E-2</v>
      </c>
      <c r="AA1490" s="135">
        <v>3.4788289899310598E-2</v>
      </c>
      <c r="AB1490" s="135">
        <v>3.0151795852275801E-2</v>
      </c>
      <c r="AC1490" s="135">
        <v>2.1868440841799001E-2</v>
      </c>
      <c r="AD1490" s="135">
        <v>1.6419778304740999E-2</v>
      </c>
      <c r="AF1490" s="243">
        <f t="shared" si="26"/>
        <v>0.28825536089400888</v>
      </c>
      <c r="AG1490" s="275">
        <f t="shared" si="27"/>
        <v>0.34520654345862584</v>
      </c>
      <c r="AH1490" s="391">
        <f t="shared" si="28"/>
        <v>0.46055757773980927</v>
      </c>
      <c r="AI1490" s="135">
        <f t="shared" si="29"/>
        <v>0.8057641211984351</v>
      </c>
    </row>
    <row r="1491" spans="1:35" ht="12.6">
      <c r="A1491" s="10" t="s">
        <v>58</v>
      </c>
      <c r="B1491" s="10">
        <v>30</v>
      </c>
      <c r="C1491" s="10" t="s">
        <v>1512</v>
      </c>
      <c r="D1491" s="388">
        <v>44956</v>
      </c>
      <c r="E1491" s="389">
        <v>44956</v>
      </c>
      <c r="F1491" s="390" t="str">
        <f t="shared" si="25"/>
        <v>Water heating</v>
      </c>
      <c r="G1491" s="135">
        <v>1.5290893441557801E-2</v>
      </c>
      <c r="H1491" s="135">
        <v>1.32263342863906E-2</v>
      </c>
      <c r="I1491" s="135">
        <v>1.30000935110582E-2</v>
      </c>
      <c r="J1491" s="135">
        <v>2.4830167929257699E-2</v>
      </c>
      <c r="K1491" s="135">
        <v>2.9859242664659499E-2</v>
      </c>
      <c r="L1491" s="135">
        <v>4.55896593242196E-2</v>
      </c>
      <c r="M1491" s="135">
        <v>8.2967846317717003E-2</v>
      </c>
      <c r="N1491" s="135">
        <v>6.4131388567432293E-2</v>
      </c>
      <c r="O1491" s="135">
        <v>4.0091954260129799E-2</v>
      </c>
      <c r="P1491" s="135">
        <v>4.5536797125460597E-2</v>
      </c>
      <c r="Q1491" s="135">
        <v>4.51589913472598E-2</v>
      </c>
      <c r="R1491" s="135">
        <v>3.3097581465197798E-2</v>
      </c>
      <c r="S1491" s="135">
        <v>2.6686336580521702E-2</v>
      </c>
      <c r="T1491" s="135">
        <v>2.2993216443812099E-2</v>
      </c>
      <c r="U1491" s="135">
        <v>2.4504916112011901E-2</v>
      </c>
      <c r="V1491" s="135">
        <v>2.6107546601569699E-2</v>
      </c>
      <c r="W1491" s="135">
        <v>3.1549530243412602E-2</v>
      </c>
      <c r="X1491" s="135">
        <v>4.3709661298243101E-2</v>
      </c>
      <c r="Y1491" s="135">
        <v>4.3444733521360197E-2</v>
      </c>
      <c r="Z1491" s="135">
        <v>4.2809475962730499E-2</v>
      </c>
      <c r="AA1491" s="135">
        <v>3.9741311901719603E-2</v>
      </c>
      <c r="AB1491" s="135">
        <v>3.28856203452823E-2</v>
      </c>
      <c r="AC1491" s="135">
        <v>2.29838001729794E-2</v>
      </c>
      <c r="AD1491" s="135">
        <v>1.54474575522471E-2</v>
      </c>
      <c r="AF1491" s="243">
        <f t="shared" si="26"/>
        <v>0.21009811879378559</v>
      </c>
      <c r="AG1491" s="275">
        <f t="shared" si="27"/>
        <v>0.39503704118141486</v>
      </c>
      <c r="AH1491" s="391">
        <f t="shared" si="28"/>
        <v>0.43060751579481599</v>
      </c>
      <c r="AI1491" s="135">
        <f t="shared" si="29"/>
        <v>0.82564455697623085</v>
      </c>
    </row>
    <row r="1492" spans="1:35" ht="12.6">
      <c r="A1492" s="10" t="s">
        <v>58</v>
      </c>
      <c r="B1492" s="10">
        <v>31</v>
      </c>
      <c r="C1492" s="10" t="s">
        <v>1512</v>
      </c>
      <c r="D1492" s="388">
        <v>44957</v>
      </c>
      <c r="E1492" s="389">
        <v>44957</v>
      </c>
      <c r="F1492" s="390" t="str">
        <f t="shared" si="25"/>
        <v>Water heating</v>
      </c>
      <c r="G1492" s="135">
        <v>1.5290893441557801E-2</v>
      </c>
      <c r="H1492" s="135">
        <v>1.32263342863906E-2</v>
      </c>
      <c r="I1492" s="135">
        <v>1.30000935110582E-2</v>
      </c>
      <c r="J1492" s="135">
        <v>2.4830167929257699E-2</v>
      </c>
      <c r="K1492" s="135">
        <v>2.9859242664659499E-2</v>
      </c>
      <c r="L1492" s="135">
        <v>4.55896593242196E-2</v>
      </c>
      <c r="M1492" s="135">
        <v>8.2967846317717003E-2</v>
      </c>
      <c r="N1492" s="135">
        <v>6.4131388567432293E-2</v>
      </c>
      <c r="O1492" s="135">
        <v>4.0091954260129799E-2</v>
      </c>
      <c r="P1492" s="135">
        <v>4.5536797125460597E-2</v>
      </c>
      <c r="Q1492" s="135">
        <v>4.51589913472598E-2</v>
      </c>
      <c r="R1492" s="135">
        <v>3.3097581465197798E-2</v>
      </c>
      <c r="S1492" s="135">
        <v>2.6686336580521702E-2</v>
      </c>
      <c r="T1492" s="135">
        <v>2.2993216443812099E-2</v>
      </c>
      <c r="U1492" s="135">
        <v>2.4504916112011901E-2</v>
      </c>
      <c r="V1492" s="135">
        <v>2.6107546601569699E-2</v>
      </c>
      <c r="W1492" s="135">
        <v>3.1549530243412602E-2</v>
      </c>
      <c r="X1492" s="135">
        <v>4.3709661298243101E-2</v>
      </c>
      <c r="Y1492" s="135">
        <v>4.3444733521360197E-2</v>
      </c>
      <c r="Z1492" s="135">
        <v>4.2809475962730499E-2</v>
      </c>
      <c r="AA1492" s="135">
        <v>3.9741311901719603E-2</v>
      </c>
      <c r="AB1492" s="135">
        <v>3.28856203452823E-2</v>
      </c>
      <c r="AC1492" s="135">
        <v>2.29838001729794E-2</v>
      </c>
      <c r="AD1492" s="135">
        <v>1.54474575522471E-2</v>
      </c>
      <c r="AF1492" s="243">
        <f t="shared" si="26"/>
        <v>0.21009811879378559</v>
      </c>
      <c r="AG1492" s="275">
        <f t="shared" si="27"/>
        <v>0.39503704118141486</v>
      </c>
      <c r="AH1492" s="391">
        <f t="shared" si="28"/>
        <v>0.43060751579481599</v>
      </c>
      <c r="AI1492" s="135">
        <f t="shared" si="29"/>
        <v>0.82564455697623085</v>
      </c>
    </row>
    <row r="1493" spans="1:35" ht="12.6">
      <c r="A1493" s="10" t="s">
        <v>58</v>
      </c>
      <c r="B1493" s="10">
        <v>32</v>
      </c>
      <c r="C1493" s="10" t="s">
        <v>1512</v>
      </c>
      <c r="D1493" s="388">
        <v>44958</v>
      </c>
      <c r="E1493" s="389">
        <v>44958</v>
      </c>
      <c r="F1493" s="390" t="str">
        <f t="shared" si="25"/>
        <v>Water heating</v>
      </c>
      <c r="G1493" s="135">
        <v>1.5290893441557801E-2</v>
      </c>
      <c r="H1493" s="135">
        <v>1.32263342863906E-2</v>
      </c>
      <c r="I1493" s="135">
        <v>1.30000935110582E-2</v>
      </c>
      <c r="J1493" s="135">
        <v>2.4830167929257699E-2</v>
      </c>
      <c r="K1493" s="135">
        <v>2.9859242664659499E-2</v>
      </c>
      <c r="L1493" s="135">
        <v>4.55896593242196E-2</v>
      </c>
      <c r="M1493" s="135">
        <v>8.2967846317717003E-2</v>
      </c>
      <c r="N1493" s="135">
        <v>6.4131388567432293E-2</v>
      </c>
      <c r="O1493" s="135">
        <v>4.0091954260129799E-2</v>
      </c>
      <c r="P1493" s="135">
        <v>4.5536797125460597E-2</v>
      </c>
      <c r="Q1493" s="135">
        <v>4.51589913472598E-2</v>
      </c>
      <c r="R1493" s="135">
        <v>3.3097581465197798E-2</v>
      </c>
      <c r="S1493" s="135">
        <v>2.6686336580521702E-2</v>
      </c>
      <c r="T1493" s="135">
        <v>2.2993216443812099E-2</v>
      </c>
      <c r="U1493" s="135">
        <v>2.4504916112011901E-2</v>
      </c>
      <c r="V1493" s="135">
        <v>2.6107546601569699E-2</v>
      </c>
      <c r="W1493" s="135">
        <v>3.1549530243412602E-2</v>
      </c>
      <c r="X1493" s="135">
        <v>4.3709661298243101E-2</v>
      </c>
      <c r="Y1493" s="135">
        <v>4.3444733521360197E-2</v>
      </c>
      <c r="Z1493" s="135">
        <v>4.2809475962730499E-2</v>
      </c>
      <c r="AA1493" s="135">
        <v>3.9741311901719603E-2</v>
      </c>
      <c r="AB1493" s="135">
        <v>3.28856203452823E-2</v>
      </c>
      <c r="AC1493" s="135">
        <v>2.29838001729794E-2</v>
      </c>
      <c r="AD1493" s="135">
        <v>1.54474575522471E-2</v>
      </c>
      <c r="AF1493" s="243">
        <f t="shared" si="26"/>
        <v>0.21009811879378559</v>
      </c>
      <c r="AG1493" s="275">
        <f t="shared" si="27"/>
        <v>0.39503704118141486</v>
      </c>
      <c r="AH1493" s="391">
        <f t="shared" si="28"/>
        <v>0.43060751579481599</v>
      </c>
      <c r="AI1493" s="135">
        <f t="shared" si="29"/>
        <v>0.82564455697623085</v>
      </c>
    </row>
    <row r="1494" spans="1:35" ht="12.6">
      <c r="A1494" s="10" t="s">
        <v>58</v>
      </c>
      <c r="B1494" s="10">
        <v>33</v>
      </c>
      <c r="C1494" s="10" t="s">
        <v>1512</v>
      </c>
      <c r="D1494" s="388">
        <v>44959</v>
      </c>
      <c r="E1494" s="389">
        <v>44959</v>
      </c>
      <c r="F1494" s="390" t="str">
        <f t="shared" si="25"/>
        <v>Water heating</v>
      </c>
      <c r="G1494" s="135">
        <v>1.5290893441557801E-2</v>
      </c>
      <c r="H1494" s="135">
        <v>1.32263342863906E-2</v>
      </c>
      <c r="I1494" s="135">
        <v>1.30000935110582E-2</v>
      </c>
      <c r="J1494" s="135">
        <v>2.4830167929257699E-2</v>
      </c>
      <c r="K1494" s="135">
        <v>2.9859242664659499E-2</v>
      </c>
      <c r="L1494" s="135">
        <v>4.55896593242196E-2</v>
      </c>
      <c r="M1494" s="135">
        <v>8.2967846317717003E-2</v>
      </c>
      <c r="N1494" s="135">
        <v>6.4131388567432293E-2</v>
      </c>
      <c r="O1494" s="135">
        <v>4.0091954260129799E-2</v>
      </c>
      <c r="P1494" s="135">
        <v>4.5536797125460597E-2</v>
      </c>
      <c r="Q1494" s="135">
        <v>4.51589913472598E-2</v>
      </c>
      <c r="R1494" s="135">
        <v>3.3097581465197798E-2</v>
      </c>
      <c r="S1494" s="135">
        <v>2.6686336580521702E-2</v>
      </c>
      <c r="T1494" s="135">
        <v>2.2993216443812099E-2</v>
      </c>
      <c r="U1494" s="135">
        <v>2.4504916112011901E-2</v>
      </c>
      <c r="V1494" s="135">
        <v>2.6107546601569699E-2</v>
      </c>
      <c r="W1494" s="135">
        <v>3.1549530243412602E-2</v>
      </c>
      <c r="X1494" s="135">
        <v>4.3709661298243101E-2</v>
      </c>
      <c r="Y1494" s="135">
        <v>4.3444733521360197E-2</v>
      </c>
      <c r="Z1494" s="135">
        <v>4.2809475962730499E-2</v>
      </c>
      <c r="AA1494" s="135">
        <v>3.9741311901719603E-2</v>
      </c>
      <c r="AB1494" s="135">
        <v>3.28856203452823E-2</v>
      </c>
      <c r="AC1494" s="135">
        <v>2.29838001729794E-2</v>
      </c>
      <c r="AD1494" s="135">
        <v>1.54474575522471E-2</v>
      </c>
      <c r="AF1494" s="243">
        <f t="shared" si="26"/>
        <v>0.21009811879378559</v>
      </c>
      <c r="AG1494" s="275">
        <f t="shared" si="27"/>
        <v>0.39503704118141486</v>
      </c>
      <c r="AH1494" s="391">
        <f t="shared" si="28"/>
        <v>0.43060751579481599</v>
      </c>
      <c r="AI1494" s="135">
        <f t="shared" si="29"/>
        <v>0.82564455697623085</v>
      </c>
    </row>
    <row r="1495" spans="1:35" ht="12.6">
      <c r="A1495" s="10" t="s">
        <v>58</v>
      </c>
      <c r="B1495" s="10">
        <v>34</v>
      </c>
      <c r="C1495" s="10" t="s">
        <v>1512</v>
      </c>
      <c r="D1495" s="388">
        <v>44960</v>
      </c>
      <c r="E1495" s="389">
        <v>44960</v>
      </c>
      <c r="F1495" s="390" t="str">
        <f t="shared" si="25"/>
        <v>Water heating</v>
      </c>
      <c r="G1495" s="135">
        <v>1.5290893441557801E-2</v>
      </c>
      <c r="H1495" s="135">
        <v>1.32263342863906E-2</v>
      </c>
      <c r="I1495" s="135">
        <v>1.30000935110582E-2</v>
      </c>
      <c r="J1495" s="135">
        <v>2.4830167929257699E-2</v>
      </c>
      <c r="K1495" s="135">
        <v>2.9859242664659499E-2</v>
      </c>
      <c r="L1495" s="135">
        <v>4.55896593242196E-2</v>
      </c>
      <c r="M1495" s="135">
        <v>8.2967846317717003E-2</v>
      </c>
      <c r="N1495" s="135">
        <v>6.4131388567432293E-2</v>
      </c>
      <c r="O1495" s="135">
        <v>4.0091954260129799E-2</v>
      </c>
      <c r="P1495" s="135">
        <v>4.5536797125460597E-2</v>
      </c>
      <c r="Q1495" s="135">
        <v>4.51589913472598E-2</v>
      </c>
      <c r="R1495" s="135">
        <v>3.3097581465197798E-2</v>
      </c>
      <c r="S1495" s="135">
        <v>2.6686336580521702E-2</v>
      </c>
      <c r="T1495" s="135">
        <v>2.2993216443812099E-2</v>
      </c>
      <c r="U1495" s="135">
        <v>2.4504916112011901E-2</v>
      </c>
      <c r="V1495" s="135">
        <v>2.6107546601569699E-2</v>
      </c>
      <c r="W1495" s="135">
        <v>3.1549530243412602E-2</v>
      </c>
      <c r="X1495" s="135">
        <v>4.3709661298243101E-2</v>
      </c>
      <c r="Y1495" s="135">
        <v>4.3444733521360197E-2</v>
      </c>
      <c r="Z1495" s="135">
        <v>4.2809475962730499E-2</v>
      </c>
      <c r="AA1495" s="135">
        <v>3.9741311901719603E-2</v>
      </c>
      <c r="AB1495" s="135">
        <v>3.28856203452823E-2</v>
      </c>
      <c r="AC1495" s="135">
        <v>2.29838001729794E-2</v>
      </c>
      <c r="AD1495" s="135">
        <v>1.54474575522471E-2</v>
      </c>
      <c r="AF1495" s="243">
        <f t="shared" si="26"/>
        <v>0.21009811879378559</v>
      </c>
      <c r="AG1495" s="275">
        <f t="shared" si="27"/>
        <v>0.39503704118141486</v>
      </c>
      <c r="AH1495" s="391">
        <f t="shared" si="28"/>
        <v>0.43060751579481599</v>
      </c>
      <c r="AI1495" s="135">
        <f t="shared" si="29"/>
        <v>0.82564455697623085</v>
      </c>
    </row>
    <row r="1496" spans="1:35" ht="12.6">
      <c r="A1496" s="10" t="s">
        <v>58</v>
      </c>
      <c r="B1496" s="10">
        <v>35</v>
      </c>
      <c r="C1496" s="10" t="s">
        <v>1512</v>
      </c>
      <c r="D1496" s="388">
        <v>44961</v>
      </c>
      <c r="E1496" s="389">
        <v>44961</v>
      </c>
      <c r="F1496" s="390" t="str">
        <f t="shared" si="25"/>
        <v>Water heating</v>
      </c>
      <c r="G1496" s="135">
        <v>1.3082508954344801E-2</v>
      </c>
      <c r="H1496" s="135">
        <v>1.30811024928857E-2</v>
      </c>
      <c r="I1496" s="135">
        <v>1.3969953325436499E-2</v>
      </c>
      <c r="J1496" s="135">
        <v>2.3270448127445501E-2</v>
      </c>
      <c r="K1496" s="135">
        <v>2.3431258737808699E-2</v>
      </c>
      <c r="L1496" s="135">
        <v>1.5268551845299501E-2</v>
      </c>
      <c r="M1496" s="135">
        <v>2.5537282166894298E-2</v>
      </c>
      <c r="N1496" s="135">
        <v>4.44994470182054E-2</v>
      </c>
      <c r="O1496" s="135">
        <v>5.6016654668283199E-2</v>
      </c>
      <c r="P1496" s="135">
        <v>6.1019297108309799E-2</v>
      </c>
      <c r="Q1496" s="135">
        <v>5.9123118977511199E-2</v>
      </c>
      <c r="R1496" s="135">
        <v>4.9855023254526801E-2</v>
      </c>
      <c r="S1496" s="135">
        <v>4.0995148354533398E-2</v>
      </c>
      <c r="T1496" s="135">
        <v>3.4706222089425399E-2</v>
      </c>
      <c r="U1496" s="135">
        <v>3.35569285310768E-2</v>
      </c>
      <c r="V1496" s="135">
        <v>3.2753972728766199E-2</v>
      </c>
      <c r="W1496" s="135">
        <v>3.72649469581691E-2</v>
      </c>
      <c r="X1496" s="135">
        <v>4.2264625569504499E-2</v>
      </c>
      <c r="Y1496" s="135">
        <v>4.5599815132900297E-2</v>
      </c>
      <c r="Z1496" s="135">
        <v>3.7239510258981701E-2</v>
      </c>
      <c r="AA1496" s="135">
        <v>3.4788289899310598E-2</v>
      </c>
      <c r="AB1496" s="135">
        <v>3.0151795852275801E-2</v>
      </c>
      <c r="AC1496" s="135">
        <v>2.1868440841799001E-2</v>
      </c>
      <c r="AD1496" s="135">
        <v>1.6419778304740999E-2</v>
      </c>
      <c r="AF1496" s="243">
        <f t="shared" si="26"/>
        <v>0.28825536089400888</v>
      </c>
      <c r="AG1496" s="275">
        <f t="shared" si="27"/>
        <v>0.34520654345862584</v>
      </c>
      <c r="AH1496" s="391">
        <f t="shared" si="28"/>
        <v>0.46055757773980927</v>
      </c>
      <c r="AI1496" s="135">
        <f t="shared" si="29"/>
        <v>0.8057641211984351</v>
      </c>
    </row>
    <row r="1497" spans="1:35" ht="12.6">
      <c r="A1497" s="10" t="s">
        <v>58</v>
      </c>
      <c r="B1497" s="10">
        <v>36</v>
      </c>
      <c r="C1497" s="10" t="s">
        <v>1512</v>
      </c>
      <c r="D1497" s="388">
        <v>44962</v>
      </c>
      <c r="E1497" s="389">
        <v>44962</v>
      </c>
      <c r="F1497" s="390" t="str">
        <f t="shared" si="25"/>
        <v>Water heating</v>
      </c>
      <c r="G1497" s="135">
        <v>1.3082508954344801E-2</v>
      </c>
      <c r="H1497" s="135">
        <v>1.30811024928857E-2</v>
      </c>
      <c r="I1497" s="135">
        <v>1.3969953325436499E-2</v>
      </c>
      <c r="J1497" s="135">
        <v>2.3270448127445501E-2</v>
      </c>
      <c r="K1497" s="135">
        <v>2.3431258737808699E-2</v>
      </c>
      <c r="L1497" s="135">
        <v>1.5268551845299501E-2</v>
      </c>
      <c r="M1497" s="135">
        <v>2.5537282166894298E-2</v>
      </c>
      <c r="N1497" s="135">
        <v>4.44994470182054E-2</v>
      </c>
      <c r="O1497" s="135">
        <v>5.6016654668283199E-2</v>
      </c>
      <c r="P1497" s="135">
        <v>6.1019297108309799E-2</v>
      </c>
      <c r="Q1497" s="135">
        <v>5.9123118977511199E-2</v>
      </c>
      <c r="R1497" s="135">
        <v>4.9855023254526801E-2</v>
      </c>
      <c r="S1497" s="135">
        <v>4.0995148354533398E-2</v>
      </c>
      <c r="T1497" s="135">
        <v>3.4706222089425399E-2</v>
      </c>
      <c r="U1497" s="135">
        <v>3.35569285310768E-2</v>
      </c>
      <c r="V1497" s="135">
        <v>3.2753972728766199E-2</v>
      </c>
      <c r="W1497" s="135">
        <v>3.72649469581691E-2</v>
      </c>
      <c r="X1497" s="135">
        <v>4.2264625569504499E-2</v>
      </c>
      <c r="Y1497" s="135">
        <v>4.5599815132900297E-2</v>
      </c>
      <c r="Z1497" s="135">
        <v>3.7239510258981701E-2</v>
      </c>
      <c r="AA1497" s="135">
        <v>3.4788289899310598E-2</v>
      </c>
      <c r="AB1497" s="135">
        <v>3.0151795852275801E-2</v>
      </c>
      <c r="AC1497" s="135">
        <v>2.1868440841799001E-2</v>
      </c>
      <c r="AD1497" s="135">
        <v>1.6419778304740999E-2</v>
      </c>
      <c r="AF1497" s="243">
        <f t="shared" si="26"/>
        <v>0.28825536089400888</v>
      </c>
      <c r="AG1497" s="275">
        <f t="shared" si="27"/>
        <v>0.34520654345862584</v>
      </c>
      <c r="AH1497" s="391">
        <f t="shared" si="28"/>
        <v>0.46055757773980927</v>
      </c>
      <c r="AI1497" s="135">
        <f t="shared" si="29"/>
        <v>0.8057641211984351</v>
      </c>
    </row>
    <row r="1498" spans="1:35" ht="12.6">
      <c r="A1498" s="10" t="s">
        <v>58</v>
      </c>
      <c r="B1498" s="10">
        <v>37</v>
      </c>
      <c r="C1498" s="10" t="s">
        <v>1512</v>
      </c>
      <c r="D1498" s="388">
        <v>44963</v>
      </c>
      <c r="E1498" s="389">
        <v>44963</v>
      </c>
      <c r="F1498" s="390" t="str">
        <f t="shared" si="25"/>
        <v>Water heating</v>
      </c>
      <c r="G1498" s="135">
        <v>1.5290893441557801E-2</v>
      </c>
      <c r="H1498" s="135">
        <v>1.32263342863906E-2</v>
      </c>
      <c r="I1498" s="135">
        <v>1.30000935110582E-2</v>
      </c>
      <c r="J1498" s="135">
        <v>2.4830167929257699E-2</v>
      </c>
      <c r="K1498" s="135">
        <v>2.9859242664659499E-2</v>
      </c>
      <c r="L1498" s="135">
        <v>4.55896593242196E-2</v>
      </c>
      <c r="M1498" s="135">
        <v>8.2967846317717003E-2</v>
      </c>
      <c r="N1498" s="135">
        <v>6.4131388567432293E-2</v>
      </c>
      <c r="O1498" s="135">
        <v>4.0091954260129799E-2</v>
      </c>
      <c r="P1498" s="135">
        <v>4.5536797125460597E-2</v>
      </c>
      <c r="Q1498" s="135">
        <v>4.51589913472598E-2</v>
      </c>
      <c r="R1498" s="135">
        <v>3.3097581465197798E-2</v>
      </c>
      <c r="S1498" s="135">
        <v>2.6686336580521702E-2</v>
      </c>
      <c r="T1498" s="135">
        <v>2.2993216443812099E-2</v>
      </c>
      <c r="U1498" s="135">
        <v>2.4504916112011901E-2</v>
      </c>
      <c r="V1498" s="135">
        <v>2.6107546601569699E-2</v>
      </c>
      <c r="W1498" s="135">
        <v>3.1549530243412602E-2</v>
      </c>
      <c r="X1498" s="135">
        <v>4.3709661298243101E-2</v>
      </c>
      <c r="Y1498" s="135">
        <v>4.3444733521360197E-2</v>
      </c>
      <c r="Z1498" s="135">
        <v>4.2809475962730499E-2</v>
      </c>
      <c r="AA1498" s="135">
        <v>3.9741311901719603E-2</v>
      </c>
      <c r="AB1498" s="135">
        <v>3.28856203452823E-2</v>
      </c>
      <c r="AC1498" s="135">
        <v>2.29838001729794E-2</v>
      </c>
      <c r="AD1498" s="135">
        <v>1.54474575522471E-2</v>
      </c>
      <c r="AF1498" s="243">
        <f t="shared" si="26"/>
        <v>0.21009811879378559</v>
      </c>
      <c r="AG1498" s="275">
        <f t="shared" si="27"/>
        <v>0.39503704118141486</v>
      </c>
      <c r="AH1498" s="391">
        <f t="shared" si="28"/>
        <v>0.43060751579481599</v>
      </c>
      <c r="AI1498" s="135">
        <f t="shared" si="29"/>
        <v>0.82564455697623085</v>
      </c>
    </row>
    <row r="1499" spans="1:35" ht="12.6">
      <c r="A1499" s="10" t="s">
        <v>58</v>
      </c>
      <c r="B1499" s="10">
        <v>38</v>
      </c>
      <c r="C1499" s="10" t="s">
        <v>1512</v>
      </c>
      <c r="D1499" s="388">
        <v>44964</v>
      </c>
      <c r="E1499" s="389">
        <v>44964</v>
      </c>
      <c r="F1499" s="390" t="str">
        <f t="shared" si="25"/>
        <v>Water heating</v>
      </c>
      <c r="G1499" s="135">
        <v>1.5290893441557801E-2</v>
      </c>
      <c r="H1499" s="135">
        <v>1.32263342863906E-2</v>
      </c>
      <c r="I1499" s="135">
        <v>1.30000935110582E-2</v>
      </c>
      <c r="J1499" s="135">
        <v>2.4830167929257699E-2</v>
      </c>
      <c r="K1499" s="135">
        <v>2.9859242664659499E-2</v>
      </c>
      <c r="L1499" s="135">
        <v>4.55896593242196E-2</v>
      </c>
      <c r="M1499" s="135">
        <v>8.2967846317717003E-2</v>
      </c>
      <c r="N1499" s="135">
        <v>6.4131388567432293E-2</v>
      </c>
      <c r="O1499" s="135">
        <v>4.0091954260129799E-2</v>
      </c>
      <c r="P1499" s="135">
        <v>4.5536797125460597E-2</v>
      </c>
      <c r="Q1499" s="135">
        <v>4.51589913472598E-2</v>
      </c>
      <c r="R1499" s="135">
        <v>3.3097581465197798E-2</v>
      </c>
      <c r="S1499" s="135">
        <v>2.6686336580521702E-2</v>
      </c>
      <c r="T1499" s="135">
        <v>2.2993216443812099E-2</v>
      </c>
      <c r="U1499" s="135">
        <v>2.4504916112011901E-2</v>
      </c>
      <c r="V1499" s="135">
        <v>2.6107546601569699E-2</v>
      </c>
      <c r="W1499" s="135">
        <v>3.1549530243412602E-2</v>
      </c>
      <c r="X1499" s="135">
        <v>4.3709661298243101E-2</v>
      </c>
      <c r="Y1499" s="135">
        <v>4.3444733521360197E-2</v>
      </c>
      <c r="Z1499" s="135">
        <v>4.2809475962730499E-2</v>
      </c>
      <c r="AA1499" s="135">
        <v>3.9741311901719603E-2</v>
      </c>
      <c r="AB1499" s="135">
        <v>3.28856203452823E-2</v>
      </c>
      <c r="AC1499" s="135">
        <v>2.29838001729794E-2</v>
      </c>
      <c r="AD1499" s="135">
        <v>1.54474575522471E-2</v>
      </c>
      <c r="AF1499" s="243">
        <f t="shared" si="26"/>
        <v>0.21009811879378559</v>
      </c>
      <c r="AG1499" s="275">
        <f t="shared" si="27"/>
        <v>0.39503704118141486</v>
      </c>
      <c r="AH1499" s="391">
        <f t="shared" si="28"/>
        <v>0.43060751579481599</v>
      </c>
      <c r="AI1499" s="135">
        <f t="shared" si="29"/>
        <v>0.82564455697623085</v>
      </c>
    </row>
    <row r="1500" spans="1:35" ht="12.6">
      <c r="A1500" s="10" t="s">
        <v>58</v>
      </c>
      <c r="B1500" s="10">
        <v>39</v>
      </c>
      <c r="C1500" s="10" t="s">
        <v>1512</v>
      </c>
      <c r="D1500" s="388">
        <v>44965</v>
      </c>
      <c r="E1500" s="389">
        <v>44965</v>
      </c>
      <c r="F1500" s="390" t="str">
        <f t="shared" si="25"/>
        <v>Water heating</v>
      </c>
      <c r="G1500" s="135">
        <v>1.5290893441557801E-2</v>
      </c>
      <c r="H1500" s="135">
        <v>1.32263342863906E-2</v>
      </c>
      <c r="I1500" s="135">
        <v>1.30000935110582E-2</v>
      </c>
      <c r="J1500" s="135">
        <v>2.4830167929257699E-2</v>
      </c>
      <c r="K1500" s="135">
        <v>2.9859242664659499E-2</v>
      </c>
      <c r="L1500" s="135">
        <v>4.55896593242196E-2</v>
      </c>
      <c r="M1500" s="135">
        <v>8.2967846317717003E-2</v>
      </c>
      <c r="N1500" s="135">
        <v>6.4131388567432293E-2</v>
      </c>
      <c r="O1500" s="135">
        <v>4.0091954260129799E-2</v>
      </c>
      <c r="P1500" s="135">
        <v>4.5536797125460597E-2</v>
      </c>
      <c r="Q1500" s="135">
        <v>4.51589913472598E-2</v>
      </c>
      <c r="R1500" s="135">
        <v>3.3097581465197798E-2</v>
      </c>
      <c r="S1500" s="135">
        <v>2.6686336580521702E-2</v>
      </c>
      <c r="T1500" s="135">
        <v>2.2993216443812099E-2</v>
      </c>
      <c r="U1500" s="135">
        <v>2.4504916112011901E-2</v>
      </c>
      <c r="V1500" s="135">
        <v>2.6107546601569699E-2</v>
      </c>
      <c r="W1500" s="135">
        <v>3.1549530243412602E-2</v>
      </c>
      <c r="X1500" s="135">
        <v>4.3709661298243101E-2</v>
      </c>
      <c r="Y1500" s="135">
        <v>4.3444733521360197E-2</v>
      </c>
      <c r="Z1500" s="135">
        <v>4.2809475962730499E-2</v>
      </c>
      <c r="AA1500" s="135">
        <v>3.9741311901719603E-2</v>
      </c>
      <c r="AB1500" s="135">
        <v>3.28856203452823E-2</v>
      </c>
      <c r="AC1500" s="135">
        <v>2.29838001729794E-2</v>
      </c>
      <c r="AD1500" s="135">
        <v>1.54474575522471E-2</v>
      </c>
      <c r="AF1500" s="243">
        <f t="shared" si="26"/>
        <v>0.21009811879378559</v>
      </c>
      <c r="AG1500" s="275">
        <f t="shared" si="27"/>
        <v>0.39503704118141486</v>
      </c>
      <c r="AH1500" s="391">
        <f t="shared" si="28"/>
        <v>0.43060751579481599</v>
      </c>
      <c r="AI1500" s="135">
        <f t="shared" si="29"/>
        <v>0.82564455697623085</v>
      </c>
    </row>
    <row r="1501" spans="1:35" ht="12.6">
      <c r="A1501" s="10" t="s">
        <v>58</v>
      </c>
      <c r="B1501" s="10">
        <v>40</v>
      </c>
      <c r="C1501" s="10" t="s">
        <v>1512</v>
      </c>
      <c r="D1501" s="388">
        <v>44966</v>
      </c>
      <c r="E1501" s="389">
        <v>44966</v>
      </c>
      <c r="F1501" s="390" t="str">
        <f t="shared" si="25"/>
        <v>Water heating</v>
      </c>
      <c r="G1501" s="135">
        <v>1.5290893441557801E-2</v>
      </c>
      <c r="H1501" s="135">
        <v>1.32263342863906E-2</v>
      </c>
      <c r="I1501" s="135">
        <v>1.30000935110582E-2</v>
      </c>
      <c r="J1501" s="135">
        <v>2.4830167929257699E-2</v>
      </c>
      <c r="K1501" s="135">
        <v>2.9859242664659499E-2</v>
      </c>
      <c r="L1501" s="135">
        <v>4.55896593242196E-2</v>
      </c>
      <c r="M1501" s="135">
        <v>8.2967846317717003E-2</v>
      </c>
      <c r="N1501" s="135">
        <v>6.4131388567432293E-2</v>
      </c>
      <c r="O1501" s="135">
        <v>4.0091954260129799E-2</v>
      </c>
      <c r="P1501" s="135">
        <v>4.5536797125460597E-2</v>
      </c>
      <c r="Q1501" s="135">
        <v>4.51589913472598E-2</v>
      </c>
      <c r="R1501" s="135">
        <v>3.3097581465197798E-2</v>
      </c>
      <c r="S1501" s="135">
        <v>2.6686336580521702E-2</v>
      </c>
      <c r="T1501" s="135">
        <v>2.2993216443812099E-2</v>
      </c>
      <c r="U1501" s="135">
        <v>2.4504916112011901E-2</v>
      </c>
      <c r="V1501" s="135">
        <v>2.6107546601569699E-2</v>
      </c>
      <c r="W1501" s="135">
        <v>3.1549530243412602E-2</v>
      </c>
      <c r="X1501" s="135">
        <v>4.3709661298243101E-2</v>
      </c>
      <c r="Y1501" s="135">
        <v>4.3444733521360197E-2</v>
      </c>
      <c r="Z1501" s="135">
        <v>4.2809475962730499E-2</v>
      </c>
      <c r="AA1501" s="135">
        <v>3.9741311901719603E-2</v>
      </c>
      <c r="AB1501" s="135">
        <v>3.28856203452823E-2</v>
      </c>
      <c r="AC1501" s="135">
        <v>2.29838001729794E-2</v>
      </c>
      <c r="AD1501" s="135">
        <v>1.54474575522471E-2</v>
      </c>
      <c r="AF1501" s="243">
        <f t="shared" si="26"/>
        <v>0.21009811879378559</v>
      </c>
      <c r="AG1501" s="275">
        <f t="shared" si="27"/>
        <v>0.39503704118141486</v>
      </c>
      <c r="AH1501" s="391">
        <f t="shared" si="28"/>
        <v>0.43060751579481599</v>
      </c>
      <c r="AI1501" s="135">
        <f t="shared" si="29"/>
        <v>0.82564455697623085</v>
      </c>
    </row>
    <row r="1502" spans="1:35" ht="12.6">
      <c r="A1502" s="10" t="s">
        <v>58</v>
      </c>
      <c r="B1502" s="10">
        <v>41</v>
      </c>
      <c r="C1502" s="10" t="s">
        <v>1512</v>
      </c>
      <c r="D1502" s="388">
        <v>44967</v>
      </c>
      <c r="E1502" s="389">
        <v>44967</v>
      </c>
      <c r="F1502" s="390" t="str">
        <f t="shared" si="25"/>
        <v>Water heating</v>
      </c>
      <c r="G1502" s="135">
        <v>1.5290893441557801E-2</v>
      </c>
      <c r="H1502" s="135">
        <v>1.32263342863906E-2</v>
      </c>
      <c r="I1502" s="135">
        <v>1.30000935110582E-2</v>
      </c>
      <c r="J1502" s="135">
        <v>2.4830167929257699E-2</v>
      </c>
      <c r="K1502" s="135">
        <v>2.9859242664659499E-2</v>
      </c>
      <c r="L1502" s="135">
        <v>4.55896593242196E-2</v>
      </c>
      <c r="M1502" s="135">
        <v>8.2967846317717003E-2</v>
      </c>
      <c r="N1502" s="135">
        <v>6.4131388567432293E-2</v>
      </c>
      <c r="O1502" s="135">
        <v>4.0091954260129799E-2</v>
      </c>
      <c r="P1502" s="135">
        <v>4.5536797125460597E-2</v>
      </c>
      <c r="Q1502" s="135">
        <v>4.51589913472598E-2</v>
      </c>
      <c r="R1502" s="135">
        <v>3.3097581465197798E-2</v>
      </c>
      <c r="S1502" s="135">
        <v>2.6686336580521702E-2</v>
      </c>
      <c r="T1502" s="135">
        <v>2.2993216443812099E-2</v>
      </c>
      <c r="U1502" s="135">
        <v>2.4504916112011901E-2</v>
      </c>
      <c r="V1502" s="135">
        <v>2.6107546601569699E-2</v>
      </c>
      <c r="W1502" s="135">
        <v>3.1549530243412602E-2</v>
      </c>
      <c r="X1502" s="135">
        <v>4.3709661298243101E-2</v>
      </c>
      <c r="Y1502" s="135">
        <v>4.3444733521360197E-2</v>
      </c>
      <c r="Z1502" s="135">
        <v>4.2809475962730499E-2</v>
      </c>
      <c r="AA1502" s="135">
        <v>3.9741311901719603E-2</v>
      </c>
      <c r="AB1502" s="135">
        <v>3.28856203452823E-2</v>
      </c>
      <c r="AC1502" s="135">
        <v>2.29838001729794E-2</v>
      </c>
      <c r="AD1502" s="135">
        <v>1.54474575522471E-2</v>
      </c>
      <c r="AF1502" s="243">
        <f t="shared" si="26"/>
        <v>0.21009811879378559</v>
      </c>
      <c r="AG1502" s="275">
        <f t="shared" si="27"/>
        <v>0.39503704118141486</v>
      </c>
      <c r="AH1502" s="391">
        <f t="shared" si="28"/>
        <v>0.43060751579481599</v>
      </c>
      <c r="AI1502" s="135">
        <f t="shared" si="29"/>
        <v>0.82564455697623085</v>
      </c>
    </row>
    <row r="1503" spans="1:35" ht="12.6">
      <c r="A1503" s="10" t="s">
        <v>58</v>
      </c>
      <c r="B1503" s="10">
        <v>42</v>
      </c>
      <c r="C1503" s="10" t="s">
        <v>1512</v>
      </c>
      <c r="D1503" s="388">
        <v>44968</v>
      </c>
      <c r="E1503" s="389">
        <v>44968</v>
      </c>
      <c r="F1503" s="390" t="str">
        <f t="shared" si="25"/>
        <v>Water heating</v>
      </c>
      <c r="G1503" s="135">
        <v>1.3082508954344801E-2</v>
      </c>
      <c r="H1503" s="135">
        <v>1.30811024928857E-2</v>
      </c>
      <c r="I1503" s="135">
        <v>1.3969953325436499E-2</v>
      </c>
      <c r="J1503" s="135">
        <v>2.3270448127445501E-2</v>
      </c>
      <c r="K1503" s="135">
        <v>2.3431258737808699E-2</v>
      </c>
      <c r="L1503" s="135">
        <v>1.5268551845299501E-2</v>
      </c>
      <c r="M1503" s="135">
        <v>2.5537282166894298E-2</v>
      </c>
      <c r="N1503" s="135">
        <v>4.44994470182054E-2</v>
      </c>
      <c r="O1503" s="135">
        <v>5.6016654668283199E-2</v>
      </c>
      <c r="P1503" s="135">
        <v>6.1019297108309799E-2</v>
      </c>
      <c r="Q1503" s="135">
        <v>5.9123118977511199E-2</v>
      </c>
      <c r="R1503" s="135">
        <v>4.9855023254526801E-2</v>
      </c>
      <c r="S1503" s="135">
        <v>4.0995148354533398E-2</v>
      </c>
      <c r="T1503" s="135">
        <v>3.4706222089425399E-2</v>
      </c>
      <c r="U1503" s="135">
        <v>3.35569285310768E-2</v>
      </c>
      <c r="V1503" s="135">
        <v>3.2753972728766199E-2</v>
      </c>
      <c r="W1503" s="135">
        <v>3.72649469581691E-2</v>
      </c>
      <c r="X1503" s="135">
        <v>4.2264625569504499E-2</v>
      </c>
      <c r="Y1503" s="135">
        <v>4.5599815132900297E-2</v>
      </c>
      <c r="Z1503" s="135">
        <v>3.7239510258981701E-2</v>
      </c>
      <c r="AA1503" s="135">
        <v>3.4788289899310598E-2</v>
      </c>
      <c r="AB1503" s="135">
        <v>3.0151795852275801E-2</v>
      </c>
      <c r="AC1503" s="135">
        <v>2.1868440841799001E-2</v>
      </c>
      <c r="AD1503" s="135">
        <v>1.6419778304740999E-2</v>
      </c>
      <c r="AF1503" s="243">
        <f t="shared" si="26"/>
        <v>0.28825536089400888</v>
      </c>
      <c r="AG1503" s="275">
        <f t="shared" si="27"/>
        <v>0.34520654345862584</v>
      </c>
      <c r="AH1503" s="391">
        <f t="shared" si="28"/>
        <v>0.46055757773980927</v>
      </c>
      <c r="AI1503" s="135">
        <f t="shared" si="29"/>
        <v>0.8057641211984351</v>
      </c>
    </row>
    <row r="1504" spans="1:35" ht="12.6">
      <c r="A1504" s="10" t="s">
        <v>58</v>
      </c>
      <c r="B1504" s="10">
        <v>43</v>
      </c>
      <c r="C1504" s="10" t="s">
        <v>1512</v>
      </c>
      <c r="D1504" s="388">
        <v>44969</v>
      </c>
      <c r="E1504" s="389">
        <v>44969</v>
      </c>
      <c r="F1504" s="390" t="str">
        <f t="shared" si="25"/>
        <v>Water heating</v>
      </c>
      <c r="G1504" s="135">
        <v>1.3082508954344801E-2</v>
      </c>
      <c r="H1504" s="135">
        <v>1.30811024928857E-2</v>
      </c>
      <c r="I1504" s="135">
        <v>1.3969953325436499E-2</v>
      </c>
      <c r="J1504" s="135">
        <v>2.3270448127445501E-2</v>
      </c>
      <c r="K1504" s="135">
        <v>2.3431258737808699E-2</v>
      </c>
      <c r="L1504" s="135">
        <v>1.5268551845299501E-2</v>
      </c>
      <c r="M1504" s="135">
        <v>2.5537282166894298E-2</v>
      </c>
      <c r="N1504" s="135">
        <v>4.44994470182054E-2</v>
      </c>
      <c r="O1504" s="135">
        <v>5.6016654668283199E-2</v>
      </c>
      <c r="P1504" s="135">
        <v>6.1019297108309799E-2</v>
      </c>
      <c r="Q1504" s="135">
        <v>5.9123118977511199E-2</v>
      </c>
      <c r="R1504" s="135">
        <v>4.9855023254526801E-2</v>
      </c>
      <c r="S1504" s="135">
        <v>4.0995148354533398E-2</v>
      </c>
      <c r="T1504" s="135">
        <v>3.4706222089425399E-2</v>
      </c>
      <c r="U1504" s="135">
        <v>3.35569285310768E-2</v>
      </c>
      <c r="V1504" s="135">
        <v>3.2753972728766199E-2</v>
      </c>
      <c r="W1504" s="135">
        <v>3.72649469581691E-2</v>
      </c>
      <c r="X1504" s="135">
        <v>4.2264625569504499E-2</v>
      </c>
      <c r="Y1504" s="135">
        <v>4.5599815132900297E-2</v>
      </c>
      <c r="Z1504" s="135">
        <v>3.7239510258981701E-2</v>
      </c>
      <c r="AA1504" s="135">
        <v>3.4788289899310598E-2</v>
      </c>
      <c r="AB1504" s="135">
        <v>3.0151795852275801E-2</v>
      </c>
      <c r="AC1504" s="135">
        <v>2.1868440841799001E-2</v>
      </c>
      <c r="AD1504" s="135">
        <v>1.6419778304740999E-2</v>
      </c>
      <c r="AF1504" s="243">
        <f t="shared" si="26"/>
        <v>0.28825536089400888</v>
      </c>
      <c r="AG1504" s="275">
        <f t="shared" si="27"/>
        <v>0.34520654345862584</v>
      </c>
      <c r="AH1504" s="391">
        <f t="shared" si="28"/>
        <v>0.46055757773980927</v>
      </c>
      <c r="AI1504" s="135">
        <f t="shared" si="29"/>
        <v>0.8057641211984351</v>
      </c>
    </row>
    <row r="1505" spans="1:35" ht="12.6">
      <c r="A1505" s="10" t="s">
        <v>58</v>
      </c>
      <c r="B1505" s="10">
        <v>44</v>
      </c>
      <c r="C1505" s="10" t="s">
        <v>1512</v>
      </c>
      <c r="D1505" s="388">
        <v>44970</v>
      </c>
      <c r="E1505" s="389">
        <v>44970</v>
      </c>
      <c r="F1505" s="390" t="str">
        <f t="shared" si="25"/>
        <v>Water heating</v>
      </c>
      <c r="G1505" s="135">
        <v>1.5290893441557801E-2</v>
      </c>
      <c r="H1505" s="135">
        <v>1.32263342863906E-2</v>
      </c>
      <c r="I1505" s="135">
        <v>1.30000935110582E-2</v>
      </c>
      <c r="J1505" s="135">
        <v>2.4830167929257699E-2</v>
      </c>
      <c r="K1505" s="135">
        <v>2.9859242664659499E-2</v>
      </c>
      <c r="L1505" s="135">
        <v>4.55896593242196E-2</v>
      </c>
      <c r="M1505" s="135">
        <v>8.2967846317717003E-2</v>
      </c>
      <c r="N1505" s="135">
        <v>6.4131388567432293E-2</v>
      </c>
      <c r="O1505" s="135">
        <v>4.0091954260129799E-2</v>
      </c>
      <c r="P1505" s="135">
        <v>4.5536797125460597E-2</v>
      </c>
      <c r="Q1505" s="135">
        <v>4.51589913472598E-2</v>
      </c>
      <c r="R1505" s="135">
        <v>3.3097581465197798E-2</v>
      </c>
      <c r="S1505" s="135">
        <v>2.6686336580521702E-2</v>
      </c>
      <c r="T1505" s="135">
        <v>2.2993216443812099E-2</v>
      </c>
      <c r="U1505" s="135">
        <v>2.4504916112011901E-2</v>
      </c>
      <c r="V1505" s="135">
        <v>2.6107546601569699E-2</v>
      </c>
      <c r="W1505" s="135">
        <v>3.1549530243412602E-2</v>
      </c>
      <c r="X1505" s="135">
        <v>4.3709661298243101E-2</v>
      </c>
      <c r="Y1505" s="135">
        <v>4.3444733521360197E-2</v>
      </c>
      <c r="Z1505" s="135">
        <v>4.2809475962730499E-2</v>
      </c>
      <c r="AA1505" s="135">
        <v>3.9741311901719603E-2</v>
      </c>
      <c r="AB1505" s="135">
        <v>3.28856203452823E-2</v>
      </c>
      <c r="AC1505" s="135">
        <v>2.29838001729794E-2</v>
      </c>
      <c r="AD1505" s="135">
        <v>1.54474575522471E-2</v>
      </c>
      <c r="AF1505" s="243">
        <f t="shared" si="26"/>
        <v>0.21009811879378559</v>
      </c>
      <c r="AG1505" s="275">
        <f t="shared" si="27"/>
        <v>0.39503704118141486</v>
      </c>
      <c r="AH1505" s="391">
        <f t="shared" si="28"/>
        <v>0.43060751579481599</v>
      </c>
      <c r="AI1505" s="135">
        <f t="shared" si="29"/>
        <v>0.82564455697623085</v>
      </c>
    </row>
    <row r="1506" spans="1:35" ht="12.6">
      <c r="A1506" s="10" t="s">
        <v>58</v>
      </c>
      <c r="B1506" s="10">
        <v>45</v>
      </c>
      <c r="C1506" s="10" t="s">
        <v>1512</v>
      </c>
      <c r="D1506" s="388">
        <v>44971</v>
      </c>
      <c r="E1506" s="389">
        <v>44971</v>
      </c>
      <c r="F1506" s="390" t="str">
        <f t="shared" si="25"/>
        <v>Water heating</v>
      </c>
      <c r="G1506" s="135">
        <v>1.5290893441557801E-2</v>
      </c>
      <c r="H1506" s="135">
        <v>1.32263342863906E-2</v>
      </c>
      <c r="I1506" s="135">
        <v>1.30000935110582E-2</v>
      </c>
      <c r="J1506" s="135">
        <v>2.4830167929257699E-2</v>
      </c>
      <c r="K1506" s="135">
        <v>2.9859242664659499E-2</v>
      </c>
      <c r="L1506" s="135">
        <v>4.55896593242196E-2</v>
      </c>
      <c r="M1506" s="135">
        <v>8.2967846317717003E-2</v>
      </c>
      <c r="N1506" s="135">
        <v>6.4131388567432293E-2</v>
      </c>
      <c r="O1506" s="135">
        <v>4.0091954260129799E-2</v>
      </c>
      <c r="P1506" s="135">
        <v>4.5536797125460597E-2</v>
      </c>
      <c r="Q1506" s="135">
        <v>4.51589913472598E-2</v>
      </c>
      <c r="R1506" s="135">
        <v>3.3097581465197798E-2</v>
      </c>
      <c r="S1506" s="135">
        <v>2.6686336580521702E-2</v>
      </c>
      <c r="T1506" s="135">
        <v>2.2993216443812099E-2</v>
      </c>
      <c r="U1506" s="135">
        <v>2.4504916112011901E-2</v>
      </c>
      <c r="V1506" s="135">
        <v>2.6107546601569699E-2</v>
      </c>
      <c r="W1506" s="135">
        <v>3.1549530243412602E-2</v>
      </c>
      <c r="X1506" s="135">
        <v>4.3709661298243101E-2</v>
      </c>
      <c r="Y1506" s="135">
        <v>4.3444733521360197E-2</v>
      </c>
      <c r="Z1506" s="135">
        <v>4.2809475962730499E-2</v>
      </c>
      <c r="AA1506" s="135">
        <v>3.9741311901719603E-2</v>
      </c>
      <c r="AB1506" s="135">
        <v>3.28856203452823E-2</v>
      </c>
      <c r="AC1506" s="135">
        <v>2.29838001729794E-2</v>
      </c>
      <c r="AD1506" s="135">
        <v>1.54474575522471E-2</v>
      </c>
      <c r="AF1506" s="243">
        <f t="shared" si="26"/>
        <v>0.21009811879378559</v>
      </c>
      <c r="AG1506" s="275">
        <f t="shared" si="27"/>
        <v>0.39503704118141486</v>
      </c>
      <c r="AH1506" s="391">
        <f t="shared" si="28"/>
        <v>0.43060751579481599</v>
      </c>
      <c r="AI1506" s="135">
        <f t="shared" si="29"/>
        <v>0.82564455697623085</v>
      </c>
    </row>
    <row r="1507" spans="1:35" ht="12.6">
      <c r="A1507" s="10" t="s">
        <v>58</v>
      </c>
      <c r="B1507" s="10">
        <v>46</v>
      </c>
      <c r="C1507" s="10" t="s">
        <v>1512</v>
      </c>
      <c r="D1507" s="388">
        <v>44972</v>
      </c>
      <c r="E1507" s="389">
        <v>44972</v>
      </c>
      <c r="F1507" s="390" t="str">
        <f t="shared" si="25"/>
        <v>Water heating</v>
      </c>
      <c r="G1507" s="135">
        <v>1.5290893441557801E-2</v>
      </c>
      <c r="H1507" s="135">
        <v>1.32263342863906E-2</v>
      </c>
      <c r="I1507" s="135">
        <v>1.30000935110582E-2</v>
      </c>
      <c r="J1507" s="135">
        <v>2.4830167929257699E-2</v>
      </c>
      <c r="K1507" s="135">
        <v>2.9859242664659499E-2</v>
      </c>
      <c r="L1507" s="135">
        <v>4.55896593242196E-2</v>
      </c>
      <c r="M1507" s="135">
        <v>8.2967846317717003E-2</v>
      </c>
      <c r="N1507" s="135">
        <v>6.4131388567432293E-2</v>
      </c>
      <c r="O1507" s="135">
        <v>4.0091954260129799E-2</v>
      </c>
      <c r="P1507" s="135">
        <v>4.5536797125460597E-2</v>
      </c>
      <c r="Q1507" s="135">
        <v>4.51589913472598E-2</v>
      </c>
      <c r="R1507" s="135">
        <v>3.3097581465197798E-2</v>
      </c>
      <c r="S1507" s="135">
        <v>2.6686336580521702E-2</v>
      </c>
      <c r="T1507" s="135">
        <v>2.2993216443812099E-2</v>
      </c>
      <c r="U1507" s="135">
        <v>2.4504916112011901E-2</v>
      </c>
      <c r="V1507" s="135">
        <v>2.6107546601569699E-2</v>
      </c>
      <c r="W1507" s="135">
        <v>3.1549530243412602E-2</v>
      </c>
      <c r="X1507" s="135">
        <v>4.3709661298243101E-2</v>
      </c>
      <c r="Y1507" s="135">
        <v>4.3444733521360197E-2</v>
      </c>
      <c r="Z1507" s="135">
        <v>4.2809475962730499E-2</v>
      </c>
      <c r="AA1507" s="135">
        <v>3.9741311901719603E-2</v>
      </c>
      <c r="AB1507" s="135">
        <v>3.28856203452823E-2</v>
      </c>
      <c r="AC1507" s="135">
        <v>2.29838001729794E-2</v>
      </c>
      <c r="AD1507" s="135">
        <v>1.54474575522471E-2</v>
      </c>
      <c r="AF1507" s="243">
        <f t="shared" si="26"/>
        <v>0.21009811879378559</v>
      </c>
      <c r="AG1507" s="275">
        <f t="shared" si="27"/>
        <v>0.39503704118141486</v>
      </c>
      <c r="AH1507" s="391">
        <f t="shared" si="28"/>
        <v>0.43060751579481599</v>
      </c>
      <c r="AI1507" s="135">
        <f t="shared" si="29"/>
        <v>0.82564455697623085</v>
      </c>
    </row>
    <row r="1508" spans="1:35" ht="12.6">
      <c r="A1508" s="10" t="s">
        <v>58</v>
      </c>
      <c r="B1508" s="10">
        <v>47</v>
      </c>
      <c r="C1508" s="10" t="s">
        <v>1512</v>
      </c>
      <c r="D1508" s="388">
        <v>44973</v>
      </c>
      <c r="E1508" s="389">
        <v>44973</v>
      </c>
      <c r="F1508" s="390" t="str">
        <f t="shared" si="25"/>
        <v>Water heating</v>
      </c>
      <c r="G1508" s="135">
        <v>1.5290893441557801E-2</v>
      </c>
      <c r="H1508" s="135">
        <v>1.32263342863906E-2</v>
      </c>
      <c r="I1508" s="135">
        <v>1.30000935110582E-2</v>
      </c>
      <c r="J1508" s="135">
        <v>2.4830167929257699E-2</v>
      </c>
      <c r="K1508" s="135">
        <v>2.9859242664659499E-2</v>
      </c>
      <c r="L1508" s="135">
        <v>4.55896593242196E-2</v>
      </c>
      <c r="M1508" s="135">
        <v>8.2967846317717003E-2</v>
      </c>
      <c r="N1508" s="135">
        <v>6.4131388567432293E-2</v>
      </c>
      <c r="O1508" s="135">
        <v>4.0091954260129799E-2</v>
      </c>
      <c r="P1508" s="135">
        <v>4.5536797125460597E-2</v>
      </c>
      <c r="Q1508" s="135">
        <v>4.51589913472598E-2</v>
      </c>
      <c r="R1508" s="135">
        <v>3.3097581465197798E-2</v>
      </c>
      <c r="S1508" s="135">
        <v>2.6686336580521702E-2</v>
      </c>
      <c r="T1508" s="135">
        <v>2.2993216443812099E-2</v>
      </c>
      <c r="U1508" s="135">
        <v>2.4504916112011901E-2</v>
      </c>
      <c r="V1508" s="135">
        <v>2.6107546601569699E-2</v>
      </c>
      <c r="W1508" s="135">
        <v>3.1549530243412602E-2</v>
      </c>
      <c r="X1508" s="135">
        <v>4.3709661298243101E-2</v>
      </c>
      <c r="Y1508" s="135">
        <v>4.3444733521360197E-2</v>
      </c>
      <c r="Z1508" s="135">
        <v>4.2809475962730499E-2</v>
      </c>
      <c r="AA1508" s="135">
        <v>3.9741311901719603E-2</v>
      </c>
      <c r="AB1508" s="135">
        <v>3.28856203452823E-2</v>
      </c>
      <c r="AC1508" s="135">
        <v>2.29838001729794E-2</v>
      </c>
      <c r="AD1508" s="135">
        <v>1.54474575522471E-2</v>
      </c>
      <c r="AF1508" s="243">
        <f t="shared" si="26"/>
        <v>0.21009811879378559</v>
      </c>
      <c r="AG1508" s="275">
        <f t="shared" si="27"/>
        <v>0.39503704118141486</v>
      </c>
      <c r="AH1508" s="391">
        <f t="shared" si="28"/>
        <v>0.43060751579481599</v>
      </c>
      <c r="AI1508" s="135">
        <f t="shared" si="29"/>
        <v>0.82564455697623085</v>
      </c>
    </row>
    <row r="1509" spans="1:35" ht="12.6">
      <c r="A1509" s="10" t="s">
        <v>58</v>
      </c>
      <c r="B1509" s="10">
        <v>48</v>
      </c>
      <c r="C1509" s="10" t="s">
        <v>1512</v>
      </c>
      <c r="D1509" s="388">
        <v>44974</v>
      </c>
      <c r="E1509" s="389">
        <v>44974</v>
      </c>
      <c r="F1509" s="390" t="str">
        <f t="shared" si="25"/>
        <v>Water heating</v>
      </c>
      <c r="G1509" s="135">
        <v>1.5290893441557801E-2</v>
      </c>
      <c r="H1509" s="135">
        <v>1.32263342863906E-2</v>
      </c>
      <c r="I1509" s="135">
        <v>1.30000935110582E-2</v>
      </c>
      <c r="J1509" s="135">
        <v>2.4830167929257699E-2</v>
      </c>
      <c r="K1509" s="135">
        <v>2.9859242664659499E-2</v>
      </c>
      <c r="L1509" s="135">
        <v>4.55896593242196E-2</v>
      </c>
      <c r="M1509" s="135">
        <v>8.2967846317717003E-2</v>
      </c>
      <c r="N1509" s="135">
        <v>6.4131388567432293E-2</v>
      </c>
      <c r="O1509" s="135">
        <v>4.0091954260129799E-2</v>
      </c>
      <c r="P1509" s="135">
        <v>4.5536797125460597E-2</v>
      </c>
      <c r="Q1509" s="135">
        <v>4.51589913472598E-2</v>
      </c>
      <c r="R1509" s="135">
        <v>3.3097581465197798E-2</v>
      </c>
      <c r="S1509" s="135">
        <v>2.6686336580521702E-2</v>
      </c>
      <c r="T1509" s="135">
        <v>2.2993216443812099E-2</v>
      </c>
      <c r="U1509" s="135">
        <v>2.4504916112011901E-2</v>
      </c>
      <c r="V1509" s="135">
        <v>2.6107546601569699E-2</v>
      </c>
      <c r="W1509" s="135">
        <v>3.1549530243412602E-2</v>
      </c>
      <c r="X1509" s="135">
        <v>4.3709661298243101E-2</v>
      </c>
      <c r="Y1509" s="135">
        <v>4.3444733521360197E-2</v>
      </c>
      <c r="Z1509" s="135">
        <v>4.2809475962730499E-2</v>
      </c>
      <c r="AA1509" s="135">
        <v>3.9741311901719603E-2</v>
      </c>
      <c r="AB1509" s="135">
        <v>3.28856203452823E-2</v>
      </c>
      <c r="AC1509" s="135">
        <v>2.29838001729794E-2</v>
      </c>
      <c r="AD1509" s="135">
        <v>1.54474575522471E-2</v>
      </c>
      <c r="AF1509" s="243">
        <f t="shared" si="26"/>
        <v>0.21009811879378559</v>
      </c>
      <c r="AG1509" s="275">
        <f t="shared" si="27"/>
        <v>0.39503704118141486</v>
      </c>
      <c r="AH1509" s="391">
        <f t="shared" si="28"/>
        <v>0.43060751579481599</v>
      </c>
      <c r="AI1509" s="135">
        <f t="shared" si="29"/>
        <v>0.82564455697623085</v>
      </c>
    </row>
    <row r="1510" spans="1:35" ht="12.6">
      <c r="A1510" s="10" t="s">
        <v>58</v>
      </c>
      <c r="B1510" s="10">
        <v>49</v>
      </c>
      <c r="C1510" s="10" t="s">
        <v>1512</v>
      </c>
      <c r="D1510" s="388">
        <v>44975</v>
      </c>
      <c r="E1510" s="389">
        <v>44975</v>
      </c>
      <c r="F1510" s="390" t="str">
        <f t="shared" si="25"/>
        <v>Water heating</v>
      </c>
      <c r="G1510" s="135">
        <v>1.3082508954344801E-2</v>
      </c>
      <c r="H1510" s="135">
        <v>1.30811024928857E-2</v>
      </c>
      <c r="I1510" s="135">
        <v>1.3969953325436499E-2</v>
      </c>
      <c r="J1510" s="135">
        <v>2.3270448127445501E-2</v>
      </c>
      <c r="K1510" s="135">
        <v>2.3431258737808699E-2</v>
      </c>
      <c r="L1510" s="135">
        <v>1.5268551845299501E-2</v>
      </c>
      <c r="M1510" s="135">
        <v>2.5537282166894298E-2</v>
      </c>
      <c r="N1510" s="135">
        <v>4.44994470182054E-2</v>
      </c>
      <c r="O1510" s="135">
        <v>5.6016654668283199E-2</v>
      </c>
      <c r="P1510" s="135">
        <v>6.1019297108309799E-2</v>
      </c>
      <c r="Q1510" s="135">
        <v>5.9123118977511199E-2</v>
      </c>
      <c r="R1510" s="135">
        <v>4.9855023254526801E-2</v>
      </c>
      <c r="S1510" s="135">
        <v>4.0995148354533398E-2</v>
      </c>
      <c r="T1510" s="135">
        <v>3.4706222089425399E-2</v>
      </c>
      <c r="U1510" s="135">
        <v>3.35569285310768E-2</v>
      </c>
      <c r="V1510" s="135">
        <v>3.2753972728766199E-2</v>
      </c>
      <c r="W1510" s="135">
        <v>3.72649469581691E-2</v>
      </c>
      <c r="X1510" s="135">
        <v>4.2264625569504499E-2</v>
      </c>
      <c r="Y1510" s="135">
        <v>4.5599815132900297E-2</v>
      </c>
      <c r="Z1510" s="135">
        <v>3.7239510258981701E-2</v>
      </c>
      <c r="AA1510" s="135">
        <v>3.4788289899310598E-2</v>
      </c>
      <c r="AB1510" s="135">
        <v>3.0151795852275801E-2</v>
      </c>
      <c r="AC1510" s="135">
        <v>2.1868440841799001E-2</v>
      </c>
      <c r="AD1510" s="135">
        <v>1.6419778304740999E-2</v>
      </c>
      <c r="AF1510" s="243">
        <f t="shared" si="26"/>
        <v>0.28825536089400888</v>
      </c>
      <c r="AG1510" s="275">
        <f t="shared" si="27"/>
        <v>0.34520654345862584</v>
      </c>
      <c r="AH1510" s="391">
        <f t="shared" si="28"/>
        <v>0.46055757773980927</v>
      </c>
      <c r="AI1510" s="135">
        <f t="shared" si="29"/>
        <v>0.8057641211984351</v>
      </c>
    </row>
    <row r="1511" spans="1:35" ht="12.6">
      <c r="A1511" s="10" t="s">
        <v>58</v>
      </c>
      <c r="B1511" s="10">
        <v>50</v>
      </c>
      <c r="C1511" s="10" t="s">
        <v>1512</v>
      </c>
      <c r="D1511" s="388">
        <v>44976</v>
      </c>
      <c r="E1511" s="389">
        <v>44976</v>
      </c>
      <c r="F1511" s="390" t="str">
        <f t="shared" si="25"/>
        <v>Water heating</v>
      </c>
      <c r="G1511" s="135">
        <v>1.3082508954344801E-2</v>
      </c>
      <c r="H1511" s="135">
        <v>1.30811024928857E-2</v>
      </c>
      <c r="I1511" s="135">
        <v>1.3969953325436499E-2</v>
      </c>
      <c r="J1511" s="135">
        <v>2.3270448127445501E-2</v>
      </c>
      <c r="K1511" s="135">
        <v>2.3431258737808699E-2</v>
      </c>
      <c r="L1511" s="135">
        <v>1.5268551845299501E-2</v>
      </c>
      <c r="M1511" s="135">
        <v>2.5537282166894298E-2</v>
      </c>
      <c r="N1511" s="135">
        <v>4.44994470182054E-2</v>
      </c>
      <c r="O1511" s="135">
        <v>5.6016654668283199E-2</v>
      </c>
      <c r="P1511" s="135">
        <v>6.1019297108309799E-2</v>
      </c>
      <c r="Q1511" s="135">
        <v>5.9123118977511199E-2</v>
      </c>
      <c r="R1511" s="135">
        <v>4.9855023254526801E-2</v>
      </c>
      <c r="S1511" s="135">
        <v>4.0995148354533398E-2</v>
      </c>
      <c r="T1511" s="135">
        <v>3.4706222089425399E-2</v>
      </c>
      <c r="U1511" s="135">
        <v>3.35569285310768E-2</v>
      </c>
      <c r="V1511" s="135">
        <v>3.2753972728766199E-2</v>
      </c>
      <c r="W1511" s="135">
        <v>3.72649469581691E-2</v>
      </c>
      <c r="X1511" s="135">
        <v>4.2264625569504499E-2</v>
      </c>
      <c r="Y1511" s="135">
        <v>4.5599815132900297E-2</v>
      </c>
      <c r="Z1511" s="135">
        <v>3.7239510258981701E-2</v>
      </c>
      <c r="AA1511" s="135">
        <v>3.4788289899310598E-2</v>
      </c>
      <c r="AB1511" s="135">
        <v>3.0151795852275801E-2</v>
      </c>
      <c r="AC1511" s="135">
        <v>2.1868440841799001E-2</v>
      </c>
      <c r="AD1511" s="135">
        <v>1.6419778304740999E-2</v>
      </c>
      <c r="AF1511" s="243">
        <f t="shared" si="26"/>
        <v>0.28825536089400888</v>
      </c>
      <c r="AG1511" s="275">
        <f t="shared" si="27"/>
        <v>0.34520654345862584</v>
      </c>
      <c r="AH1511" s="391">
        <f t="shared" si="28"/>
        <v>0.46055757773980927</v>
      </c>
      <c r="AI1511" s="135">
        <f t="shared" si="29"/>
        <v>0.8057641211984351</v>
      </c>
    </row>
    <row r="1512" spans="1:35" ht="12.6">
      <c r="A1512" s="10" t="s">
        <v>58</v>
      </c>
      <c r="B1512" s="10">
        <v>51</v>
      </c>
      <c r="C1512" s="10" t="s">
        <v>1512</v>
      </c>
      <c r="D1512" s="388">
        <v>44977</v>
      </c>
      <c r="E1512" s="389">
        <v>44977</v>
      </c>
      <c r="F1512" s="390" t="str">
        <f t="shared" si="25"/>
        <v>Water heating</v>
      </c>
      <c r="G1512" s="135">
        <v>1.5290893441557801E-2</v>
      </c>
      <c r="H1512" s="135">
        <v>1.32263342863906E-2</v>
      </c>
      <c r="I1512" s="135">
        <v>1.30000935110582E-2</v>
      </c>
      <c r="J1512" s="135">
        <v>2.4830167929257699E-2</v>
      </c>
      <c r="K1512" s="135">
        <v>2.9859242664659499E-2</v>
      </c>
      <c r="L1512" s="135">
        <v>4.55896593242196E-2</v>
      </c>
      <c r="M1512" s="135">
        <v>8.2967846317717003E-2</v>
      </c>
      <c r="N1512" s="135">
        <v>6.4131388567432293E-2</v>
      </c>
      <c r="O1512" s="135">
        <v>4.0091954260129799E-2</v>
      </c>
      <c r="P1512" s="135">
        <v>4.5536797125460597E-2</v>
      </c>
      <c r="Q1512" s="135">
        <v>4.51589913472598E-2</v>
      </c>
      <c r="R1512" s="135">
        <v>3.3097581465197798E-2</v>
      </c>
      <c r="S1512" s="135">
        <v>2.6686336580521702E-2</v>
      </c>
      <c r="T1512" s="135">
        <v>2.2993216443812099E-2</v>
      </c>
      <c r="U1512" s="135">
        <v>2.4504916112011901E-2</v>
      </c>
      <c r="V1512" s="135">
        <v>2.6107546601569699E-2</v>
      </c>
      <c r="W1512" s="135">
        <v>3.1549530243412602E-2</v>
      </c>
      <c r="X1512" s="135">
        <v>4.3709661298243101E-2</v>
      </c>
      <c r="Y1512" s="135">
        <v>4.3444733521360197E-2</v>
      </c>
      <c r="Z1512" s="135">
        <v>4.2809475962730499E-2</v>
      </c>
      <c r="AA1512" s="135">
        <v>3.9741311901719603E-2</v>
      </c>
      <c r="AB1512" s="135">
        <v>3.28856203452823E-2</v>
      </c>
      <c r="AC1512" s="135">
        <v>2.29838001729794E-2</v>
      </c>
      <c r="AD1512" s="135">
        <v>1.54474575522471E-2</v>
      </c>
      <c r="AF1512" s="243">
        <f t="shared" si="26"/>
        <v>0.21009811879378559</v>
      </c>
      <c r="AG1512" s="275">
        <f t="shared" si="27"/>
        <v>0.39503704118141486</v>
      </c>
      <c r="AH1512" s="391">
        <f t="shared" si="28"/>
        <v>0.43060751579481599</v>
      </c>
      <c r="AI1512" s="135">
        <f t="shared" si="29"/>
        <v>0.82564455697623085</v>
      </c>
    </row>
    <row r="1513" spans="1:35" ht="12.6">
      <c r="A1513" s="10" t="s">
        <v>58</v>
      </c>
      <c r="B1513" s="10">
        <v>52</v>
      </c>
      <c r="C1513" s="10" t="s">
        <v>1512</v>
      </c>
      <c r="D1513" s="388">
        <v>44978</v>
      </c>
      <c r="E1513" s="389">
        <v>44978</v>
      </c>
      <c r="F1513" s="390" t="str">
        <f t="shared" si="25"/>
        <v>Water heating</v>
      </c>
      <c r="G1513" s="135">
        <v>1.5290893441557801E-2</v>
      </c>
      <c r="H1513" s="135">
        <v>1.32263342863906E-2</v>
      </c>
      <c r="I1513" s="135">
        <v>1.30000935110582E-2</v>
      </c>
      <c r="J1513" s="135">
        <v>2.4830167929257699E-2</v>
      </c>
      <c r="K1513" s="135">
        <v>2.9859242664659499E-2</v>
      </c>
      <c r="L1513" s="135">
        <v>4.55896593242196E-2</v>
      </c>
      <c r="M1513" s="135">
        <v>8.2967846317717003E-2</v>
      </c>
      <c r="N1513" s="135">
        <v>6.4131388567432293E-2</v>
      </c>
      <c r="O1513" s="135">
        <v>4.0091954260129799E-2</v>
      </c>
      <c r="P1513" s="135">
        <v>4.5536797125460597E-2</v>
      </c>
      <c r="Q1513" s="135">
        <v>4.51589913472598E-2</v>
      </c>
      <c r="R1513" s="135">
        <v>3.3097581465197798E-2</v>
      </c>
      <c r="S1513" s="135">
        <v>2.6686336580521702E-2</v>
      </c>
      <c r="T1513" s="135">
        <v>2.2993216443812099E-2</v>
      </c>
      <c r="U1513" s="135">
        <v>2.4504916112011901E-2</v>
      </c>
      <c r="V1513" s="135">
        <v>2.6107546601569699E-2</v>
      </c>
      <c r="W1513" s="135">
        <v>3.1549530243412602E-2</v>
      </c>
      <c r="X1513" s="135">
        <v>4.3709661298243101E-2</v>
      </c>
      <c r="Y1513" s="135">
        <v>4.3444733521360197E-2</v>
      </c>
      <c r="Z1513" s="135">
        <v>4.2809475962730499E-2</v>
      </c>
      <c r="AA1513" s="135">
        <v>3.9741311901719603E-2</v>
      </c>
      <c r="AB1513" s="135">
        <v>3.28856203452823E-2</v>
      </c>
      <c r="AC1513" s="135">
        <v>2.29838001729794E-2</v>
      </c>
      <c r="AD1513" s="135">
        <v>1.54474575522471E-2</v>
      </c>
      <c r="AF1513" s="243">
        <f t="shared" si="26"/>
        <v>0.21009811879378559</v>
      </c>
      <c r="AG1513" s="275">
        <f t="shared" si="27"/>
        <v>0.39503704118141486</v>
      </c>
      <c r="AH1513" s="391">
        <f t="shared" si="28"/>
        <v>0.43060751579481599</v>
      </c>
      <c r="AI1513" s="135">
        <f t="shared" si="29"/>
        <v>0.82564455697623085</v>
      </c>
    </row>
    <row r="1514" spans="1:35" ht="12.6">
      <c r="A1514" s="10" t="s">
        <v>58</v>
      </c>
      <c r="B1514" s="10">
        <v>53</v>
      </c>
      <c r="C1514" s="10" t="s">
        <v>1512</v>
      </c>
      <c r="D1514" s="388">
        <v>44979</v>
      </c>
      <c r="E1514" s="389">
        <v>44979</v>
      </c>
      <c r="F1514" s="390" t="str">
        <f t="shared" si="25"/>
        <v>Water heating</v>
      </c>
      <c r="G1514" s="135">
        <v>1.5290893441557801E-2</v>
      </c>
      <c r="H1514" s="135">
        <v>1.32263342863906E-2</v>
      </c>
      <c r="I1514" s="135">
        <v>1.30000935110582E-2</v>
      </c>
      <c r="J1514" s="135">
        <v>2.4830167929257699E-2</v>
      </c>
      <c r="K1514" s="135">
        <v>2.9859242664659499E-2</v>
      </c>
      <c r="L1514" s="135">
        <v>4.55896593242196E-2</v>
      </c>
      <c r="M1514" s="135">
        <v>8.2967846317717003E-2</v>
      </c>
      <c r="N1514" s="135">
        <v>6.4131388567432293E-2</v>
      </c>
      <c r="O1514" s="135">
        <v>4.0091954260129799E-2</v>
      </c>
      <c r="P1514" s="135">
        <v>4.5536797125460597E-2</v>
      </c>
      <c r="Q1514" s="135">
        <v>4.51589913472598E-2</v>
      </c>
      <c r="R1514" s="135">
        <v>3.3097581465197798E-2</v>
      </c>
      <c r="S1514" s="135">
        <v>2.6686336580521702E-2</v>
      </c>
      <c r="T1514" s="135">
        <v>2.2993216443812099E-2</v>
      </c>
      <c r="U1514" s="135">
        <v>2.4504916112011901E-2</v>
      </c>
      <c r="V1514" s="135">
        <v>2.6107546601569699E-2</v>
      </c>
      <c r="W1514" s="135">
        <v>3.1549530243412602E-2</v>
      </c>
      <c r="X1514" s="135">
        <v>4.3709661298243101E-2</v>
      </c>
      <c r="Y1514" s="135">
        <v>4.3444733521360197E-2</v>
      </c>
      <c r="Z1514" s="135">
        <v>4.2809475962730499E-2</v>
      </c>
      <c r="AA1514" s="135">
        <v>3.9741311901719603E-2</v>
      </c>
      <c r="AB1514" s="135">
        <v>3.28856203452823E-2</v>
      </c>
      <c r="AC1514" s="135">
        <v>2.29838001729794E-2</v>
      </c>
      <c r="AD1514" s="135">
        <v>1.54474575522471E-2</v>
      </c>
      <c r="AF1514" s="243">
        <f t="shared" si="26"/>
        <v>0.21009811879378559</v>
      </c>
      <c r="AG1514" s="275">
        <f t="shared" si="27"/>
        <v>0.39503704118141486</v>
      </c>
      <c r="AH1514" s="391">
        <f t="shared" si="28"/>
        <v>0.43060751579481599</v>
      </c>
      <c r="AI1514" s="135">
        <f t="shared" si="29"/>
        <v>0.82564455697623085</v>
      </c>
    </row>
    <row r="1515" spans="1:35" ht="12.6">
      <c r="A1515" s="10" t="s">
        <v>58</v>
      </c>
      <c r="B1515" s="10">
        <v>54</v>
      </c>
      <c r="C1515" s="10" t="s">
        <v>1512</v>
      </c>
      <c r="D1515" s="388">
        <v>44980</v>
      </c>
      <c r="E1515" s="389">
        <v>44980</v>
      </c>
      <c r="F1515" s="390" t="str">
        <f t="shared" si="25"/>
        <v>Water heating</v>
      </c>
      <c r="G1515" s="135">
        <v>1.5290893441557801E-2</v>
      </c>
      <c r="H1515" s="135">
        <v>1.32263342863906E-2</v>
      </c>
      <c r="I1515" s="135">
        <v>1.30000935110582E-2</v>
      </c>
      <c r="J1515" s="135">
        <v>2.4830167929257699E-2</v>
      </c>
      <c r="K1515" s="135">
        <v>2.9859242664659499E-2</v>
      </c>
      <c r="L1515" s="135">
        <v>4.55896593242196E-2</v>
      </c>
      <c r="M1515" s="135">
        <v>8.2967846317717003E-2</v>
      </c>
      <c r="N1515" s="135">
        <v>6.4131388567432293E-2</v>
      </c>
      <c r="O1515" s="135">
        <v>4.0091954260129799E-2</v>
      </c>
      <c r="P1515" s="135">
        <v>4.5536797125460597E-2</v>
      </c>
      <c r="Q1515" s="135">
        <v>4.51589913472598E-2</v>
      </c>
      <c r="R1515" s="135">
        <v>3.3097581465197798E-2</v>
      </c>
      <c r="S1515" s="135">
        <v>2.6686336580521702E-2</v>
      </c>
      <c r="T1515" s="135">
        <v>2.2993216443812099E-2</v>
      </c>
      <c r="U1515" s="135">
        <v>2.4504916112011901E-2</v>
      </c>
      <c r="V1515" s="135">
        <v>2.6107546601569699E-2</v>
      </c>
      <c r="W1515" s="135">
        <v>3.1549530243412602E-2</v>
      </c>
      <c r="X1515" s="135">
        <v>4.3709661298243101E-2</v>
      </c>
      <c r="Y1515" s="135">
        <v>4.3444733521360197E-2</v>
      </c>
      <c r="Z1515" s="135">
        <v>4.2809475962730499E-2</v>
      </c>
      <c r="AA1515" s="135">
        <v>3.9741311901719603E-2</v>
      </c>
      <c r="AB1515" s="135">
        <v>3.28856203452823E-2</v>
      </c>
      <c r="AC1515" s="135">
        <v>2.29838001729794E-2</v>
      </c>
      <c r="AD1515" s="135">
        <v>1.54474575522471E-2</v>
      </c>
      <c r="AF1515" s="243">
        <f t="shared" si="26"/>
        <v>0.21009811879378559</v>
      </c>
      <c r="AG1515" s="275">
        <f t="shared" si="27"/>
        <v>0.39503704118141486</v>
      </c>
      <c r="AH1515" s="391">
        <f t="shared" si="28"/>
        <v>0.43060751579481599</v>
      </c>
      <c r="AI1515" s="135">
        <f t="shared" si="29"/>
        <v>0.82564455697623085</v>
      </c>
    </row>
    <row r="1516" spans="1:35" ht="12.6">
      <c r="A1516" s="10" t="s">
        <v>58</v>
      </c>
      <c r="B1516" s="10">
        <v>55</v>
      </c>
      <c r="C1516" s="10" t="s">
        <v>1512</v>
      </c>
      <c r="D1516" s="388">
        <v>44981</v>
      </c>
      <c r="E1516" s="389">
        <v>44981</v>
      </c>
      <c r="F1516" s="390" t="str">
        <f t="shared" si="25"/>
        <v>Water heating</v>
      </c>
      <c r="G1516" s="135">
        <v>1.5290893441557801E-2</v>
      </c>
      <c r="H1516" s="135">
        <v>1.32263342863906E-2</v>
      </c>
      <c r="I1516" s="135">
        <v>1.30000935110582E-2</v>
      </c>
      <c r="J1516" s="135">
        <v>2.4830167929257699E-2</v>
      </c>
      <c r="K1516" s="135">
        <v>2.9859242664659499E-2</v>
      </c>
      <c r="L1516" s="135">
        <v>4.55896593242196E-2</v>
      </c>
      <c r="M1516" s="135">
        <v>8.2967846317717003E-2</v>
      </c>
      <c r="N1516" s="135">
        <v>6.4131388567432293E-2</v>
      </c>
      <c r="O1516" s="135">
        <v>4.0091954260129799E-2</v>
      </c>
      <c r="P1516" s="135">
        <v>4.5536797125460597E-2</v>
      </c>
      <c r="Q1516" s="135">
        <v>4.51589913472598E-2</v>
      </c>
      <c r="R1516" s="135">
        <v>3.3097581465197798E-2</v>
      </c>
      <c r="S1516" s="135">
        <v>2.6686336580521702E-2</v>
      </c>
      <c r="T1516" s="135">
        <v>2.2993216443812099E-2</v>
      </c>
      <c r="U1516" s="135">
        <v>2.4504916112011901E-2</v>
      </c>
      <c r="V1516" s="135">
        <v>2.6107546601569699E-2</v>
      </c>
      <c r="W1516" s="135">
        <v>3.1549530243412602E-2</v>
      </c>
      <c r="X1516" s="135">
        <v>4.3709661298243101E-2</v>
      </c>
      <c r="Y1516" s="135">
        <v>4.3444733521360197E-2</v>
      </c>
      <c r="Z1516" s="135">
        <v>4.2809475962730499E-2</v>
      </c>
      <c r="AA1516" s="135">
        <v>3.9741311901719603E-2</v>
      </c>
      <c r="AB1516" s="135">
        <v>3.28856203452823E-2</v>
      </c>
      <c r="AC1516" s="135">
        <v>2.29838001729794E-2</v>
      </c>
      <c r="AD1516" s="135">
        <v>1.54474575522471E-2</v>
      </c>
      <c r="AF1516" s="243">
        <f t="shared" si="26"/>
        <v>0.21009811879378559</v>
      </c>
      <c r="AG1516" s="275">
        <f t="shared" si="27"/>
        <v>0.39503704118141486</v>
      </c>
      <c r="AH1516" s="391">
        <f t="shared" si="28"/>
        <v>0.43060751579481599</v>
      </c>
      <c r="AI1516" s="135">
        <f t="shared" si="29"/>
        <v>0.82564455697623085</v>
      </c>
    </row>
    <row r="1517" spans="1:35" ht="12.6">
      <c r="A1517" s="10" t="s">
        <v>58</v>
      </c>
      <c r="B1517" s="10">
        <v>56</v>
      </c>
      <c r="C1517" s="10" t="s">
        <v>1512</v>
      </c>
      <c r="D1517" s="388">
        <v>44982</v>
      </c>
      <c r="E1517" s="389">
        <v>44982</v>
      </c>
      <c r="F1517" s="390" t="str">
        <f t="shared" si="25"/>
        <v>Water heating</v>
      </c>
      <c r="G1517" s="135">
        <v>1.3082508954344801E-2</v>
      </c>
      <c r="H1517" s="135">
        <v>1.30811024928857E-2</v>
      </c>
      <c r="I1517" s="135">
        <v>1.3969953325436499E-2</v>
      </c>
      <c r="J1517" s="135">
        <v>2.3270448127445501E-2</v>
      </c>
      <c r="K1517" s="135">
        <v>2.3431258737808699E-2</v>
      </c>
      <c r="L1517" s="135">
        <v>1.5268551845299501E-2</v>
      </c>
      <c r="M1517" s="135">
        <v>2.5537282166894298E-2</v>
      </c>
      <c r="N1517" s="135">
        <v>4.44994470182054E-2</v>
      </c>
      <c r="O1517" s="135">
        <v>5.6016654668283199E-2</v>
      </c>
      <c r="P1517" s="135">
        <v>6.1019297108309799E-2</v>
      </c>
      <c r="Q1517" s="135">
        <v>5.9123118977511199E-2</v>
      </c>
      <c r="R1517" s="135">
        <v>4.9855023254526801E-2</v>
      </c>
      <c r="S1517" s="135">
        <v>4.0995148354533398E-2</v>
      </c>
      <c r="T1517" s="135">
        <v>3.4706222089425399E-2</v>
      </c>
      <c r="U1517" s="135">
        <v>3.35569285310768E-2</v>
      </c>
      <c r="V1517" s="135">
        <v>3.2753972728766199E-2</v>
      </c>
      <c r="W1517" s="135">
        <v>3.72649469581691E-2</v>
      </c>
      <c r="X1517" s="135">
        <v>4.2264625569504499E-2</v>
      </c>
      <c r="Y1517" s="135">
        <v>4.5599815132900297E-2</v>
      </c>
      <c r="Z1517" s="135">
        <v>3.7239510258981701E-2</v>
      </c>
      <c r="AA1517" s="135">
        <v>3.4788289899310598E-2</v>
      </c>
      <c r="AB1517" s="135">
        <v>3.0151795852275801E-2</v>
      </c>
      <c r="AC1517" s="135">
        <v>2.1868440841799001E-2</v>
      </c>
      <c r="AD1517" s="135">
        <v>1.6419778304740999E-2</v>
      </c>
      <c r="AF1517" s="243">
        <f t="shared" si="26"/>
        <v>0.28825536089400888</v>
      </c>
      <c r="AG1517" s="275">
        <f t="shared" si="27"/>
        <v>0.34520654345862584</v>
      </c>
      <c r="AH1517" s="391">
        <f t="shared" si="28"/>
        <v>0.46055757773980927</v>
      </c>
      <c r="AI1517" s="135">
        <f t="shared" si="29"/>
        <v>0.8057641211984351</v>
      </c>
    </row>
    <row r="1518" spans="1:35" ht="12.6">
      <c r="A1518" s="10" t="s">
        <v>58</v>
      </c>
      <c r="B1518" s="10">
        <v>57</v>
      </c>
      <c r="C1518" s="10" t="s">
        <v>1512</v>
      </c>
      <c r="D1518" s="388">
        <v>44983</v>
      </c>
      <c r="E1518" s="389">
        <v>44983</v>
      </c>
      <c r="F1518" s="390" t="str">
        <f t="shared" si="25"/>
        <v>Water heating</v>
      </c>
      <c r="G1518" s="135">
        <v>1.3082508954344801E-2</v>
      </c>
      <c r="H1518" s="135">
        <v>1.30811024928857E-2</v>
      </c>
      <c r="I1518" s="135">
        <v>1.3969953325436499E-2</v>
      </c>
      <c r="J1518" s="135">
        <v>2.3270448127445501E-2</v>
      </c>
      <c r="K1518" s="135">
        <v>2.3431258737808699E-2</v>
      </c>
      <c r="L1518" s="135">
        <v>1.5268551845299501E-2</v>
      </c>
      <c r="M1518" s="135">
        <v>2.5537282166894298E-2</v>
      </c>
      <c r="N1518" s="135">
        <v>4.44994470182054E-2</v>
      </c>
      <c r="O1518" s="135">
        <v>5.6016654668283199E-2</v>
      </c>
      <c r="P1518" s="135">
        <v>6.1019297108309799E-2</v>
      </c>
      <c r="Q1518" s="135">
        <v>5.9123118977511199E-2</v>
      </c>
      <c r="R1518" s="135">
        <v>4.9855023254526801E-2</v>
      </c>
      <c r="S1518" s="135">
        <v>4.0995148354533398E-2</v>
      </c>
      <c r="T1518" s="135">
        <v>3.4706222089425399E-2</v>
      </c>
      <c r="U1518" s="135">
        <v>3.35569285310768E-2</v>
      </c>
      <c r="V1518" s="135">
        <v>3.2753972728766199E-2</v>
      </c>
      <c r="W1518" s="135">
        <v>3.72649469581691E-2</v>
      </c>
      <c r="X1518" s="135">
        <v>4.2264625569504499E-2</v>
      </c>
      <c r="Y1518" s="135">
        <v>4.5599815132900297E-2</v>
      </c>
      <c r="Z1518" s="135">
        <v>3.7239510258981701E-2</v>
      </c>
      <c r="AA1518" s="135">
        <v>3.4788289899310598E-2</v>
      </c>
      <c r="AB1518" s="135">
        <v>3.0151795852275801E-2</v>
      </c>
      <c r="AC1518" s="135">
        <v>2.1868440841799001E-2</v>
      </c>
      <c r="AD1518" s="135">
        <v>1.6419778304740999E-2</v>
      </c>
      <c r="AF1518" s="243">
        <f t="shared" si="26"/>
        <v>0.28825536089400888</v>
      </c>
      <c r="AG1518" s="275">
        <f t="shared" si="27"/>
        <v>0.34520654345862584</v>
      </c>
      <c r="AH1518" s="391">
        <f t="shared" si="28"/>
        <v>0.46055757773980927</v>
      </c>
      <c r="AI1518" s="135">
        <f t="shared" si="29"/>
        <v>0.8057641211984351</v>
      </c>
    </row>
    <row r="1519" spans="1:35" ht="12.6">
      <c r="A1519" s="10" t="s">
        <v>58</v>
      </c>
      <c r="B1519" s="10">
        <v>58</v>
      </c>
      <c r="C1519" s="10" t="s">
        <v>1512</v>
      </c>
      <c r="D1519" s="388">
        <v>44984</v>
      </c>
      <c r="E1519" s="389">
        <v>44984</v>
      </c>
      <c r="F1519" s="390" t="str">
        <f t="shared" si="25"/>
        <v>Water heating</v>
      </c>
      <c r="G1519" s="135">
        <v>1.5290893441557801E-2</v>
      </c>
      <c r="H1519" s="135">
        <v>1.32263342863906E-2</v>
      </c>
      <c r="I1519" s="135">
        <v>1.30000935110582E-2</v>
      </c>
      <c r="J1519" s="135">
        <v>2.4830167929257699E-2</v>
      </c>
      <c r="K1519" s="135">
        <v>2.9859242664659499E-2</v>
      </c>
      <c r="L1519" s="135">
        <v>4.55896593242196E-2</v>
      </c>
      <c r="M1519" s="135">
        <v>8.2967846317717003E-2</v>
      </c>
      <c r="N1519" s="135">
        <v>6.4131388567432293E-2</v>
      </c>
      <c r="O1519" s="135">
        <v>4.0091954260129799E-2</v>
      </c>
      <c r="P1519" s="135">
        <v>4.5536797125460597E-2</v>
      </c>
      <c r="Q1519" s="135">
        <v>4.51589913472598E-2</v>
      </c>
      <c r="R1519" s="135">
        <v>3.3097581465197798E-2</v>
      </c>
      <c r="S1519" s="135">
        <v>2.6686336580521702E-2</v>
      </c>
      <c r="T1519" s="135">
        <v>2.2993216443812099E-2</v>
      </c>
      <c r="U1519" s="135">
        <v>2.4504916112011901E-2</v>
      </c>
      <c r="V1519" s="135">
        <v>2.6107546601569699E-2</v>
      </c>
      <c r="W1519" s="135">
        <v>3.1549530243412602E-2</v>
      </c>
      <c r="X1519" s="135">
        <v>4.3709661298243101E-2</v>
      </c>
      <c r="Y1519" s="135">
        <v>4.3444733521360197E-2</v>
      </c>
      <c r="Z1519" s="135">
        <v>4.2809475962730499E-2</v>
      </c>
      <c r="AA1519" s="135">
        <v>3.9741311901719603E-2</v>
      </c>
      <c r="AB1519" s="135">
        <v>3.28856203452823E-2</v>
      </c>
      <c r="AC1519" s="135">
        <v>2.29838001729794E-2</v>
      </c>
      <c r="AD1519" s="135">
        <v>1.54474575522471E-2</v>
      </c>
      <c r="AF1519" s="243">
        <f t="shared" si="26"/>
        <v>0.21009811879378559</v>
      </c>
      <c r="AG1519" s="275">
        <f t="shared" si="27"/>
        <v>0.39503704118141486</v>
      </c>
      <c r="AH1519" s="391">
        <f t="shared" si="28"/>
        <v>0.43060751579481599</v>
      </c>
      <c r="AI1519" s="135">
        <f t="shared" si="29"/>
        <v>0.82564455697623085</v>
      </c>
    </row>
    <row r="1520" spans="1:35" ht="12.6">
      <c r="A1520" s="10" t="s">
        <v>58</v>
      </c>
      <c r="B1520" s="10">
        <v>59</v>
      </c>
      <c r="C1520" s="10" t="s">
        <v>1512</v>
      </c>
      <c r="D1520" s="388">
        <v>44985</v>
      </c>
      <c r="E1520" s="389">
        <v>44985</v>
      </c>
      <c r="F1520" s="390" t="str">
        <f t="shared" si="25"/>
        <v>Water heating</v>
      </c>
      <c r="G1520" s="135">
        <v>1.5290893441557801E-2</v>
      </c>
      <c r="H1520" s="135">
        <v>1.32263342863906E-2</v>
      </c>
      <c r="I1520" s="135">
        <v>1.30000935110582E-2</v>
      </c>
      <c r="J1520" s="135">
        <v>2.4830167929257699E-2</v>
      </c>
      <c r="K1520" s="135">
        <v>2.9859242664659499E-2</v>
      </c>
      <c r="L1520" s="135">
        <v>4.55896593242196E-2</v>
      </c>
      <c r="M1520" s="135">
        <v>8.2967846317717003E-2</v>
      </c>
      <c r="N1520" s="135">
        <v>6.4131388567432293E-2</v>
      </c>
      <c r="O1520" s="135">
        <v>4.0091954260129799E-2</v>
      </c>
      <c r="P1520" s="135">
        <v>4.5536797125460597E-2</v>
      </c>
      <c r="Q1520" s="135">
        <v>4.51589913472598E-2</v>
      </c>
      <c r="R1520" s="135">
        <v>3.3097581465197798E-2</v>
      </c>
      <c r="S1520" s="135">
        <v>2.6686336580521702E-2</v>
      </c>
      <c r="T1520" s="135">
        <v>2.2993216443812099E-2</v>
      </c>
      <c r="U1520" s="135">
        <v>2.4504916112011901E-2</v>
      </c>
      <c r="V1520" s="135">
        <v>2.6107546601569699E-2</v>
      </c>
      <c r="W1520" s="135">
        <v>3.1549530243412602E-2</v>
      </c>
      <c r="X1520" s="135">
        <v>4.3709661298243101E-2</v>
      </c>
      <c r="Y1520" s="135">
        <v>4.3444733521360197E-2</v>
      </c>
      <c r="Z1520" s="135">
        <v>4.2809475962730499E-2</v>
      </c>
      <c r="AA1520" s="135">
        <v>3.9741311901719603E-2</v>
      </c>
      <c r="AB1520" s="135">
        <v>3.28856203452823E-2</v>
      </c>
      <c r="AC1520" s="135">
        <v>2.29838001729794E-2</v>
      </c>
      <c r="AD1520" s="135">
        <v>1.54474575522471E-2</v>
      </c>
      <c r="AF1520" s="243">
        <f t="shared" si="26"/>
        <v>0.21009811879378559</v>
      </c>
      <c r="AG1520" s="275">
        <f t="shared" si="27"/>
        <v>0.39503704118141486</v>
      </c>
      <c r="AH1520" s="391">
        <f t="shared" si="28"/>
        <v>0.43060751579481599</v>
      </c>
      <c r="AI1520" s="135">
        <f t="shared" si="29"/>
        <v>0.82564455697623085</v>
      </c>
    </row>
    <row r="1521" spans="1:35" ht="12.6">
      <c r="A1521" s="10" t="s">
        <v>58</v>
      </c>
      <c r="B1521" s="10">
        <v>60</v>
      </c>
      <c r="C1521" s="10" t="s">
        <v>1513</v>
      </c>
      <c r="D1521" s="388">
        <v>44986</v>
      </c>
      <c r="E1521" s="389">
        <v>44986</v>
      </c>
      <c r="F1521" s="390" t="str">
        <f t="shared" si="25"/>
        <v>Water heating</v>
      </c>
      <c r="G1521" s="135">
        <v>1.5985766681694599E-2</v>
      </c>
      <c r="H1521" s="135">
        <v>1.5584995252666401E-2</v>
      </c>
      <c r="I1521" s="135">
        <v>1.47561930496646E-2</v>
      </c>
      <c r="J1521" s="135">
        <v>1.67877901987388E-2</v>
      </c>
      <c r="K1521" s="135">
        <v>2.6107316830164401E-2</v>
      </c>
      <c r="L1521" s="135">
        <v>3.8273673678792003E-2</v>
      </c>
      <c r="M1521" s="135">
        <v>7.6804227933906094E-2</v>
      </c>
      <c r="N1521" s="135">
        <v>0.100550927424452</v>
      </c>
      <c r="O1521" s="135">
        <v>6.6370782584770693E-2</v>
      </c>
      <c r="P1521" s="135">
        <v>4.8691919716093601E-2</v>
      </c>
      <c r="Q1521" s="135">
        <v>4.7577436770175202E-2</v>
      </c>
      <c r="R1521" s="135">
        <v>4.5509288904961802E-2</v>
      </c>
      <c r="S1521" s="135">
        <v>3.7848359998856301E-2</v>
      </c>
      <c r="T1521" s="135">
        <v>3.0573751717803899E-2</v>
      </c>
      <c r="U1521" s="135">
        <v>2.64469028873856E-2</v>
      </c>
      <c r="V1521" s="135">
        <v>2.88668913330575E-2</v>
      </c>
      <c r="W1521" s="135">
        <v>3.3500157127386999E-2</v>
      </c>
      <c r="X1521" s="135">
        <v>5.1836860794266797E-2</v>
      </c>
      <c r="Y1521" s="135">
        <v>6.1465466933818297E-2</v>
      </c>
      <c r="Z1521" s="135">
        <v>5.8620218734925698E-2</v>
      </c>
      <c r="AA1521" s="135">
        <v>5.0994315474025297E-2</v>
      </c>
      <c r="AB1521" s="135">
        <v>4.3963235133990801E-2</v>
      </c>
      <c r="AC1521" s="135">
        <v>2.9666393669918498E-2</v>
      </c>
      <c r="AD1521" s="135">
        <v>2.0753633515458201E-2</v>
      </c>
      <c r="AF1521" s="243">
        <f t="shared" si="26"/>
        <v>0.25032278873962732</v>
      </c>
      <c r="AG1521" s="275">
        <f t="shared" si="27"/>
        <v>0.41195605387549383</v>
      </c>
      <c r="AH1521" s="391">
        <f t="shared" si="28"/>
        <v>0.57558045247148015</v>
      </c>
      <c r="AI1521" s="135">
        <f t="shared" si="29"/>
        <v>0.98753650634697399</v>
      </c>
    </row>
    <row r="1522" spans="1:35" ht="12.6">
      <c r="A1522" s="10" t="s">
        <v>58</v>
      </c>
      <c r="B1522" s="10">
        <v>61</v>
      </c>
      <c r="C1522" s="10" t="s">
        <v>1513</v>
      </c>
      <c r="D1522" s="388">
        <v>44987</v>
      </c>
      <c r="E1522" s="389">
        <v>44987</v>
      </c>
      <c r="F1522" s="390" t="str">
        <f t="shared" si="25"/>
        <v>Water heating</v>
      </c>
      <c r="G1522" s="135">
        <v>1.5985766681694599E-2</v>
      </c>
      <c r="H1522" s="135">
        <v>1.5584995252666401E-2</v>
      </c>
      <c r="I1522" s="135">
        <v>1.47561930496646E-2</v>
      </c>
      <c r="J1522" s="135">
        <v>1.67877901987388E-2</v>
      </c>
      <c r="K1522" s="135">
        <v>2.6107316830164401E-2</v>
      </c>
      <c r="L1522" s="135">
        <v>3.8273673678792003E-2</v>
      </c>
      <c r="M1522" s="135">
        <v>7.6804227933906094E-2</v>
      </c>
      <c r="N1522" s="135">
        <v>0.100550927424452</v>
      </c>
      <c r="O1522" s="135">
        <v>6.6370782584770693E-2</v>
      </c>
      <c r="P1522" s="135">
        <v>4.8691919716093601E-2</v>
      </c>
      <c r="Q1522" s="135">
        <v>4.7577436770175202E-2</v>
      </c>
      <c r="R1522" s="135">
        <v>4.5509288904961802E-2</v>
      </c>
      <c r="S1522" s="135">
        <v>3.7848359998856301E-2</v>
      </c>
      <c r="T1522" s="135">
        <v>3.0573751717803899E-2</v>
      </c>
      <c r="U1522" s="135">
        <v>2.64469028873856E-2</v>
      </c>
      <c r="V1522" s="135">
        <v>2.88668913330575E-2</v>
      </c>
      <c r="W1522" s="135">
        <v>3.3500157127386999E-2</v>
      </c>
      <c r="X1522" s="135">
        <v>5.1836860794266797E-2</v>
      </c>
      <c r="Y1522" s="135">
        <v>6.1465466933818297E-2</v>
      </c>
      <c r="Z1522" s="135">
        <v>5.8620218734925698E-2</v>
      </c>
      <c r="AA1522" s="135">
        <v>5.0994315474025297E-2</v>
      </c>
      <c r="AB1522" s="135">
        <v>4.3963235133990801E-2</v>
      </c>
      <c r="AC1522" s="135">
        <v>2.9666393669918498E-2</v>
      </c>
      <c r="AD1522" s="135">
        <v>2.0753633515458201E-2</v>
      </c>
      <c r="AF1522" s="243">
        <f t="shared" si="26"/>
        <v>0.25032278873962732</v>
      </c>
      <c r="AG1522" s="275">
        <f t="shared" si="27"/>
        <v>0.41195605387549383</v>
      </c>
      <c r="AH1522" s="391">
        <f t="shared" si="28"/>
        <v>0.57558045247148015</v>
      </c>
      <c r="AI1522" s="135">
        <f t="shared" si="29"/>
        <v>0.98753650634697399</v>
      </c>
    </row>
    <row r="1523" spans="1:35" ht="12.6">
      <c r="A1523" s="10" t="s">
        <v>58</v>
      </c>
      <c r="B1523" s="10">
        <v>62</v>
      </c>
      <c r="C1523" s="10" t="s">
        <v>1513</v>
      </c>
      <c r="D1523" s="388">
        <v>44988</v>
      </c>
      <c r="E1523" s="389">
        <v>44988</v>
      </c>
      <c r="F1523" s="390" t="str">
        <f t="shared" si="25"/>
        <v>Water heating</v>
      </c>
      <c r="G1523" s="135">
        <v>1.5985766681694599E-2</v>
      </c>
      <c r="H1523" s="135">
        <v>1.5584995252666401E-2</v>
      </c>
      <c r="I1523" s="135">
        <v>1.47561930496646E-2</v>
      </c>
      <c r="J1523" s="135">
        <v>1.67877901987388E-2</v>
      </c>
      <c r="K1523" s="135">
        <v>2.6107316830164401E-2</v>
      </c>
      <c r="L1523" s="135">
        <v>3.8273673678792003E-2</v>
      </c>
      <c r="M1523" s="135">
        <v>7.6804227933906094E-2</v>
      </c>
      <c r="N1523" s="135">
        <v>0.100550927424452</v>
      </c>
      <c r="O1523" s="135">
        <v>6.6370782584770693E-2</v>
      </c>
      <c r="P1523" s="135">
        <v>4.8691919716093601E-2</v>
      </c>
      <c r="Q1523" s="135">
        <v>4.7577436770175202E-2</v>
      </c>
      <c r="R1523" s="135">
        <v>4.5509288904961802E-2</v>
      </c>
      <c r="S1523" s="135">
        <v>3.7848359998856301E-2</v>
      </c>
      <c r="T1523" s="135">
        <v>3.0573751717803899E-2</v>
      </c>
      <c r="U1523" s="135">
        <v>2.64469028873856E-2</v>
      </c>
      <c r="V1523" s="135">
        <v>2.88668913330575E-2</v>
      </c>
      <c r="W1523" s="135">
        <v>3.3500157127386999E-2</v>
      </c>
      <c r="X1523" s="135">
        <v>5.1836860794266797E-2</v>
      </c>
      <c r="Y1523" s="135">
        <v>6.1465466933818297E-2</v>
      </c>
      <c r="Z1523" s="135">
        <v>5.8620218734925698E-2</v>
      </c>
      <c r="AA1523" s="135">
        <v>5.0994315474025297E-2</v>
      </c>
      <c r="AB1523" s="135">
        <v>4.3963235133990801E-2</v>
      </c>
      <c r="AC1523" s="135">
        <v>2.9666393669918498E-2</v>
      </c>
      <c r="AD1523" s="135">
        <v>2.0753633515458201E-2</v>
      </c>
      <c r="AF1523" s="243">
        <f t="shared" si="26"/>
        <v>0.25032278873962732</v>
      </c>
      <c r="AG1523" s="275">
        <f t="shared" si="27"/>
        <v>0.41195605387549383</v>
      </c>
      <c r="AH1523" s="391">
        <f t="shared" si="28"/>
        <v>0.57558045247148015</v>
      </c>
      <c r="AI1523" s="135">
        <f t="shared" si="29"/>
        <v>0.98753650634697399</v>
      </c>
    </row>
    <row r="1524" spans="1:35" ht="12.6">
      <c r="A1524" s="10" t="s">
        <v>58</v>
      </c>
      <c r="B1524" s="10">
        <v>63</v>
      </c>
      <c r="C1524" s="10" t="s">
        <v>1513</v>
      </c>
      <c r="D1524" s="388">
        <v>44989</v>
      </c>
      <c r="E1524" s="389">
        <v>44989</v>
      </c>
      <c r="F1524" s="390" t="str">
        <f t="shared" si="25"/>
        <v>Water heating</v>
      </c>
      <c r="G1524" s="135">
        <v>1.6507097869250999E-2</v>
      </c>
      <c r="H1524" s="135">
        <v>1.51639990758798E-2</v>
      </c>
      <c r="I1524" s="135">
        <v>1.54097470439992E-2</v>
      </c>
      <c r="J1524" s="135">
        <v>1.79340006996399E-2</v>
      </c>
      <c r="K1524" s="135">
        <v>2.2962840556772699E-2</v>
      </c>
      <c r="L1524" s="135">
        <v>2.1695854680460001E-2</v>
      </c>
      <c r="M1524" s="135">
        <v>2.56979639815424E-2</v>
      </c>
      <c r="N1524" s="135">
        <v>4.37381622200319E-2</v>
      </c>
      <c r="O1524" s="135">
        <v>6.2889120667870099E-2</v>
      </c>
      <c r="P1524" s="135">
        <v>7.60742643102119E-2</v>
      </c>
      <c r="Q1524" s="135">
        <v>7.3771105808853002E-2</v>
      </c>
      <c r="R1524" s="135">
        <v>6.5959187832445795E-2</v>
      </c>
      <c r="S1524" s="135">
        <v>5.5848142342757999E-2</v>
      </c>
      <c r="T1524" s="135">
        <v>4.60459489591524E-2</v>
      </c>
      <c r="U1524" s="135">
        <v>3.7499058702830997E-2</v>
      </c>
      <c r="V1524" s="135">
        <v>4.0762971593910798E-2</v>
      </c>
      <c r="W1524" s="135">
        <v>4.9487552337156397E-2</v>
      </c>
      <c r="X1524" s="135">
        <v>5.8970393891231702E-2</v>
      </c>
      <c r="Y1524" s="135">
        <v>6.1261276075970497E-2</v>
      </c>
      <c r="Z1524" s="135">
        <v>5.2198667098737501E-2</v>
      </c>
      <c r="AA1524" s="135">
        <v>3.97621487252637E-2</v>
      </c>
      <c r="AB1524" s="135">
        <v>3.2916755621154301E-2</v>
      </c>
      <c r="AC1524" s="135">
        <v>2.7584900895499601E-2</v>
      </c>
      <c r="AD1524" s="135">
        <v>1.92885342915688E-2</v>
      </c>
      <c r="AF1524" s="243">
        <f t="shared" si="26"/>
        <v>0.36937396757710739</v>
      </c>
      <c r="AG1524" s="275">
        <f t="shared" si="27"/>
        <v>0.41188861303042223</v>
      </c>
      <c r="AH1524" s="391">
        <f t="shared" si="28"/>
        <v>0.56754108225177036</v>
      </c>
      <c r="AI1524" s="135">
        <f t="shared" si="29"/>
        <v>0.97942969528219259</v>
      </c>
    </row>
    <row r="1525" spans="1:35" ht="12.6">
      <c r="A1525" s="10" t="s">
        <v>58</v>
      </c>
      <c r="B1525" s="10">
        <v>64</v>
      </c>
      <c r="C1525" s="10" t="s">
        <v>1513</v>
      </c>
      <c r="D1525" s="388">
        <v>44990</v>
      </c>
      <c r="E1525" s="389">
        <v>44990</v>
      </c>
      <c r="F1525" s="390" t="str">
        <f t="shared" si="25"/>
        <v>Water heating</v>
      </c>
      <c r="G1525" s="135">
        <v>1.6507097869250999E-2</v>
      </c>
      <c r="H1525" s="135">
        <v>1.51639990758798E-2</v>
      </c>
      <c r="I1525" s="135">
        <v>1.54097470439992E-2</v>
      </c>
      <c r="J1525" s="135">
        <v>1.79340006996399E-2</v>
      </c>
      <c r="K1525" s="135">
        <v>2.2962840556772699E-2</v>
      </c>
      <c r="L1525" s="135">
        <v>2.1695854680460001E-2</v>
      </c>
      <c r="M1525" s="135">
        <v>2.56979639815424E-2</v>
      </c>
      <c r="N1525" s="135">
        <v>4.37381622200319E-2</v>
      </c>
      <c r="O1525" s="135">
        <v>6.2889120667870099E-2</v>
      </c>
      <c r="P1525" s="135">
        <v>7.60742643102119E-2</v>
      </c>
      <c r="Q1525" s="135">
        <v>7.3771105808853002E-2</v>
      </c>
      <c r="R1525" s="135">
        <v>6.5959187832445795E-2</v>
      </c>
      <c r="S1525" s="135">
        <v>5.5848142342757999E-2</v>
      </c>
      <c r="T1525" s="135">
        <v>4.60459489591524E-2</v>
      </c>
      <c r="U1525" s="135">
        <v>3.7499058702830997E-2</v>
      </c>
      <c r="V1525" s="135">
        <v>4.0762971593910798E-2</v>
      </c>
      <c r="W1525" s="135">
        <v>4.9487552337156397E-2</v>
      </c>
      <c r="X1525" s="135">
        <v>5.8970393891231702E-2</v>
      </c>
      <c r="Y1525" s="135">
        <v>6.1261276075970497E-2</v>
      </c>
      <c r="Z1525" s="135">
        <v>5.2198667098737501E-2</v>
      </c>
      <c r="AA1525" s="135">
        <v>3.97621487252637E-2</v>
      </c>
      <c r="AB1525" s="135">
        <v>3.2916755621154301E-2</v>
      </c>
      <c r="AC1525" s="135">
        <v>2.7584900895499601E-2</v>
      </c>
      <c r="AD1525" s="135">
        <v>1.92885342915688E-2</v>
      </c>
      <c r="AF1525" s="243">
        <f t="shared" si="26"/>
        <v>0.36937396757710739</v>
      </c>
      <c r="AG1525" s="275">
        <f t="shared" si="27"/>
        <v>0.41188861303042223</v>
      </c>
      <c r="AH1525" s="391">
        <f t="shared" si="28"/>
        <v>0.56754108225177036</v>
      </c>
      <c r="AI1525" s="135">
        <f t="shared" si="29"/>
        <v>0.97942969528219259</v>
      </c>
    </row>
    <row r="1526" spans="1:35" ht="12.6">
      <c r="A1526" s="10" t="s">
        <v>58</v>
      </c>
      <c r="B1526" s="10">
        <v>65</v>
      </c>
      <c r="C1526" s="10" t="s">
        <v>1513</v>
      </c>
      <c r="D1526" s="388">
        <v>44991</v>
      </c>
      <c r="E1526" s="389">
        <v>44991</v>
      </c>
      <c r="F1526" s="390" t="str">
        <f t="shared" si="25"/>
        <v>Water heating</v>
      </c>
      <c r="G1526" s="135">
        <v>1.5985766681694599E-2</v>
      </c>
      <c r="H1526" s="135">
        <v>1.5584995252666401E-2</v>
      </c>
      <c r="I1526" s="135">
        <v>1.47561930496646E-2</v>
      </c>
      <c r="J1526" s="135">
        <v>1.67877901987388E-2</v>
      </c>
      <c r="K1526" s="135">
        <v>2.6107316830164401E-2</v>
      </c>
      <c r="L1526" s="135">
        <v>3.8273673678792003E-2</v>
      </c>
      <c r="M1526" s="135">
        <v>7.6804227933906094E-2</v>
      </c>
      <c r="N1526" s="135">
        <v>0.100550927424452</v>
      </c>
      <c r="O1526" s="135">
        <v>6.6370782584770693E-2</v>
      </c>
      <c r="P1526" s="135">
        <v>4.8691919716093601E-2</v>
      </c>
      <c r="Q1526" s="135">
        <v>4.7577436770175202E-2</v>
      </c>
      <c r="R1526" s="135">
        <v>4.5509288904961802E-2</v>
      </c>
      <c r="S1526" s="135">
        <v>3.7848359998856301E-2</v>
      </c>
      <c r="T1526" s="135">
        <v>3.0573751717803899E-2</v>
      </c>
      <c r="U1526" s="135">
        <v>2.64469028873856E-2</v>
      </c>
      <c r="V1526" s="135">
        <v>2.88668913330575E-2</v>
      </c>
      <c r="W1526" s="135">
        <v>3.3500157127386999E-2</v>
      </c>
      <c r="X1526" s="135">
        <v>5.1836860794266797E-2</v>
      </c>
      <c r="Y1526" s="135">
        <v>6.1465466933818297E-2</v>
      </c>
      <c r="Z1526" s="135">
        <v>5.8620218734925698E-2</v>
      </c>
      <c r="AA1526" s="135">
        <v>5.0994315474025297E-2</v>
      </c>
      <c r="AB1526" s="135">
        <v>4.3963235133990801E-2</v>
      </c>
      <c r="AC1526" s="135">
        <v>2.9666393669918498E-2</v>
      </c>
      <c r="AD1526" s="135">
        <v>2.0753633515458201E-2</v>
      </c>
      <c r="AF1526" s="243">
        <f t="shared" si="26"/>
        <v>0.25032278873962732</v>
      </c>
      <c r="AG1526" s="275">
        <f t="shared" si="27"/>
        <v>0.41195605387549383</v>
      </c>
      <c r="AH1526" s="391">
        <f t="shared" si="28"/>
        <v>0.57558045247148015</v>
      </c>
      <c r="AI1526" s="135">
        <f t="shared" si="29"/>
        <v>0.98753650634697399</v>
      </c>
    </row>
    <row r="1527" spans="1:35" ht="12.6">
      <c r="A1527" s="10" t="s">
        <v>58</v>
      </c>
      <c r="B1527" s="10">
        <v>66</v>
      </c>
      <c r="C1527" s="10" t="s">
        <v>1513</v>
      </c>
      <c r="D1527" s="388">
        <v>44992</v>
      </c>
      <c r="E1527" s="389">
        <v>44992</v>
      </c>
      <c r="F1527" s="390" t="str">
        <f t="shared" si="25"/>
        <v>Water heating</v>
      </c>
      <c r="G1527" s="135">
        <v>1.5985766681694599E-2</v>
      </c>
      <c r="H1527" s="135">
        <v>1.5584995252666401E-2</v>
      </c>
      <c r="I1527" s="135">
        <v>1.47561930496646E-2</v>
      </c>
      <c r="J1527" s="135">
        <v>1.67877901987388E-2</v>
      </c>
      <c r="K1527" s="135">
        <v>2.6107316830164401E-2</v>
      </c>
      <c r="L1527" s="135">
        <v>3.8273673678792003E-2</v>
      </c>
      <c r="M1527" s="135">
        <v>7.6804227933906094E-2</v>
      </c>
      <c r="N1527" s="135">
        <v>0.100550927424452</v>
      </c>
      <c r="O1527" s="135">
        <v>6.6370782584770693E-2</v>
      </c>
      <c r="P1527" s="135">
        <v>4.8691919716093601E-2</v>
      </c>
      <c r="Q1527" s="135">
        <v>4.7577436770175202E-2</v>
      </c>
      <c r="R1527" s="135">
        <v>4.5509288904961802E-2</v>
      </c>
      <c r="S1527" s="135">
        <v>3.7848359998856301E-2</v>
      </c>
      <c r="T1527" s="135">
        <v>3.0573751717803899E-2</v>
      </c>
      <c r="U1527" s="135">
        <v>2.64469028873856E-2</v>
      </c>
      <c r="V1527" s="135">
        <v>2.88668913330575E-2</v>
      </c>
      <c r="W1527" s="135">
        <v>3.3500157127386999E-2</v>
      </c>
      <c r="X1527" s="135">
        <v>5.1836860794266797E-2</v>
      </c>
      <c r="Y1527" s="135">
        <v>6.1465466933818297E-2</v>
      </c>
      <c r="Z1527" s="135">
        <v>5.8620218734925698E-2</v>
      </c>
      <c r="AA1527" s="135">
        <v>5.0994315474025297E-2</v>
      </c>
      <c r="AB1527" s="135">
        <v>4.3963235133990801E-2</v>
      </c>
      <c r="AC1527" s="135">
        <v>2.9666393669918498E-2</v>
      </c>
      <c r="AD1527" s="135">
        <v>2.0753633515458201E-2</v>
      </c>
      <c r="AF1527" s="243">
        <f t="shared" si="26"/>
        <v>0.25032278873962732</v>
      </c>
      <c r="AG1527" s="275">
        <f t="shared" si="27"/>
        <v>0.41195605387549383</v>
      </c>
      <c r="AH1527" s="391">
        <f t="shared" si="28"/>
        <v>0.57558045247148015</v>
      </c>
      <c r="AI1527" s="135">
        <f t="shared" si="29"/>
        <v>0.98753650634697399</v>
      </c>
    </row>
    <row r="1528" spans="1:35" ht="12.6">
      <c r="A1528" s="10" t="s">
        <v>58</v>
      </c>
      <c r="B1528" s="10">
        <v>67</v>
      </c>
      <c r="C1528" s="10" t="s">
        <v>1513</v>
      </c>
      <c r="D1528" s="388">
        <v>44993</v>
      </c>
      <c r="E1528" s="389">
        <v>44993</v>
      </c>
      <c r="F1528" s="390" t="str">
        <f t="shared" si="25"/>
        <v>Water heating</v>
      </c>
      <c r="G1528" s="135">
        <v>1.5985766681694599E-2</v>
      </c>
      <c r="H1528" s="135">
        <v>1.5584995252666401E-2</v>
      </c>
      <c r="I1528" s="135">
        <v>1.47561930496646E-2</v>
      </c>
      <c r="J1528" s="135">
        <v>1.67877901987388E-2</v>
      </c>
      <c r="K1528" s="135">
        <v>2.6107316830164401E-2</v>
      </c>
      <c r="L1528" s="135">
        <v>3.8273673678792003E-2</v>
      </c>
      <c r="M1528" s="135">
        <v>7.6804227933906094E-2</v>
      </c>
      <c r="N1528" s="135">
        <v>0.100550927424452</v>
      </c>
      <c r="O1528" s="135">
        <v>6.6370782584770693E-2</v>
      </c>
      <c r="P1528" s="135">
        <v>4.8691919716093601E-2</v>
      </c>
      <c r="Q1528" s="135">
        <v>4.7577436770175202E-2</v>
      </c>
      <c r="R1528" s="135">
        <v>4.5509288904961802E-2</v>
      </c>
      <c r="S1528" s="135">
        <v>3.7848359998856301E-2</v>
      </c>
      <c r="T1528" s="135">
        <v>3.0573751717803899E-2</v>
      </c>
      <c r="U1528" s="135">
        <v>2.64469028873856E-2</v>
      </c>
      <c r="V1528" s="135">
        <v>2.88668913330575E-2</v>
      </c>
      <c r="W1528" s="135">
        <v>3.3500157127386999E-2</v>
      </c>
      <c r="X1528" s="135">
        <v>5.1836860794266797E-2</v>
      </c>
      <c r="Y1528" s="135">
        <v>6.1465466933818297E-2</v>
      </c>
      <c r="Z1528" s="135">
        <v>5.8620218734925698E-2</v>
      </c>
      <c r="AA1528" s="135">
        <v>5.0994315474025297E-2</v>
      </c>
      <c r="AB1528" s="135">
        <v>4.3963235133990801E-2</v>
      </c>
      <c r="AC1528" s="135">
        <v>2.9666393669918498E-2</v>
      </c>
      <c r="AD1528" s="135">
        <v>2.0753633515458201E-2</v>
      </c>
      <c r="AF1528" s="243">
        <f t="shared" si="26"/>
        <v>0.25032278873962732</v>
      </c>
      <c r="AG1528" s="275">
        <f t="shared" si="27"/>
        <v>0.41195605387549383</v>
      </c>
      <c r="AH1528" s="391">
        <f t="shared" si="28"/>
        <v>0.57558045247148015</v>
      </c>
      <c r="AI1528" s="135">
        <f t="shared" si="29"/>
        <v>0.98753650634697399</v>
      </c>
    </row>
    <row r="1529" spans="1:35" ht="12.6">
      <c r="A1529" s="10" t="s">
        <v>58</v>
      </c>
      <c r="B1529" s="10">
        <v>68</v>
      </c>
      <c r="C1529" s="10" t="s">
        <v>1513</v>
      </c>
      <c r="D1529" s="388">
        <v>44994</v>
      </c>
      <c r="E1529" s="389">
        <v>44994</v>
      </c>
      <c r="F1529" s="390" t="str">
        <f t="shared" si="25"/>
        <v>Water heating</v>
      </c>
      <c r="G1529" s="135">
        <v>1.5985766681694599E-2</v>
      </c>
      <c r="H1529" s="135">
        <v>1.5584995252666401E-2</v>
      </c>
      <c r="I1529" s="135">
        <v>1.47561930496646E-2</v>
      </c>
      <c r="J1529" s="135">
        <v>1.67877901987388E-2</v>
      </c>
      <c r="K1529" s="135">
        <v>2.6107316830164401E-2</v>
      </c>
      <c r="L1529" s="135">
        <v>3.8273673678792003E-2</v>
      </c>
      <c r="M1529" s="135">
        <v>7.6804227933906094E-2</v>
      </c>
      <c r="N1529" s="135">
        <v>0.100550927424452</v>
      </c>
      <c r="O1529" s="135">
        <v>6.6370782584770693E-2</v>
      </c>
      <c r="P1529" s="135">
        <v>4.8691919716093601E-2</v>
      </c>
      <c r="Q1529" s="135">
        <v>4.7577436770175202E-2</v>
      </c>
      <c r="R1529" s="135">
        <v>4.5509288904961802E-2</v>
      </c>
      <c r="S1529" s="135">
        <v>3.7848359998856301E-2</v>
      </c>
      <c r="T1529" s="135">
        <v>3.0573751717803899E-2</v>
      </c>
      <c r="U1529" s="135">
        <v>2.64469028873856E-2</v>
      </c>
      <c r="V1529" s="135">
        <v>2.88668913330575E-2</v>
      </c>
      <c r="W1529" s="135">
        <v>3.3500157127386999E-2</v>
      </c>
      <c r="X1529" s="135">
        <v>5.1836860794266797E-2</v>
      </c>
      <c r="Y1529" s="135">
        <v>6.1465466933818297E-2</v>
      </c>
      <c r="Z1529" s="135">
        <v>5.8620218734925698E-2</v>
      </c>
      <c r="AA1529" s="135">
        <v>5.0994315474025297E-2</v>
      </c>
      <c r="AB1529" s="135">
        <v>4.3963235133990801E-2</v>
      </c>
      <c r="AC1529" s="135">
        <v>2.9666393669918498E-2</v>
      </c>
      <c r="AD1529" s="135">
        <v>2.0753633515458201E-2</v>
      </c>
      <c r="AF1529" s="243">
        <f t="shared" si="26"/>
        <v>0.25032278873962732</v>
      </c>
      <c r="AG1529" s="275">
        <f t="shared" si="27"/>
        <v>0.41195605387549383</v>
      </c>
      <c r="AH1529" s="391">
        <f t="shared" si="28"/>
        <v>0.57558045247148015</v>
      </c>
      <c r="AI1529" s="135">
        <f t="shared" si="29"/>
        <v>0.98753650634697399</v>
      </c>
    </row>
    <row r="1530" spans="1:35" ht="12.6">
      <c r="A1530" s="10" t="s">
        <v>58</v>
      </c>
      <c r="B1530" s="10">
        <v>69</v>
      </c>
      <c r="C1530" s="10" t="s">
        <v>1513</v>
      </c>
      <c r="D1530" s="388">
        <v>44995</v>
      </c>
      <c r="E1530" s="389">
        <v>44995</v>
      </c>
      <c r="F1530" s="390" t="str">
        <f t="shared" si="25"/>
        <v>Water heating</v>
      </c>
      <c r="G1530" s="135">
        <v>1.5985766681694599E-2</v>
      </c>
      <c r="H1530" s="135">
        <v>1.5584995252666401E-2</v>
      </c>
      <c r="I1530" s="135">
        <v>1.47561930496646E-2</v>
      </c>
      <c r="J1530" s="135">
        <v>1.67877901987388E-2</v>
      </c>
      <c r="K1530" s="135">
        <v>2.6107316830164401E-2</v>
      </c>
      <c r="L1530" s="135">
        <v>3.8273673678792003E-2</v>
      </c>
      <c r="M1530" s="135">
        <v>7.6804227933906094E-2</v>
      </c>
      <c r="N1530" s="135">
        <v>0.100550927424452</v>
      </c>
      <c r="O1530" s="135">
        <v>6.6370782584770693E-2</v>
      </c>
      <c r="P1530" s="135">
        <v>4.8691919716093601E-2</v>
      </c>
      <c r="Q1530" s="135">
        <v>4.7577436770175202E-2</v>
      </c>
      <c r="R1530" s="135">
        <v>4.5509288904961802E-2</v>
      </c>
      <c r="S1530" s="135">
        <v>3.7848359998856301E-2</v>
      </c>
      <c r="T1530" s="135">
        <v>3.0573751717803899E-2</v>
      </c>
      <c r="U1530" s="135">
        <v>2.64469028873856E-2</v>
      </c>
      <c r="V1530" s="135">
        <v>2.88668913330575E-2</v>
      </c>
      <c r="W1530" s="135">
        <v>3.3500157127386999E-2</v>
      </c>
      <c r="X1530" s="135">
        <v>5.1836860794266797E-2</v>
      </c>
      <c r="Y1530" s="135">
        <v>6.1465466933818297E-2</v>
      </c>
      <c r="Z1530" s="135">
        <v>5.8620218734925698E-2</v>
      </c>
      <c r="AA1530" s="135">
        <v>5.0994315474025297E-2</v>
      </c>
      <c r="AB1530" s="135">
        <v>4.3963235133990801E-2</v>
      </c>
      <c r="AC1530" s="135">
        <v>2.9666393669918498E-2</v>
      </c>
      <c r="AD1530" s="135">
        <v>2.0753633515458201E-2</v>
      </c>
      <c r="AF1530" s="243">
        <f t="shared" si="26"/>
        <v>0.25032278873962732</v>
      </c>
      <c r="AG1530" s="275">
        <f t="shared" si="27"/>
        <v>0.41195605387549383</v>
      </c>
      <c r="AH1530" s="391">
        <f t="shared" si="28"/>
        <v>0.57558045247148015</v>
      </c>
      <c r="AI1530" s="135">
        <f t="shared" si="29"/>
        <v>0.98753650634697399</v>
      </c>
    </row>
    <row r="1531" spans="1:35" ht="12.6">
      <c r="A1531" s="10" t="s">
        <v>58</v>
      </c>
      <c r="B1531" s="10">
        <v>70</v>
      </c>
      <c r="C1531" s="10" t="s">
        <v>1513</v>
      </c>
      <c r="D1531" s="388">
        <v>44996</v>
      </c>
      <c r="E1531" s="389">
        <v>44996</v>
      </c>
      <c r="F1531" s="390" t="str">
        <f t="shared" ref="F1531:F1785" si="30">A1531</f>
        <v>Water heating</v>
      </c>
      <c r="G1531" s="135">
        <v>1.6507097869250999E-2</v>
      </c>
      <c r="H1531" s="135">
        <v>1.51639990758798E-2</v>
      </c>
      <c r="I1531" s="135">
        <v>1.54097470439992E-2</v>
      </c>
      <c r="J1531" s="135">
        <v>1.79340006996399E-2</v>
      </c>
      <c r="K1531" s="135">
        <v>2.2962840556772699E-2</v>
      </c>
      <c r="L1531" s="135">
        <v>2.1695854680460001E-2</v>
      </c>
      <c r="M1531" s="135">
        <v>2.56979639815424E-2</v>
      </c>
      <c r="N1531" s="135">
        <v>4.37381622200319E-2</v>
      </c>
      <c r="O1531" s="135">
        <v>6.2889120667870099E-2</v>
      </c>
      <c r="P1531" s="135">
        <v>7.60742643102119E-2</v>
      </c>
      <c r="Q1531" s="135">
        <v>7.3771105808853002E-2</v>
      </c>
      <c r="R1531" s="135">
        <v>6.5959187832445795E-2</v>
      </c>
      <c r="S1531" s="135">
        <v>5.5848142342757999E-2</v>
      </c>
      <c r="T1531" s="135">
        <v>4.60459489591524E-2</v>
      </c>
      <c r="U1531" s="135">
        <v>3.7499058702830997E-2</v>
      </c>
      <c r="V1531" s="135">
        <v>4.0762971593910798E-2</v>
      </c>
      <c r="W1531" s="135">
        <v>4.9487552337156397E-2</v>
      </c>
      <c r="X1531" s="135">
        <v>5.8970393891231702E-2</v>
      </c>
      <c r="Y1531" s="135">
        <v>6.1261276075970497E-2</v>
      </c>
      <c r="Z1531" s="135">
        <v>5.2198667098737501E-2</v>
      </c>
      <c r="AA1531" s="135">
        <v>3.97621487252637E-2</v>
      </c>
      <c r="AB1531" s="135">
        <v>3.2916755621154301E-2</v>
      </c>
      <c r="AC1531" s="135">
        <v>2.7584900895499601E-2</v>
      </c>
      <c r="AD1531" s="135">
        <v>1.92885342915688E-2</v>
      </c>
      <c r="AF1531" s="243">
        <f t="shared" si="26"/>
        <v>0.36937396757710739</v>
      </c>
      <c r="AG1531" s="275">
        <f t="shared" si="27"/>
        <v>0.41188861303042223</v>
      </c>
      <c r="AH1531" s="391">
        <f t="shared" si="28"/>
        <v>0.56754108225177036</v>
      </c>
      <c r="AI1531" s="135">
        <f t="shared" si="29"/>
        <v>0.97942969528219259</v>
      </c>
    </row>
    <row r="1532" spans="1:35" ht="12.6">
      <c r="A1532" s="10" t="s">
        <v>58</v>
      </c>
      <c r="B1532" s="10">
        <v>71</v>
      </c>
      <c r="C1532" s="10" t="s">
        <v>1513</v>
      </c>
      <c r="D1532" s="388">
        <v>44997</v>
      </c>
      <c r="E1532" s="389">
        <v>44997</v>
      </c>
      <c r="F1532" s="390" t="str">
        <f t="shared" si="30"/>
        <v>Water heating</v>
      </c>
      <c r="G1532" s="135">
        <v>1.6507097869250999E-2</v>
      </c>
      <c r="H1532" s="135">
        <v>1.51639990758798E-2</v>
      </c>
      <c r="I1532" s="135">
        <v>1.54097470439992E-2</v>
      </c>
      <c r="J1532" s="135">
        <v>1.79340006996399E-2</v>
      </c>
      <c r="K1532" s="135">
        <v>2.2962840556772699E-2</v>
      </c>
      <c r="L1532" s="135">
        <v>2.1695854680460001E-2</v>
      </c>
      <c r="M1532" s="135">
        <v>2.56979639815424E-2</v>
      </c>
      <c r="N1532" s="135">
        <v>4.37381622200319E-2</v>
      </c>
      <c r="O1532" s="135">
        <v>6.2889120667870099E-2</v>
      </c>
      <c r="P1532" s="135">
        <v>7.60742643102119E-2</v>
      </c>
      <c r="Q1532" s="135">
        <v>7.3771105808853002E-2</v>
      </c>
      <c r="R1532" s="135">
        <v>6.5959187832445795E-2</v>
      </c>
      <c r="S1532" s="135">
        <v>5.5848142342757999E-2</v>
      </c>
      <c r="T1532" s="135">
        <v>4.60459489591524E-2</v>
      </c>
      <c r="U1532" s="135">
        <v>3.7499058702830997E-2</v>
      </c>
      <c r="V1532" s="135">
        <v>4.0762971593910798E-2</v>
      </c>
      <c r="W1532" s="135">
        <v>4.9487552337156397E-2</v>
      </c>
      <c r="X1532" s="135">
        <v>5.8970393891231702E-2</v>
      </c>
      <c r="Y1532" s="135">
        <v>6.1261276075970497E-2</v>
      </c>
      <c r="Z1532" s="135">
        <v>5.2198667098737501E-2</v>
      </c>
      <c r="AA1532" s="135">
        <v>3.97621487252637E-2</v>
      </c>
      <c r="AB1532" s="135">
        <v>3.2916755621154301E-2</v>
      </c>
      <c r="AC1532" s="135">
        <v>2.7584900895499601E-2</v>
      </c>
      <c r="AD1532" s="135">
        <v>1.92885342915688E-2</v>
      </c>
      <c r="AF1532" s="243">
        <f t="shared" ref="AF1532:AF1786" si="31">SUM(Q1532:W1532)</f>
        <v>0.36937396757710739</v>
      </c>
      <c r="AG1532" s="275">
        <f t="shared" ref="AG1532:AG1786" si="32">SUM(G1532:AD1532)-AH1532</f>
        <v>0.41188861303042223</v>
      </c>
      <c r="AH1532" s="391">
        <f t="shared" ref="AH1532:AH1786" si="33">SUM(N1532:R1532,X1532:AB1532)</f>
        <v>0.56754108225177036</v>
      </c>
      <c r="AI1532" s="135">
        <f t="shared" ref="AI1532:AI1786" si="34">SUM(G1532:AD1532)</f>
        <v>0.97942969528219259</v>
      </c>
    </row>
    <row r="1533" spans="1:35" ht="12.6">
      <c r="A1533" s="10" t="s">
        <v>58</v>
      </c>
      <c r="B1533" s="10">
        <v>72</v>
      </c>
      <c r="C1533" s="10" t="s">
        <v>1513</v>
      </c>
      <c r="D1533" s="388">
        <v>44998</v>
      </c>
      <c r="E1533" s="389">
        <v>44998</v>
      </c>
      <c r="F1533" s="390" t="str">
        <f t="shared" si="30"/>
        <v>Water heating</v>
      </c>
      <c r="G1533" s="135">
        <v>1.5985766681694599E-2</v>
      </c>
      <c r="H1533" s="135">
        <v>1.5584995252666401E-2</v>
      </c>
      <c r="I1533" s="135">
        <v>1.47561930496646E-2</v>
      </c>
      <c r="J1533" s="135">
        <v>1.67877901987388E-2</v>
      </c>
      <c r="K1533" s="135">
        <v>2.6107316830164401E-2</v>
      </c>
      <c r="L1533" s="135">
        <v>3.8273673678792003E-2</v>
      </c>
      <c r="M1533" s="135">
        <v>7.6804227933906094E-2</v>
      </c>
      <c r="N1533" s="135">
        <v>0.100550927424452</v>
      </c>
      <c r="O1533" s="135">
        <v>6.6370782584770693E-2</v>
      </c>
      <c r="P1533" s="135">
        <v>4.8691919716093601E-2</v>
      </c>
      <c r="Q1533" s="135">
        <v>4.7577436770175202E-2</v>
      </c>
      <c r="R1533" s="135">
        <v>4.5509288904961802E-2</v>
      </c>
      <c r="S1533" s="135">
        <v>3.7848359998856301E-2</v>
      </c>
      <c r="T1533" s="135">
        <v>3.0573751717803899E-2</v>
      </c>
      <c r="U1533" s="135">
        <v>2.64469028873856E-2</v>
      </c>
      <c r="V1533" s="135">
        <v>2.88668913330575E-2</v>
      </c>
      <c r="W1533" s="135">
        <v>3.3500157127386999E-2</v>
      </c>
      <c r="X1533" s="135">
        <v>5.1836860794266797E-2</v>
      </c>
      <c r="Y1533" s="135">
        <v>6.1465466933818297E-2</v>
      </c>
      <c r="Z1533" s="135">
        <v>5.8620218734925698E-2</v>
      </c>
      <c r="AA1533" s="135">
        <v>5.0994315474025297E-2</v>
      </c>
      <c r="AB1533" s="135">
        <v>4.3963235133990801E-2</v>
      </c>
      <c r="AC1533" s="135">
        <v>2.9666393669918498E-2</v>
      </c>
      <c r="AD1533" s="135">
        <v>2.0753633515458201E-2</v>
      </c>
      <c r="AF1533" s="243">
        <f t="shared" si="31"/>
        <v>0.25032278873962732</v>
      </c>
      <c r="AG1533" s="275">
        <f t="shared" si="32"/>
        <v>0.41195605387549383</v>
      </c>
      <c r="AH1533" s="391">
        <f t="shared" si="33"/>
        <v>0.57558045247148015</v>
      </c>
      <c r="AI1533" s="135">
        <f t="shared" si="34"/>
        <v>0.98753650634697399</v>
      </c>
    </row>
    <row r="1534" spans="1:35" ht="12.6">
      <c r="A1534" s="10" t="s">
        <v>58</v>
      </c>
      <c r="B1534" s="10">
        <v>73</v>
      </c>
      <c r="C1534" s="10" t="s">
        <v>1513</v>
      </c>
      <c r="D1534" s="388">
        <v>44999</v>
      </c>
      <c r="E1534" s="389">
        <v>44999</v>
      </c>
      <c r="F1534" s="390" t="str">
        <f t="shared" si="30"/>
        <v>Water heating</v>
      </c>
      <c r="G1534" s="135">
        <v>1.5985766681694599E-2</v>
      </c>
      <c r="H1534" s="135">
        <v>1.5584995252666401E-2</v>
      </c>
      <c r="I1534" s="135">
        <v>1.47561930496646E-2</v>
      </c>
      <c r="J1534" s="135">
        <v>1.67877901987388E-2</v>
      </c>
      <c r="K1534" s="135">
        <v>2.6107316830164401E-2</v>
      </c>
      <c r="L1534" s="135">
        <v>3.8273673678792003E-2</v>
      </c>
      <c r="M1534" s="135">
        <v>7.6804227933906094E-2</v>
      </c>
      <c r="N1534" s="135">
        <v>0.100550927424452</v>
      </c>
      <c r="O1534" s="135">
        <v>6.6370782584770693E-2</v>
      </c>
      <c r="P1534" s="135">
        <v>4.8691919716093601E-2</v>
      </c>
      <c r="Q1534" s="135">
        <v>4.7577436770175202E-2</v>
      </c>
      <c r="R1534" s="135">
        <v>4.5509288904961802E-2</v>
      </c>
      <c r="S1534" s="135">
        <v>3.7848359998856301E-2</v>
      </c>
      <c r="T1534" s="135">
        <v>3.0573751717803899E-2</v>
      </c>
      <c r="U1534" s="135">
        <v>2.64469028873856E-2</v>
      </c>
      <c r="V1534" s="135">
        <v>2.88668913330575E-2</v>
      </c>
      <c r="W1534" s="135">
        <v>3.3500157127386999E-2</v>
      </c>
      <c r="X1534" s="135">
        <v>5.1836860794266797E-2</v>
      </c>
      <c r="Y1534" s="135">
        <v>6.1465466933818297E-2</v>
      </c>
      <c r="Z1534" s="135">
        <v>5.8620218734925698E-2</v>
      </c>
      <c r="AA1534" s="135">
        <v>5.0994315474025297E-2</v>
      </c>
      <c r="AB1534" s="135">
        <v>4.3963235133990801E-2</v>
      </c>
      <c r="AC1534" s="135">
        <v>2.9666393669918498E-2</v>
      </c>
      <c r="AD1534" s="135">
        <v>2.0753633515458201E-2</v>
      </c>
      <c r="AF1534" s="243">
        <f t="shared" si="31"/>
        <v>0.25032278873962732</v>
      </c>
      <c r="AG1534" s="275">
        <f t="shared" si="32"/>
        <v>0.41195605387549383</v>
      </c>
      <c r="AH1534" s="391">
        <f t="shared" si="33"/>
        <v>0.57558045247148015</v>
      </c>
      <c r="AI1534" s="135">
        <f t="shared" si="34"/>
        <v>0.98753650634697399</v>
      </c>
    </row>
    <row r="1535" spans="1:35" ht="12.6">
      <c r="A1535" s="10" t="s">
        <v>58</v>
      </c>
      <c r="B1535" s="10">
        <v>74</v>
      </c>
      <c r="C1535" s="10" t="s">
        <v>1513</v>
      </c>
      <c r="D1535" s="388">
        <v>45000</v>
      </c>
      <c r="E1535" s="389">
        <v>45000</v>
      </c>
      <c r="F1535" s="390" t="str">
        <f t="shared" si="30"/>
        <v>Water heating</v>
      </c>
      <c r="G1535" s="135">
        <v>1.5985766681694599E-2</v>
      </c>
      <c r="H1535" s="135">
        <v>1.5584995252666401E-2</v>
      </c>
      <c r="I1535" s="135">
        <v>1.47561930496646E-2</v>
      </c>
      <c r="J1535" s="135">
        <v>1.67877901987388E-2</v>
      </c>
      <c r="K1535" s="135">
        <v>2.6107316830164401E-2</v>
      </c>
      <c r="L1535" s="135">
        <v>3.8273673678792003E-2</v>
      </c>
      <c r="M1535" s="135">
        <v>7.6804227933906094E-2</v>
      </c>
      <c r="N1535" s="135">
        <v>0.100550927424452</v>
      </c>
      <c r="O1535" s="135">
        <v>6.6370782584770693E-2</v>
      </c>
      <c r="P1535" s="135">
        <v>4.8691919716093601E-2</v>
      </c>
      <c r="Q1535" s="135">
        <v>4.7577436770175202E-2</v>
      </c>
      <c r="R1535" s="135">
        <v>4.5509288904961802E-2</v>
      </c>
      <c r="S1535" s="135">
        <v>3.7848359998856301E-2</v>
      </c>
      <c r="T1535" s="135">
        <v>3.0573751717803899E-2</v>
      </c>
      <c r="U1535" s="135">
        <v>2.64469028873856E-2</v>
      </c>
      <c r="V1535" s="135">
        <v>2.88668913330575E-2</v>
      </c>
      <c r="W1535" s="135">
        <v>3.3500157127386999E-2</v>
      </c>
      <c r="X1535" s="135">
        <v>5.1836860794266797E-2</v>
      </c>
      <c r="Y1535" s="135">
        <v>6.1465466933818297E-2</v>
      </c>
      <c r="Z1535" s="135">
        <v>5.8620218734925698E-2</v>
      </c>
      <c r="AA1535" s="135">
        <v>5.0994315474025297E-2</v>
      </c>
      <c r="AB1535" s="135">
        <v>4.3963235133990801E-2</v>
      </c>
      <c r="AC1535" s="135">
        <v>2.9666393669918498E-2</v>
      </c>
      <c r="AD1535" s="135">
        <v>2.0753633515458201E-2</v>
      </c>
      <c r="AF1535" s="243">
        <f t="shared" si="31"/>
        <v>0.25032278873962732</v>
      </c>
      <c r="AG1535" s="275">
        <f t="shared" si="32"/>
        <v>0.41195605387549383</v>
      </c>
      <c r="AH1535" s="391">
        <f t="shared" si="33"/>
        <v>0.57558045247148015</v>
      </c>
      <c r="AI1535" s="135">
        <f t="shared" si="34"/>
        <v>0.98753650634697399</v>
      </c>
    </row>
    <row r="1536" spans="1:35" ht="12.6">
      <c r="A1536" s="10" t="s">
        <v>58</v>
      </c>
      <c r="B1536" s="10">
        <v>75</v>
      </c>
      <c r="C1536" s="10" t="s">
        <v>1513</v>
      </c>
      <c r="D1536" s="388">
        <v>45001</v>
      </c>
      <c r="E1536" s="389">
        <v>45001</v>
      </c>
      <c r="F1536" s="390" t="str">
        <f t="shared" si="30"/>
        <v>Water heating</v>
      </c>
      <c r="G1536" s="135">
        <v>1.5985766681694599E-2</v>
      </c>
      <c r="H1536" s="135">
        <v>1.5584995252666401E-2</v>
      </c>
      <c r="I1536" s="135">
        <v>1.47561930496646E-2</v>
      </c>
      <c r="J1536" s="135">
        <v>1.67877901987388E-2</v>
      </c>
      <c r="K1536" s="135">
        <v>2.6107316830164401E-2</v>
      </c>
      <c r="L1536" s="135">
        <v>3.8273673678792003E-2</v>
      </c>
      <c r="M1536" s="135">
        <v>7.6804227933906094E-2</v>
      </c>
      <c r="N1536" s="135">
        <v>0.100550927424452</v>
      </c>
      <c r="O1536" s="135">
        <v>6.6370782584770693E-2</v>
      </c>
      <c r="P1536" s="135">
        <v>4.8691919716093601E-2</v>
      </c>
      <c r="Q1536" s="135">
        <v>4.7577436770175202E-2</v>
      </c>
      <c r="R1536" s="135">
        <v>4.5509288904961802E-2</v>
      </c>
      <c r="S1536" s="135">
        <v>3.7848359998856301E-2</v>
      </c>
      <c r="T1536" s="135">
        <v>3.0573751717803899E-2</v>
      </c>
      <c r="U1536" s="135">
        <v>2.64469028873856E-2</v>
      </c>
      <c r="V1536" s="135">
        <v>2.88668913330575E-2</v>
      </c>
      <c r="W1536" s="135">
        <v>3.3500157127386999E-2</v>
      </c>
      <c r="X1536" s="135">
        <v>5.1836860794266797E-2</v>
      </c>
      <c r="Y1536" s="135">
        <v>6.1465466933818297E-2</v>
      </c>
      <c r="Z1536" s="135">
        <v>5.8620218734925698E-2</v>
      </c>
      <c r="AA1536" s="135">
        <v>5.0994315474025297E-2</v>
      </c>
      <c r="AB1536" s="135">
        <v>4.3963235133990801E-2</v>
      </c>
      <c r="AC1536" s="135">
        <v>2.9666393669918498E-2</v>
      </c>
      <c r="AD1536" s="135">
        <v>2.0753633515458201E-2</v>
      </c>
      <c r="AF1536" s="243">
        <f t="shared" si="31"/>
        <v>0.25032278873962732</v>
      </c>
      <c r="AG1536" s="275">
        <f t="shared" si="32"/>
        <v>0.41195605387549383</v>
      </c>
      <c r="AH1536" s="391">
        <f t="shared" si="33"/>
        <v>0.57558045247148015</v>
      </c>
      <c r="AI1536" s="135">
        <f t="shared" si="34"/>
        <v>0.98753650634697399</v>
      </c>
    </row>
    <row r="1537" spans="1:35" ht="12.6">
      <c r="A1537" s="10" t="s">
        <v>58</v>
      </c>
      <c r="B1537" s="10">
        <v>76</v>
      </c>
      <c r="C1537" s="10" t="s">
        <v>1513</v>
      </c>
      <c r="D1537" s="388">
        <v>45002</v>
      </c>
      <c r="E1537" s="389">
        <v>45002</v>
      </c>
      <c r="F1537" s="390" t="str">
        <f t="shared" si="30"/>
        <v>Water heating</v>
      </c>
      <c r="G1537" s="135">
        <v>1.5985766681694599E-2</v>
      </c>
      <c r="H1537" s="135">
        <v>1.5584995252666401E-2</v>
      </c>
      <c r="I1537" s="135">
        <v>1.47561930496646E-2</v>
      </c>
      <c r="J1537" s="135">
        <v>1.67877901987388E-2</v>
      </c>
      <c r="K1537" s="135">
        <v>2.6107316830164401E-2</v>
      </c>
      <c r="L1537" s="135">
        <v>3.8273673678792003E-2</v>
      </c>
      <c r="M1537" s="135">
        <v>7.6804227933906094E-2</v>
      </c>
      <c r="N1537" s="135">
        <v>0.100550927424452</v>
      </c>
      <c r="O1537" s="135">
        <v>6.6370782584770693E-2</v>
      </c>
      <c r="P1537" s="135">
        <v>4.8691919716093601E-2</v>
      </c>
      <c r="Q1537" s="135">
        <v>4.7577436770175202E-2</v>
      </c>
      <c r="R1537" s="135">
        <v>4.5509288904961802E-2</v>
      </c>
      <c r="S1537" s="135">
        <v>3.7848359998856301E-2</v>
      </c>
      <c r="T1537" s="135">
        <v>3.0573751717803899E-2</v>
      </c>
      <c r="U1537" s="135">
        <v>2.64469028873856E-2</v>
      </c>
      <c r="V1537" s="135">
        <v>2.88668913330575E-2</v>
      </c>
      <c r="W1537" s="135">
        <v>3.3500157127386999E-2</v>
      </c>
      <c r="X1537" s="135">
        <v>5.1836860794266797E-2</v>
      </c>
      <c r="Y1537" s="135">
        <v>6.1465466933818297E-2</v>
      </c>
      <c r="Z1537" s="135">
        <v>5.8620218734925698E-2</v>
      </c>
      <c r="AA1537" s="135">
        <v>5.0994315474025297E-2</v>
      </c>
      <c r="AB1537" s="135">
        <v>4.3963235133990801E-2</v>
      </c>
      <c r="AC1537" s="135">
        <v>2.9666393669918498E-2</v>
      </c>
      <c r="AD1537" s="135">
        <v>2.0753633515458201E-2</v>
      </c>
      <c r="AF1537" s="243">
        <f t="shared" si="31"/>
        <v>0.25032278873962732</v>
      </c>
      <c r="AG1537" s="275">
        <f t="shared" si="32"/>
        <v>0.41195605387549383</v>
      </c>
      <c r="AH1537" s="391">
        <f t="shared" si="33"/>
        <v>0.57558045247148015</v>
      </c>
      <c r="AI1537" s="135">
        <f t="shared" si="34"/>
        <v>0.98753650634697399</v>
      </c>
    </row>
    <row r="1538" spans="1:35" ht="12.6">
      <c r="A1538" s="10" t="s">
        <v>58</v>
      </c>
      <c r="B1538" s="10">
        <v>77</v>
      </c>
      <c r="C1538" s="10" t="s">
        <v>1513</v>
      </c>
      <c r="D1538" s="388">
        <v>45003</v>
      </c>
      <c r="E1538" s="389">
        <v>45003</v>
      </c>
      <c r="F1538" s="390" t="str">
        <f t="shared" si="30"/>
        <v>Water heating</v>
      </c>
      <c r="G1538" s="135">
        <v>1.6507097869250999E-2</v>
      </c>
      <c r="H1538" s="135">
        <v>1.51639990758798E-2</v>
      </c>
      <c r="I1538" s="135">
        <v>1.54097470439992E-2</v>
      </c>
      <c r="J1538" s="135">
        <v>1.79340006996399E-2</v>
      </c>
      <c r="K1538" s="135">
        <v>2.2962840556772699E-2</v>
      </c>
      <c r="L1538" s="135">
        <v>2.1695854680460001E-2</v>
      </c>
      <c r="M1538" s="135">
        <v>2.56979639815424E-2</v>
      </c>
      <c r="N1538" s="135">
        <v>4.37381622200319E-2</v>
      </c>
      <c r="O1538" s="135">
        <v>6.2889120667870099E-2</v>
      </c>
      <c r="P1538" s="135">
        <v>7.60742643102119E-2</v>
      </c>
      <c r="Q1538" s="135">
        <v>7.3771105808853002E-2</v>
      </c>
      <c r="R1538" s="135">
        <v>6.5959187832445795E-2</v>
      </c>
      <c r="S1538" s="135">
        <v>5.5848142342757999E-2</v>
      </c>
      <c r="T1538" s="135">
        <v>4.60459489591524E-2</v>
      </c>
      <c r="U1538" s="135">
        <v>3.7499058702830997E-2</v>
      </c>
      <c r="V1538" s="135">
        <v>4.0762971593910798E-2</v>
      </c>
      <c r="W1538" s="135">
        <v>4.9487552337156397E-2</v>
      </c>
      <c r="X1538" s="135">
        <v>5.8970393891231702E-2</v>
      </c>
      <c r="Y1538" s="135">
        <v>6.1261276075970497E-2</v>
      </c>
      <c r="Z1538" s="135">
        <v>5.2198667098737501E-2</v>
      </c>
      <c r="AA1538" s="135">
        <v>3.97621487252637E-2</v>
      </c>
      <c r="AB1538" s="135">
        <v>3.2916755621154301E-2</v>
      </c>
      <c r="AC1538" s="135">
        <v>2.7584900895499601E-2</v>
      </c>
      <c r="AD1538" s="135">
        <v>1.92885342915688E-2</v>
      </c>
      <c r="AF1538" s="243">
        <f t="shared" si="31"/>
        <v>0.36937396757710739</v>
      </c>
      <c r="AG1538" s="275">
        <f t="shared" si="32"/>
        <v>0.41188861303042223</v>
      </c>
      <c r="AH1538" s="391">
        <f t="shared" si="33"/>
        <v>0.56754108225177036</v>
      </c>
      <c r="AI1538" s="135">
        <f t="shared" si="34"/>
        <v>0.97942969528219259</v>
      </c>
    </row>
    <row r="1539" spans="1:35" ht="12.6">
      <c r="A1539" s="10" t="s">
        <v>58</v>
      </c>
      <c r="B1539" s="10">
        <v>78</v>
      </c>
      <c r="C1539" s="10" t="s">
        <v>1513</v>
      </c>
      <c r="D1539" s="388">
        <v>45004</v>
      </c>
      <c r="E1539" s="389">
        <v>45004</v>
      </c>
      <c r="F1539" s="390" t="str">
        <f t="shared" si="30"/>
        <v>Water heating</v>
      </c>
      <c r="G1539" s="135">
        <v>1.6507097869250999E-2</v>
      </c>
      <c r="H1539" s="135">
        <v>1.51639990758798E-2</v>
      </c>
      <c r="I1539" s="135">
        <v>1.54097470439992E-2</v>
      </c>
      <c r="J1539" s="135">
        <v>1.79340006996399E-2</v>
      </c>
      <c r="K1539" s="135">
        <v>2.2962840556772699E-2</v>
      </c>
      <c r="L1539" s="135">
        <v>2.1695854680460001E-2</v>
      </c>
      <c r="M1539" s="135">
        <v>2.56979639815424E-2</v>
      </c>
      <c r="N1539" s="135">
        <v>4.37381622200319E-2</v>
      </c>
      <c r="O1539" s="135">
        <v>6.2889120667870099E-2</v>
      </c>
      <c r="P1539" s="135">
        <v>7.60742643102119E-2</v>
      </c>
      <c r="Q1539" s="135">
        <v>7.3771105808853002E-2</v>
      </c>
      <c r="R1539" s="135">
        <v>6.5959187832445795E-2</v>
      </c>
      <c r="S1539" s="135">
        <v>5.5848142342757999E-2</v>
      </c>
      <c r="T1539" s="135">
        <v>4.60459489591524E-2</v>
      </c>
      <c r="U1539" s="135">
        <v>3.7499058702830997E-2</v>
      </c>
      <c r="V1539" s="135">
        <v>4.0762971593910798E-2</v>
      </c>
      <c r="W1539" s="135">
        <v>4.9487552337156397E-2</v>
      </c>
      <c r="X1539" s="135">
        <v>5.8970393891231702E-2</v>
      </c>
      <c r="Y1539" s="135">
        <v>6.1261276075970497E-2</v>
      </c>
      <c r="Z1539" s="135">
        <v>5.2198667098737501E-2</v>
      </c>
      <c r="AA1539" s="135">
        <v>3.97621487252637E-2</v>
      </c>
      <c r="AB1539" s="135">
        <v>3.2916755621154301E-2</v>
      </c>
      <c r="AC1539" s="135">
        <v>2.7584900895499601E-2</v>
      </c>
      <c r="AD1539" s="135">
        <v>1.92885342915688E-2</v>
      </c>
      <c r="AF1539" s="243">
        <f t="shared" si="31"/>
        <v>0.36937396757710739</v>
      </c>
      <c r="AG1539" s="275">
        <f t="shared" si="32"/>
        <v>0.41188861303042223</v>
      </c>
      <c r="AH1539" s="391">
        <f t="shared" si="33"/>
        <v>0.56754108225177036</v>
      </c>
      <c r="AI1539" s="135">
        <f t="shared" si="34"/>
        <v>0.97942969528219259</v>
      </c>
    </row>
    <row r="1540" spans="1:35" ht="12.6">
      <c r="A1540" s="10" t="s">
        <v>58</v>
      </c>
      <c r="B1540" s="10">
        <v>79</v>
      </c>
      <c r="C1540" s="10" t="s">
        <v>1513</v>
      </c>
      <c r="D1540" s="388">
        <v>45005</v>
      </c>
      <c r="E1540" s="389">
        <v>45005</v>
      </c>
      <c r="F1540" s="390" t="str">
        <f t="shared" si="30"/>
        <v>Water heating</v>
      </c>
      <c r="G1540" s="135">
        <v>1.5985766681694599E-2</v>
      </c>
      <c r="H1540" s="135">
        <v>1.5584995252666401E-2</v>
      </c>
      <c r="I1540" s="135">
        <v>1.47561930496646E-2</v>
      </c>
      <c r="J1540" s="135">
        <v>1.67877901987388E-2</v>
      </c>
      <c r="K1540" s="135">
        <v>2.6107316830164401E-2</v>
      </c>
      <c r="L1540" s="135">
        <v>3.8273673678792003E-2</v>
      </c>
      <c r="M1540" s="135">
        <v>7.6804227933906094E-2</v>
      </c>
      <c r="N1540" s="135">
        <v>0.100550927424452</v>
      </c>
      <c r="O1540" s="135">
        <v>6.6370782584770693E-2</v>
      </c>
      <c r="P1540" s="135">
        <v>4.8691919716093601E-2</v>
      </c>
      <c r="Q1540" s="135">
        <v>4.7577436770175202E-2</v>
      </c>
      <c r="R1540" s="135">
        <v>4.5509288904961802E-2</v>
      </c>
      <c r="S1540" s="135">
        <v>3.7848359998856301E-2</v>
      </c>
      <c r="T1540" s="135">
        <v>3.0573751717803899E-2</v>
      </c>
      <c r="U1540" s="135">
        <v>2.64469028873856E-2</v>
      </c>
      <c r="V1540" s="135">
        <v>2.88668913330575E-2</v>
      </c>
      <c r="W1540" s="135">
        <v>3.3500157127386999E-2</v>
      </c>
      <c r="X1540" s="135">
        <v>5.1836860794266797E-2</v>
      </c>
      <c r="Y1540" s="135">
        <v>6.1465466933818297E-2</v>
      </c>
      <c r="Z1540" s="135">
        <v>5.8620218734925698E-2</v>
      </c>
      <c r="AA1540" s="135">
        <v>5.0994315474025297E-2</v>
      </c>
      <c r="AB1540" s="135">
        <v>4.3963235133990801E-2</v>
      </c>
      <c r="AC1540" s="135">
        <v>2.9666393669918498E-2</v>
      </c>
      <c r="AD1540" s="135">
        <v>2.0753633515458201E-2</v>
      </c>
      <c r="AF1540" s="243">
        <f t="shared" si="31"/>
        <v>0.25032278873962732</v>
      </c>
      <c r="AG1540" s="275">
        <f t="shared" si="32"/>
        <v>0.41195605387549383</v>
      </c>
      <c r="AH1540" s="391">
        <f t="shared" si="33"/>
        <v>0.57558045247148015</v>
      </c>
      <c r="AI1540" s="135">
        <f t="shared" si="34"/>
        <v>0.98753650634697399</v>
      </c>
    </row>
    <row r="1541" spans="1:35" ht="12.6">
      <c r="A1541" s="10" t="s">
        <v>58</v>
      </c>
      <c r="B1541" s="10">
        <v>80</v>
      </c>
      <c r="C1541" s="10" t="s">
        <v>1513</v>
      </c>
      <c r="D1541" s="388">
        <v>45006</v>
      </c>
      <c r="E1541" s="389">
        <v>45006</v>
      </c>
      <c r="F1541" s="390" t="str">
        <f t="shared" si="30"/>
        <v>Water heating</v>
      </c>
      <c r="G1541" s="135">
        <v>1.5985766681694599E-2</v>
      </c>
      <c r="H1541" s="135">
        <v>1.5584995252666401E-2</v>
      </c>
      <c r="I1541" s="135">
        <v>1.47561930496646E-2</v>
      </c>
      <c r="J1541" s="135">
        <v>1.67877901987388E-2</v>
      </c>
      <c r="K1541" s="135">
        <v>2.6107316830164401E-2</v>
      </c>
      <c r="L1541" s="135">
        <v>3.8273673678792003E-2</v>
      </c>
      <c r="M1541" s="135">
        <v>7.6804227933906094E-2</v>
      </c>
      <c r="N1541" s="135">
        <v>0.100550927424452</v>
      </c>
      <c r="O1541" s="135">
        <v>6.6370782584770693E-2</v>
      </c>
      <c r="P1541" s="135">
        <v>4.8691919716093601E-2</v>
      </c>
      <c r="Q1541" s="135">
        <v>4.7577436770175202E-2</v>
      </c>
      <c r="R1541" s="135">
        <v>4.5509288904961802E-2</v>
      </c>
      <c r="S1541" s="135">
        <v>3.7848359998856301E-2</v>
      </c>
      <c r="T1541" s="135">
        <v>3.0573751717803899E-2</v>
      </c>
      <c r="U1541" s="135">
        <v>2.64469028873856E-2</v>
      </c>
      <c r="V1541" s="135">
        <v>2.88668913330575E-2</v>
      </c>
      <c r="W1541" s="135">
        <v>3.3500157127386999E-2</v>
      </c>
      <c r="X1541" s="135">
        <v>5.1836860794266797E-2</v>
      </c>
      <c r="Y1541" s="135">
        <v>6.1465466933818297E-2</v>
      </c>
      <c r="Z1541" s="135">
        <v>5.8620218734925698E-2</v>
      </c>
      <c r="AA1541" s="135">
        <v>5.0994315474025297E-2</v>
      </c>
      <c r="AB1541" s="135">
        <v>4.3963235133990801E-2</v>
      </c>
      <c r="AC1541" s="135">
        <v>2.9666393669918498E-2</v>
      </c>
      <c r="AD1541" s="135">
        <v>2.0753633515458201E-2</v>
      </c>
      <c r="AF1541" s="243">
        <f t="shared" si="31"/>
        <v>0.25032278873962732</v>
      </c>
      <c r="AG1541" s="275">
        <f t="shared" si="32"/>
        <v>0.41195605387549383</v>
      </c>
      <c r="AH1541" s="391">
        <f t="shared" si="33"/>
        <v>0.57558045247148015</v>
      </c>
      <c r="AI1541" s="135">
        <f t="shared" si="34"/>
        <v>0.98753650634697399</v>
      </c>
    </row>
    <row r="1542" spans="1:35" ht="12.6">
      <c r="A1542" s="10" t="s">
        <v>58</v>
      </c>
      <c r="B1542" s="10">
        <v>81</v>
      </c>
      <c r="C1542" s="10" t="s">
        <v>1513</v>
      </c>
      <c r="D1542" s="388">
        <v>45007</v>
      </c>
      <c r="E1542" s="389">
        <v>45007</v>
      </c>
      <c r="F1542" s="390" t="str">
        <f t="shared" si="30"/>
        <v>Water heating</v>
      </c>
      <c r="G1542" s="135">
        <v>1.5985766681694599E-2</v>
      </c>
      <c r="H1542" s="135">
        <v>1.5584995252666401E-2</v>
      </c>
      <c r="I1542" s="135">
        <v>1.47561930496646E-2</v>
      </c>
      <c r="J1542" s="135">
        <v>1.67877901987388E-2</v>
      </c>
      <c r="K1542" s="135">
        <v>2.6107316830164401E-2</v>
      </c>
      <c r="L1542" s="135">
        <v>3.8273673678792003E-2</v>
      </c>
      <c r="M1542" s="135">
        <v>7.6804227933906094E-2</v>
      </c>
      <c r="N1542" s="135">
        <v>0.100550927424452</v>
      </c>
      <c r="O1542" s="135">
        <v>6.6370782584770693E-2</v>
      </c>
      <c r="P1542" s="135">
        <v>4.8691919716093601E-2</v>
      </c>
      <c r="Q1542" s="135">
        <v>4.7577436770175202E-2</v>
      </c>
      <c r="R1542" s="135">
        <v>4.5509288904961802E-2</v>
      </c>
      <c r="S1542" s="135">
        <v>3.7848359998856301E-2</v>
      </c>
      <c r="T1542" s="135">
        <v>3.0573751717803899E-2</v>
      </c>
      <c r="U1542" s="135">
        <v>2.64469028873856E-2</v>
      </c>
      <c r="V1542" s="135">
        <v>2.88668913330575E-2</v>
      </c>
      <c r="W1542" s="135">
        <v>3.3500157127386999E-2</v>
      </c>
      <c r="X1542" s="135">
        <v>5.1836860794266797E-2</v>
      </c>
      <c r="Y1542" s="135">
        <v>6.1465466933818297E-2</v>
      </c>
      <c r="Z1542" s="135">
        <v>5.8620218734925698E-2</v>
      </c>
      <c r="AA1542" s="135">
        <v>5.0994315474025297E-2</v>
      </c>
      <c r="AB1542" s="135">
        <v>4.3963235133990801E-2</v>
      </c>
      <c r="AC1542" s="135">
        <v>2.9666393669918498E-2</v>
      </c>
      <c r="AD1542" s="135">
        <v>2.0753633515458201E-2</v>
      </c>
      <c r="AF1542" s="243">
        <f t="shared" si="31"/>
        <v>0.25032278873962732</v>
      </c>
      <c r="AG1542" s="275">
        <f t="shared" si="32"/>
        <v>0.41195605387549383</v>
      </c>
      <c r="AH1542" s="391">
        <f t="shared" si="33"/>
        <v>0.57558045247148015</v>
      </c>
      <c r="AI1542" s="135">
        <f t="shared" si="34"/>
        <v>0.98753650634697399</v>
      </c>
    </row>
    <row r="1543" spans="1:35" ht="12.6">
      <c r="A1543" s="10" t="s">
        <v>58</v>
      </c>
      <c r="B1543" s="10">
        <v>82</v>
      </c>
      <c r="C1543" s="10" t="s">
        <v>1513</v>
      </c>
      <c r="D1543" s="388">
        <v>45008</v>
      </c>
      <c r="E1543" s="389">
        <v>45008</v>
      </c>
      <c r="F1543" s="390" t="str">
        <f t="shared" si="30"/>
        <v>Water heating</v>
      </c>
      <c r="G1543" s="135">
        <v>1.5985766681694599E-2</v>
      </c>
      <c r="H1543" s="135">
        <v>1.5584995252666401E-2</v>
      </c>
      <c r="I1543" s="135">
        <v>1.47561930496646E-2</v>
      </c>
      <c r="J1543" s="135">
        <v>1.67877901987388E-2</v>
      </c>
      <c r="K1543" s="135">
        <v>2.6107316830164401E-2</v>
      </c>
      <c r="L1543" s="135">
        <v>3.8273673678792003E-2</v>
      </c>
      <c r="M1543" s="135">
        <v>7.6804227933906094E-2</v>
      </c>
      <c r="N1543" s="135">
        <v>0.100550927424452</v>
      </c>
      <c r="O1543" s="135">
        <v>6.6370782584770693E-2</v>
      </c>
      <c r="P1543" s="135">
        <v>4.8691919716093601E-2</v>
      </c>
      <c r="Q1543" s="135">
        <v>4.7577436770175202E-2</v>
      </c>
      <c r="R1543" s="135">
        <v>4.5509288904961802E-2</v>
      </c>
      <c r="S1543" s="135">
        <v>3.7848359998856301E-2</v>
      </c>
      <c r="T1543" s="135">
        <v>3.0573751717803899E-2</v>
      </c>
      <c r="U1543" s="135">
        <v>2.64469028873856E-2</v>
      </c>
      <c r="V1543" s="135">
        <v>2.88668913330575E-2</v>
      </c>
      <c r="W1543" s="135">
        <v>3.3500157127386999E-2</v>
      </c>
      <c r="X1543" s="135">
        <v>5.1836860794266797E-2</v>
      </c>
      <c r="Y1543" s="135">
        <v>6.1465466933818297E-2</v>
      </c>
      <c r="Z1543" s="135">
        <v>5.8620218734925698E-2</v>
      </c>
      <c r="AA1543" s="135">
        <v>5.0994315474025297E-2</v>
      </c>
      <c r="AB1543" s="135">
        <v>4.3963235133990801E-2</v>
      </c>
      <c r="AC1543" s="135">
        <v>2.9666393669918498E-2</v>
      </c>
      <c r="AD1543" s="135">
        <v>2.0753633515458201E-2</v>
      </c>
      <c r="AF1543" s="243">
        <f t="shared" si="31"/>
        <v>0.25032278873962732</v>
      </c>
      <c r="AG1543" s="275">
        <f t="shared" si="32"/>
        <v>0.41195605387549383</v>
      </c>
      <c r="AH1543" s="391">
        <f t="shared" si="33"/>
        <v>0.57558045247148015</v>
      </c>
      <c r="AI1543" s="135">
        <f t="shared" si="34"/>
        <v>0.98753650634697399</v>
      </c>
    </row>
    <row r="1544" spans="1:35" ht="12.6">
      <c r="A1544" s="10" t="s">
        <v>58</v>
      </c>
      <c r="B1544" s="10">
        <v>83</v>
      </c>
      <c r="C1544" s="10" t="s">
        <v>1513</v>
      </c>
      <c r="D1544" s="388">
        <v>45009</v>
      </c>
      <c r="E1544" s="389">
        <v>45009</v>
      </c>
      <c r="F1544" s="390" t="str">
        <f t="shared" si="30"/>
        <v>Water heating</v>
      </c>
      <c r="G1544" s="135">
        <v>1.5985766681694599E-2</v>
      </c>
      <c r="H1544" s="135">
        <v>1.5584995252666401E-2</v>
      </c>
      <c r="I1544" s="135">
        <v>1.47561930496646E-2</v>
      </c>
      <c r="J1544" s="135">
        <v>1.67877901987388E-2</v>
      </c>
      <c r="K1544" s="135">
        <v>2.6107316830164401E-2</v>
      </c>
      <c r="L1544" s="135">
        <v>3.8273673678792003E-2</v>
      </c>
      <c r="M1544" s="135">
        <v>7.6804227933906094E-2</v>
      </c>
      <c r="N1544" s="135">
        <v>0.100550927424452</v>
      </c>
      <c r="O1544" s="135">
        <v>6.6370782584770693E-2</v>
      </c>
      <c r="P1544" s="135">
        <v>4.8691919716093601E-2</v>
      </c>
      <c r="Q1544" s="135">
        <v>4.7577436770175202E-2</v>
      </c>
      <c r="R1544" s="135">
        <v>4.5509288904961802E-2</v>
      </c>
      <c r="S1544" s="135">
        <v>3.7848359998856301E-2</v>
      </c>
      <c r="T1544" s="135">
        <v>3.0573751717803899E-2</v>
      </c>
      <c r="U1544" s="135">
        <v>2.64469028873856E-2</v>
      </c>
      <c r="V1544" s="135">
        <v>2.88668913330575E-2</v>
      </c>
      <c r="W1544" s="135">
        <v>3.3500157127386999E-2</v>
      </c>
      <c r="X1544" s="135">
        <v>5.1836860794266797E-2</v>
      </c>
      <c r="Y1544" s="135">
        <v>6.1465466933818297E-2</v>
      </c>
      <c r="Z1544" s="135">
        <v>5.8620218734925698E-2</v>
      </c>
      <c r="AA1544" s="135">
        <v>5.0994315474025297E-2</v>
      </c>
      <c r="AB1544" s="135">
        <v>4.3963235133990801E-2</v>
      </c>
      <c r="AC1544" s="135">
        <v>2.9666393669918498E-2</v>
      </c>
      <c r="AD1544" s="135">
        <v>2.0753633515458201E-2</v>
      </c>
      <c r="AF1544" s="243">
        <f t="shared" si="31"/>
        <v>0.25032278873962732</v>
      </c>
      <c r="AG1544" s="275">
        <f t="shared" si="32"/>
        <v>0.41195605387549383</v>
      </c>
      <c r="AH1544" s="391">
        <f t="shared" si="33"/>
        <v>0.57558045247148015</v>
      </c>
      <c r="AI1544" s="135">
        <f t="shared" si="34"/>
        <v>0.98753650634697399</v>
      </c>
    </row>
    <row r="1545" spans="1:35" ht="12.6">
      <c r="A1545" s="10" t="s">
        <v>58</v>
      </c>
      <c r="B1545" s="10">
        <v>84</v>
      </c>
      <c r="C1545" s="10" t="s">
        <v>1513</v>
      </c>
      <c r="D1545" s="388">
        <v>45010</v>
      </c>
      <c r="E1545" s="389">
        <v>45010</v>
      </c>
      <c r="F1545" s="390" t="str">
        <f t="shared" si="30"/>
        <v>Water heating</v>
      </c>
      <c r="G1545" s="135">
        <v>1.6507097869250999E-2</v>
      </c>
      <c r="H1545" s="135">
        <v>1.51639990758798E-2</v>
      </c>
      <c r="I1545" s="135">
        <v>1.54097470439992E-2</v>
      </c>
      <c r="J1545" s="135">
        <v>1.79340006996399E-2</v>
      </c>
      <c r="K1545" s="135">
        <v>2.2962840556772699E-2</v>
      </c>
      <c r="L1545" s="135">
        <v>2.1695854680460001E-2</v>
      </c>
      <c r="M1545" s="135">
        <v>2.56979639815424E-2</v>
      </c>
      <c r="N1545" s="135">
        <v>4.37381622200319E-2</v>
      </c>
      <c r="O1545" s="135">
        <v>6.2889120667870099E-2</v>
      </c>
      <c r="P1545" s="135">
        <v>7.60742643102119E-2</v>
      </c>
      <c r="Q1545" s="135">
        <v>7.3771105808853002E-2</v>
      </c>
      <c r="R1545" s="135">
        <v>6.5959187832445795E-2</v>
      </c>
      <c r="S1545" s="135">
        <v>5.5848142342757999E-2</v>
      </c>
      <c r="T1545" s="135">
        <v>4.60459489591524E-2</v>
      </c>
      <c r="U1545" s="135">
        <v>3.7499058702830997E-2</v>
      </c>
      <c r="V1545" s="135">
        <v>4.0762971593910798E-2</v>
      </c>
      <c r="W1545" s="135">
        <v>4.9487552337156397E-2</v>
      </c>
      <c r="X1545" s="135">
        <v>5.8970393891231702E-2</v>
      </c>
      <c r="Y1545" s="135">
        <v>6.1261276075970497E-2</v>
      </c>
      <c r="Z1545" s="135">
        <v>5.2198667098737501E-2</v>
      </c>
      <c r="AA1545" s="135">
        <v>3.97621487252637E-2</v>
      </c>
      <c r="AB1545" s="135">
        <v>3.2916755621154301E-2</v>
      </c>
      <c r="AC1545" s="135">
        <v>2.7584900895499601E-2</v>
      </c>
      <c r="AD1545" s="135">
        <v>1.92885342915688E-2</v>
      </c>
      <c r="AF1545" s="243">
        <f t="shared" si="31"/>
        <v>0.36937396757710739</v>
      </c>
      <c r="AG1545" s="275">
        <f t="shared" si="32"/>
        <v>0.41188861303042223</v>
      </c>
      <c r="AH1545" s="391">
        <f t="shared" si="33"/>
        <v>0.56754108225177036</v>
      </c>
      <c r="AI1545" s="135">
        <f t="shared" si="34"/>
        <v>0.97942969528219259</v>
      </c>
    </row>
    <row r="1546" spans="1:35" ht="12.6">
      <c r="A1546" s="10" t="s">
        <v>58</v>
      </c>
      <c r="B1546" s="10">
        <v>85</v>
      </c>
      <c r="C1546" s="10" t="s">
        <v>1513</v>
      </c>
      <c r="D1546" s="388">
        <v>45011</v>
      </c>
      <c r="E1546" s="389">
        <v>45011</v>
      </c>
      <c r="F1546" s="390" t="str">
        <f t="shared" si="30"/>
        <v>Water heating</v>
      </c>
      <c r="G1546" s="135">
        <v>1.6507097869250999E-2</v>
      </c>
      <c r="H1546" s="135">
        <v>1.51639990758798E-2</v>
      </c>
      <c r="I1546" s="135">
        <v>1.54097470439992E-2</v>
      </c>
      <c r="J1546" s="135">
        <v>1.79340006996399E-2</v>
      </c>
      <c r="K1546" s="135">
        <v>2.2962840556772699E-2</v>
      </c>
      <c r="L1546" s="135">
        <v>2.1695854680460001E-2</v>
      </c>
      <c r="M1546" s="135">
        <v>2.56979639815424E-2</v>
      </c>
      <c r="N1546" s="135">
        <v>4.37381622200319E-2</v>
      </c>
      <c r="O1546" s="135">
        <v>6.2889120667870099E-2</v>
      </c>
      <c r="P1546" s="135">
        <v>7.60742643102119E-2</v>
      </c>
      <c r="Q1546" s="135">
        <v>7.3771105808853002E-2</v>
      </c>
      <c r="R1546" s="135">
        <v>6.5959187832445795E-2</v>
      </c>
      <c r="S1546" s="135">
        <v>5.5848142342757999E-2</v>
      </c>
      <c r="T1546" s="135">
        <v>4.60459489591524E-2</v>
      </c>
      <c r="U1546" s="135">
        <v>3.7499058702830997E-2</v>
      </c>
      <c r="V1546" s="135">
        <v>4.0762971593910798E-2</v>
      </c>
      <c r="W1546" s="135">
        <v>4.9487552337156397E-2</v>
      </c>
      <c r="X1546" s="135">
        <v>5.8970393891231702E-2</v>
      </c>
      <c r="Y1546" s="135">
        <v>6.1261276075970497E-2</v>
      </c>
      <c r="Z1546" s="135">
        <v>5.2198667098737501E-2</v>
      </c>
      <c r="AA1546" s="135">
        <v>3.97621487252637E-2</v>
      </c>
      <c r="AB1546" s="135">
        <v>3.2916755621154301E-2</v>
      </c>
      <c r="AC1546" s="135">
        <v>2.7584900895499601E-2</v>
      </c>
      <c r="AD1546" s="135">
        <v>1.92885342915688E-2</v>
      </c>
      <c r="AF1546" s="243">
        <f t="shared" si="31"/>
        <v>0.36937396757710739</v>
      </c>
      <c r="AG1546" s="275">
        <f t="shared" si="32"/>
        <v>0.41188861303042223</v>
      </c>
      <c r="AH1546" s="391">
        <f t="shared" si="33"/>
        <v>0.56754108225177036</v>
      </c>
      <c r="AI1546" s="135">
        <f t="shared" si="34"/>
        <v>0.97942969528219259</v>
      </c>
    </row>
    <row r="1547" spans="1:35" ht="12.6">
      <c r="A1547" s="10" t="s">
        <v>58</v>
      </c>
      <c r="B1547" s="10">
        <v>86</v>
      </c>
      <c r="C1547" s="10" t="s">
        <v>1513</v>
      </c>
      <c r="D1547" s="388">
        <v>45012</v>
      </c>
      <c r="E1547" s="389">
        <v>45012</v>
      </c>
      <c r="F1547" s="390" t="str">
        <f t="shared" si="30"/>
        <v>Water heating</v>
      </c>
      <c r="G1547" s="135">
        <v>1.5985766681694599E-2</v>
      </c>
      <c r="H1547" s="135">
        <v>1.5584995252666401E-2</v>
      </c>
      <c r="I1547" s="135">
        <v>1.47561930496646E-2</v>
      </c>
      <c r="J1547" s="135">
        <v>1.67877901987388E-2</v>
      </c>
      <c r="K1547" s="135">
        <v>2.6107316830164401E-2</v>
      </c>
      <c r="L1547" s="135">
        <v>3.8273673678792003E-2</v>
      </c>
      <c r="M1547" s="135">
        <v>7.6804227933906094E-2</v>
      </c>
      <c r="N1547" s="135">
        <v>0.100550927424452</v>
      </c>
      <c r="O1547" s="135">
        <v>6.6370782584770693E-2</v>
      </c>
      <c r="P1547" s="135">
        <v>4.8691919716093601E-2</v>
      </c>
      <c r="Q1547" s="135">
        <v>4.7577436770175202E-2</v>
      </c>
      <c r="R1547" s="135">
        <v>4.5509288904961802E-2</v>
      </c>
      <c r="S1547" s="135">
        <v>3.7848359998856301E-2</v>
      </c>
      <c r="T1547" s="135">
        <v>3.0573751717803899E-2</v>
      </c>
      <c r="U1547" s="135">
        <v>2.64469028873856E-2</v>
      </c>
      <c r="V1547" s="135">
        <v>2.88668913330575E-2</v>
      </c>
      <c r="W1547" s="135">
        <v>3.3500157127386999E-2</v>
      </c>
      <c r="X1547" s="135">
        <v>5.1836860794266797E-2</v>
      </c>
      <c r="Y1547" s="135">
        <v>6.1465466933818297E-2</v>
      </c>
      <c r="Z1547" s="135">
        <v>5.8620218734925698E-2</v>
      </c>
      <c r="AA1547" s="135">
        <v>5.0994315474025297E-2</v>
      </c>
      <c r="AB1547" s="135">
        <v>4.3963235133990801E-2</v>
      </c>
      <c r="AC1547" s="135">
        <v>2.9666393669918498E-2</v>
      </c>
      <c r="AD1547" s="135">
        <v>2.0753633515458201E-2</v>
      </c>
      <c r="AF1547" s="243">
        <f t="shared" si="31"/>
        <v>0.25032278873962732</v>
      </c>
      <c r="AG1547" s="275">
        <f t="shared" si="32"/>
        <v>0.41195605387549383</v>
      </c>
      <c r="AH1547" s="391">
        <f t="shared" si="33"/>
        <v>0.57558045247148015</v>
      </c>
      <c r="AI1547" s="135">
        <f t="shared" si="34"/>
        <v>0.98753650634697399</v>
      </c>
    </row>
    <row r="1548" spans="1:35" ht="12.6">
      <c r="A1548" s="10" t="s">
        <v>58</v>
      </c>
      <c r="B1548" s="10">
        <v>87</v>
      </c>
      <c r="C1548" s="10" t="s">
        <v>1513</v>
      </c>
      <c r="D1548" s="388">
        <v>45013</v>
      </c>
      <c r="E1548" s="389">
        <v>45013</v>
      </c>
      <c r="F1548" s="390" t="str">
        <f t="shared" si="30"/>
        <v>Water heating</v>
      </c>
      <c r="G1548" s="135">
        <v>1.5985766681694599E-2</v>
      </c>
      <c r="H1548" s="135">
        <v>1.5584995252666401E-2</v>
      </c>
      <c r="I1548" s="135">
        <v>1.47561930496646E-2</v>
      </c>
      <c r="J1548" s="135">
        <v>1.67877901987388E-2</v>
      </c>
      <c r="K1548" s="135">
        <v>2.6107316830164401E-2</v>
      </c>
      <c r="L1548" s="135">
        <v>3.8273673678792003E-2</v>
      </c>
      <c r="M1548" s="135">
        <v>7.6804227933906094E-2</v>
      </c>
      <c r="N1548" s="135">
        <v>0.100550927424452</v>
      </c>
      <c r="O1548" s="135">
        <v>6.6370782584770693E-2</v>
      </c>
      <c r="P1548" s="135">
        <v>4.8691919716093601E-2</v>
      </c>
      <c r="Q1548" s="135">
        <v>4.7577436770175202E-2</v>
      </c>
      <c r="R1548" s="135">
        <v>4.5509288904961802E-2</v>
      </c>
      <c r="S1548" s="135">
        <v>3.7848359998856301E-2</v>
      </c>
      <c r="T1548" s="135">
        <v>3.0573751717803899E-2</v>
      </c>
      <c r="U1548" s="135">
        <v>2.64469028873856E-2</v>
      </c>
      <c r="V1548" s="135">
        <v>2.88668913330575E-2</v>
      </c>
      <c r="W1548" s="135">
        <v>3.3500157127386999E-2</v>
      </c>
      <c r="X1548" s="135">
        <v>5.1836860794266797E-2</v>
      </c>
      <c r="Y1548" s="135">
        <v>6.1465466933818297E-2</v>
      </c>
      <c r="Z1548" s="135">
        <v>5.8620218734925698E-2</v>
      </c>
      <c r="AA1548" s="135">
        <v>5.0994315474025297E-2</v>
      </c>
      <c r="AB1548" s="135">
        <v>4.3963235133990801E-2</v>
      </c>
      <c r="AC1548" s="135">
        <v>2.9666393669918498E-2</v>
      </c>
      <c r="AD1548" s="135">
        <v>2.0753633515458201E-2</v>
      </c>
      <c r="AF1548" s="243">
        <f t="shared" si="31"/>
        <v>0.25032278873962732</v>
      </c>
      <c r="AG1548" s="275">
        <f t="shared" si="32"/>
        <v>0.41195605387549383</v>
      </c>
      <c r="AH1548" s="391">
        <f t="shared" si="33"/>
        <v>0.57558045247148015</v>
      </c>
      <c r="AI1548" s="135">
        <f t="shared" si="34"/>
        <v>0.98753650634697399</v>
      </c>
    </row>
    <row r="1549" spans="1:35" ht="12.6">
      <c r="A1549" s="10" t="s">
        <v>58</v>
      </c>
      <c r="B1549" s="10">
        <v>88</v>
      </c>
      <c r="C1549" s="10" t="s">
        <v>1513</v>
      </c>
      <c r="D1549" s="388">
        <v>45014</v>
      </c>
      <c r="E1549" s="389">
        <v>45014</v>
      </c>
      <c r="F1549" s="390" t="str">
        <f t="shared" si="30"/>
        <v>Water heating</v>
      </c>
      <c r="G1549" s="135">
        <v>1.5985766681694599E-2</v>
      </c>
      <c r="H1549" s="135">
        <v>1.5584995252666401E-2</v>
      </c>
      <c r="I1549" s="135">
        <v>1.47561930496646E-2</v>
      </c>
      <c r="J1549" s="135">
        <v>1.67877901987388E-2</v>
      </c>
      <c r="K1549" s="135">
        <v>2.6107316830164401E-2</v>
      </c>
      <c r="L1549" s="135">
        <v>3.8273673678792003E-2</v>
      </c>
      <c r="M1549" s="135">
        <v>7.6804227933906094E-2</v>
      </c>
      <c r="N1549" s="135">
        <v>0.100550927424452</v>
      </c>
      <c r="O1549" s="135">
        <v>6.6370782584770693E-2</v>
      </c>
      <c r="P1549" s="135">
        <v>4.8691919716093601E-2</v>
      </c>
      <c r="Q1549" s="135">
        <v>4.7577436770175202E-2</v>
      </c>
      <c r="R1549" s="135">
        <v>4.5509288904961802E-2</v>
      </c>
      <c r="S1549" s="135">
        <v>3.7848359998856301E-2</v>
      </c>
      <c r="T1549" s="135">
        <v>3.0573751717803899E-2</v>
      </c>
      <c r="U1549" s="135">
        <v>2.64469028873856E-2</v>
      </c>
      <c r="V1549" s="135">
        <v>2.88668913330575E-2</v>
      </c>
      <c r="W1549" s="135">
        <v>3.3500157127386999E-2</v>
      </c>
      <c r="X1549" s="135">
        <v>5.1836860794266797E-2</v>
      </c>
      <c r="Y1549" s="135">
        <v>6.1465466933818297E-2</v>
      </c>
      <c r="Z1549" s="135">
        <v>5.8620218734925698E-2</v>
      </c>
      <c r="AA1549" s="135">
        <v>5.0994315474025297E-2</v>
      </c>
      <c r="AB1549" s="135">
        <v>4.3963235133990801E-2</v>
      </c>
      <c r="AC1549" s="135">
        <v>2.9666393669918498E-2</v>
      </c>
      <c r="AD1549" s="135">
        <v>2.0753633515458201E-2</v>
      </c>
      <c r="AF1549" s="243">
        <f t="shared" si="31"/>
        <v>0.25032278873962732</v>
      </c>
      <c r="AG1549" s="275">
        <f t="shared" si="32"/>
        <v>0.41195605387549383</v>
      </c>
      <c r="AH1549" s="391">
        <f t="shared" si="33"/>
        <v>0.57558045247148015</v>
      </c>
      <c r="AI1549" s="135">
        <f t="shared" si="34"/>
        <v>0.98753650634697399</v>
      </c>
    </row>
    <row r="1550" spans="1:35" ht="12.6">
      <c r="A1550" s="10" t="s">
        <v>58</v>
      </c>
      <c r="B1550" s="10">
        <v>89</v>
      </c>
      <c r="C1550" s="10" t="s">
        <v>1513</v>
      </c>
      <c r="D1550" s="388">
        <v>45015</v>
      </c>
      <c r="E1550" s="389">
        <v>45015</v>
      </c>
      <c r="F1550" s="390" t="str">
        <f t="shared" si="30"/>
        <v>Water heating</v>
      </c>
      <c r="G1550" s="135">
        <v>1.5985766681694599E-2</v>
      </c>
      <c r="H1550" s="135">
        <v>1.5584995252666401E-2</v>
      </c>
      <c r="I1550" s="135">
        <v>1.47561930496646E-2</v>
      </c>
      <c r="J1550" s="135">
        <v>1.67877901987388E-2</v>
      </c>
      <c r="K1550" s="135">
        <v>2.6107316830164401E-2</v>
      </c>
      <c r="L1550" s="135">
        <v>3.8273673678792003E-2</v>
      </c>
      <c r="M1550" s="135">
        <v>7.6804227933906094E-2</v>
      </c>
      <c r="N1550" s="135">
        <v>0.100550927424452</v>
      </c>
      <c r="O1550" s="135">
        <v>6.6370782584770693E-2</v>
      </c>
      <c r="P1550" s="135">
        <v>4.8691919716093601E-2</v>
      </c>
      <c r="Q1550" s="135">
        <v>4.7577436770175202E-2</v>
      </c>
      <c r="R1550" s="135">
        <v>4.5509288904961802E-2</v>
      </c>
      <c r="S1550" s="135">
        <v>3.7848359998856301E-2</v>
      </c>
      <c r="T1550" s="135">
        <v>3.0573751717803899E-2</v>
      </c>
      <c r="U1550" s="135">
        <v>2.64469028873856E-2</v>
      </c>
      <c r="V1550" s="135">
        <v>2.88668913330575E-2</v>
      </c>
      <c r="W1550" s="135">
        <v>3.3500157127386999E-2</v>
      </c>
      <c r="X1550" s="135">
        <v>5.1836860794266797E-2</v>
      </c>
      <c r="Y1550" s="135">
        <v>6.1465466933818297E-2</v>
      </c>
      <c r="Z1550" s="135">
        <v>5.8620218734925698E-2</v>
      </c>
      <c r="AA1550" s="135">
        <v>5.0994315474025297E-2</v>
      </c>
      <c r="AB1550" s="135">
        <v>4.3963235133990801E-2</v>
      </c>
      <c r="AC1550" s="135">
        <v>2.9666393669918498E-2</v>
      </c>
      <c r="AD1550" s="135">
        <v>2.0753633515458201E-2</v>
      </c>
      <c r="AF1550" s="243">
        <f t="shared" si="31"/>
        <v>0.25032278873962732</v>
      </c>
      <c r="AG1550" s="275">
        <f t="shared" si="32"/>
        <v>0.41195605387549383</v>
      </c>
      <c r="AH1550" s="391">
        <f t="shared" si="33"/>
        <v>0.57558045247148015</v>
      </c>
      <c r="AI1550" s="135">
        <f t="shared" si="34"/>
        <v>0.98753650634697399</v>
      </c>
    </row>
    <row r="1551" spans="1:35" ht="12.6">
      <c r="A1551" s="10" t="s">
        <v>58</v>
      </c>
      <c r="B1551" s="10">
        <v>90</v>
      </c>
      <c r="C1551" s="10" t="s">
        <v>1513</v>
      </c>
      <c r="D1551" s="388">
        <v>45016</v>
      </c>
      <c r="E1551" s="389">
        <v>45016</v>
      </c>
      <c r="F1551" s="390" t="str">
        <f t="shared" si="30"/>
        <v>Water heating</v>
      </c>
      <c r="G1551" s="135">
        <v>1.5985766681694599E-2</v>
      </c>
      <c r="H1551" s="135">
        <v>1.5584995252666401E-2</v>
      </c>
      <c r="I1551" s="135">
        <v>1.47561930496646E-2</v>
      </c>
      <c r="J1551" s="135">
        <v>1.67877901987388E-2</v>
      </c>
      <c r="K1551" s="135">
        <v>2.6107316830164401E-2</v>
      </c>
      <c r="L1551" s="135">
        <v>3.8273673678792003E-2</v>
      </c>
      <c r="M1551" s="135">
        <v>7.6804227933906094E-2</v>
      </c>
      <c r="N1551" s="135">
        <v>0.100550927424452</v>
      </c>
      <c r="O1551" s="135">
        <v>6.6370782584770693E-2</v>
      </c>
      <c r="P1551" s="135">
        <v>4.8691919716093601E-2</v>
      </c>
      <c r="Q1551" s="135">
        <v>4.7577436770175202E-2</v>
      </c>
      <c r="R1551" s="135">
        <v>4.5509288904961802E-2</v>
      </c>
      <c r="S1551" s="135">
        <v>3.7848359998856301E-2</v>
      </c>
      <c r="T1551" s="135">
        <v>3.0573751717803899E-2</v>
      </c>
      <c r="U1551" s="135">
        <v>2.64469028873856E-2</v>
      </c>
      <c r="V1551" s="135">
        <v>2.88668913330575E-2</v>
      </c>
      <c r="W1551" s="135">
        <v>3.3500157127386999E-2</v>
      </c>
      <c r="X1551" s="135">
        <v>5.1836860794266797E-2</v>
      </c>
      <c r="Y1551" s="135">
        <v>6.1465466933818297E-2</v>
      </c>
      <c r="Z1551" s="135">
        <v>5.8620218734925698E-2</v>
      </c>
      <c r="AA1551" s="135">
        <v>5.0994315474025297E-2</v>
      </c>
      <c r="AB1551" s="135">
        <v>4.3963235133990801E-2</v>
      </c>
      <c r="AC1551" s="135">
        <v>2.9666393669918498E-2</v>
      </c>
      <c r="AD1551" s="135">
        <v>2.0753633515458201E-2</v>
      </c>
      <c r="AF1551" s="243">
        <f t="shared" si="31"/>
        <v>0.25032278873962732</v>
      </c>
      <c r="AG1551" s="275">
        <f t="shared" si="32"/>
        <v>0.41195605387549383</v>
      </c>
      <c r="AH1551" s="391">
        <f t="shared" si="33"/>
        <v>0.57558045247148015</v>
      </c>
      <c r="AI1551" s="135">
        <f t="shared" si="34"/>
        <v>0.98753650634697399</v>
      </c>
    </row>
    <row r="1552" spans="1:35" ht="12.6">
      <c r="A1552" s="10" t="s">
        <v>58</v>
      </c>
      <c r="B1552" s="10">
        <v>91</v>
      </c>
      <c r="C1552" s="10" t="s">
        <v>1513</v>
      </c>
      <c r="D1552" s="388">
        <v>45017</v>
      </c>
      <c r="E1552" s="389">
        <v>45017</v>
      </c>
      <c r="F1552" s="390" t="str">
        <f t="shared" si="30"/>
        <v>Water heating</v>
      </c>
      <c r="G1552" s="135">
        <v>1.6507097869250999E-2</v>
      </c>
      <c r="H1552" s="135">
        <v>1.51639990758798E-2</v>
      </c>
      <c r="I1552" s="135">
        <v>1.54097470439992E-2</v>
      </c>
      <c r="J1552" s="135">
        <v>1.79340006996399E-2</v>
      </c>
      <c r="K1552" s="135">
        <v>2.2962840556772699E-2</v>
      </c>
      <c r="L1552" s="135">
        <v>2.1695854680460001E-2</v>
      </c>
      <c r="M1552" s="135">
        <v>2.56979639815424E-2</v>
      </c>
      <c r="N1552" s="135">
        <v>4.37381622200319E-2</v>
      </c>
      <c r="O1552" s="135">
        <v>6.2889120667870099E-2</v>
      </c>
      <c r="P1552" s="135">
        <v>7.60742643102119E-2</v>
      </c>
      <c r="Q1552" s="135">
        <v>7.3771105808853002E-2</v>
      </c>
      <c r="R1552" s="135">
        <v>6.5959187832445795E-2</v>
      </c>
      <c r="S1552" s="135">
        <v>5.5848142342757999E-2</v>
      </c>
      <c r="T1552" s="135">
        <v>4.60459489591524E-2</v>
      </c>
      <c r="U1552" s="135">
        <v>3.7499058702830997E-2</v>
      </c>
      <c r="V1552" s="135">
        <v>4.0762971593910798E-2</v>
      </c>
      <c r="W1552" s="135">
        <v>4.9487552337156397E-2</v>
      </c>
      <c r="X1552" s="135">
        <v>5.8970393891231702E-2</v>
      </c>
      <c r="Y1552" s="135">
        <v>6.1261276075970497E-2</v>
      </c>
      <c r="Z1552" s="135">
        <v>5.2198667098737501E-2</v>
      </c>
      <c r="AA1552" s="135">
        <v>3.97621487252637E-2</v>
      </c>
      <c r="AB1552" s="135">
        <v>3.2916755621154301E-2</v>
      </c>
      <c r="AC1552" s="135">
        <v>2.7584900895499601E-2</v>
      </c>
      <c r="AD1552" s="135">
        <v>1.92885342915688E-2</v>
      </c>
      <c r="AF1552" s="243">
        <f t="shared" si="31"/>
        <v>0.36937396757710739</v>
      </c>
      <c r="AG1552" s="275">
        <f t="shared" si="32"/>
        <v>0.41188861303042223</v>
      </c>
      <c r="AH1552" s="391">
        <f t="shared" si="33"/>
        <v>0.56754108225177036</v>
      </c>
      <c r="AI1552" s="135">
        <f t="shared" si="34"/>
        <v>0.97942969528219259</v>
      </c>
    </row>
    <row r="1553" spans="1:35" ht="12.6">
      <c r="A1553" s="10" t="s">
        <v>58</v>
      </c>
      <c r="B1553" s="10">
        <v>92</v>
      </c>
      <c r="C1553" s="10" t="s">
        <v>1513</v>
      </c>
      <c r="D1553" s="388">
        <v>45018</v>
      </c>
      <c r="E1553" s="389">
        <v>45018</v>
      </c>
      <c r="F1553" s="390" t="str">
        <f t="shared" si="30"/>
        <v>Water heating</v>
      </c>
      <c r="G1553" s="135">
        <v>1.6507097869250999E-2</v>
      </c>
      <c r="H1553" s="135">
        <v>1.51639990758798E-2</v>
      </c>
      <c r="I1553" s="135">
        <v>1.54097470439992E-2</v>
      </c>
      <c r="J1553" s="135">
        <v>1.79340006996399E-2</v>
      </c>
      <c r="K1553" s="135">
        <v>2.2962840556772699E-2</v>
      </c>
      <c r="L1553" s="135">
        <v>2.1695854680460001E-2</v>
      </c>
      <c r="M1553" s="135">
        <v>2.56979639815424E-2</v>
      </c>
      <c r="N1553" s="135">
        <v>4.37381622200319E-2</v>
      </c>
      <c r="O1553" s="135">
        <v>6.2889120667870099E-2</v>
      </c>
      <c r="P1553" s="135">
        <v>7.60742643102119E-2</v>
      </c>
      <c r="Q1553" s="135">
        <v>7.3771105808853002E-2</v>
      </c>
      <c r="R1553" s="135">
        <v>6.5959187832445795E-2</v>
      </c>
      <c r="S1553" s="135">
        <v>5.5848142342757999E-2</v>
      </c>
      <c r="T1553" s="135">
        <v>4.60459489591524E-2</v>
      </c>
      <c r="U1553" s="135">
        <v>3.7499058702830997E-2</v>
      </c>
      <c r="V1553" s="135">
        <v>4.0762971593910798E-2</v>
      </c>
      <c r="W1553" s="135">
        <v>4.9487552337156397E-2</v>
      </c>
      <c r="X1553" s="135">
        <v>5.8970393891231702E-2</v>
      </c>
      <c r="Y1553" s="135">
        <v>6.1261276075970497E-2</v>
      </c>
      <c r="Z1553" s="135">
        <v>5.2198667098737501E-2</v>
      </c>
      <c r="AA1553" s="135">
        <v>3.97621487252637E-2</v>
      </c>
      <c r="AB1553" s="135">
        <v>3.2916755621154301E-2</v>
      </c>
      <c r="AC1553" s="135">
        <v>2.7584900895499601E-2</v>
      </c>
      <c r="AD1553" s="135">
        <v>1.92885342915688E-2</v>
      </c>
      <c r="AF1553" s="243">
        <f t="shared" si="31"/>
        <v>0.36937396757710739</v>
      </c>
      <c r="AG1553" s="275">
        <f t="shared" si="32"/>
        <v>0.41188861303042223</v>
      </c>
      <c r="AH1553" s="391">
        <f t="shared" si="33"/>
        <v>0.56754108225177036</v>
      </c>
      <c r="AI1553" s="135">
        <f t="shared" si="34"/>
        <v>0.97942969528219259</v>
      </c>
    </row>
    <row r="1554" spans="1:35" ht="12.6">
      <c r="A1554" s="10" t="s">
        <v>58</v>
      </c>
      <c r="B1554" s="10">
        <v>93</v>
      </c>
      <c r="C1554" s="10" t="s">
        <v>1513</v>
      </c>
      <c r="D1554" s="388">
        <v>45019</v>
      </c>
      <c r="E1554" s="389">
        <v>45019</v>
      </c>
      <c r="F1554" s="390" t="str">
        <f t="shared" si="30"/>
        <v>Water heating</v>
      </c>
      <c r="G1554" s="135">
        <v>1.5985766681694599E-2</v>
      </c>
      <c r="H1554" s="135">
        <v>1.5584995252666401E-2</v>
      </c>
      <c r="I1554" s="135">
        <v>1.47561930496646E-2</v>
      </c>
      <c r="J1554" s="135">
        <v>1.67877901987388E-2</v>
      </c>
      <c r="K1554" s="135">
        <v>2.6107316830164401E-2</v>
      </c>
      <c r="L1554" s="135">
        <v>3.8273673678792003E-2</v>
      </c>
      <c r="M1554" s="135">
        <v>7.6804227933906094E-2</v>
      </c>
      <c r="N1554" s="135">
        <v>0.100550927424452</v>
      </c>
      <c r="O1554" s="135">
        <v>6.6370782584770693E-2</v>
      </c>
      <c r="P1554" s="135">
        <v>4.8691919716093601E-2</v>
      </c>
      <c r="Q1554" s="135">
        <v>4.7577436770175202E-2</v>
      </c>
      <c r="R1554" s="135">
        <v>4.5509288904961802E-2</v>
      </c>
      <c r="S1554" s="135">
        <v>3.7848359998856301E-2</v>
      </c>
      <c r="T1554" s="135">
        <v>3.0573751717803899E-2</v>
      </c>
      <c r="U1554" s="135">
        <v>2.64469028873856E-2</v>
      </c>
      <c r="V1554" s="135">
        <v>2.88668913330575E-2</v>
      </c>
      <c r="W1554" s="135">
        <v>3.3500157127386999E-2</v>
      </c>
      <c r="X1554" s="135">
        <v>5.1836860794266797E-2</v>
      </c>
      <c r="Y1554" s="135">
        <v>6.1465466933818297E-2</v>
      </c>
      <c r="Z1554" s="135">
        <v>5.8620218734925698E-2</v>
      </c>
      <c r="AA1554" s="135">
        <v>5.0994315474025297E-2</v>
      </c>
      <c r="AB1554" s="135">
        <v>4.3963235133990801E-2</v>
      </c>
      <c r="AC1554" s="135">
        <v>2.9666393669918498E-2</v>
      </c>
      <c r="AD1554" s="135">
        <v>2.0753633515458201E-2</v>
      </c>
      <c r="AF1554" s="243">
        <f t="shared" si="31"/>
        <v>0.25032278873962732</v>
      </c>
      <c r="AG1554" s="275">
        <f t="shared" si="32"/>
        <v>0.41195605387549383</v>
      </c>
      <c r="AH1554" s="391">
        <f t="shared" si="33"/>
        <v>0.57558045247148015</v>
      </c>
      <c r="AI1554" s="135">
        <f t="shared" si="34"/>
        <v>0.98753650634697399</v>
      </c>
    </row>
    <row r="1555" spans="1:35" ht="12.6">
      <c r="A1555" s="10" t="s">
        <v>58</v>
      </c>
      <c r="B1555" s="10">
        <v>94</v>
      </c>
      <c r="C1555" s="10" t="s">
        <v>1513</v>
      </c>
      <c r="D1555" s="388">
        <v>45020</v>
      </c>
      <c r="E1555" s="389">
        <v>45020</v>
      </c>
      <c r="F1555" s="390" t="str">
        <f t="shared" si="30"/>
        <v>Water heating</v>
      </c>
      <c r="G1555" s="135">
        <v>1.5985766681694599E-2</v>
      </c>
      <c r="H1555" s="135">
        <v>1.5584995252666401E-2</v>
      </c>
      <c r="I1555" s="135">
        <v>1.47561930496646E-2</v>
      </c>
      <c r="J1555" s="135">
        <v>1.67877901987388E-2</v>
      </c>
      <c r="K1555" s="135">
        <v>2.6107316830164401E-2</v>
      </c>
      <c r="L1555" s="135">
        <v>3.8273673678792003E-2</v>
      </c>
      <c r="M1555" s="135">
        <v>7.6804227933906094E-2</v>
      </c>
      <c r="N1555" s="135">
        <v>0.100550927424452</v>
      </c>
      <c r="O1555" s="135">
        <v>6.6370782584770693E-2</v>
      </c>
      <c r="P1555" s="135">
        <v>4.8691919716093601E-2</v>
      </c>
      <c r="Q1555" s="135">
        <v>4.7577436770175202E-2</v>
      </c>
      <c r="R1555" s="135">
        <v>4.5509288904961802E-2</v>
      </c>
      <c r="S1555" s="135">
        <v>3.7848359998856301E-2</v>
      </c>
      <c r="T1555" s="135">
        <v>3.0573751717803899E-2</v>
      </c>
      <c r="U1555" s="135">
        <v>2.64469028873856E-2</v>
      </c>
      <c r="V1555" s="135">
        <v>2.88668913330575E-2</v>
      </c>
      <c r="W1555" s="135">
        <v>3.3500157127386999E-2</v>
      </c>
      <c r="X1555" s="135">
        <v>5.1836860794266797E-2</v>
      </c>
      <c r="Y1555" s="135">
        <v>6.1465466933818297E-2</v>
      </c>
      <c r="Z1555" s="135">
        <v>5.8620218734925698E-2</v>
      </c>
      <c r="AA1555" s="135">
        <v>5.0994315474025297E-2</v>
      </c>
      <c r="AB1555" s="135">
        <v>4.3963235133990801E-2</v>
      </c>
      <c r="AC1555" s="135">
        <v>2.9666393669918498E-2</v>
      </c>
      <c r="AD1555" s="135">
        <v>2.0753633515458201E-2</v>
      </c>
      <c r="AF1555" s="243">
        <f t="shared" si="31"/>
        <v>0.25032278873962732</v>
      </c>
      <c r="AG1555" s="275">
        <f t="shared" si="32"/>
        <v>0.41195605387549383</v>
      </c>
      <c r="AH1555" s="391">
        <f t="shared" si="33"/>
        <v>0.57558045247148015</v>
      </c>
      <c r="AI1555" s="135">
        <f t="shared" si="34"/>
        <v>0.98753650634697399</v>
      </c>
    </row>
    <row r="1556" spans="1:35" ht="12.6">
      <c r="A1556" s="10" t="s">
        <v>58</v>
      </c>
      <c r="B1556" s="10">
        <v>95</v>
      </c>
      <c r="C1556" s="10" t="s">
        <v>1513</v>
      </c>
      <c r="D1556" s="388">
        <v>45021</v>
      </c>
      <c r="E1556" s="389">
        <v>45021</v>
      </c>
      <c r="F1556" s="390" t="str">
        <f t="shared" si="30"/>
        <v>Water heating</v>
      </c>
      <c r="G1556" s="135">
        <v>1.5985766681694599E-2</v>
      </c>
      <c r="H1556" s="135">
        <v>1.5584995252666401E-2</v>
      </c>
      <c r="I1556" s="135">
        <v>1.47561930496646E-2</v>
      </c>
      <c r="J1556" s="135">
        <v>1.67877901987388E-2</v>
      </c>
      <c r="K1556" s="135">
        <v>2.6107316830164401E-2</v>
      </c>
      <c r="L1556" s="135">
        <v>3.8273673678792003E-2</v>
      </c>
      <c r="M1556" s="135">
        <v>7.6804227933906094E-2</v>
      </c>
      <c r="N1556" s="135">
        <v>0.100550927424452</v>
      </c>
      <c r="O1556" s="135">
        <v>6.6370782584770693E-2</v>
      </c>
      <c r="P1556" s="135">
        <v>4.8691919716093601E-2</v>
      </c>
      <c r="Q1556" s="135">
        <v>4.7577436770175202E-2</v>
      </c>
      <c r="R1556" s="135">
        <v>4.5509288904961802E-2</v>
      </c>
      <c r="S1556" s="135">
        <v>3.7848359998856301E-2</v>
      </c>
      <c r="T1556" s="135">
        <v>3.0573751717803899E-2</v>
      </c>
      <c r="U1556" s="135">
        <v>2.64469028873856E-2</v>
      </c>
      <c r="V1556" s="135">
        <v>2.88668913330575E-2</v>
      </c>
      <c r="W1556" s="135">
        <v>3.3500157127386999E-2</v>
      </c>
      <c r="X1556" s="135">
        <v>5.1836860794266797E-2</v>
      </c>
      <c r="Y1556" s="135">
        <v>6.1465466933818297E-2</v>
      </c>
      <c r="Z1556" s="135">
        <v>5.8620218734925698E-2</v>
      </c>
      <c r="AA1556" s="135">
        <v>5.0994315474025297E-2</v>
      </c>
      <c r="AB1556" s="135">
        <v>4.3963235133990801E-2</v>
      </c>
      <c r="AC1556" s="135">
        <v>2.9666393669918498E-2</v>
      </c>
      <c r="AD1556" s="135">
        <v>2.0753633515458201E-2</v>
      </c>
      <c r="AF1556" s="243">
        <f t="shared" si="31"/>
        <v>0.25032278873962732</v>
      </c>
      <c r="AG1556" s="275">
        <f t="shared" si="32"/>
        <v>0.41195605387549383</v>
      </c>
      <c r="AH1556" s="391">
        <f t="shared" si="33"/>
        <v>0.57558045247148015</v>
      </c>
      <c r="AI1556" s="135">
        <f t="shared" si="34"/>
        <v>0.98753650634697399</v>
      </c>
    </row>
    <row r="1557" spans="1:35" ht="12.6">
      <c r="A1557" s="10" t="s">
        <v>58</v>
      </c>
      <c r="B1557" s="10">
        <v>96</v>
      </c>
      <c r="C1557" s="10" t="s">
        <v>1513</v>
      </c>
      <c r="D1557" s="388">
        <v>45022</v>
      </c>
      <c r="E1557" s="389">
        <v>45022</v>
      </c>
      <c r="F1557" s="390" t="str">
        <f t="shared" si="30"/>
        <v>Water heating</v>
      </c>
      <c r="G1557" s="135">
        <v>1.5985766681694599E-2</v>
      </c>
      <c r="H1557" s="135">
        <v>1.5584995252666401E-2</v>
      </c>
      <c r="I1557" s="135">
        <v>1.47561930496646E-2</v>
      </c>
      <c r="J1557" s="135">
        <v>1.67877901987388E-2</v>
      </c>
      <c r="K1557" s="135">
        <v>2.6107316830164401E-2</v>
      </c>
      <c r="L1557" s="135">
        <v>3.8273673678792003E-2</v>
      </c>
      <c r="M1557" s="135">
        <v>7.6804227933906094E-2</v>
      </c>
      <c r="N1557" s="135">
        <v>0.100550927424452</v>
      </c>
      <c r="O1557" s="135">
        <v>6.6370782584770693E-2</v>
      </c>
      <c r="P1557" s="135">
        <v>4.8691919716093601E-2</v>
      </c>
      <c r="Q1557" s="135">
        <v>4.7577436770175202E-2</v>
      </c>
      <c r="R1557" s="135">
        <v>4.5509288904961802E-2</v>
      </c>
      <c r="S1557" s="135">
        <v>3.7848359998856301E-2</v>
      </c>
      <c r="T1557" s="135">
        <v>3.0573751717803899E-2</v>
      </c>
      <c r="U1557" s="135">
        <v>2.64469028873856E-2</v>
      </c>
      <c r="V1557" s="135">
        <v>2.88668913330575E-2</v>
      </c>
      <c r="W1557" s="135">
        <v>3.3500157127386999E-2</v>
      </c>
      <c r="X1557" s="135">
        <v>5.1836860794266797E-2</v>
      </c>
      <c r="Y1557" s="135">
        <v>6.1465466933818297E-2</v>
      </c>
      <c r="Z1557" s="135">
        <v>5.8620218734925698E-2</v>
      </c>
      <c r="AA1557" s="135">
        <v>5.0994315474025297E-2</v>
      </c>
      <c r="AB1557" s="135">
        <v>4.3963235133990801E-2</v>
      </c>
      <c r="AC1557" s="135">
        <v>2.9666393669918498E-2</v>
      </c>
      <c r="AD1557" s="135">
        <v>2.0753633515458201E-2</v>
      </c>
      <c r="AF1557" s="243">
        <f t="shared" si="31"/>
        <v>0.25032278873962732</v>
      </c>
      <c r="AG1557" s="275">
        <f t="shared" si="32"/>
        <v>0.41195605387549383</v>
      </c>
      <c r="AH1557" s="391">
        <f t="shared" si="33"/>
        <v>0.57558045247148015</v>
      </c>
      <c r="AI1557" s="135">
        <f t="shared" si="34"/>
        <v>0.98753650634697399</v>
      </c>
    </row>
    <row r="1558" spans="1:35" ht="12.6">
      <c r="A1558" s="10" t="s">
        <v>58</v>
      </c>
      <c r="B1558" s="10">
        <v>97</v>
      </c>
      <c r="C1558" s="10" t="s">
        <v>1513</v>
      </c>
      <c r="D1558" s="388">
        <v>45023</v>
      </c>
      <c r="E1558" s="389">
        <v>45023</v>
      </c>
      <c r="F1558" s="390" t="str">
        <f t="shared" si="30"/>
        <v>Water heating</v>
      </c>
      <c r="G1558" s="135">
        <v>1.5985766681694599E-2</v>
      </c>
      <c r="H1558" s="135">
        <v>1.5584995252666401E-2</v>
      </c>
      <c r="I1558" s="135">
        <v>1.47561930496646E-2</v>
      </c>
      <c r="J1558" s="135">
        <v>1.67877901987388E-2</v>
      </c>
      <c r="K1558" s="135">
        <v>2.6107316830164401E-2</v>
      </c>
      <c r="L1558" s="135">
        <v>3.8273673678792003E-2</v>
      </c>
      <c r="M1558" s="135">
        <v>7.6804227933906094E-2</v>
      </c>
      <c r="N1558" s="135">
        <v>0.100550927424452</v>
      </c>
      <c r="O1558" s="135">
        <v>6.6370782584770693E-2</v>
      </c>
      <c r="P1558" s="135">
        <v>4.8691919716093601E-2</v>
      </c>
      <c r="Q1558" s="135">
        <v>4.7577436770175202E-2</v>
      </c>
      <c r="R1558" s="135">
        <v>4.5509288904961802E-2</v>
      </c>
      <c r="S1558" s="135">
        <v>3.7848359998856301E-2</v>
      </c>
      <c r="T1558" s="135">
        <v>3.0573751717803899E-2</v>
      </c>
      <c r="U1558" s="135">
        <v>2.64469028873856E-2</v>
      </c>
      <c r="V1558" s="135">
        <v>2.88668913330575E-2</v>
      </c>
      <c r="W1558" s="135">
        <v>3.3500157127386999E-2</v>
      </c>
      <c r="X1558" s="135">
        <v>5.1836860794266797E-2</v>
      </c>
      <c r="Y1558" s="135">
        <v>6.1465466933818297E-2</v>
      </c>
      <c r="Z1558" s="135">
        <v>5.8620218734925698E-2</v>
      </c>
      <c r="AA1558" s="135">
        <v>5.0994315474025297E-2</v>
      </c>
      <c r="AB1558" s="135">
        <v>4.3963235133990801E-2</v>
      </c>
      <c r="AC1558" s="135">
        <v>2.9666393669918498E-2</v>
      </c>
      <c r="AD1558" s="135">
        <v>2.0753633515458201E-2</v>
      </c>
      <c r="AF1558" s="243">
        <f t="shared" si="31"/>
        <v>0.25032278873962732</v>
      </c>
      <c r="AG1558" s="275">
        <f t="shared" si="32"/>
        <v>0.41195605387549383</v>
      </c>
      <c r="AH1558" s="391">
        <f t="shared" si="33"/>
        <v>0.57558045247148015</v>
      </c>
      <c r="AI1558" s="135">
        <f t="shared" si="34"/>
        <v>0.98753650634697399</v>
      </c>
    </row>
    <row r="1559" spans="1:35" ht="12.6">
      <c r="A1559" s="10" t="s">
        <v>58</v>
      </c>
      <c r="B1559" s="10">
        <v>98</v>
      </c>
      <c r="C1559" s="10" t="s">
        <v>1513</v>
      </c>
      <c r="D1559" s="388">
        <v>45024</v>
      </c>
      <c r="E1559" s="389">
        <v>45024</v>
      </c>
      <c r="F1559" s="390" t="str">
        <f t="shared" si="30"/>
        <v>Water heating</v>
      </c>
      <c r="G1559" s="135">
        <v>1.6507097869250999E-2</v>
      </c>
      <c r="H1559" s="135">
        <v>1.51639990758798E-2</v>
      </c>
      <c r="I1559" s="135">
        <v>1.54097470439992E-2</v>
      </c>
      <c r="J1559" s="135">
        <v>1.79340006996399E-2</v>
      </c>
      <c r="K1559" s="135">
        <v>2.2962840556772699E-2</v>
      </c>
      <c r="L1559" s="135">
        <v>2.1695854680460001E-2</v>
      </c>
      <c r="M1559" s="135">
        <v>2.56979639815424E-2</v>
      </c>
      <c r="N1559" s="135">
        <v>4.37381622200319E-2</v>
      </c>
      <c r="O1559" s="135">
        <v>6.2889120667870099E-2</v>
      </c>
      <c r="P1559" s="135">
        <v>7.60742643102119E-2</v>
      </c>
      <c r="Q1559" s="135">
        <v>7.3771105808853002E-2</v>
      </c>
      <c r="R1559" s="135">
        <v>6.5959187832445795E-2</v>
      </c>
      <c r="S1559" s="135">
        <v>5.5848142342757999E-2</v>
      </c>
      <c r="T1559" s="135">
        <v>4.60459489591524E-2</v>
      </c>
      <c r="U1559" s="135">
        <v>3.7499058702830997E-2</v>
      </c>
      <c r="V1559" s="135">
        <v>4.0762971593910798E-2</v>
      </c>
      <c r="W1559" s="135">
        <v>4.9487552337156397E-2</v>
      </c>
      <c r="X1559" s="135">
        <v>5.8970393891231702E-2</v>
      </c>
      <c r="Y1559" s="135">
        <v>6.1261276075970497E-2</v>
      </c>
      <c r="Z1559" s="135">
        <v>5.2198667098737501E-2</v>
      </c>
      <c r="AA1559" s="135">
        <v>3.97621487252637E-2</v>
      </c>
      <c r="AB1559" s="135">
        <v>3.2916755621154301E-2</v>
      </c>
      <c r="AC1559" s="135">
        <v>2.7584900895499601E-2</v>
      </c>
      <c r="AD1559" s="135">
        <v>1.92885342915688E-2</v>
      </c>
      <c r="AF1559" s="243">
        <f t="shared" si="31"/>
        <v>0.36937396757710739</v>
      </c>
      <c r="AG1559" s="275">
        <f t="shared" si="32"/>
        <v>0.41188861303042223</v>
      </c>
      <c r="AH1559" s="391">
        <f t="shared" si="33"/>
        <v>0.56754108225177036</v>
      </c>
      <c r="AI1559" s="135">
        <f t="shared" si="34"/>
        <v>0.97942969528219259</v>
      </c>
    </row>
    <row r="1560" spans="1:35" ht="12.6">
      <c r="A1560" s="10" t="s">
        <v>58</v>
      </c>
      <c r="B1560" s="10">
        <v>99</v>
      </c>
      <c r="C1560" s="10" t="s">
        <v>1513</v>
      </c>
      <c r="D1560" s="388">
        <v>45025</v>
      </c>
      <c r="E1560" s="389">
        <v>45025</v>
      </c>
      <c r="F1560" s="390" t="str">
        <f t="shared" si="30"/>
        <v>Water heating</v>
      </c>
      <c r="G1560" s="135">
        <v>1.6507097869250999E-2</v>
      </c>
      <c r="H1560" s="135">
        <v>1.51639990758798E-2</v>
      </c>
      <c r="I1560" s="135">
        <v>1.54097470439992E-2</v>
      </c>
      <c r="J1560" s="135">
        <v>1.79340006996399E-2</v>
      </c>
      <c r="K1560" s="135">
        <v>2.2962840556772699E-2</v>
      </c>
      <c r="L1560" s="135">
        <v>2.1695854680460001E-2</v>
      </c>
      <c r="M1560" s="135">
        <v>2.56979639815424E-2</v>
      </c>
      <c r="N1560" s="135">
        <v>4.37381622200319E-2</v>
      </c>
      <c r="O1560" s="135">
        <v>6.2889120667870099E-2</v>
      </c>
      <c r="P1560" s="135">
        <v>7.60742643102119E-2</v>
      </c>
      <c r="Q1560" s="135">
        <v>7.3771105808853002E-2</v>
      </c>
      <c r="R1560" s="135">
        <v>6.5959187832445795E-2</v>
      </c>
      <c r="S1560" s="135">
        <v>5.5848142342757999E-2</v>
      </c>
      <c r="T1560" s="135">
        <v>4.60459489591524E-2</v>
      </c>
      <c r="U1560" s="135">
        <v>3.7499058702830997E-2</v>
      </c>
      <c r="V1560" s="135">
        <v>4.0762971593910798E-2</v>
      </c>
      <c r="W1560" s="135">
        <v>4.9487552337156397E-2</v>
      </c>
      <c r="X1560" s="135">
        <v>5.8970393891231702E-2</v>
      </c>
      <c r="Y1560" s="135">
        <v>6.1261276075970497E-2</v>
      </c>
      <c r="Z1560" s="135">
        <v>5.2198667098737501E-2</v>
      </c>
      <c r="AA1560" s="135">
        <v>3.97621487252637E-2</v>
      </c>
      <c r="AB1560" s="135">
        <v>3.2916755621154301E-2</v>
      </c>
      <c r="AC1560" s="135">
        <v>2.7584900895499601E-2</v>
      </c>
      <c r="AD1560" s="135">
        <v>1.92885342915688E-2</v>
      </c>
      <c r="AF1560" s="243">
        <f t="shared" si="31"/>
        <v>0.36937396757710739</v>
      </c>
      <c r="AG1560" s="275">
        <f t="shared" si="32"/>
        <v>0.41188861303042223</v>
      </c>
      <c r="AH1560" s="391">
        <f t="shared" si="33"/>
        <v>0.56754108225177036</v>
      </c>
      <c r="AI1560" s="135">
        <f t="shared" si="34"/>
        <v>0.97942969528219259</v>
      </c>
    </row>
    <row r="1561" spans="1:35" ht="12.6">
      <c r="A1561" s="10" t="s">
        <v>58</v>
      </c>
      <c r="B1561" s="10">
        <v>100</v>
      </c>
      <c r="C1561" s="10" t="s">
        <v>1513</v>
      </c>
      <c r="D1561" s="388">
        <v>45026</v>
      </c>
      <c r="E1561" s="389">
        <v>45026</v>
      </c>
      <c r="F1561" s="390" t="str">
        <f t="shared" si="30"/>
        <v>Water heating</v>
      </c>
      <c r="G1561" s="135">
        <v>1.5985766681694599E-2</v>
      </c>
      <c r="H1561" s="135">
        <v>1.5584995252666401E-2</v>
      </c>
      <c r="I1561" s="135">
        <v>1.47561930496646E-2</v>
      </c>
      <c r="J1561" s="135">
        <v>1.67877901987388E-2</v>
      </c>
      <c r="K1561" s="135">
        <v>2.6107316830164401E-2</v>
      </c>
      <c r="L1561" s="135">
        <v>3.8273673678792003E-2</v>
      </c>
      <c r="M1561" s="135">
        <v>7.6804227933906094E-2</v>
      </c>
      <c r="N1561" s="135">
        <v>0.100550927424452</v>
      </c>
      <c r="O1561" s="135">
        <v>6.6370782584770693E-2</v>
      </c>
      <c r="P1561" s="135">
        <v>4.8691919716093601E-2</v>
      </c>
      <c r="Q1561" s="135">
        <v>4.7577436770175202E-2</v>
      </c>
      <c r="R1561" s="135">
        <v>4.5509288904961802E-2</v>
      </c>
      <c r="S1561" s="135">
        <v>3.7848359998856301E-2</v>
      </c>
      <c r="T1561" s="135">
        <v>3.0573751717803899E-2</v>
      </c>
      <c r="U1561" s="135">
        <v>2.64469028873856E-2</v>
      </c>
      <c r="V1561" s="135">
        <v>2.88668913330575E-2</v>
      </c>
      <c r="W1561" s="135">
        <v>3.3500157127386999E-2</v>
      </c>
      <c r="X1561" s="135">
        <v>5.1836860794266797E-2</v>
      </c>
      <c r="Y1561" s="135">
        <v>6.1465466933818297E-2</v>
      </c>
      <c r="Z1561" s="135">
        <v>5.8620218734925698E-2</v>
      </c>
      <c r="AA1561" s="135">
        <v>5.0994315474025297E-2</v>
      </c>
      <c r="AB1561" s="135">
        <v>4.3963235133990801E-2</v>
      </c>
      <c r="AC1561" s="135">
        <v>2.9666393669918498E-2</v>
      </c>
      <c r="AD1561" s="135">
        <v>2.0753633515458201E-2</v>
      </c>
      <c r="AF1561" s="243">
        <f t="shared" si="31"/>
        <v>0.25032278873962732</v>
      </c>
      <c r="AG1561" s="275">
        <f t="shared" si="32"/>
        <v>0.41195605387549383</v>
      </c>
      <c r="AH1561" s="391">
        <f t="shared" si="33"/>
        <v>0.57558045247148015</v>
      </c>
      <c r="AI1561" s="135">
        <f t="shared" si="34"/>
        <v>0.98753650634697399</v>
      </c>
    </row>
    <row r="1562" spans="1:35" ht="12.6">
      <c r="A1562" s="10" t="s">
        <v>58</v>
      </c>
      <c r="B1562" s="10">
        <v>101</v>
      </c>
      <c r="C1562" s="10" t="s">
        <v>1513</v>
      </c>
      <c r="D1562" s="388">
        <v>45027</v>
      </c>
      <c r="E1562" s="389">
        <v>45027</v>
      </c>
      <c r="F1562" s="390" t="str">
        <f t="shared" si="30"/>
        <v>Water heating</v>
      </c>
      <c r="G1562" s="135">
        <v>1.5985766681694599E-2</v>
      </c>
      <c r="H1562" s="135">
        <v>1.5584995252666401E-2</v>
      </c>
      <c r="I1562" s="135">
        <v>1.47561930496646E-2</v>
      </c>
      <c r="J1562" s="135">
        <v>1.67877901987388E-2</v>
      </c>
      <c r="K1562" s="135">
        <v>2.6107316830164401E-2</v>
      </c>
      <c r="L1562" s="135">
        <v>3.8273673678792003E-2</v>
      </c>
      <c r="M1562" s="135">
        <v>7.6804227933906094E-2</v>
      </c>
      <c r="N1562" s="135">
        <v>0.100550927424452</v>
      </c>
      <c r="O1562" s="135">
        <v>6.6370782584770693E-2</v>
      </c>
      <c r="P1562" s="135">
        <v>4.8691919716093601E-2</v>
      </c>
      <c r="Q1562" s="135">
        <v>4.7577436770175202E-2</v>
      </c>
      <c r="R1562" s="135">
        <v>4.5509288904961802E-2</v>
      </c>
      <c r="S1562" s="135">
        <v>3.7848359998856301E-2</v>
      </c>
      <c r="T1562" s="135">
        <v>3.0573751717803899E-2</v>
      </c>
      <c r="U1562" s="135">
        <v>2.64469028873856E-2</v>
      </c>
      <c r="V1562" s="135">
        <v>2.88668913330575E-2</v>
      </c>
      <c r="W1562" s="135">
        <v>3.3500157127386999E-2</v>
      </c>
      <c r="X1562" s="135">
        <v>5.1836860794266797E-2</v>
      </c>
      <c r="Y1562" s="135">
        <v>6.1465466933818297E-2</v>
      </c>
      <c r="Z1562" s="135">
        <v>5.8620218734925698E-2</v>
      </c>
      <c r="AA1562" s="135">
        <v>5.0994315474025297E-2</v>
      </c>
      <c r="AB1562" s="135">
        <v>4.3963235133990801E-2</v>
      </c>
      <c r="AC1562" s="135">
        <v>2.9666393669918498E-2</v>
      </c>
      <c r="AD1562" s="135">
        <v>2.0753633515458201E-2</v>
      </c>
      <c r="AF1562" s="243">
        <f t="shared" si="31"/>
        <v>0.25032278873962732</v>
      </c>
      <c r="AG1562" s="275">
        <f t="shared" si="32"/>
        <v>0.41195605387549383</v>
      </c>
      <c r="AH1562" s="391">
        <f t="shared" si="33"/>
        <v>0.57558045247148015</v>
      </c>
      <c r="AI1562" s="135">
        <f t="shared" si="34"/>
        <v>0.98753650634697399</v>
      </c>
    </row>
    <row r="1563" spans="1:35" ht="12.6">
      <c r="A1563" s="10" t="s">
        <v>58</v>
      </c>
      <c r="B1563" s="10">
        <v>102</v>
      </c>
      <c r="C1563" s="10" t="s">
        <v>1513</v>
      </c>
      <c r="D1563" s="388">
        <v>45028</v>
      </c>
      <c r="E1563" s="389">
        <v>45028</v>
      </c>
      <c r="F1563" s="390" t="str">
        <f t="shared" si="30"/>
        <v>Water heating</v>
      </c>
      <c r="G1563" s="135">
        <v>1.5985766681694599E-2</v>
      </c>
      <c r="H1563" s="135">
        <v>1.5584995252666401E-2</v>
      </c>
      <c r="I1563" s="135">
        <v>1.47561930496646E-2</v>
      </c>
      <c r="J1563" s="135">
        <v>1.67877901987388E-2</v>
      </c>
      <c r="K1563" s="135">
        <v>2.6107316830164401E-2</v>
      </c>
      <c r="L1563" s="135">
        <v>3.8273673678792003E-2</v>
      </c>
      <c r="M1563" s="135">
        <v>7.6804227933906094E-2</v>
      </c>
      <c r="N1563" s="135">
        <v>0.100550927424452</v>
      </c>
      <c r="O1563" s="135">
        <v>6.6370782584770693E-2</v>
      </c>
      <c r="P1563" s="135">
        <v>4.8691919716093601E-2</v>
      </c>
      <c r="Q1563" s="135">
        <v>4.7577436770175202E-2</v>
      </c>
      <c r="R1563" s="135">
        <v>4.5509288904961802E-2</v>
      </c>
      <c r="S1563" s="135">
        <v>3.7848359998856301E-2</v>
      </c>
      <c r="T1563" s="135">
        <v>3.0573751717803899E-2</v>
      </c>
      <c r="U1563" s="135">
        <v>2.64469028873856E-2</v>
      </c>
      <c r="V1563" s="135">
        <v>2.88668913330575E-2</v>
      </c>
      <c r="W1563" s="135">
        <v>3.3500157127386999E-2</v>
      </c>
      <c r="X1563" s="135">
        <v>5.1836860794266797E-2</v>
      </c>
      <c r="Y1563" s="135">
        <v>6.1465466933818297E-2</v>
      </c>
      <c r="Z1563" s="135">
        <v>5.8620218734925698E-2</v>
      </c>
      <c r="AA1563" s="135">
        <v>5.0994315474025297E-2</v>
      </c>
      <c r="AB1563" s="135">
        <v>4.3963235133990801E-2</v>
      </c>
      <c r="AC1563" s="135">
        <v>2.9666393669918498E-2</v>
      </c>
      <c r="AD1563" s="135">
        <v>2.0753633515458201E-2</v>
      </c>
      <c r="AF1563" s="243">
        <f t="shared" si="31"/>
        <v>0.25032278873962732</v>
      </c>
      <c r="AG1563" s="275">
        <f t="shared" si="32"/>
        <v>0.41195605387549383</v>
      </c>
      <c r="AH1563" s="391">
        <f t="shared" si="33"/>
        <v>0.57558045247148015</v>
      </c>
      <c r="AI1563" s="135">
        <f t="shared" si="34"/>
        <v>0.98753650634697399</v>
      </c>
    </row>
    <row r="1564" spans="1:35" ht="12.6">
      <c r="A1564" s="10" t="s">
        <v>58</v>
      </c>
      <c r="B1564" s="10">
        <v>103</v>
      </c>
      <c r="C1564" s="10" t="s">
        <v>1513</v>
      </c>
      <c r="D1564" s="388">
        <v>45029</v>
      </c>
      <c r="E1564" s="389">
        <v>45029</v>
      </c>
      <c r="F1564" s="390" t="str">
        <f t="shared" si="30"/>
        <v>Water heating</v>
      </c>
      <c r="G1564" s="135">
        <v>1.5985766681694599E-2</v>
      </c>
      <c r="H1564" s="135">
        <v>1.5584995252666401E-2</v>
      </c>
      <c r="I1564" s="135">
        <v>1.47561930496646E-2</v>
      </c>
      <c r="J1564" s="135">
        <v>1.67877901987388E-2</v>
      </c>
      <c r="K1564" s="135">
        <v>2.6107316830164401E-2</v>
      </c>
      <c r="L1564" s="135">
        <v>3.8273673678792003E-2</v>
      </c>
      <c r="M1564" s="135">
        <v>7.6804227933906094E-2</v>
      </c>
      <c r="N1564" s="135">
        <v>0.100550927424452</v>
      </c>
      <c r="O1564" s="135">
        <v>6.6370782584770693E-2</v>
      </c>
      <c r="P1564" s="135">
        <v>4.8691919716093601E-2</v>
      </c>
      <c r="Q1564" s="135">
        <v>4.7577436770175202E-2</v>
      </c>
      <c r="R1564" s="135">
        <v>4.5509288904961802E-2</v>
      </c>
      <c r="S1564" s="135">
        <v>3.7848359998856301E-2</v>
      </c>
      <c r="T1564" s="135">
        <v>3.0573751717803899E-2</v>
      </c>
      <c r="U1564" s="135">
        <v>2.64469028873856E-2</v>
      </c>
      <c r="V1564" s="135">
        <v>2.88668913330575E-2</v>
      </c>
      <c r="W1564" s="135">
        <v>3.3500157127386999E-2</v>
      </c>
      <c r="X1564" s="135">
        <v>5.1836860794266797E-2</v>
      </c>
      <c r="Y1564" s="135">
        <v>6.1465466933818297E-2</v>
      </c>
      <c r="Z1564" s="135">
        <v>5.8620218734925698E-2</v>
      </c>
      <c r="AA1564" s="135">
        <v>5.0994315474025297E-2</v>
      </c>
      <c r="AB1564" s="135">
        <v>4.3963235133990801E-2</v>
      </c>
      <c r="AC1564" s="135">
        <v>2.9666393669918498E-2</v>
      </c>
      <c r="AD1564" s="135">
        <v>2.0753633515458201E-2</v>
      </c>
      <c r="AF1564" s="243">
        <f t="shared" si="31"/>
        <v>0.25032278873962732</v>
      </c>
      <c r="AG1564" s="275">
        <f t="shared" si="32"/>
        <v>0.41195605387549383</v>
      </c>
      <c r="AH1564" s="391">
        <f t="shared" si="33"/>
        <v>0.57558045247148015</v>
      </c>
      <c r="AI1564" s="135">
        <f t="shared" si="34"/>
        <v>0.98753650634697399</v>
      </c>
    </row>
    <row r="1565" spans="1:35" ht="12.6">
      <c r="A1565" s="10" t="s">
        <v>58</v>
      </c>
      <c r="B1565" s="10">
        <v>104</v>
      </c>
      <c r="C1565" s="10" t="s">
        <v>1513</v>
      </c>
      <c r="D1565" s="388">
        <v>45030</v>
      </c>
      <c r="E1565" s="389">
        <v>45030</v>
      </c>
      <c r="F1565" s="390" t="str">
        <f t="shared" si="30"/>
        <v>Water heating</v>
      </c>
      <c r="G1565" s="135">
        <v>1.5985766681694599E-2</v>
      </c>
      <c r="H1565" s="135">
        <v>1.5584995252666401E-2</v>
      </c>
      <c r="I1565" s="135">
        <v>1.47561930496646E-2</v>
      </c>
      <c r="J1565" s="135">
        <v>1.67877901987388E-2</v>
      </c>
      <c r="K1565" s="135">
        <v>2.6107316830164401E-2</v>
      </c>
      <c r="L1565" s="135">
        <v>3.8273673678792003E-2</v>
      </c>
      <c r="M1565" s="135">
        <v>7.6804227933906094E-2</v>
      </c>
      <c r="N1565" s="135">
        <v>0.100550927424452</v>
      </c>
      <c r="O1565" s="135">
        <v>6.6370782584770693E-2</v>
      </c>
      <c r="P1565" s="135">
        <v>4.8691919716093601E-2</v>
      </c>
      <c r="Q1565" s="135">
        <v>4.7577436770175202E-2</v>
      </c>
      <c r="R1565" s="135">
        <v>4.5509288904961802E-2</v>
      </c>
      <c r="S1565" s="135">
        <v>3.7848359998856301E-2</v>
      </c>
      <c r="T1565" s="135">
        <v>3.0573751717803899E-2</v>
      </c>
      <c r="U1565" s="135">
        <v>2.64469028873856E-2</v>
      </c>
      <c r="V1565" s="135">
        <v>2.88668913330575E-2</v>
      </c>
      <c r="W1565" s="135">
        <v>3.3500157127386999E-2</v>
      </c>
      <c r="X1565" s="135">
        <v>5.1836860794266797E-2</v>
      </c>
      <c r="Y1565" s="135">
        <v>6.1465466933818297E-2</v>
      </c>
      <c r="Z1565" s="135">
        <v>5.8620218734925698E-2</v>
      </c>
      <c r="AA1565" s="135">
        <v>5.0994315474025297E-2</v>
      </c>
      <c r="AB1565" s="135">
        <v>4.3963235133990801E-2</v>
      </c>
      <c r="AC1565" s="135">
        <v>2.9666393669918498E-2</v>
      </c>
      <c r="AD1565" s="135">
        <v>2.0753633515458201E-2</v>
      </c>
      <c r="AF1565" s="243">
        <f t="shared" si="31"/>
        <v>0.25032278873962732</v>
      </c>
      <c r="AG1565" s="275">
        <f t="shared" si="32"/>
        <v>0.41195605387549383</v>
      </c>
      <c r="AH1565" s="391">
        <f t="shared" si="33"/>
        <v>0.57558045247148015</v>
      </c>
      <c r="AI1565" s="135">
        <f t="shared" si="34"/>
        <v>0.98753650634697399</v>
      </c>
    </row>
    <row r="1566" spans="1:35" ht="12.6">
      <c r="A1566" s="10" t="s">
        <v>58</v>
      </c>
      <c r="B1566" s="10">
        <v>105</v>
      </c>
      <c r="C1566" s="10" t="s">
        <v>1513</v>
      </c>
      <c r="D1566" s="388">
        <v>45031</v>
      </c>
      <c r="E1566" s="389">
        <v>45031</v>
      </c>
      <c r="F1566" s="390" t="str">
        <f t="shared" si="30"/>
        <v>Water heating</v>
      </c>
      <c r="G1566" s="135">
        <v>1.6507097869250999E-2</v>
      </c>
      <c r="H1566" s="135">
        <v>1.51639990758798E-2</v>
      </c>
      <c r="I1566" s="135">
        <v>1.54097470439992E-2</v>
      </c>
      <c r="J1566" s="135">
        <v>1.79340006996399E-2</v>
      </c>
      <c r="K1566" s="135">
        <v>2.2962840556772699E-2</v>
      </c>
      <c r="L1566" s="135">
        <v>2.1695854680460001E-2</v>
      </c>
      <c r="M1566" s="135">
        <v>2.56979639815424E-2</v>
      </c>
      <c r="N1566" s="135">
        <v>4.37381622200319E-2</v>
      </c>
      <c r="O1566" s="135">
        <v>6.2889120667870099E-2</v>
      </c>
      <c r="P1566" s="135">
        <v>7.60742643102119E-2</v>
      </c>
      <c r="Q1566" s="135">
        <v>7.3771105808853002E-2</v>
      </c>
      <c r="R1566" s="135">
        <v>6.5959187832445795E-2</v>
      </c>
      <c r="S1566" s="135">
        <v>5.5848142342757999E-2</v>
      </c>
      <c r="T1566" s="135">
        <v>4.60459489591524E-2</v>
      </c>
      <c r="U1566" s="135">
        <v>3.7499058702830997E-2</v>
      </c>
      <c r="V1566" s="135">
        <v>4.0762971593910798E-2</v>
      </c>
      <c r="W1566" s="135">
        <v>4.9487552337156397E-2</v>
      </c>
      <c r="X1566" s="135">
        <v>5.8970393891231702E-2</v>
      </c>
      <c r="Y1566" s="135">
        <v>6.1261276075970497E-2</v>
      </c>
      <c r="Z1566" s="135">
        <v>5.2198667098737501E-2</v>
      </c>
      <c r="AA1566" s="135">
        <v>3.97621487252637E-2</v>
      </c>
      <c r="AB1566" s="135">
        <v>3.2916755621154301E-2</v>
      </c>
      <c r="AC1566" s="135">
        <v>2.7584900895499601E-2</v>
      </c>
      <c r="AD1566" s="135">
        <v>1.92885342915688E-2</v>
      </c>
      <c r="AF1566" s="243">
        <f t="shared" si="31"/>
        <v>0.36937396757710739</v>
      </c>
      <c r="AG1566" s="275">
        <f t="shared" si="32"/>
        <v>0.41188861303042223</v>
      </c>
      <c r="AH1566" s="391">
        <f t="shared" si="33"/>
        <v>0.56754108225177036</v>
      </c>
      <c r="AI1566" s="135">
        <f t="shared" si="34"/>
        <v>0.97942969528219259</v>
      </c>
    </row>
    <row r="1567" spans="1:35" ht="12.6">
      <c r="A1567" s="10" t="s">
        <v>58</v>
      </c>
      <c r="B1567" s="10">
        <v>106</v>
      </c>
      <c r="C1567" s="10" t="s">
        <v>1513</v>
      </c>
      <c r="D1567" s="388">
        <v>45032</v>
      </c>
      <c r="E1567" s="389">
        <v>45032</v>
      </c>
      <c r="F1567" s="390" t="str">
        <f t="shared" si="30"/>
        <v>Water heating</v>
      </c>
      <c r="G1567" s="135">
        <v>1.6507097869250999E-2</v>
      </c>
      <c r="H1567" s="135">
        <v>1.51639990758798E-2</v>
      </c>
      <c r="I1567" s="135">
        <v>1.54097470439992E-2</v>
      </c>
      <c r="J1567" s="135">
        <v>1.79340006996399E-2</v>
      </c>
      <c r="K1567" s="135">
        <v>2.2962840556772699E-2</v>
      </c>
      <c r="L1567" s="135">
        <v>2.1695854680460001E-2</v>
      </c>
      <c r="M1567" s="135">
        <v>2.56979639815424E-2</v>
      </c>
      <c r="N1567" s="135">
        <v>4.37381622200319E-2</v>
      </c>
      <c r="O1567" s="135">
        <v>6.2889120667870099E-2</v>
      </c>
      <c r="P1567" s="135">
        <v>7.60742643102119E-2</v>
      </c>
      <c r="Q1567" s="135">
        <v>7.3771105808853002E-2</v>
      </c>
      <c r="R1567" s="135">
        <v>6.5959187832445795E-2</v>
      </c>
      <c r="S1567" s="135">
        <v>5.5848142342757999E-2</v>
      </c>
      <c r="T1567" s="135">
        <v>4.60459489591524E-2</v>
      </c>
      <c r="U1567" s="135">
        <v>3.7499058702830997E-2</v>
      </c>
      <c r="V1567" s="135">
        <v>4.0762971593910798E-2</v>
      </c>
      <c r="W1567" s="135">
        <v>4.9487552337156397E-2</v>
      </c>
      <c r="X1567" s="135">
        <v>5.8970393891231702E-2</v>
      </c>
      <c r="Y1567" s="135">
        <v>6.1261276075970497E-2</v>
      </c>
      <c r="Z1567" s="135">
        <v>5.2198667098737501E-2</v>
      </c>
      <c r="AA1567" s="135">
        <v>3.97621487252637E-2</v>
      </c>
      <c r="AB1567" s="135">
        <v>3.2916755621154301E-2</v>
      </c>
      <c r="AC1567" s="135">
        <v>2.7584900895499601E-2</v>
      </c>
      <c r="AD1567" s="135">
        <v>1.92885342915688E-2</v>
      </c>
      <c r="AF1567" s="243">
        <f t="shared" si="31"/>
        <v>0.36937396757710739</v>
      </c>
      <c r="AG1567" s="275">
        <f t="shared" si="32"/>
        <v>0.41188861303042223</v>
      </c>
      <c r="AH1567" s="391">
        <f t="shared" si="33"/>
        <v>0.56754108225177036</v>
      </c>
      <c r="AI1567" s="135">
        <f t="shared" si="34"/>
        <v>0.97942969528219259</v>
      </c>
    </row>
    <row r="1568" spans="1:35" ht="12.6">
      <c r="A1568" s="10" t="s">
        <v>58</v>
      </c>
      <c r="B1568" s="10">
        <v>107</v>
      </c>
      <c r="C1568" s="10" t="s">
        <v>1513</v>
      </c>
      <c r="D1568" s="388">
        <v>45033</v>
      </c>
      <c r="E1568" s="389">
        <v>45033</v>
      </c>
      <c r="F1568" s="390" t="str">
        <f t="shared" si="30"/>
        <v>Water heating</v>
      </c>
      <c r="G1568" s="135">
        <v>1.5985766681694599E-2</v>
      </c>
      <c r="H1568" s="135">
        <v>1.5584995252666401E-2</v>
      </c>
      <c r="I1568" s="135">
        <v>1.47561930496646E-2</v>
      </c>
      <c r="J1568" s="135">
        <v>1.67877901987388E-2</v>
      </c>
      <c r="K1568" s="135">
        <v>2.6107316830164401E-2</v>
      </c>
      <c r="L1568" s="135">
        <v>3.8273673678792003E-2</v>
      </c>
      <c r="M1568" s="135">
        <v>7.6804227933906094E-2</v>
      </c>
      <c r="N1568" s="135">
        <v>0.100550927424452</v>
      </c>
      <c r="O1568" s="135">
        <v>6.6370782584770693E-2</v>
      </c>
      <c r="P1568" s="135">
        <v>4.8691919716093601E-2</v>
      </c>
      <c r="Q1568" s="135">
        <v>4.7577436770175202E-2</v>
      </c>
      <c r="R1568" s="135">
        <v>4.5509288904961802E-2</v>
      </c>
      <c r="S1568" s="135">
        <v>3.7848359998856301E-2</v>
      </c>
      <c r="T1568" s="135">
        <v>3.0573751717803899E-2</v>
      </c>
      <c r="U1568" s="135">
        <v>2.64469028873856E-2</v>
      </c>
      <c r="V1568" s="135">
        <v>2.88668913330575E-2</v>
      </c>
      <c r="W1568" s="135">
        <v>3.3500157127386999E-2</v>
      </c>
      <c r="X1568" s="135">
        <v>5.1836860794266797E-2</v>
      </c>
      <c r="Y1568" s="135">
        <v>6.1465466933818297E-2</v>
      </c>
      <c r="Z1568" s="135">
        <v>5.8620218734925698E-2</v>
      </c>
      <c r="AA1568" s="135">
        <v>5.0994315474025297E-2</v>
      </c>
      <c r="AB1568" s="135">
        <v>4.3963235133990801E-2</v>
      </c>
      <c r="AC1568" s="135">
        <v>2.9666393669918498E-2</v>
      </c>
      <c r="AD1568" s="135">
        <v>2.0753633515458201E-2</v>
      </c>
      <c r="AF1568" s="243">
        <f t="shared" si="31"/>
        <v>0.25032278873962732</v>
      </c>
      <c r="AG1568" s="275">
        <f t="shared" si="32"/>
        <v>0.41195605387549383</v>
      </c>
      <c r="AH1568" s="391">
        <f t="shared" si="33"/>
        <v>0.57558045247148015</v>
      </c>
      <c r="AI1568" s="135">
        <f t="shared" si="34"/>
        <v>0.98753650634697399</v>
      </c>
    </row>
    <row r="1569" spans="1:35" ht="12.6">
      <c r="A1569" s="10" t="s">
        <v>58</v>
      </c>
      <c r="B1569" s="10">
        <v>108</v>
      </c>
      <c r="C1569" s="10" t="s">
        <v>1513</v>
      </c>
      <c r="D1569" s="388">
        <v>45034</v>
      </c>
      <c r="E1569" s="389">
        <v>45034</v>
      </c>
      <c r="F1569" s="390" t="str">
        <f t="shared" si="30"/>
        <v>Water heating</v>
      </c>
      <c r="G1569" s="135">
        <v>1.5985766681694599E-2</v>
      </c>
      <c r="H1569" s="135">
        <v>1.5584995252666401E-2</v>
      </c>
      <c r="I1569" s="135">
        <v>1.47561930496646E-2</v>
      </c>
      <c r="J1569" s="135">
        <v>1.67877901987388E-2</v>
      </c>
      <c r="K1569" s="135">
        <v>2.6107316830164401E-2</v>
      </c>
      <c r="L1569" s="135">
        <v>3.8273673678792003E-2</v>
      </c>
      <c r="M1569" s="135">
        <v>7.6804227933906094E-2</v>
      </c>
      <c r="N1569" s="135">
        <v>0.100550927424452</v>
      </c>
      <c r="O1569" s="135">
        <v>6.6370782584770693E-2</v>
      </c>
      <c r="P1569" s="135">
        <v>4.8691919716093601E-2</v>
      </c>
      <c r="Q1569" s="135">
        <v>4.7577436770175202E-2</v>
      </c>
      <c r="R1569" s="135">
        <v>4.5509288904961802E-2</v>
      </c>
      <c r="S1569" s="135">
        <v>3.7848359998856301E-2</v>
      </c>
      <c r="T1569" s="135">
        <v>3.0573751717803899E-2</v>
      </c>
      <c r="U1569" s="135">
        <v>2.64469028873856E-2</v>
      </c>
      <c r="V1569" s="135">
        <v>2.88668913330575E-2</v>
      </c>
      <c r="W1569" s="135">
        <v>3.3500157127386999E-2</v>
      </c>
      <c r="X1569" s="135">
        <v>5.1836860794266797E-2</v>
      </c>
      <c r="Y1569" s="135">
        <v>6.1465466933818297E-2</v>
      </c>
      <c r="Z1569" s="135">
        <v>5.8620218734925698E-2</v>
      </c>
      <c r="AA1569" s="135">
        <v>5.0994315474025297E-2</v>
      </c>
      <c r="AB1569" s="135">
        <v>4.3963235133990801E-2</v>
      </c>
      <c r="AC1569" s="135">
        <v>2.9666393669918498E-2</v>
      </c>
      <c r="AD1569" s="135">
        <v>2.0753633515458201E-2</v>
      </c>
      <c r="AF1569" s="243">
        <f t="shared" si="31"/>
        <v>0.25032278873962732</v>
      </c>
      <c r="AG1569" s="275">
        <f t="shared" si="32"/>
        <v>0.41195605387549383</v>
      </c>
      <c r="AH1569" s="391">
        <f t="shared" si="33"/>
        <v>0.57558045247148015</v>
      </c>
      <c r="AI1569" s="135">
        <f t="shared" si="34"/>
        <v>0.98753650634697399</v>
      </c>
    </row>
    <row r="1570" spans="1:35" ht="12.6">
      <c r="A1570" s="10" t="s">
        <v>58</v>
      </c>
      <c r="B1570" s="10">
        <v>109</v>
      </c>
      <c r="C1570" s="10" t="s">
        <v>1513</v>
      </c>
      <c r="D1570" s="388">
        <v>45035</v>
      </c>
      <c r="E1570" s="389">
        <v>45035</v>
      </c>
      <c r="F1570" s="390" t="str">
        <f t="shared" si="30"/>
        <v>Water heating</v>
      </c>
      <c r="G1570" s="135">
        <v>1.5985766681694599E-2</v>
      </c>
      <c r="H1570" s="135">
        <v>1.5584995252666401E-2</v>
      </c>
      <c r="I1570" s="135">
        <v>1.47561930496646E-2</v>
      </c>
      <c r="J1570" s="135">
        <v>1.67877901987388E-2</v>
      </c>
      <c r="K1570" s="135">
        <v>2.6107316830164401E-2</v>
      </c>
      <c r="L1570" s="135">
        <v>3.8273673678792003E-2</v>
      </c>
      <c r="M1570" s="135">
        <v>7.6804227933906094E-2</v>
      </c>
      <c r="N1570" s="135">
        <v>0.100550927424452</v>
      </c>
      <c r="O1570" s="135">
        <v>6.6370782584770693E-2</v>
      </c>
      <c r="P1570" s="135">
        <v>4.8691919716093601E-2</v>
      </c>
      <c r="Q1570" s="135">
        <v>4.7577436770175202E-2</v>
      </c>
      <c r="R1570" s="135">
        <v>4.5509288904961802E-2</v>
      </c>
      <c r="S1570" s="135">
        <v>3.7848359998856301E-2</v>
      </c>
      <c r="T1570" s="135">
        <v>3.0573751717803899E-2</v>
      </c>
      <c r="U1570" s="135">
        <v>2.64469028873856E-2</v>
      </c>
      <c r="V1570" s="135">
        <v>2.88668913330575E-2</v>
      </c>
      <c r="W1570" s="135">
        <v>3.3500157127386999E-2</v>
      </c>
      <c r="X1570" s="135">
        <v>5.1836860794266797E-2</v>
      </c>
      <c r="Y1570" s="135">
        <v>6.1465466933818297E-2</v>
      </c>
      <c r="Z1570" s="135">
        <v>5.8620218734925698E-2</v>
      </c>
      <c r="AA1570" s="135">
        <v>5.0994315474025297E-2</v>
      </c>
      <c r="AB1570" s="135">
        <v>4.3963235133990801E-2</v>
      </c>
      <c r="AC1570" s="135">
        <v>2.9666393669918498E-2</v>
      </c>
      <c r="AD1570" s="135">
        <v>2.0753633515458201E-2</v>
      </c>
      <c r="AF1570" s="243">
        <f t="shared" si="31"/>
        <v>0.25032278873962732</v>
      </c>
      <c r="AG1570" s="275">
        <f t="shared" si="32"/>
        <v>0.41195605387549383</v>
      </c>
      <c r="AH1570" s="391">
        <f t="shared" si="33"/>
        <v>0.57558045247148015</v>
      </c>
      <c r="AI1570" s="135">
        <f t="shared" si="34"/>
        <v>0.98753650634697399</v>
      </c>
    </row>
    <row r="1571" spans="1:35" ht="12.6">
      <c r="A1571" s="10" t="s">
        <v>58</v>
      </c>
      <c r="B1571" s="10">
        <v>110</v>
      </c>
      <c r="C1571" s="10" t="s">
        <v>1513</v>
      </c>
      <c r="D1571" s="388">
        <v>45036</v>
      </c>
      <c r="E1571" s="389">
        <v>45036</v>
      </c>
      <c r="F1571" s="390" t="str">
        <f t="shared" si="30"/>
        <v>Water heating</v>
      </c>
      <c r="G1571" s="135">
        <v>1.5985766681694599E-2</v>
      </c>
      <c r="H1571" s="135">
        <v>1.5584995252666401E-2</v>
      </c>
      <c r="I1571" s="135">
        <v>1.47561930496646E-2</v>
      </c>
      <c r="J1571" s="135">
        <v>1.67877901987388E-2</v>
      </c>
      <c r="K1571" s="135">
        <v>2.6107316830164401E-2</v>
      </c>
      <c r="L1571" s="135">
        <v>3.8273673678792003E-2</v>
      </c>
      <c r="M1571" s="135">
        <v>7.6804227933906094E-2</v>
      </c>
      <c r="N1571" s="135">
        <v>0.100550927424452</v>
      </c>
      <c r="O1571" s="135">
        <v>6.6370782584770693E-2</v>
      </c>
      <c r="P1571" s="135">
        <v>4.8691919716093601E-2</v>
      </c>
      <c r="Q1571" s="135">
        <v>4.7577436770175202E-2</v>
      </c>
      <c r="R1571" s="135">
        <v>4.5509288904961802E-2</v>
      </c>
      <c r="S1571" s="135">
        <v>3.7848359998856301E-2</v>
      </c>
      <c r="T1571" s="135">
        <v>3.0573751717803899E-2</v>
      </c>
      <c r="U1571" s="135">
        <v>2.64469028873856E-2</v>
      </c>
      <c r="V1571" s="135">
        <v>2.88668913330575E-2</v>
      </c>
      <c r="W1571" s="135">
        <v>3.3500157127386999E-2</v>
      </c>
      <c r="X1571" s="135">
        <v>5.1836860794266797E-2</v>
      </c>
      <c r="Y1571" s="135">
        <v>6.1465466933818297E-2</v>
      </c>
      <c r="Z1571" s="135">
        <v>5.8620218734925698E-2</v>
      </c>
      <c r="AA1571" s="135">
        <v>5.0994315474025297E-2</v>
      </c>
      <c r="AB1571" s="135">
        <v>4.3963235133990801E-2</v>
      </c>
      <c r="AC1571" s="135">
        <v>2.9666393669918498E-2</v>
      </c>
      <c r="AD1571" s="135">
        <v>2.0753633515458201E-2</v>
      </c>
      <c r="AF1571" s="243">
        <f t="shared" si="31"/>
        <v>0.25032278873962732</v>
      </c>
      <c r="AG1571" s="275">
        <f t="shared" si="32"/>
        <v>0.41195605387549383</v>
      </c>
      <c r="AH1571" s="391">
        <f t="shared" si="33"/>
        <v>0.57558045247148015</v>
      </c>
      <c r="AI1571" s="135">
        <f t="shared" si="34"/>
        <v>0.98753650634697399</v>
      </c>
    </row>
    <row r="1572" spans="1:35" ht="12.6">
      <c r="A1572" s="10" t="s">
        <v>58</v>
      </c>
      <c r="B1572" s="10">
        <v>111</v>
      </c>
      <c r="C1572" s="10" t="s">
        <v>1513</v>
      </c>
      <c r="D1572" s="388">
        <v>45037</v>
      </c>
      <c r="E1572" s="389">
        <v>45037</v>
      </c>
      <c r="F1572" s="390" t="str">
        <f t="shared" si="30"/>
        <v>Water heating</v>
      </c>
      <c r="G1572" s="135">
        <v>1.5985766681694599E-2</v>
      </c>
      <c r="H1572" s="135">
        <v>1.5584995252666401E-2</v>
      </c>
      <c r="I1572" s="135">
        <v>1.47561930496646E-2</v>
      </c>
      <c r="J1572" s="135">
        <v>1.67877901987388E-2</v>
      </c>
      <c r="K1572" s="135">
        <v>2.6107316830164401E-2</v>
      </c>
      <c r="L1572" s="135">
        <v>3.8273673678792003E-2</v>
      </c>
      <c r="M1572" s="135">
        <v>7.6804227933906094E-2</v>
      </c>
      <c r="N1572" s="135">
        <v>0.100550927424452</v>
      </c>
      <c r="O1572" s="135">
        <v>6.6370782584770693E-2</v>
      </c>
      <c r="P1572" s="135">
        <v>4.8691919716093601E-2</v>
      </c>
      <c r="Q1572" s="135">
        <v>4.7577436770175202E-2</v>
      </c>
      <c r="R1572" s="135">
        <v>4.5509288904961802E-2</v>
      </c>
      <c r="S1572" s="135">
        <v>3.7848359998856301E-2</v>
      </c>
      <c r="T1572" s="135">
        <v>3.0573751717803899E-2</v>
      </c>
      <c r="U1572" s="135">
        <v>2.64469028873856E-2</v>
      </c>
      <c r="V1572" s="135">
        <v>2.88668913330575E-2</v>
      </c>
      <c r="W1572" s="135">
        <v>3.3500157127386999E-2</v>
      </c>
      <c r="X1572" s="135">
        <v>5.1836860794266797E-2</v>
      </c>
      <c r="Y1572" s="135">
        <v>6.1465466933818297E-2</v>
      </c>
      <c r="Z1572" s="135">
        <v>5.8620218734925698E-2</v>
      </c>
      <c r="AA1572" s="135">
        <v>5.0994315474025297E-2</v>
      </c>
      <c r="AB1572" s="135">
        <v>4.3963235133990801E-2</v>
      </c>
      <c r="AC1572" s="135">
        <v>2.9666393669918498E-2</v>
      </c>
      <c r="AD1572" s="135">
        <v>2.0753633515458201E-2</v>
      </c>
      <c r="AF1572" s="243">
        <f t="shared" si="31"/>
        <v>0.25032278873962732</v>
      </c>
      <c r="AG1572" s="275">
        <f t="shared" si="32"/>
        <v>0.41195605387549383</v>
      </c>
      <c r="AH1572" s="391">
        <f t="shared" si="33"/>
        <v>0.57558045247148015</v>
      </c>
      <c r="AI1572" s="135">
        <f t="shared" si="34"/>
        <v>0.98753650634697399</v>
      </c>
    </row>
    <row r="1573" spans="1:35" ht="12.6">
      <c r="A1573" s="10" t="s">
        <v>58</v>
      </c>
      <c r="B1573" s="10">
        <v>112</v>
      </c>
      <c r="C1573" s="10" t="s">
        <v>1513</v>
      </c>
      <c r="D1573" s="388">
        <v>45038</v>
      </c>
      <c r="E1573" s="389">
        <v>45038</v>
      </c>
      <c r="F1573" s="390" t="str">
        <f t="shared" si="30"/>
        <v>Water heating</v>
      </c>
      <c r="G1573" s="135">
        <v>1.6507097869250999E-2</v>
      </c>
      <c r="H1573" s="135">
        <v>1.51639990758798E-2</v>
      </c>
      <c r="I1573" s="135">
        <v>1.54097470439992E-2</v>
      </c>
      <c r="J1573" s="135">
        <v>1.79340006996399E-2</v>
      </c>
      <c r="K1573" s="135">
        <v>2.2962840556772699E-2</v>
      </c>
      <c r="L1573" s="135">
        <v>2.1695854680460001E-2</v>
      </c>
      <c r="M1573" s="135">
        <v>2.56979639815424E-2</v>
      </c>
      <c r="N1573" s="135">
        <v>4.37381622200319E-2</v>
      </c>
      <c r="O1573" s="135">
        <v>6.2889120667870099E-2</v>
      </c>
      <c r="P1573" s="135">
        <v>7.60742643102119E-2</v>
      </c>
      <c r="Q1573" s="135">
        <v>7.3771105808853002E-2</v>
      </c>
      <c r="R1573" s="135">
        <v>6.5959187832445795E-2</v>
      </c>
      <c r="S1573" s="135">
        <v>5.5848142342757999E-2</v>
      </c>
      <c r="T1573" s="135">
        <v>4.60459489591524E-2</v>
      </c>
      <c r="U1573" s="135">
        <v>3.7499058702830997E-2</v>
      </c>
      <c r="V1573" s="135">
        <v>4.0762971593910798E-2</v>
      </c>
      <c r="W1573" s="135">
        <v>4.9487552337156397E-2</v>
      </c>
      <c r="X1573" s="135">
        <v>5.8970393891231702E-2</v>
      </c>
      <c r="Y1573" s="135">
        <v>6.1261276075970497E-2</v>
      </c>
      <c r="Z1573" s="135">
        <v>5.2198667098737501E-2</v>
      </c>
      <c r="AA1573" s="135">
        <v>3.97621487252637E-2</v>
      </c>
      <c r="AB1573" s="135">
        <v>3.2916755621154301E-2</v>
      </c>
      <c r="AC1573" s="135">
        <v>2.7584900895499601E-2</v>
      </c>
      <c r="AD1573" s="135">
        <v>1.92885342915688E-2</v>
      </c>
      <c r="AF1573" s="243">
        <f t="shared" si="31"/>
        <v>0.36937396757710739</v>
      </c>
      <c r="AG1573" s="275">
        <f t="shared" si="32"/>
        <v>0.41188861303042223</v>
      </c>
      <c r="AH1573" s="391">
        <f t="shared" si="33"/>
        <v>0.56754108225177036</v>
      </c>
      <c r="AI1573" s="135">
        <f t="shared" si="34"/>
        <v>0.97942969528219259</v>
      </c>
    </row>
    <row r="1574" spans="1:35" ht="12.6">
      <c r="A1574" s="10" t="s">
        <v>58</v>
      </c>
      <c r="B1574" s="10">
        <v>113</v>
      </c>
      <c r="C1574" s="10" t="s">
        <v>1513</v>
      </c>
      <c r="D1574" s="388">
        <v>45039</v>
      </c>
      <c r="E1574" s="389">
        <v>45039</v>
      </c>
      <c r="F1574" s="390" t="str">
        <f t="shared" si="30"/>
        <v>Water heating</v>
      </c>
      <c r="G1574" s="135">
        <v>1.6507097869250999E-2</v>
      </c>
      <c r="H1574" s="135">
        <v>1.51639990758798E-2</v>
      </c>
      <c r="I1574" s="135">
        <v>1.54097470439992E-2</v>
      </c>
      <c r="J1574" s="135">
        <v>1.79340006996399E-2</v>
      </c>
      <c r="K1574" s="135">
        <v>2.2962840556772699E-2</v>
      </c>
      <c r="L1574" s="135">
        <v>2.1695854680460001E-2</v>
      </c>
      <c r="M1574" s="135">
        <v>2.56979639815424E-2</v>
      </c>
      <c r="N1574" s="135">
        <v>4.37381622200319E-2</v>
      </c>
      <c r="O1574" s="135">
        <v>6.2889120667870099E-2</v>
      </c>
      <c r="P1574" s="135">
        <v>7.60742643102119E-2</v>
      </c>
      <c r="Q1574" s="135">
        <v>7.3771105808853002E-2</v>
      </c>
      <c r="R1574" s="135">
        <v>6.5959187832445795E-2</v>
      </c>
      <c r="S1574" s="135">
        <v>5.5848142342757999E-2</v>
      </c>
      <c r="T1574" s="135">
        <v>4.60459489591524E-2</v>
      </c>
      <c r="U1574" s="135">
        <v>3.7499058702830997E-2</v>
      </c>
      <c r="V1574" s="135">
        <v>4.0762971593910798E-2</v>
      </c>
      <c r="W1574" s="135">
        <v>4.9487552337156397E-2</v>
      </c>
      <c r="X1574" s="135">
        <v>5.8970393891231702E-2</v>
      </c>
      <c r="Y1574" s="135">
        <v>6.1261276075970497E-2</v>
      </c>
      <c r="Z1574" s="135">
        <v>5.2198667098737501E-2</v>
      </c>
      <c r="AA1574" s="135">
        <v>3.97621487252637E-2</v>
      </c>
      <c r="AB1574" s="135">
        <v>3.2916755621154301E-2</v>
      </c>
      <c r="AC1574" s="135">
        <v>2.7584900895499601E-2</v>
      </c>
      <c r="AD1574" s="135">
        <v>1.92885342915688E-2</v>
      </c>
      <c r="AF1574" s="243">
        <f t="shared" si="31"/>
        <v>0.36937396757710739</v>
      </c>
      <c r="AG1574" s="275">
        <f t="shared" si="32"/>
        <v>0.41188861303042223</v>
      </c>
      <c r="AH1574" s="391">
        <f t="shared" si="33"/>
        <v>0.56754108225177036</v>
      </c>
      <c r="AI1574" s="135">
        <f t="shared" si="34"/>
        <v>0.97942969528219259</v>
      </c>
    </row>
    <row r="1575" spans="1:35" ht="12.6">
      <c r="A1575" s="10" t="s">
        <v>58</v>
      </c>
      <c r="B1575" s="10">
        <v>114</v>
      </c>
      <c r="C1575" s="10" t="s">
        <v>1513</v>
      </c>
      <c r="D1575" s="388">
        <v>45040</v>
      </c>
      <c r="E1575" s="389">
        <v>45040</v>
      </c>
      <c r="F1575" s="390" t="str">
        <f t="shared" si="30"/>
        <v>Water heating</v>
      </c>
      <c r="G1575" s="135">
        <v>1.5985766681694599E-2</v>
      </c>
      <c r="H1575" s="135">
        <v>1.5584995252666401E-2</v>
      </c>
      <c r="I1575" s="135">
        <v>1.47561930496646E-2</v>
      </c>
      <c r="J1575" s="135">
        <v>1.67877901987388E-2</v>
      </c>
      <c r="K1575" s="135">
        <v>2.6107316830164401E-2</v>
      </c>
      <c r="L1575" s="135">
        <v>3.8273673678792003E-2</v>
      </c>
      <c r="M1575" s="135">
        <v>7.6804227933906094E-2</v>
      </c>
      <c r="N1575" s="135">
        <v>0.100550927424452</v>
      </c>
      <c r="O1575" s="135">
        <v>6.6370782584770693E-2</v>
      </c>
      <c r="P1575" s="135">
        <v>4.8691919716093601E-2</v>
      </c>
      <c r="Q1575" s="135">
        <v>4.7577436770175202E-2</v>
      </c>
      <c r="R1575" s="135">
        <v>4.5509288904961802E-2</v>
      </c>
      <c r="S1575" s="135">
        <v>3.7848359998856301E-2</v>
      </c>
      <c r="T1575" s="135">
        <v>3.0573751717803899E-2</v>
      </c>
      <c r="U1575" s="135">
        <v>2.64469028873856E-2</v>
      </c>
      <c r="V1575" s="135">
        <v>2.88668913330575E-2</v>
      </c>
      <c r="W1575" s="135">
        <v>3.3500157127386999E-2</v>
      </c>
      <c r="X1575" s="135">
        <v>5.1836860794266797E-2</v>
      </c>
      <c r="Y1575" s="135">
        <v>6.1465466933818297E-2</v>
      </c>
      <c r="Z1575" s="135">
        <v>5.8620218734925698E-2</v>
      </c>
      <c r="AA1575" s="135">
        <v>5.0994315474025297E-2</v>
      </c>
      <c r="AB1575" s="135">
        <v>4.3963235133990801E-2</v>
      </c>
      <c r="AC1575" s="135">
        <v>2.9666393669918498E-2</v>
      </c>
      <c r="AD1575" s="135">
        <v>2.0753633515458201E-2</v>
      </c>
      <c r="AF1575" s="243">
        <f t="shared" si="31"/>
        <v>0.25032278873962732</v>
      </c>
      <c r="AG1575" s="275">
        <f t="shared" si="32"/>
        <v>0.41195605387549383</v>
      </c>
      <c r="AH1575" s="391">
        <f t="shared" si="33"/>
        <v>0.57558045247148015</v>
      </c>
      <c r="AI1575" s="135">
        <f t="shared" si="34"/>
        <v>0.98753650634697399</v>
      </c>
    </row>
    <row r="1576" spans="1:35" ht="12.6">
      <c r="A1576" s="10" t="s">
        <v>58</v>
      </c>
      <c r="B1576" s="10">
        <v>115</v>
      </c>
      <c r="C1576" s="10" t="s">
        <v>1513</v>
      </c>
      <c r="D1576" s="388">
        <v>45041</v>
      </c>
      <c r="E1576" s="389">
        <v>45041</v>
      </c>
      <c r="F1576" s="390" t="str">
        <f t="shared" si="30"/>
        <v>Water heating</v>
      </c>
      <c r="G1576" s="135">
        <v>1.5985766681694599E-2</v>
      </c>
      <c r="H1576" s="135">
        <v>1.5584995252666401E-2</v>
      </c>
      <c r="I1576" s="135">
        <v>1.47561930496646E-2</v>
      </c>
      <c r="J1576" s="135">
        <v>1.67877901987388E-2</v>
      </c>
      <c r="K1576" s="135">
        <v>2.6107316830164401E-2</v>
      </c>
      <c r="L1576" s="135">
        <v>3.8273673678792003E-2</v>
      </c>
      <c r="M1576" s="135">
        <v>7.6804227933906094E-2</v>
      </c>
      <c r="N1576" s="135">
        <v>0.100550927424452</v>
      </c>
      <c r="O1576" s="135">
        <v>6.6370782584770693E-2</v>
      </c>
      <c r="P1576" s="135">
        <v>4.8691919716093601E-2</v>
      </c>
      <c r="Q1576" s="135">
        <v>4.7577436770175202E-2</v>
      </c>
      <c r="R1576" s="135">
        <v>4.5509288904961802E-2</v>
      </c>
      <c r="S1576" s="135">
        <v>3.7848359998856301E-2</v>
      </c>
      <c r="T1576" s="135">
        <v>3.0573751717803899E-2</v>
      </c>
      <c r="U1576" s="135">
        <v>2.64469028873856E-2</v>
      </c>
      <c r="V1576" s="135">
        <v>2.88668913330575E-2</v>
      </c>
      <c r="W1576" s="135">
        <v>3.3500157127386999E-2</v>
      </c>
      <c r="X1576" s="135">
        <v>5.1836860794266797E-2</v>
      </c>
      <c r="Y1576" s="135">
        <v>6.1465466933818297E-2</v>
      </c>
      <c r="Z1576" s="135">
        <v>5.8620218734925698E-2</v>
      </c>
      <c r="AA1576" s="135">
        <v>5.0994315474025297E-2</v>
      </c>
      <c r="AB1576" s="135">
        <v>4.3963235133990801E-2</v>
      </c>
      <c r="AC1576" s="135">
        <v>2.9666393669918498E-2</v>
      </c>
      <c r="AD1576" s="135">
        <v>2.0753633515458201E-2</v>
      </c>
      <c r="AF1576" s="243">
        <f t="shared" si="31"/>
        <v>0.25032278873962732</v>
      </c>
      <c r="AG1576" s="275">
        <f t="shared" si="32"/>
        <v>0.41195605387549383</v>
      </c>
      <c r="AH1576" s="391">
        <f t="shared" si="33"/>
        <v>0.57558045247148015</v>
      </c>
      <c r="AI1576" s="135">
        <f t="shared" si="34"/>
        <v>0.98753650634697399</v>
      </c>
    </row>
    <row r="1577" spans="1:35" ht="12.6">
      <c r="A1577" s="10" t="s">
        <v>58</v>
      </c>
      <c r="B1577" s="10">
        <v>116</v>
      </c>
      <c r="C1577" s="10" t="s">
        <v>1513</v>
      </c>
      <c r="D1577" s="388">
        <v>45042</v>
      </c>
      <c r="E1577" s="389">
        <v>45042</v>
      </c>
      <c r="F1577" s="390" t="str">
        <f t="shared" si="30"/>
        <v>Water heating</v>
      </c>
      <c r="G1577" s="135">
        <v>1.5985766681694599E-2</v>
      </c>
      <c r="H1577" s="135">
        <v>1.5584995252666401E-2</v>
      </c>
      <c r="I1577" s="135">
        <v>1.47561930496646E-2</v>
      </c>
      <c r="J1577" s="135">
        <v>1.67877901987388E-2</v>
      </c>
      <c r="K1577" s="135">
        <v>2.6107316830164401E-2</v>
      </c>
      <c r="L1577" s="135">
        <v>3.8273673678792003E-2</v>
      </c>
      <c r="M1577" s="135">
        <v>7.6804227933906094E-2</v>
      </c>
      <c r="N1577" s="135">
        <v>0.100550927424452</v>
      </c>
      <c r="O1577" s="135">
        <v>6.6370782584770693E-2</v>
      </c>
      <c r="P1577" s="135">
        <v>4.8691919716093601E-2</v>
      </c>
      <c r="Q1577" s="135">
        <v>4.7577436770175202E-2</v>
      </c>
      <c r="R1577" s="135">
        <v>4.5509288904961802E-2</v>
      </c>
      <c r="S1577" s="135">
        <v>3.7848359998856301E-2</v>
      </c>
      <c r="T1577" s="135">
        <v>3.0573751717803899E-2</v>
      </c>
      <c r="U1577" s="135">
        <v>2.64469028873856E-2</v>
      </c>
      <c r="V1577" s="135">
        <v>2.88668913330575E-2</v>
      </c>
      <c r="W1577" s="135">
        <v>3.3500157127386999E-2</v>
      </c>
      <c r="X1577" s="135">
        <v>5.1836860794266797E-2</v>
      </c>
      <c r="Y1577" s="135">
        <v>6.1465466933818297E-2</v>
      </c>
      <c r="Z1577" s="135">
        <v>5.8620218734925698E-2</v>
      </c>
      <c r="AA1577" s="135">
        <v>5.0994315474025297E-2</v>
      </c>
      <c r="AB1577" s="135">
        <v>4.3963235133990801E-2</v>
      </c>
      <c r="AC1577" s="135">
        <v>2.9666393669918498E-2</v>
      </c>
      <c r="AD1577" s="135">
        <v>2.0753633515458201E-2</v>
      </c>
      <c r="AF1577" s="243">
        <f t="shared" si="31"/>
        <v>0.25032278873962732</v>
      </c>
      <c r="AG1577" s="275">
        <f t="shared" si="32"/>
        <v>0.41195605387549383</v>
      </c>
      <c r="AH1577" s="391">
        <f t="shared" si="33"/>
        <v>0.57558045247148015</v>
      </c>
      <c r="AI1577" s="135">
        <f t="shared" si="34"/>
        <v>0.98753650634697399</v>
      </c>
    </row>
    <row r="1578" spans="1:35" ht="12.6">
      <c r="A1578" s="10" t="s">
        <v>58</v>
      </c>
      <c r="B1578" s="10">
        <v>117</v>
      </c>
      <c r="C1578" s="10" t="s">
        <v>1513</v>
      </c>
      <c r="D1578" s="388">
        <v>45043</v>
      </c>
      <c r="E1578" s="389">
        <v>45043</v>
      </c>
      <c r="F1578" s="390" t="str">
        <f t="shared" si="30"/>
        <v>Water heating</v>
      </c>
      <c r="G1578" s="135">
        <v>1.5985766681694599E-2</v>
      </c>
      <c r="H1578" s="135">
        <v>1.5584995252666401E-2</v>
      </c>
      <c r="I1578" s="135">
        <v>1.47561930496646E-2</v>
      </c>
      <c r="J1578" s="135">
        <v>1.67877901987388E-2</v>
      </c>
      <c r="K1578" s="135">
        <v>2.6107316830164401E-2</v>
      </c>
      <c r="L1578" s="135">
        <v>3.8273673678792003E-2</v>
      </c>
      <c r="M1578" s="135">
        <v>7.6804227933906094E-2</v>
      </c>
      <c r="N1578" s="135">
        <v>0.100550927424452</v>
      </c>
      <c r="O1578" s="135">
        <v>6.6370782584770693E-2</v>
      </c>
      <c r="P1578" s="135">
        <v>4.8691919716093601E-2</v>
      </c>
      <c r="Q1578" s="135">
        <v>4.7577436770175202E-2</v>
      </c>
      <c r="R1578" s="135">
        <v>4.5509288904961802E-2</v>
      </c>
      <c r="S1578" s="135">
        <v>3.7848359998856301E-2</v>
      </c>
      <c r="T1578" s="135">
        <v>3.0573751717803899E-2</v>
      </c>
      <c r="U1578" s="135">
        <v>2.64469028873856E-2</v>
      </c>
      <c r="V1578" s="135">
        <v>2.88668913330575E-2</v>
      </c>
      <c r="W1578" s="135">
        <v>3.3500157127386999E-2</v>
      </c>
      <c r="X1578" s="135">
        <v>5.1836860794266797E-2</v>
      </c>
      <c r="Y1578" s="135">
        <v>6.1465466933818297E-2</v>
      </c>
      <c r="Z1578" s="135">
        <v>5.8620218734925698E-2</v>
      </c>
      <c r="AA1578" s="135">
        <v>5.0994315474025297E-2</v>
      </c>
      <c r="AB1578" s="135">
        <v>4.3963235133990801E-2</v>
      </c>
      <c r="AC1578" s="135">
        <v>2.9666393669918498E-2</v>
      </c>
      <c r="AD1578" s="135">
        <v>2.0753633515458201E-2</v>
      </c>
      <c r="AF1578" s="243">
        <f t="shared" si="31"/>
        <v>0.25032278873962732</v>
      </c>
      <c r="AG1578" s="275">
        <f t="shared" si="32"/>
        <v>0.41195605387549383</v>
      </c>
      <c r="AH1578" s="391">
        <f t="shared" si="33"/>
        <v>0.57558045247148015</v>
      </c>
      <c r="AI1578" s="135">
        <f t="shared" si="34"/>
        <v>0.98753650634697399</v>
      </c>
    </row>
    <row r="1579" spans="1:35" ht="12.6">
      <c r="A1579" s="10" t="s">
        <v>58</v>
      </c>
      <c r="B1579" s="10">
        <v>118</v>
      </c>
      <c r="C1579" s="10" t="s">
        <v>1513</v>
      </c>
      <c r="D1579" s="388">
        <v>45044</v>
      </c>
      <c r="E1579" s="389">
        <v>45044</v>
      </c>
      <c r="F1579" s="390" t="str">
        <f t="shared" si="30"/>
        <v>Water heating</v>
      </c>
      <c r="G1579" s="135">
        <v>1.5985766681694599E-2</v>
      </c>
      <c r="H1579" s="135">
        <v>1.5584995252666401E-2</v>
      </c>
      <c r="I1579" s="135">
        <v>1.47561930496646E-2</v>
      </c>
      <c r="J1579" s="135">
        <v>1.67877901987388E-2</v>
      </c>
      <c r="K1579" s="135">
        <v>2.6107316830164401E-2</v>
      </c>
      <c r="L1579" s="135">
        <v>3.8273673678792003E-2</v>
      </c>
      <c r="M1579" s="135">
        <v>7.6804227933906094E-2</v>
      </c>
      <c r="N1579" s="135">
        <v>0.100550927424452</v>
      </c>
      <c r="O1579" s="135">
        <v>6.6370782584770693E-2</v>
      </c>
      <c r="P1579" s="135">
        <v>4.8691919716093601E-2</v>
      </c>
      <c r="Q1579" s="135">
        <v>4.7577436770175202E-2</v>
      </c>
      <c r="R1579" s="135">
        <v>4.5509288904961802E-2</v>
      </c>
      <c r="S1579" s="135">
        <v>3.7848359998856301E-2</v>
      </c>
      <c r="T1579" s="135">
        <v>3.0573751717803899E-2</v>
      </c>
      <c r="U1579" s="135">
        <v>2.64469028873856E-2</v>
      </c>
      <c r="V1579" s="135">
        <v>2.88668913330575E-2</v>
      </c>
      <c r="W1579" s="135">
        <v>3.3500157127386999E-2</v>
      </c>
      <c r="X1579" s="135">
        <v>5.1836860794266797E-2</v>
      </c>
      <c r="Y1579" s="135">
        <v>6.1465466933818297E-2</v>
      </c>
      <c r="Z1579" s="135">
        <v>5.8620218734925698E-2</v>
      </c>
      <c r="AA1579" s="135">
        <v>5.0994315474025297E-2</v>
      </c>
      <c r="AB1579" s="135">
        <v>4.3963235133990801E-2</v>
      </c>
      <c r="AC1579" s="135">
        <v>2.9666393669918498E-2</v>
      </c>
      <c r="AD1579" s="135">
        <v>2.0753633515458201E-2</v>
      </c>
      <c r="AF1579" s="243">
        <f t="shared" si="31"/>
        <v>0.25032278873962732</v>
      </c>
      <c r="AG1579" s="275">
        <f t="shared" si="32"/>
        <v>0.41195605387549383</v>
      </c>
      <c r="AH1579" s="391">
        <f t="shared" si="33"/>
        <v>0.57558045247148015</v>
      </c>
      <c r="AI1579" s="135">
        <f t="shared" si="34"/>
        <v>0.98753650634697399</v>
      </c>
    </row>
    <row r="1580" spans="1:35" ht="12.6">
      <c r="A1580" s="10" t="s">
        <v>58</v>
      </c>
      <c r="B1580" s="10">
        <v>119</v>
      </c>
      <c r="C1580" s="10" t="s">
        <v>1513</v>
      </c>
      <c r="D1580" s="388">
        <v>45045</v>
      </c>
      <c r="E1580" s="389">
        <v>45045</v>
      </c>
      <c r="F1580" s="390" t="str">
        <f t="shared" si="30"/>
        <v>Water heating</v>
      </c>
      <c r="G1580" s="135">
        <v>1.6507097869250999E-2</v>
      </c>
      <c r="H1580" s="135">
        <v>1.51639990758798E-2</v>
      </c>
      <c r="I1580" s="135">
        <v>1.54097470439992E-2</v>
      </c>
      <c r="J1580" s="135">
        <v>1.79340006996399E-2</v>
      </c>
      <c r="K1580" s="135">
        <v>2.2962840556772699E-2</v>
      </c>
      <c r="L1580" s="135">
        <v>2.1695854680460001E-2</v>
      </c>
      <c r="M1580" s="135">
        <v>2.56979639815424E-2</v>
      </c>
      <c r="N1580" s="135">
        <v>4.37381622200319E-2</v>
      </c>
      <c r="O1580" s="135">
        <v>6.2889120667870099E-2</v>
      </c>
      <c r="P1580" s="135">
        <v>7.60742643102119E-2</v>
      </c>
      <c r="Q1580" s="135">
        <v>7.3771105808853002E-2</v>
      </c>
      <c r="R1580" s="135">
        <v>6.5959187832445795E-2</v>
      </c>
      <c r="S1580" s="135">
        <v>5.5848142342757999E-2</v>
      </c>
      <c r="T1580" s="135">
        <v>4.60459489591524E-2</v>
      </c>
      <c r="U1580" s="135">
        <v>3.7499058702830997E-2</v>
      </c>
      <c r="V1580" s="135">
        <v>4.0762971593910798E-2</v>
      </c>
      <c r="W1580" s="135">
        <v>4.9487552337156397E-2</v>
      </c>
      <c r="X1580" s="135">
        <v>5.8970393891231702E-2</v>
      </c>
      <c r="Y1580" s="135">
        <v>6.1261276075970497E-2</v>
      </c>
      <c r="Z1580" s="135">
        <v>5.2198667098737501E-2</v>
      </c>
      <c r="AA1580" s="135">
        <v>3.97621487252637E-2</v>
      </c>
      <c r="AB1580" s="135">
        <v>3.2916755621154301E-2</v>
      </c>
      <c r="AC1580" s="135">
        <v>2.7584900895499601E-2</v>
      </c>
      <c r="AD1580" s="135">
        <v>1.92885342915688E-2</v>
      </c>
      <c r="AF1580" s="243">
        <f t="shared" si="31"/>
        <v>0.36937396757710739</v>
      </c>
      <c r="AG1580" s="275">
        <f t="shared" si="32"/>
        <v>0.41188861303042223</v>
      </c>
      <c r="AH1580" s="391">
        <f t="shared" si="33"/>
        <v>0.56754108225177036</v>
      </c>
      <c r="AI1580" s="135">
        <f t="shared" si="34"/>
        <v>0.97942969528219259</v>
      </c>
    </row>
    <row r="1581" spans="1:35" ht="12.6">
      <c r="A1581" s="10" t="s">
        <v>58</v>
      </c>
      <c r="B1581" s="10">
        <v>120</v>
      </c>
      <c r="C1581" s="10" t="s">
        <v>1513</v>
      </c>
      <c r="D1581" s="388">
        <v>45046</v>
      </c>
      <c r="E1581" s="389">
        <v>45046</v>
      </c>
      <c r="F1581" s="390" t="str">
        <f t="shared" si="30"/>
        <v>Water heating</v>
      </c>
      <c r="G1581" s="135">
        <v>1.6507097869250999E-2</v>
      </c>
      <c r="H1581" s="135">
        <v>1.51639990758798E-2</v>
      </c>
      <c r="I1581" s="135">
        <v>1.54097470439992E-2</v>
      </c>
      <c r="J1581" s="135">
        <v>1.79340006996399E-2</v>
      </c>
      <c r="K1581" s="135">
        <v>2.2962840556772699E-2</v>
      </c>
      <c r="L1581" s="135">
        <v>2.1695854680460001E-2</v>
      </c>
      <c r="M1581" s="135">
        <v>2.56979639815424E-2</v>
      </c>
      <c r="N1581" s="135">
        <v>4.37381622200319E-2</v>
      </c>
      <c r="O1581" s="135">
        <v>6.2889120667870099E-2</v>
      </c>
      <c r="P1581" s="135">
        <v>7.60742643102119E-2</v>
      </c>
      <c r="Q1581" s="135">
        <v>7.3771105808853002E-2</v>
      </c>
      <c r="R1581" s="135">
        <v>6.5959187832445795E-2</v>
      </c>
      <c r="S1581" s="135">
        <v>5.5848142342757999E-2</v>
      </c>
      <c r="T1581" s="135">
        <v>4.60459489591524E-2</v>
      </c>
      <c r="U1581" s="135">
        <v>3.7499058702830997E-2</v>
      </c>
      <c r="V1581" s="135">
        <v>4.0762971593910798E-2</v>
      </c>
      <c r="W1581" s="135">
        <v>4.9487552337156397E-2</v>
      </c>
      <c r="X1581" s="135">
        <v>5.8970393891231702E-2</v>
      </c>
      <c r="Y1581" s="135">
        <v>6.1261276075970497E-2</v>
      </c>
      <c r="Z1581" s="135">
        <v>5.2198667098737501E-2</v>
      </c>
      <c r="AA1581" s="135">
        <v>3.97621487252637E-2</v>
      </c>
      <c r="AB1581" s="135">
        <v>3.2916755621154301E-2</v>
      </c>
      <c r="AC1581" s="135">
        <v>2.7584900895499601E-2</v>
      </c>
      <c r="AD1581" s="135">
        <v>1.92885342915688E-2</v>
      </c>
      <c r="AF1581" s="243">
        <f t="shared" si="31"/>
        <v>0.36937396757710739</v>
      </c>
      <c r="AG1581" s="275">
        <f t="shared" si="32"/>
        <v>0.41188861303042223</v>
      </c>
      <c r="AH1581" s="391">
        <f t="shared" si="33"/>
        <v>0.56754108225177036</v>
      </c>
      <c r="AI1581" s="135">
        <f t="shared" si="34"/>
        <v>0.97942969528219259</v>
      </c>
    </row>
    <row r="1582" spans="1:35" ht="12.6">
      <c r="A1582" s="10" t="s">
        <v>58</v>
      </c>
      <c r="B1582" s="10">
        <v>121</v>
      </c>
      <c r="C1582" s="10" t="s">
        <v>1513</v>
      </c>
      <c r="D1582" s="388">
        <v>45047</v>
      </c>
      <c r="E1582" s="389">
        <v>45047</v>
      </c>
      <c r="F1582" s="390" t="str">
        <f t="shared" si="30"/>
        <v>Water heating</v>
      </c>
      <c r="G1582" s="135">
        <v>1.5985766681694599E-2</v>
      </c>
      <c r="H1582" s="135">
        <v>1.5584995252666401E-2</v>
      </c>
      <c r="I1582" s="135">
        <v>1.47561930496646E-2</v>
      </c>
      <c r="J1582" s="135">
        <v>1.67877901987388E-2</v>
      </c>
      <c r="K1582" s="135">
        <v>2.6107316830164401E-2</v>
      </c>
      <c r="L1582" s="135">
        <v>3.8273673678792003E-2</v>
      </c>
      <c r="M1582" s="135">
        <v>7.6804227933906094E-2</v>
      </c>
      <c r="N1582" s="135">
        <v>0.100550927424452</v>
      </c>
      <c r="O1582" s="135">
        <v>6.6370782584770693E-2</v>
      </c>
      <c r="P1582" s="135">
        <v>4.8691919716093601E-2</v>
      </c>
      <c r="Q1582" s="135">
        <v>4.7577436770175202E-2</v>
      </c>
      <c r="R1582" s="135">
        <v>4.5509288904961802E-2</v>
      </c>
      <c r="S1582" s="135">
        <v>3.7848359998856301E-2</v>
      </c>
      <c r="T1582" s="135">
        <v>3.0573751717803899E-2</v>
      </c>
      <c r="U1582" s="135">
        <v>2.64469028873856E-2</v>
      </c>
      <c r="V1582" s="135">
        <v>2.88668913330575E-2</v>
      </c>
      <c r="W1582" s="135">
        <v>3.3500157127386999E-2</v>
      </c>
      <c r="X1582" s="135">
        <v>5.1836860794266797E-2</v>
      </c>
      <c r="Y1582" s="135">
        <v>6.1465466933818297E-2</v>
      </c>
      <c r="Z1582" s="135">
        <v>5.8620218734925698E-2</v>
      </c>
      <c r="AA1582" s="135">
        <v>5.0994315474025297E-2</v>
      </c>
      <c r="AB1582" s="135">
        <v>4.3963235133990801E-2</v>
      </c>
      <c r="AC1582" s="135">
        <v>2.9666393669918498E-2</v>
      </c>
      <c r="AD1582" s="135">
        <v>2.0753633515458201E-2</v>
      </c>
      <c r="AF1582" s="243">
        <f t="shared" si="31"/>
        <v>0.25032278873962732</v>
      </c>
      <c r="AG1582" s="275">
        <f t="shared" si="32"/>
        <v>0.41195605387549383</v>
      </c>
      <c r="AH1582" s="391">
        <f t="shared" si="33"/>
        <v>0.57558045247148015</v>
      </c>
      <c r="AI1582" s="135">
        <f t="shared" si="34"/>
        <v>0.98753650634697399</v>
      </c>
    </row>
    <row r="1583" spans="1:35" ht="12.6">
      <c r="A1583" s="10" t="s">
        <v>58</v>
      </c>
      <c r="B1583" s="10">
        <v>122</v>
      </c>
      <c r="C1583" s="10" t="s">
        <v>1513</v>
      </c>
      <c r="D1583" s="388">
        <v>45048</v>
      </c>
      <c r="E1583" s="389">
        <v>45048</v>
      </c>
      <c r="F1583" s="390" t="str">
        <f t="shared" si="30"/>
        <v>Water heating</v>
      </c>
      <c r="G1583" s="135">
        <v>1.5985766681694599E-2</v>
      </c>
      <c r="H1583" s="135">
        <v>1.5584995252666401E-2</v>
      </c>
      <c r="I1583" s="135">
        <v>1.47561930496646E-2</v>
      </c>
      <c r="J1583" s="135">
        <v>1.67877901987388E-2</v>
      </c>
      <c r="K1583" s="135">
        <v>2.6107316830164401E-2</v>
      </c>
      <c r="L1583" s="135">
        <v>3.8273673678792003E-2</v>
      </c>
      <c r="M1583" s="135">
        <v>7.6804227933906094E-2</v>
      </c>
      <c r="N1583" s="135">
        <v>0.100550927424452</v>
      </c>
      <c r="O1583" s="135">
        <v>6.6370782584770693E-2</v>
      </c>
      <c r="P1583" s="135">
        <v>4.8691919716093601E-2</v>
      </c>
      <c r="Q1583" s="135">
        <v>4.7577436770175202E-2</v>
      </c>
      <c r="R1583" s="135">
        <v>4.5509288904961802E-2</v>
      </c>
      <c r="S1583" s="135">
        <v>3.7848359998856301E-2</v>
      </c>
      <c r="T1583" s="135">
        <v>3.0573751717803899E-2</v>
      </c>
      <c r="U1583" s="135">
        <v>2.64469028873856E-2</v>
      </c>
      <c r="V1583" s="135">
        <v>2.88668913330575E-2</v>
      </c>
      <c r="W1583" s="135">
        <v>3.3500157127386999E-2</v>
      </c>
      <c r="X1583" s="135">
        <v>5.1836860794266797E-2</v>
      </c>
      <c r="Y1583" s="135">
        <v>6.1465466933818297E-2</v>
      </c>
      <c r="Z1583" s="135">
        <v>5.8620218734925698E-2</v>
      </c>
      <c r="AA1583" s="135">
        <v>5.0994315474025297E-2</v>
      </c>
      <c r="AB1583" s="135">
        <v>4.3963235133990801E-2</v>
      </c>
      <c r="AC1583" s="135">
        <v>2.9666393669918498E-2</v>
      </c>
      <c r="AD1583" s="135">
        <v>2.0753633515458201E-2</v>
      </c>
      <c r="AF1583" s="243">
        <f t="shared" si="31"/>
        <v>0.25032278873962732</v>
      </c>
      <c r="AG1583" s="275">
        <f t="shared" si="32"/>
        <v>0.41195605387549383</v>
      </c>
      <c r="AH1583" s="391">
        <f t="shared" si="33"/>
        <v>0.57558045247148015</v>
      </c>
      <c r="AI1583" s="135">
        <f t="shared" si="34"/>
        <v>0.98753650634697399</v>
      </c>
    </row>
    <row r="1584" spans="1:35" ht="12.6">
      <c r="A1584" s="10" t="s">
        <v>58</v>
      </c>
      <c r="B1584" s="10">
        <v>123</v>
      </c>
      <c r="C1584" s="10" t="s">
        <v>1513</v>
      </c>
      <c r="D1584" s="388">
        <v>45049</v>
      </c>
      <c r="E1584" s="389">
        <v>45049</v>
      </c>
      <c r="F1584" s="390" t="str">
        <f t="shared" si="30"/>
        <v>Water heating</v>
      </c>
      <c r="G1584" s="135">
        <v>1.5985766681694599E-2</v>
      </c>
      <c r="H1584" s="135">
        <v>1.5584995252666401E-2</v>
      </c>
      <c r="I1584" s="135">
        <v>1.47561930496646E-2</v>
      </c>
      <c r="J1584" s="135">
        <v>1.67877901987388E-2</v>
      </c>
      <c r="K1584" s="135">
        <v>2.6107316830164401E-2</v>
      </c>
      <c r="L1584" s="135">
        <v>3.8273673678792003E-2</v>
      </c>
      <c r="M1584" s="135">
        <v>7.6804227933906094E-2</v>
      </c>
      <c r="N1584" s="135">
        <v>0.100550927424452</v>
      </c>
      <c r="O1584" s="135">
        <v>6.6370782584770693E-2</v>
      </c>
      <c r="P1584" s="135">
        <v>4.8691919716093601E-2</v>
      </c>
      <c r="Q1584" s="135">
        <v>4.7577436770175202E-2</v>
      </c>
      <c r="R1584" s="135">
        <v>4.5509288904961802E-2</v>
      </c>
      <c r="S1584" s="135">
        <v>3.7848359998856301E-2</v>
      </c>
      <c r="T1584" s="135">
        <v>3.0573751717803899E-2</v>
      </c>
      <c r="U1584" s="135">
        <v>2.64469028873856E-2</v>
      </c>
      <c r="V1584" s="135">
        <v>2.88668913330575E-2</v>
      </c>
      <c r="W1584" s="135">
        <v>3.3500157127386999E-2</v>
      </c>
      <c r="X1584" s="135">
        <v>5.1836860794266797E-2</v>
      </c>
      <c r="Y1584" s="135">
        <v>6.1465466933818297E-2</v>
      </c>
      <c r="Z1584" s="135">
        <v>5.8620218734925698E-2</v>
      </c>
      <c r="AA1584" s="135">
        <v>5.0994315474025297E-2</v>
      </c>
      <c r="AB1584" s="135">
        <v>4.3963235133990801E-2</v>
      </c>
      <c r="AC1584" s="135">
        <v>2.9666393669918498E-2</v>
      </c>
      <c r="AD1584" s="135">
        <v>2.0753633515458201E-2</v>
      </c>
      <c r="AF1584" s="243">
        <f t="shared" si="31"/>
        <v>0.25032278873962732</v>
      </c>
      <c r="AG1584" s="275">
        <f t="shared" si="32"/>
        <v>0.41195605387549383</v>
      </c>
      <c r="AH1584" s="391">
        <f t="shared" si="33"/>
        <v>0.57558045247148015</v>
      </c>
      <c r="AI1584" s="135">
        <f t="shared" si="34"/>
        <v>0.98753650634697399</v>
      </c>
    </row>
    <row r="1585" spans="1:35" ht="12.6">
      <c r="A1585" s="10" t="s">
        <v>58</v>
      </c>
      <c r="B1585" s="10">
        <v>124</v>
      </c>
      <c r="C1585" s="10" t="s">
        <v>1513</v>
      </c>
      <c r="D1585" s="388">
        <v>45050</v>
      </c>
      <c r="E1585" s="389">
        <v>45050</v>
      </c>
      <c r="F1585" s="390" t="str">
        <f t="shared" si="30"/>
        <v>Water heating</v>
      </c>
      <c r="G1585" s="135">
        <v>1.5985766681694599E-2</v>
      </c>
      <c r="H1585" s="135">
        <v>1.5584995252666401E-2</v>
      </c>
      <c r="I1585" s="135">
        <v>1.47561930496646E-2</v>
      </c>
      <c r="J1585" s="135">
        <v>1.67877901987388E-2</v>
      </c>
      <c r="K1585" s="135">
        <v>2.6107316830164401E-2</v>
      </c>
      <c r="L1585" s="135">
        <v>3.8273673678792003E-2</v>
      </c>
      <c r="M1585" s="135">
        <v>7.6804227933906094E-2</v>
      </c>
      <c r="N1585" s="135">
        <v>0.100550927424452</v>
      </c>
      <c r="O1585" s="135">
        <v>6.6370782584770693E-2</v>
      </c>
      <c r="P1585" s="135">
        <v>4.8691919716093601E-2</v>
      </c>
      <c r="Q1585" s="135">
        <v>4.7577436770175202E-2</v>
      </c>
      <c r="R1585" s="135">
        <v>4.5509288904961802E-2</v>
      </c>
      <c r="S1585" s="135">
        <v>3.7848359998856301E-2</v>
      </c>
      <c r="T1585" s="135">
        <v>3.0573751717803899E-2</v>
      </c>
      <c r="U1585" s="135">
        <v>2.64469028873856E-2</v>
      </c>
      <c r="V1585" s="135">
        <v>2.88668913330575E-2</v>
      </c>
      <c r="W1585" s="135">
        <v>3.3500157127386999E-2</v>
      </c>
      <c r="X1585" s="135">
        <v>5.1836860794266797E-2</v>
      </c>
      <c r="Y1585" s="135">
        <v>6.1465466933818297E-2</v>
      </c>
      <c r="Z1585" s="135">
        <v>5.8620218734925698E-2</v>
      </c>
      <c r="AA1585" s="135">
        <v>5.0994315474025297E-2</v>
      </c>
      <c r="AB1585" s="135">
        <v>4.3963235133990801E-2</v>
      </c>
      <c r="AC1585" s="135">
        <v>2.9666393669918498E-2</v>
      </c>
      <c r="AD1585" s="135">
        <v>2.0753633515458201E-2</v>
      </c>
      <c r="AF1585" s="243">
        <f t="shared" si="31"/>
        <v>0.25032278873962732</v>
      </c>
      <c r="AG1585" s="275">
        <f t="shared" si="32"/>
        <v>0.41195605387549383</v>
      </c>
      <c r="AH1585" s="391">
        <f t="shared" si="33"/>
        <v>0.57558045247148015</v>
      </c>
      <c r="AI1585" s="135">
        <f t="shared" si="34"/>
        <v>0.98753650634697399</v>
      </c>
    </row>
    <row r="1586" spans="1:35" ht="12.6">
      <c r="A1586" s="10" t="s">
        <v>58</v>
      </c>
      <c r="B1586" s="10">
        <v>125</v>
      </c>
      <c r="C1586" s="10" t="s">
        <v>1513</v>
      </c>
      <c r="D1586" s="388">
        <v>45051</v>
      </c>
      <c r="E1586" s="389">
        <v>45051</v>
      </c>
      <c r="F1586" s="390" t="str">
        <f t="shared" si="30"/>
        <v>Water heating</v>
      </c>
      <c r="G1586" s="135">
        <v>1.5985766681694599E-2</v>
      </c>
      <c r="H1586" s="135">
        <v>1.5584995252666401E-2</v>
      </c>
      <c r="I1586" s="135">
        <v>1.47561930496646E-2</v>
      </c>
      <c r="J1586" s="135">
        <v>1.67877901987388E-2</v>
      </c>
      <c r="K1586" s="135">
        <v>2.6107316830164401E-2</v>
      </c>
      <c r="L1586" s="135">
        <v>3.8273673678792003E-2</v>
      </c>
      <c r="M1586" s="135">
        <v>7.6804227933906094E-2</v>
      </c>
      <c r="N1586" s="135">
        <v>0.100550927424452</v>
      </c>
      <c r="O1586" s="135">
        <v>6.6370782584770693E-2</v>
      </c>
      <c r="P1586" s="135">
        <v>4.8691919716093601E-2</v>
      </c>
      <c r="Q1586" s="135">
        <v>4.7577436770175202E-2</v>
      </c>
      <c r="R1586" s="135">
        <v>4.5509288904961802E-2</v>
      </c>
      <c r="S1586" s="135">
        <v>3.7848359998856301E-2</v>
      </c>
      <c r="T1586" s="135">
        <v>3.0573751717803899E-2</v>
      </c>
      <c r="U1586" s="135">
        <v>2.64469028873856E-2</v>
      </c>
      <c r="V1586" s="135">
        <v>2.88668913330575E-2</v>
      </c>
      <c r="W1586" s="135">
        <v>3.3500157127386999E-2</v>
      </c>
      <c r="X1586" s="135">
        <v>5.1836860794266797E-2</v>
      </c>
      <c r="Y1586" s="135">
        <v>6.1465466933818297E-2</v>
      </c>
      <c r="Z1586" s="135">
        <v>5.8620218734925698E-2</v>
      </c>
      <c r="AA1586" s="135">
        <v>5.0994315474025297E-2</v>
      </c>
      <c r="AB1586" s="135">
        <v>4.3963235133990801E-2</v>
      </c>
      <c r="AC1586" s="135">
        <v>2.9666393669918498E-2</v>
      </c>
      <c r="AD1586" s="135">
        <v>2.0753633515458201E-2</v>
      </c>
      <c r="AF1586" s="243">
        <f t="shared" si="31"/>
        <v>0.25032278873962732</v>
      </c>
      <c r="AG1586" s="275">
        <f t="shared" si="32"/>
        <v>0.41195605387549383</v>
      </c>
      <c r="AH1586" s="391">
        <f t="shared" si="33"/>
        <v>0.57558045247148015</v>
      </c>
      <c r="AI1586" s="135">
        <f t="shared" si="34"/>
        <v>0.98753650634697399</v>
      </c>
    </row>
    <row r="1587" spans="1:35" ht="12.6">
      <c r="A1587" s="10" t="s">
        <v>58</v>
      </c>
      <c r="B1587" s="10">
        <v>126</v>
      </c>
      <c r="C1587" s="10" t="s">
        <v>1513</v>
      </c>
      <c r="D1587" s="388">
        <v>45052</v>
      </c>
      <c r="E1587" s="389">
        <v>45052</v>
      </c>
      <c r="F1587" s="390" t="str">
        <f t="shared" si="30"/>
        <v>Water heating</v>
      </c>
      <c r="G1587" s="135">
        <v>1.6507097869250999E-2</v>
      </c>
      <c r="H1587" s="135">
        <v>1.51639990758798E-2</v>
      </c>
      <c r="I1587" s="135">
        <v>1.54097470439992E-2</v>
      </c>
      <c r="J1587" s="135">
        <v>1.79340006996399E-2</v>
      </c>
      <c r="K1587" s="135">
        <v>2.2962840556772699E-2</v>
      </c>
      <c r="L1587" s="135">
        <v>2.1695854680460001E-2</v>
      </c>
      <c r="M1587" s="135">
        <v>2.56979639815424E-2</v>
      </c>
      <c r="N1587" s="135">
        <v>4.37381622200319E-2</v>
      </c>
      <c r="O1587" s="135">
        <v>6.2889120667870099E-2</v>
      </c>
      <c r="P1587" s="135">
        <v>7.60742643102119E-2</v>
      </c>
      <c r="Q1587" s="135">
        <v>7.3771105808853002E-2</v>
      </c>
      <c r="R1587" s="135">
        <v>6.5959187832445795E-2</v>
      </c>
      <c r="S1587" s="135">
        <v>5.5848142342757999E-2</v>
      </c>
      <c r="T1587" s="135">
        <v>4.60459489591524E-2</v>
      </c>
      <c r="U1587" s="135">
        <v>3.7499058702830997E-2</v>
      </c>
      <c r="V1587" s="135">
        <v>4.0762971593910798E-2</v>
      </c>
      <c r="W1587" s="135">
        <v>4.9487552337156397E-2</v>
      </c>
      <c r="X1587" s="135">
        <v>5.8970393891231702E-2</v>
      </c>
      <c r="Y1587" s="135">
        <v>6.1261276075970497E-2</v>
      </c>
      <c r="Z1587" s="135">
        <v>5.2198667098737501E-2</v>
      </c>
      <c r="AA1587" s="135">
        <v>3.97621487252637E-2</v>
      </c>
      <c r="AB1587" s="135">
        <v>3.2916755621154301E-2</v>
      </c>
      <c r="AC1587" s="135">
        <v>2.7584900895499601E-2</v>
      </c>
      <c r="AD1587" s="135">
        <v>1.92885342915688E-2</v>
      </c>
      <c r="AF1587" s="243">
        <f t="shared" si="31"/>
        <v>0.36937396757710739</v>
      </c>
      <c r="AG1587" s="275">
        <f t="shared" si="32"/>
        <v>0.41188861303042223</v>
      </c>
      <c r="AH1587" s="391">
        <f t="shared" si="33"/>
        <v>0.56754108225177036</v>
      </c>
      <c r="AI1587" s="135">
        <f t="shared" si="34"/>
        <v>0.97942969528219259</v>
      </c>
    </row>
    <row r="1588" spans="1:35" ht="12.6">
      <c r="A1588" s="10" t="s">
        <v>58</v>
      </c>
      <c r="B1588" s="10">
        <v>127</v>
      </c>
      <c r="C1588" s="10" t="s">
        <v>1513</v>
      </c>
      <c r="D1588" s="388">
        <v>45053</v>
      </c>
      <c r="E1588" s="389">
        <v>45053</v>
      </c>
      <c r="F1588" s="390" t="str">
        <f t="shared" si="30"/>
        <v>Water heating</v>
      </c>
      <c r="G1588" s="135">
        <v>1.6507097869250999E-2</v>
      </c>
      <c r="H1588" s="135">
        <v>1.51639990758798E-2</v>
      </c>
      <c r="I1588" s="135">
        <v>1.54097470439992E-2</v>
      </c>
      <c r="J1588" s="135">
        <v>1.79340006996399E-2</v>
      </c>
      <c r="K1588" s="135">
        <v>2.2962840556772699E-2</v>
      </c>
      <c r="L1588" s="135">
        <v>2.1695854680460001E-2</v>
      </c>
      <c r="M1588" s="135">
        <v>2.56979639815424E-2</v>
      </c>
      <c r="N1588" s="135">
        <v>4.37381622200319E-2</v>
      </c>
      <c r="O1588" s="135">
        <v>6.2889120667870099E-2</v>
      </c>
      <c r="P1588" s="135">
        <v>7.60742643102119E-2</v>
      </c>
      <c r="Q1588" s="135">
        <v>7.3771105808853002E-2</v>
      </c>
      <c r="R1588" s="135">
        <v>6.5959187832445795E-2</v>
      </c>
      <c r="S1588" s="135">
        <v>5.5848142342757999E-2</v>
      </c>
      <c r="T1588" s="135">
        <v>4.60459489591524E-2</v>
      </c>
      <c r="U1588" s="135">
        <v>3.7499058702830997E-2</v>
      </c>
      <c r="V1588" s="135">
        <v>4.0762971593910798E-2</v>
      </c>
      <c r="W1588" s="135">
        <v>4.9487552337156397E-2</v>
      </c>
      <c r="X1588" s="135">
        <v>5.8970393891231702E-2</v>
      </c>
      <c r="Y1588" s="135">
        <v>6.1261276075970497E-2</v>
      </c>
      <c r="Z1588" s="135">
        <v>5.2198667098737501E-2</v>
      </c>
      <c r="AA1588" s="135">
        <v>3.97621487252637E-2</v>
      </c>
      <c r="AB1588" s="135">
        <v>3.2916755621154301E-2</v>
      </c>
      <c r="AC1588" s="135">
        <v>2.7584900895499601E-2</v>
      </c>
      <c r="AD1588" s="135">
        <v>1.92885342915688E-2</v>
      </c>
      <c r="AF1588" s="243">
        <f t="shared" si="31"/>
        <v>0.36937396757710739</v>
      </c>
      <c r="AG1588" s="275">
        <f t="shared" si="32"/>
        <v>0.41188861303042223</v>
      </c>
      <c r="AH1588" s="391">
        <f t="shared" si="33"/>
        <v>0.56754108225177036</v>
      </c>
      <c r="AI1588" s="135">
        <f t="shared" si="34"/>
        <v>0.97942969528219259</v>
      </c>
    </row>
    <row r="1589" spans="1:35" ht="12.6">
      <c r="A1589" s="10" t="s">
        <v>58</v>
      </c>
      <c r="B1589" s="10">
        <v>128</v>
      </c>
      <c r="C1589" s="10" t="s">
        <v>1513</v>
      </c>
      <c r="D1589" s="388">
        <v>45054</v>
      </c>
      <c r="E1589" s="389">
        <v>45054</v>
      </c>
      <c r="F1589" s="390" t="str">
        <f t="shared" si="30"/>
        <v>Water heating</v>
      </c>
      <c r="G1589" s="135">
        <v>1.5985766681694599E-2</v>
      </c>
      <c r="H1589" s="135">
        <v>1.5584995252666401E-2</v>
      </c>
      <c r="I1589" s="135">
        <v>1.47561930496646E-2</v>
      </c>
      <c r="J1589" s="135">
        <v>1.67877901987388E-2</v>
      </c>
      <c r="K1589" s="135">
        <v>2.6107316830164401E-2</v>
      </c>
      <c r="L1589" s="135">
        <v>3.8273673678792003E-2</v>
      </c>
      <c r="M1589" s="135">
        <v>7.6804227933906094E-2</v>
      </c>
      <c r="N1589" s="135">
        <v>0.100550927424452</v>
      </c>
      <c r="O1589" s="135">
        <v>6.6370782584770693E-2</v>
      </c>
      <c r="P1589" s="135">
        <v>4.8691919716093601E-2</v>
      </c>
      <c r="Q1589" s="135">
        <v>4.7577436770175202E-2</v>
      </c>
      <c r="R1589" s="135">
        <v>4.5509288904961802E-2</v>
      </c>
      <c r="S1589" s="135">
        <v>3.7848359998856301E-2</v>
      </c>
      <c r="T1589" s="135">
        <v>3.0573751717803899E-2</v>
      </c>
      <c r="U1589" s="135">
        <v>2.64469028873856E-2</v>
      </c>
      <c r="V1589" s="135">
        <v>2.88668913330575E-2</v>
      </c>
      <c r="W1589" s="135">
        <v>3.3500157127386999E-2</v>
      </c>
      <c r="X1589" s="135">
        <v>5.1836860794266797E-2</v>
      </c>
      <c r="Y1589" s="135">
        <v>6.1465466933818297E-2</v>
      </c>
      <c r="Z1589" s="135">
        <v>5.8620218734925698E-2</v>
      </c>
      <c r="AA1589" s="135">
        <v>5.0994315474025297E-2</v>
      </c>
      <c r="AB1589" s="135">
        <v>4.3963235133990801E-2</v>
      </c>
      <c r="AC1589" s="135">
        <v>2.9666393669918498E-2</v>
      </c>
      <c r="AD1589" s="135">
        <v>2.0753633515458201E-2</v>
      </c>
      <c r="AF1589" s="243">
        <f t="shared" si="31"/>
        <v>0.25032278873962732</v>
      </c>
      <c r="AG1589" s="275">
        <f t="shared" si="32"/>
        <v>0.41195605387549383</v>
      </c>
      <c r="AH1589" s="391">
        <f t="shared" si="33"/>
        <v>0.57558045247148015</v>
      </c>
      <c r="AI1589" s="135">
        <f t="shared" si="34"/>
        <v>0.98753650634697399</v>
      </c>
    </row>
    <row r="1590" spans="1:35" ht="12.6">
      <c r="A1590" s="10" t="s">
        <v>58</v>
      </c>
      <c r="B1590" s="10">
        <v>129</v>
      </c>
      <c r="C1590" s="10" t="s">
        <v>1513</v>
      </c>
      <c r="D1590" s="388">
        <v>45055</v>
      </c>
      <c r="E1590" s="389">
        <v>45055</v>
      </c>
      <c r="F1590" s="390" t="str">
        <f t="shared" si="30"/>
        <v>Water heating</v>
      </c>
      <c r="G1590" s="135">
        <v>1.5985766681694599E-2</v>
      </c>
      <c r="H1590" s="135">
        <v>1.5584995252666401E-2</v>
      </c>
      <c r="I1590" s="135">
        <v>1.47561930496646E-2</v>
      </c>
      <c r="J1590" s="135">
        <v>1.67877901987388E-2</v>
      </c>
      <c r="K1590" s="135">
        <v>2.6107316830164401E-2</v>
      </c>
      <c r="L1590" s="135">
        <v>3.8273673678792003E-2</v>
      </c>
      <c r="M1590" s="135">
        <v>7.6804227933906094E-2</v>
      </c>
      <c r="N1590" s="135">
        <v>0.100550927424452</v>
      </c>
      <c r="O1590" s="135">
        <v>6.6370782584770693E-2</v>
      </c>
      <c r="P1590" s="135">
        <v>4.8691919716093601E-2</v>
      </c>
      <c r="Q1590" s="135">
        <v>4.7577436770175202E-2</v>
      </c>
      <c r="R1590" s="135">
        <v>4.5509288904961802E-2</v>
      </c>
      <c r="S1590" s="135">
        <v>3.7848359998856301E-2</v>
      </c>
      <c r="T1590" s="135">
        <v>3.0573751717803899E-2</v>
      </c>
      <c r="U1590" s="135">
        <v>2.64469028873856E-2</v>
      </c>
      <c r="V1590" s="135">
        <v>2.88668913330575E-2</v>
      </c>
      <c r="W1590" s="135">
        <v>3.3500157127386999E-2</v>
      </c>
      <c r="X1590" s="135">
        <v>5.1836860794266797E-2</v>
      </c>
      <c r="Y1590" s="135">
        <v>6.1465466933818297E-2</v>
      </c>
      <c r="Z1590" s="135">
        <v>5.8620218734925698E-2</v>
      </c>
      <c r="AA1590" s="135">
        <v>5.0994315474025297E-2</v>
      </c>
      <c r="AB1590" s="135">
        <v>4.3963235133990801E-2</v>
      </c>
      <c r="AC1590" s="135">
        <v>2.9666393669918498E-2</v>
      </c>
      <c r="AD1590" s="135">
        <v>2.0753633515458201E-2</v>
      </c>
      <c r="AF1590" s="243">
        <f t="shared" si="31"/>
        <v>0.25032278873962732</v>
      </c>
      <c r="AG1590" s="275">
        <f t="shared" si="32"/>
        <v>0.41195605387549383</v>
      </c>
      <c r="AH1590" s="391">
        <f t="shared" si="33"/>
        <v>0.57558045247148015</v>
      </c>
      <c r="AI1590" s="135">
        <f t="shared" si="34"/>
        <v>0.98753650634697399</v>
      </c>
    </row>
    <row r="1591" spans="1:35" ht="12.6">
      <c r="A1591" s="10" t="s">
        <v>58</v>
      </c>
      <c r="B1591" s="10">
        <v>130</v>
      </c>
      <c r="C1591" s="10" t="s">
        <v>1513</v>
      </c>
      <c r="D1591" s="388">
        <v>45056</v>
      </c>
      <c r="E1591" s="389">
        <v>45056</v>
      </c>
      <c r="F1591" s="390" t="str">
        <f t="shared" si="30"/>
        <v>Water heating</v>
      </c>
      <c r="G1591" s="135">
        <v>1.5985766681694599E-2</v>
      </c>
      <c r="H1591" s="135">
        <v>1.5584995252666401E-2</v>
      </c>
      <c r="I1591" s="135">
        <v>1.47561930496646E-2</v>
      </c>
      <c r="J1591" s="135">
        <v>1.67877901987388E-2</v>
      </c>
      <c r="K1591" s="135">
        <v>2.6107316830164401E-2</v>
      </c>
      <c r="L1591" s="135">
        <v>3.8273673678792003E-2</v>
      </c>
      <c r="M1591" s="135">
        <v>7.6804227933906094E-2</v>
      </c>
      <c r="N1591" s="135">
        <v>0.100550927424452</v>
      </c>
      <c r="O1591" s="135">
        <v>6.6370782584770693E-2</v>
      </c>
      <c r="P1591" s="135">
        <v>4.8691919716093601E-2</v>
      </c>
      <c r="Q1591" s="135">
        <v>4.7577436770175202E-2</v>
      </c>
      <c r="R1591" s="135">
        <v>4.5509288904961802E-2</v>
      </c>
      <c r="S1591" s="135">
        <v>3.7848359998856301E-2</v>
      </c>
      <c r="T1591" s="135">
        <v>3.0573751717803899E-2</v>
      </c>
      <c r="U1591" s="135">
        <v>2.64469028873856E-2</v>
      </c>
      <c r="V1591" s="135">
        <v>2.88668913330575E-2</v>
      </c>
      <c r="W1591" s="135">
        <v>3.3500157127386999E-2</v>
      </c>
      <c r="X1591" s="135">
        <v>5.1836860794266797E-2</v>
      </c>
      <c r="Y1591" s="135">
        <v>6.1465466933818297E-2</v>
      </c>
      <c r="Z1591" s="135">
        <v>5.8620218734925698E-2</v>
      </c>
      <c r="AA1591" s="135">
        <v>5.0994315474025297E-2</v>
      </c>
      <c r="AB1591" s="135">
        <v>4.3963235133990801E-2</v>
      </c>
      <c r="AC1591" s="135">
        <v>2.9666393669918498E-2</v>
      </c>
      <c r="AD1591" s="135">
        <v>2.0753633515458201E-2</v>
      </c>
      <c r="AF1591" s="243">
        <f t="shared" si="31"/>
        <v>0.25032278873962732</v>
      </c>
      <c r="AG1591" s="275">
        <f t="shared" si="32"/>
        <v>0.41195605387549383</v>
      </c>
      <c r="AH1591" s="391">
        <f t="shared" si="33"/>
        <v>0.57558045247148015</v>
      </c>
      <c r="AI1591" s="135">
        <f t="shared" si="34"/>
        <v>0.98753650634697399</v>
      </c>
    </row>
    <row r="1592" spans="1:35" ht="12.6">
      <c r="A1592" s="10" t="s">
        <v>58</v>
      </c>
      <c r="B1592" s="10">
        <v>131</v>
      </c>
      <c r="C1592" s="10" t="s">
        <v>1513</v>
      </c>
      <c r="D1592" s="388">
        <v>45057</v>
      </c>
      <c r="E1592" s="389">
        <v>45057</v>
      </c>
      <c r="F1592" s="390" t="str">
        <f t="shared" si="30"/>
        <v>Water heating</v>
      </c>
      <c r="G1592" s="135">
        <v>1.5985766681694599E-2</v>
      </c>
      <c r="H1592" s="135">
        <v>1.5584995252666401E-2</v>
      </c>
      <c r="I1592" s="135">
        <v>1.47561930496646E-2</v>
      </c>
      <c r="J1592" s="135">
        <v>1.67877901987388E-2</v>
      </c>
      <c r="K1592" s="135">
        <v>2.6107316830164401E-2</v>
      </c>
      <c r="L1592" s="135">
        <v>3.8273673678792003E-2</v>
      </c>
      <c r="M1592" s="135">
        <v>7.6804227933906094E-2</v>
      </c>
      <c r="N1592" s="135">
        <v>0.100550927424452</v>
      </c>
      <c r="O1592" s="135">
        <v>6.6370782584770693E-2</v>
      </c>
      <c r="P1592" s="135">
        <v>4.8691919716093601E-2</v>
      </c>
      <c r="Q1592" s="135">
        <v>4.7577436770175202E-2</v>
      </c>
      <c r="R1592" s="135">
        <v>4.5509288904961802E-2</v>
      </c>
      <c r="S1592" s="135">
        <v>3.7848359998856301E-2</v>
      </c>
      <c r="T1592" s="135">
        <v>3.0573751717803899E-2</v>
      </c>
      <c r="U1592" s="135">
        <v>2.64469028873856E-2</v>
      </c>
      <c r="V1592" s="135">
        <v>2.88668913330575E-2</v>
      </c>
      <c r="W1592" s="135">
        <v>3.3500157127386999E-2</v>
      </c>
      <c r="X1592" s="135">
        <v>5.1836860794266797E-2</v>
      </c>
      <c r="Y1592" s="135">
        <v>6.1465466933818297E-2</v>
      </c>
      <c r="Z1592" s="135">
        <v>5.8620218734925698E-2</v>
      </c>
      <c r="AA1592" s="135">
        <v>5.0994315474025297E-2</v>
      </c>
      <c r="AB1592" s="135">
        <v>4.3963235133990801E-2</v>
      </c>
      <c r="AC1592" s="135">
        <v>2.9666393669918498E-2</v>
      </c>
      <c r="AD1592" s="135">
        <v>2.0753633515458201E-2</v>
      </c>
      <c r="AF1592" s="243">
        <f t="shared" si="31"/>
        <v>0.25032278873962732</v>
      </c>
      <c r="AG1592" s="275">
        <f t="shared" si="32"/>
        <v>0.41195605387549383</v>
      </c>
      <c r="AH1592" s="391">
        <f t="shared" si="33"/>
        <v>0.57558045247148015</v>
      </c>
      <c r="AI1592" s="135">
        <f t="shared" si="34"/>
        <v>0.98753650634697399</v>
      </c>
    </row>
    <row r="1593" spans="1:35" ht="12.6">
      <c r="A1593" s="10" t="s">
        <v>58</v>
      </c>
      <c r="B1593" s="10">
        <v>132</v>
      </c>
      <c r="C1593" s="10" t="s">
        <v>1513</v>
      </c>
      <c r="D1593" s="388">
        <v>45058</v>
      </c>
      <c r="E1593" s="389">
        <v>45058</v>
      </c>
      <c r="F1593" s="390" t="str">
        <f t="shared" si="30"/>
        <v>Water heating</v>
      </c>
      <c r="G1593" s="135">
        <v>1.5985766681694599E-2</v>
      </c>
      <c r="H1593" s="135">
        <v>1.5584995252666401E-2</v>
      </c>
      <c r="I1593" s="135">
        <v>1.47561930496646E-2</v>
      </c>
      <c r="J1593" s="135">
        <v>1.67877901987388E-2</v>
      </c>
      <c r="K1593" s="135">
        <v>2.6107316830164401E-2</v>
      </c>
      <c r="L1593" s="135">
        <v>3.8273673678792003E-2</v>
      </c>
      <c r="M1593" s="135">
        <v>7.6804227933906094E-2</v>
      </c>
      <c r="N1593" s="135">
        <v>0.100550927424452</v>
      </c>
      <c r="O1593" s="135">
        <v>6.6370782584770693E-2</v>
      </c>
      <c r="P1593" s="135">
        <v>4.8691919716093601E-2</v>
      </c>
      <c r="Q1593" s="135">
        <v>4.7577436770175202E-2</v>
      </c>
      <c r="R1593" s="135">
        <v>4.5509288904961802E-2</v>
      </c>
      <c r="S1593" s="135">
        <v>3.7848359998856301E-2</v>
      </c>
      <c r="T1593" s="135">
        <v>3.0573751717803899E-2</v>
      </c>
      <c r="U1593" s="135">
        <v>2.64469028873856E-2</v>
      </c>
      <c r="V1593" s="135">
        <v>2.88668913330575E-2</v>
      </c>
      <c r="W1593" s="135">
        <v>3.3500157127386999E-2</v>
      </c>
      <c r="X1593" s="135">
        <v>5.1836860794266797E-2</v>
      </c>
      <c r="Y1593" s="135">
        <v>6.1465466933818297E-2</v>
      </c>
      <c r="Z1593" s="135">
        <v>5.8620218734925698E-2</v>
      </c>
      <c r="AA1593" s="135">
        <v>5.0994315474025297E-2</v>
      </c>
      <c r="AB1593" s="135">
        <v>4.3963235133990801E-2</v>
      </c>
      <c r="AC1593" s="135">
        <v>2.9666393669918498E-2</v>
      </c>
      <c r="AD1593" s="135">
        <v>2.0753633515458201E-2</v>
      </c>
      <c r="AF1593" s="243">
        <f t="shared" si="31"/>
        <v>0.25032278873962732</v>
      </c>
      <c r="AG1593" s="275">
        <f t="shared" si="32"/>
        <v>0.41195605387549383</v>
      </c>
      <c r="AH1593" s="391">
        <f t="shared" si="33"/>
        <v>0.57558045247148015</v>
      </c>
      <c r="AI1593" s="135">
        <f t="shared" si="34"/>
        <v>0.98753650634697399</v>
      </c>
    </row>
    <row r="1594" spans="1:35" ht="12.6">
      <c r="A1594" s="10" t="s">
        <v>58</v>
      </c>
      <c r="B1594" s="10">
        <v>133</v>
      </c>
      <c r="C1594" s="10" t="s">
        <v>1513</v>
      </c>
      <c r="D1594" s="388">
        <v>45059</v>
      </c>
      <c r="E1594" s="389">
        <v>45059</v>
      </c>
      <c r="F1594" s="390" t="str">
        <f t="shared" si="30"/>
        <v>Water heating</v>
      </c>
      <c r="G1594" s="135">
        <v>1.6507097869250999E-2</v>
      </c>
      <c r="H1594" s="135">
        <v>1.51639990758798E-2</v>
      </c>
      <c r="I1594" s="135">
        <v>1.54097470439992E-2</v>
      </c>
      <c r="J1594" s="135">
        <v>1.79340006996399E-2</v>
      </c>
      <c r="K1594" s="135">
        <v>2.2962840556772699E-2</v>
      </c>
      <c r="L1594" s="135">
        <v>2.1695854680460001E-2</v>
      </c>
      <c r="M1594" s="135">
        <v>2.56979639815424E-2</v>
      </c>
      <c r="N1594" s="135">
        <v>4.37381622200319E-2</v>
      </c>
      <c r="O1594" s="135">
        <v>6.2889120667870099E-2</v>
      </c>
      <c r="P1594" s="135">
        <v>7.60742643102119E-2</v>
      </c>
      <c r="Q1594" s="135">
        <v>7.3771105808853002E-2</v>
      </c>
      <c r="R1594" s="135">
        <v>6.5959187832445795E-2</v>
      </c>
      <c r="S1594" s="135">
        <v>5.5848142342757999E-2</v>
      </c>
      <c r="T1594" s="135">
        <v>4.60459489591524E-2</v>
      </c>
      <c r="U1594" s="135">
        <v>3.7499058702830997E-2</v>
      </c>
      <c r="V1594" s="135">
        <v>4.0762971593910798E-2</v>
      </c>
      <c r="W1594" s="135">
        <v>4.9487552337156397E-2</v>
      </c>
      <c r="X1594" s="135">
        <v>5.8970393891231702E-2</v>
      </c>
      <c r="Y1594" s="135">
        <v>6.1261276075970497E-2</v>
      </c>
      <c r="Z1594" s="135">
        <v>5.2198667098737501E-2</v>
      </c>
      <c r="AA1594" s="135">
        <v>3.97621487252637E-2</v>
      </c>
      <c r="AB1594" s="135">
        <v>3.2916755621154301E-2</v>
      </c>
      <c r="AC1594" s="135">
        <v>2.7584900895499601E-2</v>
      </c>
      <c r="AD1594" s="135">
        <v>1.92885342915688E-2</v>
      </c>
      <c r="AF1594" s="243">
        <f t="shared" si="31"/>
        <v>0.36937396757710739</v>
      </c>
      <c r="AG1594" s="275">
        <f t="shared" si="32"/>
        <v>0.41188861303042223</v>
      </c>
      <c r="AH1594" s="391">
        <f t="shared" si="33"/>
        <v>0.56754108225177036</v>
      </c>
      <c r="AI1594" s="135">
        <f t="shared" si="34"/>
        <v>0.97942969528219259</v>
      </c>
    </row>
    <row r="1595" spans="1:35" ht="12.6">
      <c r="A1595" s="10" t="s">
        <v>58</v>
      </c>
      <c r="B1595" s="10">
        <v>134</v>
      </c>
      <c r="C1595" s="10" t="s">
        <v>1513</v>
      </c>
      <c r="D1595" s="388">
        <v>45060</v>
      </c>
      <c r="E1595" s="389">
        <v>45060</v>
      </c>
      <c r="F1595" s="390" t="str">
        <f t="shared" si="30"/>
        <v>Water heating</v>
      </c>
      <c r="G1595" s="135">
        <v>1.6507097869250999E-2</v>
      </c>
      <c r="H1595" s="135">
        <v>1.51639990758798E-2</v>
      </c>
      <c r="I1595" s="135">
        <v>1.54097470439992E-2</v>
      </c>
      <c r="J1595" s="135">
        <v>1.79340006996399E-2</v>
      </c>
      <c r="K1595" s="135">
        <v>2.2962840556772699E-2</v>
      </c>
      <c r="L1595" s="135">
        <v>2.1695854680460001E-2</v>
      </c>
      <c r="M1595" s="135">
        <v>2.56979639815424E-2</v>
      </c>
      <c r="N1595" s="135">
        <v>4.37381622200319E-2</v>
      </c>
      <c r="O1595" s="135">
        <v>6.2889120667870099E-2</v>
      </c>
      <c r="P1595" s="135">
        <v>7.60742643102119E-2</v>
      </c>
      <c r="Q1595" s="135">
        <v>7.3771105808853002E-2</v>
      </c>
      <c r="R1595" s="135">
        <v>6.5959187832445795E-2</v>
      </c>
      <c r="S1595" s="135">
        <v>5.5848142342757999E-2</v>
      </c>
      <c r="T1595" s="135">
        <v>4.60459489591524E-2</v>
      </c>
      <c r="U1595" s="135">
        <v>3.7499058702830997E-2</v>
      </c>
      <c r="V1595" s="135">
        <v>4.0762971593910798E-2</v>
      </c>
      <c r="W1595" s="135">
        <v>4.9487552337156397E-2</v>
      </c>
      <c r="X1595" s="135">
        <v>5.8970393891231702E-2</v>
      </c>
      <c r="Y1595" s="135">
        <v>6.1261276075970497E-2</v>
      </c>
      <c r="Z1595" s="135">
        <v>5.2198667098737501E-2</v>
      </c>
      <c r="AA1595" s="135">
        <v>3.97621487252637E-2</v>
      </c>
      <c r="AB1595" s="135">
        <v>3.2916755621154301E-2</v>
      </c>
      <c r="AC1595" s="135">
        <v>2.7584900895499601E-2</v>
      </c>
      <c r="AD1595" s="135">
        <v>1.92885342915688E-2</v>
      </c>
      <c r="AF1595" s="243">
        <f t="shared" si="31"/>
        <v>0.36937396757710739</v>
      </c>
      <c r="AG1595" s="275">
        <f t="shared" si="32"/>
        <v>0.41188861303042223</v>
      </c>
      <c r="AH1595" s="391">
        <f t="shared" si="33"/>
        <v>0.56754108225177036</v>
      </c>
      <c r="AI1595" s="135">
        <f t="shared" si="34"/>
        <v>0.97942969528219259</v>
      </c>
    </row>
    <row r="1596" spans="1:35" ht="12.6">
      <c r="A1596" s="10" t="s">
        <v>58</v>
      </c>
      <c r="B1596" s="10">
        <v>135</v>
      </c>
      <c r="C1596" s="10" t="s">
        <v>1513</v>
      </c>
      <c r="D1596" s="388">
        <v>45061</v>
      </c>
      <c r="E1596" s="389">
        <v>45061</v>
      </c>
      <c r="F1596" s="390" t="str">
        <f t="shared" si="30"/>
        <v>Water heating</v>
      </c>
      <c r="G1596" s="135">
        <v>1.5985766681694599E-2</v>
      </c>
      <c r="H1596" s="135">
        <v>1.5584995252666401E-2</v>
      </c>
      <c r="I1596" s="135">
        <v>1.47561930496646E-2</v>
      </c>
      <c r="J1596" s="135">
        <v>1.67877901987388E-2</v>
      </c>
      <c r="K1596" s="135">
        <v>2.6107316830164401E-2</v>
      </c>
      <c r="L1596" s="135">
        <v>3.8273673678792003E-2</v>
      </c>
      <c r="M1596" s="135">
        <v>7.6804227933906094E-2</v>
      </c>
      <c r="N1596" s="135">
        <v>0.100550927424452</v>
      </c>
      <c r="O1596" s="135">
        <v>6.6370782584770693E-2</v>
      </c>
      <c r="P1596" s="135">
        <v>4.8691919716093601E-2</v>
      </c>
      <c r="Q1596" s="135">
        <v>4.7577436770175202E-2</v>
      </c>
      <c r="R1596" s="135">
        <v>4.5509288904961802E-2</v>
      </c>
      <c r="S1596" s="135">
        <v>3.7848359998856301E-2</v>
      </c>
      <c r="T1596" s="135">
        <v>3.0573751717803899E-2</v>
      </c>
      <c r="U1596" s="135">
        <v>2.64469028873856E-2</v>
      </c>
      <c r="V1596" s="135">
        <v>2.88668913330575E-2</v>
      </c>
      <c r="W1596" s="135">
        <v>3.3500157127386999E-2</v>
      </c>
      <c r="X1596" s="135">
        <v>5.1836860794266797E-2</v>
      </c>
      <c r="Y1596" s="135">
        <v>6.1465466933818297E-2</v>
      </c>
      <c r="Z1596" s="135">
        <v>5.8620218734925698E-2</v>
      </c>
      <c r="AA1596" s="135">
        <v>5.0994315474025297E-2</v>
      </c>
      <c r="AB1596" s="135">
        <v>4.3963235133990801E-2</v>
      </c>
      <c r="AC1596" s="135">
        <v>2.9666393669918498E-2</v>
      </c>
      <c r="AD1596" s="135">
        <v>2.0753633515458201E-2</v>
      </c>
      <c r="AF1596" s="243">
        <f t="shared" si="31"/>
        <v>0.25032278873962732</v>
      </c>
      <c r="AG1596" s="275">
        <f t="shared" si="32"/>
        <v>0.41195605387549383</v>
      </c>
      <c r="AH1596" s="391">
        <f t="shared" si="33"/>
        <v>0.57558045247148015</v>
      </c>
      <c r="AI1596" s="135">
        <f t="shared" si="34"/>
        <v>0.98753650634697399</v>
      </c>
    </row>
    <row r="1597" spans="1:35" ht="12.6">
      <c r="A1597" s="10" t="s">
        <v>58</v>
      </c>
      <c r="B1597" s="10">
        <v>136</v>
      </c>
      <c r="C1597" s="10" t="s">
        <v>1513</v>
      </c>
      <c r="D1597" s="388">
        <v>45062</v>
      </c>
      <c r="E1597" s="389">
        <v>45062</v>
      </c>
      <c r="F1597" s="390" t="str">
        <f t="shared" si="30"/>
        <v>Water heating</v>
      </c>
      <c r="G1597" s="135">
        <v>1.5985766681694599E-2</v>
      </c>
      <c r="H1597" s="135">
        <v>1.5584995252666401E-2</v>
      </c>
      <c r="I1597" s="135">
        <v>1.47561930496646E-2</v>
      </c>
      <c r="J1597" s="135">
        <v>1.67877901987388E-2</v>
      </c>
      <c r="K1597" s="135">
        <v>2.6107316830164401E-2</v>
      </c>
      <c r="L1597" s="135">
        <v>3.8273673678792003E-2</v>
      </c>
      <c r="M1597" s="135">
        <v>7.6804227933906094E-2</v>
      </c>
      <c r="N1597" s="135">
        <v>0.100550927424452</v>
      </c>
      <c r="O1597" s="135">
        <v>6.6370782584770693E-2</v>
      </c>
      <c r="P1597" s="135">
        <v>4.8691919716093601E-2</v>
      </c>
      <c r="Q1597" s="135">
        <v>4.7577436770175202E-2</v>
      </c>
      <c r="R1597" s="135">
        <v>4.5509288904961802E-2</v>
      </c>
      <c r="S1597" s="135">
        <v>3.7848359998856301E-2</v>
      </c>
      <c r="T1597" s="135">
        <v>3.0573751717803899E-2</v>
      </c>
      <c r="U1597" s="135">
        <v>2.64469028873856E-2</v>
      </c>
      <c r="V1597" s="135">
        <v>2.88668913330575E-2</v>
      </c>
      <c r="W1597" s="135">
        <v>3.3500157127386999E-2</v>
      </c>
      <c r="X1597" s="135">
        <v>5.1836860794266797E-2</v>
      </c>
      <c r="Y1597" s="135">
        <v>6.1465466933818297E-2</v>
      </c>
      <c r="Z1597" s="135">
        <v>5.8620218734925698E-2</v>
      </c>
      <c r="AA1597" s="135">
        <v>5.0994315474025297E-2</v>
      </c>
      <c r="AB1597" s="135">
        <v>4.3963235133990801E-2</v>
      </c>
      <c r="AC1597" s="135">
        <v>2.9666393669918498E-2</v>
      </c>
      <c r="AD1597" s="135">
        <v>2.0753633515458201E-2</v>
      </c>
      <c r="AF1597" s="243">
        <f t="shared" si="31"/>
        <v>0.25032278873962732</v>
      </c>
      <c r="AG1597" s="275">
        <f t="shared" si="32"/>
        <v>0.41195605387549383</v>
      </c>
      <c r="AH1597" s="391">
        <f t="shared" si="33"/>
        <v>0.57558045247148015</v>
      </c>
      <c r="AI1597" s="135">
        <f t="shared" si="34"/>
        <v>0.98753650634697399</v>
      </c>
    </row>
    <row r="1598" spans="1:35" ht="12.6">
      <c r="A1598" s="10" t="s">
        <v>58</v>
      </c>
      <c r="B1598" s="10">
        <v>137</v>
      </c>
      <c r="C1598" s="10" t="s">
        <v>1513</v>
      </c>
      <c r="D1598" s="388">
        <v>45063</v>
      </c>
      <c r="E1598" s="389">
        <v>45063</v>
      </c>
      <c r="F1598" s="390" t="str">
        <f t="shared" si="30"/>
        <v>Water heating</v>
      </c>
      <c r="G1598" s="135">
        <v>1.5985766681694599E-2</v>
      </c>
      <c r="H1598" s="135">
        <v>1.5584995252666401E-2</v>
      </c>
      <c r="I1598" s="135">
        <v>1.47561930496646E-2</v>
      </c>
      <c r="J1598" s="135">
        <v>1.67877901987388E-2</v>
      </c>
      <c r="K1598" s="135">
        <v>2.6107316830164401E-2</v>
      </c>
      <c r="L1598" s="135">
        <v>3.8273673678792003E-2</v>
      </c>
      <c r="M1598" s="135">
        <v>7.6804227933906094E-2</v>
      </c>
      <c r="N1598" s="135">
        <v>0.100550927424452</v>
      </c>
      <c r="O1598" s="135">
        <v>6.6370782584770693E-2</v>
      </c>
      <c r="P1598" s="135">
        <v>4.8691919716093601E-2</v>
      </c>
      <c r="Q1598" s="135">
        <v>4.7577436770175202E-2</v>
      </c>
      <c r="R1598" s="135">
        <v>4.5509288904961802E-2</v>
      </c>
      <c r="S1598" s="135">
        <v>3.7848359998856301E-2</v>
      </c>
      <c r="T1598" s="135">
        <v>3.0573751717803899E-2</v>
      </c>
      <c r="U1598" s="135">
        <v>2.64469028873856E-2</v>
      </c>
      <c r="V1598" s="135">
        <v>2.88668913330575E-2</v>
      </c>
      <c r="W1598" s="135">
        <v>3.3500157127386999E-2</v>
      </c>
      <c r="X1598" s="135">
        <v>5.1836860794266797E-2</v>
      </c>
      <c r="Y1598" s="135">
        <v>6.1465466933818297E-2</v>
      </c>
      <c r="Z1598" s="135">
        <v>5.8620218734925698E-2</v>
      </c>
      <c r="AA1598" s="135">
        <v>5.0994315474025297E-2</v>
      </c>
      <c r="AB1598" s="135">
        <v>4.3963235133990801E-2</v>
      </c>
      <c r="AC1598" s="135">
        <v>2.9666393669918498E-2</v>
      </c>
      <c r="AD1598" s="135">
        <v>2.0753633515458201E-2</v>
      </c>
      <c r="AF1598" s="243">
        <f t="shared" si="31"/>
        <v>0.25032278873962732</v>
      </c>
      <c r="AG1598" s="275">
        <f t="shared" si="32"/>
        <v>0.41195605387549383</v>
      </c>
      <c r="AH1598" s="391">
        <f t="shared" si="33"/>
        <v>0.57558045247148015</v>
      </c>
      <c r="AI1598" s="135">
        <f t="shared" si="34"/>
        <v>0.98753650634697399</v>
      </c>
    </row>
    <row r="1599" spans="1:35" ht="12.6">
      <c r="A1599" s="10" t="s">
        <v>58</v>
      </c>
      <c r="B1599" s="10">
        <v>138</v>
      </c>
      <c r="C1599" s="10" t="s">
        <v>1513</v>
      </c>
      <c r="D1599" s="388">
        <v>45064</v>
      </c>
      <c r="E1599" s="389">
        <v>45064</v>
      </c>
      <c r="F1599" s="390" t="str">
        <f t="shared" si="30"/>
        <v>Water heating</v>
      </c>
      <c r="G1599" s="135">
        <v>1.5985766681694599E-2</v>
      </c>
      <c r="H1599" s="135">
        <v>1.5584995252666401E-2</v>
      </c>
      <c r="I1599" s="135">
        <v>1.47561930496646E-2</v>
      </c>
      <c r="J1599" s="135">
        <v>1.67877901987388E-2</v>
      </c>
      <c r="K1599" s="135">
        <v>2.6107316830164401E-2</v>
      </c>
      <c r="L1599" s="135">
        <v>3.8273673678792003E-2</v>
      </c>
      <c r="M1599" s="135">
        <v>7.6804227933906094E-2</v>
      </c>
      <c r="N1599" s="135">
        <v>0.100550927424452</v>
      </c>
      <c r="O1599" s="135">
        <v>6.6370782584770693E-2</v>
      </c>
      <c r="P1599" s="135">
        <v>4.8691919716093601E-2</v>
      </c>
      <c r="Q1599" s="135">
        <v>4.7577436770175202E-2</v>
      </c>
      <c r="R1599" s="135">
        <v>4.5509288904961802E-2</v>
      </c>
      <c r="S1599" s="135">
        <v>3.7848359998856301E-2</v>
      </c>
      <c r="T1599" s="135">
        <v>3.0573751717803899E-2</v>
      </c>
      <c r="U1599" s="135">
        <v>2.64469028873856E-2</v>
      </c>
      <c r="V1599" s="135">
        <v>2.88668913330575E-2</v>
      </c>
      <c r="W1599" s="135">
        <v>3.3500157127386999E-2</v>
      </c>
      <c r="X1599" s="135">
        <v>5.1836860794266797E-2</v>
      </c>
      <c r="Y1599" s="135">
        <v>6.1465466933818297E-2</v>
      </c>
      <c r="Z1599" s="135">
        <v>5.8620218734925698E-2</v>
      </c>
      <c r="AA1599" s="135">
        <v>5.0994315474025297E-2</v>
      </c>
      <c r="AB1599" s="135">
        <v>4.3963235133990801E-2</v>
      </c>
      <c r="AC1599" s="135">
        <v>2.9666393669918498E-2</v>
      </c>
      <c r="AD1599" s="135">
        <v>2.0753633515458201E-2</v>
      </c>
      <c r="AF1599" s="243">
        <f t="shared" si="31"/>
        <v>0.25032278873962732</v>
      </c>
      <c r="AG1599" s="275">
        <f t="shared" si="32"/>
        <v>0.41195605387549383</v>
      </c>
      <c r="AH1599" s="391">
        <f t="shared" si="33"/>
        <v>0.57558045247148015</v>
      </c>
      <c r="AI1599" s="135">
        <f t="shared" si="34"/>
        <v>0.98753650634697399</v>
      </c>
    </row>
    <row r="1600" spans="1:35" ht="12.6">
      <c r="A1600" s="10" t="s">
        <v>58</v>
      </c>
      <c r="B1600" s="10">
        <v>139</v>
      </c>
      <c r="C1600" s="10" t="s">
        <v>1513</v>
      </c>
      <c r="D1600" s="388">
        <v>45065</v>
      </c>
      <c r="E1600" s="389">
        <v>45065</v>
      </c>
      <c r="F1600" s="390" t="str">
        <f t="shared" si="30"/>
        <v>Water heating</v>
      </c>
      <c r="G1600" s="135">
        <v>1.5985766681694599E-2</v>
      </c>
      <c r="H1600" s="135">
        <v>1.5584995252666401E-2</v>
      </c>
      <c r="I1600" s="135">
        <v>1.47561930496646E-2</v>
      </c>
      <c r="J1600" s="135">
        <v>1.67877901987388E-2</v>
      </c>
      <c r="K1600" s="135">
        <v>2.6107316830164401E-2</v>
      </c>
      <c r="L1600" s="135">
        <v>3.8273673678792003E-2</v>
      </c>
      <c r="M1600" s="135">
        <v>7.6804227933906094E-2</v>
      </c>
      <c r="N1600" s="135">
        <v>0.100550927424452</v>
      </c>
      <c r="O1600" s="135">
        <v>6.6370782584770693E-2</v>
      </c>
      <c r="P1600" s="135">
        <v>4.8691919716093601E-2</v>
      </c>
      <c r="Q1600" s="135">
        <v>4.7577436770175202E-2</v>
      </c>
      <c r="R1600" s="135">
        <v>4.5509288904961802E-2</v>
      </c>
      <c r="S1600" s="135">
        <v>3.7848359998856301E-2</v>
      </c>
      <c r="T1600" s="135">
        <v>3.0573751717803899E-2</v>
      </c>
      <c r="U1600" s="135">
        <v>2.64469028873856E-2</v>
      </c>
      <c r="V1600" s="135">
        <v>2.88668913330575E-2</v>
      </c>
      <c r="W1600" s="135">
        <v>3.3500157127386999E-2</v>
      </c>
      <c r="X1600" s="135">
        <v>5.1836860794266797E-2</v>
      </c>
      <c r="Y1600" s="135">
        <v>6.1465466933818297E-2</v>
      </c>
      <c r="Z1600" s="135">
        <v>5.8620218734925698E-2</v>
      </c>
      <c r="AA1600" s="135">
        <v>5.0994315474025297E-2</v>
      </c>
      <c r="AB1600" s="135">
        <v>4.3963235133990801E-2</v>
      </c>
      <c r="AC1600" s="135">
        <v>2.9666393669918498E-2</v>
      </c>
      <c r="AD1600" s="135">
        <v>2.0753633515458201E-2</v>
      </c>
      <c r="AF1600" s="243">
        <f t="shared" si="31"/>
        <v>0.25032278873962732</v>
      </c>
      <c r="AG1600" s="275">
        <f t="shared" si="32"/>
        <v>0.41195605387549383</v>
      </c>
      <c r="AH1600" s="391">
        <f t="shared" si="33"/>
        <v>0.57558045247148015</v>
      </c>
      <c r="AI1600" s="135">
        <f t="shared" si="34"/>
        <v>0.98753650634697399</v>
      </c>
    </row>
    <row r="1601" spans="1:35" ht="12.6">
      <c r="A1601" s="10" t="s">
        <v>58</v>
      </c>
      <c r="B1601" s="10">
        <v>140</v>
      </c>
      <c r="C1601" s="10" t="s">
        <v>1513</v>
      </c>
      <c r="D1601" s="388">
        <v>45066</v>
      </c>
      <c r="E1601" s="389">
        <v>45066</v>
      </c>
      <c r="F1601" s="390" t="str">
        <f t="shared" si="30"/>
        <v>Water heating</v>
      </c>
      <c r="G1601" s="135">
        <v>1.6507097869250999E-2</v>
      </c>
      <c r="H1601" s="135">
        <v>1.51639990758798E-2</v>
      </c>
      <c r="I1601" s="135">
        <v>1.54097470439992E-2</v>
      </c>
      <c r="J1601" s="135">
        <v>1.79340006996399E-2</v>
      </c>
      <c r="K1601" s="135">
        <v>2.2962840556772699E-2</v>
      </c>
      <c r="L1601" s="135">
        <v>2.1695854680460001E-2</v>
      </c>
      <c r="M1601" s="135">
        <v>2.56979639815424E-2</v>
      </c>
      <c r="N1601" s="135">
        <v>4.37381622200319E-2</v>
      </c>
      <c r="O1601" s="135">
        <v>6.2889120667870099E-2</v>
      </c>
      <c r="P1601" s="135">
        <v>7.60742643102119E-2</v>
      </c>
      <c r="Q1601" s="135">
        <v>7.3771105808853002E-2</v>
      </c>
      <c r="R1601" s="135">
        <v>6.5959187832445795E-2</v>
      </c>
      <c r="S1601" s="135">
        <v>5.5848142342757999E-2</v>
      </c>
      <c r="T1601" s="135">
        <v>4.60459489591524E-2</v>
      </c>
      <c r="U1601" s="135">
        <v>3.7499058702830997E-2</v>
      </c>
      <c r="V1601" s="135">
        <v>4.0762971593910798E-2</v>
      </c>
      <c r="W1601" s="135">
        <v>4.9487552337156397E-2</v>
      </c>
      <c r="X1601" s="135">
        <v>5.8970393891231702E-2</v>
      </c>
      <c r="Y1601" s="135">
        <v>6.1261276075970497E-2</v>
      </c>
      <c r="Z1601" s="135">
        <v>5.2198667098737501E-2</v>
      </c>
      <c r="AA1601" s="135">
        <v>3.97621487252637E-2</v>
      </c>
      <c r="AB1601" s="135">
        <v>3.2916755621154301E-2</v>
      </c>
      <c r="AC1601" s="135">
        <v>2.7584900895499601E-2</v>
      </c>
      <c r="AD1601" s="135">
        <v>1.92885342915688E-2</v>
      </c>
      <c r="AF1601" s="243">
        <f t="shared" si="31"/>
        <v>0.36937396757710739</v>
      </c>
      <c r="AG1601" s="275">
        <f t="shared" si="32"/>
        <v>0.41188861303042223</v>
      </c>
      <c r="AH1601" s="391">
        <f t="shared" si="33"/>
        <v>0.56754108225177036</v>
      </c>
      <c r="AI1601" s="135">
        <f t="shared" si="34"/>
        <v>0.97942969528219259</v>
      </c>
    </row>
    <row r="1602" spans="1:35" ht="12.6">
      <c r="A1602" s="10" t="s">
        <v>58</v>
      </c>
      <c r="B1602" s="10">
        <v>141</v>
      </c>
      <c r="C1602" s="10" t="s">
        <v>1513</v>
      </c>
      <c r="D1602" s="388">
        <v>45067</v>
      </c>
      <c r="E1602" s="389">
        <v>45067</v>
      </c>
      <c r="F1602" s="390" t="str">
        <f t="shared" si="30"/>
        <v>Water heating</v>
      </c>
      <c r="G1602" s="135">
        <v>1.6507097869250999E-2</v>
      </c>
      <c r="H1602" s="135">
        <v>1.51639990758798E-2</v>
      </c>
      <c r="I1602" s="135">
        <v>1.54097470439992E-2</v>
      </c>
      <c r="J1602" s="135">
        <v>1.79340006996399E-2</v>
      </c>
      <c r="K1602" s="135">
        <v>2.2962840556772699E-2</v>
      </c>
      <c r="L1602" s="135">
        <v>2.1695854680460001E-2</v>
      </c>
      <c r="M1602" s="135">
        <v>2.56979639815424E-2</v>
      </c>
      <c r="N1602" s="135">
        <v>4.37381622200319E-2</v>
      </c>
      <c r="O1602" s="135">
        <v>6.2889120667870099E-2</v>
      </c>
      <c r="P1602" s="135">
        <v>7.60742643102119E-2</v>
      </c>
      <c r="Q1602" s="135">
        <v>7.3771105808853002E-2</v>
      </c>
      <c r="R1602" s="135">
        <v>6.5959187832445795E-2</v>
      </c>
      <c r="S1602" s="135">
        <v>5.5848142342757999E-2</v>
      </c>
      <c r="T1602" s="135">
        <v>4.60459489591524E-2</v>
      </c>
      <c r="U1602" s="135">
        <v>3.7499058702830997E-2</v>
      </c>
      <c r="V1602" s="135">
        <v>4.0762971593910798E-2</v>
      </c>
      <c r="W1602" s="135">
        <v>4.9487552337156397E-2</v>
      </c>
      <c r="X1602" s="135">
        <v>5.8970393891231702E-2</v>
      </c>
      <c r="Y1602" s="135">
        <v>6.1261276075970497E-2</v>
      </c>
      <c r="Z1602" s="135">
        <v>5.2198667098737501E-2</v>
      </c>
      <c r="AA1602" s="135">
        <v>3.97621487252637E-2</v>
      </c>
      <c r="AB1602" s="135">
        <v>3.2916755621154301E-2</v>
      </c>
      <c r="AC1602" s="135">
        <v>2.7584900895499601E-2</v>
      </c>
      <c r="AD1602" s="135">
        <v>1.92885342915688E-2</v>
      </c>
      <c r="AF1602" s="243">
        <f t="shared" si="31"/>
        <v>0.36937396757710739</v>
      </c>
      <c r="AG1602" s="275">
        <f t="shared" si="32"/>
        <v>0.41188861303042223</v>
      </c>
      <c r="AH1602" s="391">
        <f t="shared" si="33"/>
        <v>0.56754108225177036</v>
      </c>
      <c r="AI1602" s="135">
        <f t="shared" si="34"/>
        <v>0.97942969528219259</v>
      </c>
    </row>
    <row r="1603" spans="1:35" ht="12.6">
      <c r="A1603" s="10" t="s">
        <v>58</v>
      </c>
      <c r="B1603" s="10">
        <v>142</v>
      </c>
      <c r="C1603" s="10" t="s">
        <v>1513</v>
      </c>
      <c r="D1603" s="388">
        <v>45068</v>
      </c>
      <c r="E1603" s="389">
        <v>45068</v>
      </c>
      <c r="F1603" s="390" t="str">
        <f t="shared" si="30"/>
        <v>Water heating</v>
      </c>
      <c r="G1603" s="135">
        <v>1.5985766681694599E-2</v>
      </c>
      <c r="H1603" s="135">
        <v>1.5584995252666401E-2</v>
      </c>
      <c r="I1603" s="135">
        <v>1.47561930496646E-2</v>
      </c>
      <c r="J1603" s="135">
        <v>1.67877901987388E-2</v>
      </c>
      <c r="K1603" s="135">
        <v>2.6107316830164401E-2</v>
      </c>
      <c r="L1603" s="135">
        <v>3.8273673678792003E-2</v>
      </c>
      <c r="M1603" s="135">
        <v>7.6804227933906094E-2</v>
      </c>
      <c r="N1603" s="135">
        <v>0.100550927424452</v>
      </c>
      <c r="O1603" s="135">
        <v>6.6370782584770693E-2</v>
      </c>
      <c r="P1603" s="135">
        <v>4.8691919716093601E-2</v>
      </c>
      <c r="Q1603" s="135">
        <v>4.7577436770175202E-2</v>
      </c>
      <c r="R1603" s="135">
        <v>4.5509288904961802E-2</v>
      </c>
      <c r="S1603" s="135">
        <v>3.7848359998856301E-2</v>
      </c>
      <c r="T1603" s="135">
        <v>3.0573751717803899E-2</v>
      </c>
      <c r="U1603" s="135">
        <v>2.64469028873856E-2</v>
      </c>
      <c r="V1603" s="135">
        <v>2.88668913330575E-2</v>
      </c>
      <c r="W1603" s="135">
        <v>3.3500157127386999E-2</v>
      </c>
      <c r="X1603" s="135">
        <v>5.1836860794266797E-2</v>
      </c>
      <c r="Y1603" s="135">
        <v>6.1465466933818297E-2</v>
      </c>
      <c r="Z1603" s="135">
        <v>5.8620218734925698E-2</v>
      </c>
      <c r="AA1603" s="135">
        <v>5.0994315474025297E-2</v>
      </c>
      <c r="AB1603" s="135">
        <v>4.3963235133990801E-2</v>
      </c>
      <c r="AC1603" s="135">
        <v>2.9666393669918498E-2</v>
      </c>
      <c r="AD1603" s="135">
        <v>2.0753633515458201E-2</v>
      </c>
      <c r="AF1603" s="243">
        <f t="shared" si="31"/>
        <v>0.25032278873962732</v>
      </c>
      <c r="AG1603" s="275">
        <f t="shared" si="32"/>
        <v>0.41195605387549383</v>
      </c>
      <c r="AH1603" s="391">
        <f t="shared" si="33"/>
        <v>0.57558045247148015</v>
      </c>
      <c r="AI1603" s="135">
        <f t="shared" si="34"/>
        <v>0.98753650634697399</v>
      </c>
    </row>
    <row r="1604" spans="1:35" ht="12.6">
      <c r="A1604" s="10" t="s">
        <v>58</v>
      </c>
      <c r="B1604" s="10">
        <v>143</v>
      </c>
      <c r="C1604" s="10" t="s">
        <v>1513</v>
      </c>
      <c r="D1604" s="388">
        <v>45069</v>
      </c>
      <c r="E1604" s="389">
        <v>45069</v>
      </c>
      <c r="F1604" s="390" t="str">
        <f t="shared" si="30"/>
        <v>Water heating</v>
      </c>
      <c r="G1604" s="135">
        <v>1.5985766681694599E-2</v>
      </c>
      <c r="H1604" s="135">
        <v>1.5584995252666401E-2</v>
      </c>
      <c r="I1604" s="135">
        <v>1.47561930496646E-2</v>
      </c>
      <c r="J1604" s="135">
        <v>1.67877901987388E-2</v>
      </c>
      <c r="K1604" s="135">
        <v>2.6107316830164401E-2</v>
      </c>
      <c r="L1604" s="135">
        <v>3.8273673678792003E-2</v>
      </c>
      <c r="M1604" s="135">
        <v>7.6804227933906094E-2</v>
      </c>
      <c r="N1604" s="135">
        <v>0.100550927424452</v>
      </c>
      <c r="O1604" s="135">
        <v>6.6370782584770693E-2</v>
      </c>
      <c r="P1604" s="135">
        <v>4.8691919716093601E-2</v>
      </c>
      <c r="Q1604" s="135">
        <v>4.7577436770175202E-2</v>
      </c>
      <c r="R1604" s="135">
        <v>4.5509288904961802E-2</v>
      </c>
      <c r="S1604" s="135">
        <v>3.7848359998856301E-2</v>
      </c>
      <c r="T1604" s="135">
        <v>3.0573751717803899E-2</v>
      </c>
      <c r="U1604" s="135">
        <v>2.64469028873856E-2</v>
      </c>
      <c r="V1604" s="135">
        <v>2.88668913330575E-2</v>
      </c>
      <c r="W1604" s="135">
        <v>3.3500157127386999E-2</v>
      </c>
      <c r="X1604" s="135">
        <v>5.1836860794266797E-2</v>
      </c>
      <c r="Y1604" s="135">
        <v>6.1465466933818297E-2</v>
      </c>
      <c r="Z1604" s="135">
        <v>5.8620218734925698E-2</v>
      </c>
      <c r="AA1604" s="135">
        <v>5.0994315474025297E-2</v>
      </c>
      <c r="AB1604" s="135">
        <v>4.3963235133990801E-2</v>
      </c>
      <c r="AC1604" s="135">
        <v>2.9666393669918498E-2</v>
      </c>
      <c r="AD1604" s="135">
        <v>2.0753633515458201E-2</v>
      </c>
      <c r="AF1604" s="243">
        <f t="shared" si="31"/>
        <v>0.25032278873962732</v>
      </c>
      <c r="AG1604" s="275">
        <f t="shared" si="32"/>
        <v>0.41195605387549383</v>
      </c>
      <c r="AH1604" s="391">
        <f t="shared" si="33"/>
        <v>0.57558045247148015</v>
      </c>
      <c r="AI1604" s="135">
        <f t="shared" si="34"/>
        <v>0.98753650634697399</v>
      </c>
    </row>
    <row r="1605" spans="1:35" ht="12.6">
      <c r="A1605" s="10" t="s">
        <v>58</v>
      </c>
      <c r="B1605" s="10">
        <v>144</v>
      </c>
      <c r="C1605" s="10" t="s">
        <v>1513</v>
      </c>
      <c r="D1605" s="388">
        <v>45070</v>
      </c>
      <c r="E1605" s="389">
        <v>45070</v>
      </c>
      <c r="F1605" s="390" t="str">
        <f t="shared" si="30"/>
        <v>Water heating</v>
      </c>
      <c r="G1605" s="135">
        <v>1.5985766681694599E-2</v>
      </c>
      <c r="H1605" s="135">
        <v>1.5584995252666401E-2</v>
      </c>
      <c r="I1605" s="135">
        <v>1.47561930496646E-2</v>
      </c>
      <c r="J1605" s="135">
        <v>1.67877901987388E-2</v>
      </c>
      <c r="K1605" s="135">
        <v>2.6107316830164401E-2</v>
      </c>
      <c r="L1605" s="135">
        <v>3.8273673678792003E-2</v>
      </c>
      <c r="M1605" s="135">
        <v>7.6804227933906094E-2</v>
      </c>
      <c r="N1605" s="135">
        <v>0.100550927424452</v>
      </c>
      <c r="O1605" s="135">
        <v>6.6370782584770693E-2</v>
      </c>
      <c r="P1605" s="135">
        <v>4.8691919716093601E-2</v>
      </c>
      <c r="Q1605" s="135">
        <v>4.7577436770175202E-2</v>
      </c>
      <c r="R1605" s="135">
        <v>4.5509288904961802E-2</v>
      </c>
      <c r="S1605" s="135">
        <v>3.7848359998856301E-2</v>
      </c>
      <c r="T1605" s="135">
        <v>3.0573751717803899E-2</v>
      </c>
      <c r="U1605" s="135">
        <v>2.64469028873856E-2</v>
      </c>
      <c r="V1605" s="135">
        <v>2.88668913330575E-2</v>
      </c>
      <c r="W1605" s="135">
        <v>3.3500157127386999E-2</v>
      </c>
      <c r="X1605" s="135">
        <v>5.1836860794266797E-2</v>
      </c>
      <c r="Y1605" s="135">
        <v>6.1465466933818297E-2</v>
      </c>
      <c r="Z1605" s="135">
        <v>5.8620218734925698E-2</v>
      </c>
      <c r="AA1605" s="135">
        <v>5.0994315474025297E-2</v>
      </c>
      <c r="AB1605" s="135">
        <v>4.3963235133990801E-2</v>
      </c>
      <c r="AC1605" s="135">
        <v>2.9666393669918498E-2</v>
      </c>
      <c r="AD1605" s="135">
        <v>2.0753633515458201E-2</v>
      </c>
      <c r="AF1605" s="243">
        <f t="shared" si="31"/>
        <v>0.25032278873962732</v>
      </c>
      <c r="AG1605" s="275">
        <f t="shared" si="32"/>
        <v>0.41195605387549383</v>
      </c>
      <c r="AH1605" s="391">
        <f t="shared" si="33"/>
        <v>0.57558045247148015</v>
      </c>
      <c r="AI1605" s="135">
        <f t="shared" si="34"/>
        <v>0.98753650634697399</v>
      </c>
    </row>
    <row r="1606" spans="1:35" ht="12.6">
      <c r="A1606" s="10" t="s">
        <v>58</v>
      </c>
      <c r="B1606" s="10">
        <v>145</v>
      </c>
      <c r="C1606" s="10" t="s">
        <v>1513</v>
      </c>
      <c r="D1606" s="388">
        <v>45071</v>
      </c>
      <c r="E1606" s="389">
        <v>45071</v>
      </c>
      <c r="F1606" s="390" t="str">
        <f t="shared" si="30"/>
        <v>Water heating</v>
      </c>
      <c r="G1606" s="135">
        <v>1.5985766681694599E-2</v>
      </c>
      <c r="H1606" s="135">
        <v>1.5584995252666401E-2</v>
      </c>
      <c r="I1606" s="135">
        <v>1.47561930496646E-2</v>
      </c>
      <c r="J1606" s="135">
        <v>1.67877901987388E-2</v>
      </c>
      <c r="K1606" s="135">
        <v>2.6107316830164401E-2</v>
      </c>
      <c r="L1606" s="135">
        <v>3.8273673678792003E-2</v>
      </c>
      <c r="M1606" s="135">
        <v>7.6804227933906094E-2</v>
      </c>
      <c r="N1606" s="135">
        <v>0.100550927424452</v>
      </c>
      <c r="O1606" s="135">
        <v>6.6370782584770693E-2</v>
      </c>
      <c r="P1606" s="135">
        <v>4.8691919716093601E-2</v>
      </c>
      <c r="Q1606" s="135">
        <v>4.7577436770175202E-2</v>
      </c>
      <c r="R1606" s="135">
        <v>4.5509288904961802E-2</v>
      </c>
      <c r="S1606" s="135">
        <v>3.7848359998856301E-2</v>
      </c>
      <c r="T1606" s="135">
        <v>3.0573751717803899E-2</v>
      </c>
      <c r="U1606" s="135">
        <v>2.64469028873856E-2</v>
      </c>
      <c r="V1606" s="135">
        <v>2.88668913330575E-2</v>
      </c>
      <c r="W1606" s="135">
        <v>3.3500157127386999E-2</v>
      </c>
      <c r="X1606" s="135">
        <v>5.1836860794266797E-2</v>
      </c>
      <c r="Y1606" s="135">
        <v>6.1465466933818297E-2</v>
      </c>
      <c r="Z1606" s="135">
        <v>5.8620218734925698E-2</v>
      </c>
      <c r="AA1606" s="135">
        <v>5.0994315474025297E-2</v>
      </c>
      <c r="AB1606" s="135">
        <v>4.3963235133990801E-2</v>
      </c>
      <c r="AC1606" s="135">
        <v>2.9666393669918498E-2</v>
      </c>
      <c r="AD1606" s="135">
        <v>2.0753633515458201E-2</v>
      </c>
      <c r="AF1606" s="243">
        <f t="shared" si="31"/>
        <v>0.25032278873962732</v>
      </c>
      <c r="AG1606" s="275">
        <f t="shared" si="32"/>
        <v>0.41195605387549383</v>
      </c>
      <c r="AH1606" s="391">
        <f t="shared" si="33"/>
        <v>0.57558045247148015</v>
      </c>
      <c r="AI1606" s="135">
        <f t="shared" si="34"/>
        <v>0.98753650634697399</v>
      </c>
    </row>
    <row r="1607" spans="1:35" ht="12.6">
      <c r="A1607" s="10" t="s">
        <v>58</v>
      </c>
      <c r="B1607" s="10">
        <v>146</v>
      </c>
      <c r="C1607" s="10" t="s">
        <v>1513</v>
      </c>
      <c r="D1607" s="388">
        <v>45072</v>
      </c>
      <c r="E1607" s="389">
        <v>45072</v>
      </c>
      <c r="F1607" s="390" t="str">
        <f t="shared" si="30"/>
        <v>Water heating</v>
      </c>
      <c r="G1607" s="135">
        <v>1.5985766681694599E-2</v>
      </c>
      <c r="H1607" s="135">
        <v>1.5584995252666401E-2</v>
      </c>
      <c r="I1607" s="135">
        <v>1.47561930496646E-2</v>
      </c>
      <c r="J1607" s="135">
        <v>1.67877901987388E-2</v>
      </c>
      <c r="K1607" s="135">
        <v>2.6107316830164401E-2</v>
      </c>
      <c r="L1607" s="135">
        <v>3.8273673678792003E-2</v>
      </c>
      <c r="M1607" s="135">
        <v>7.6804227933906094E-2</v>
      </c>
      <c r="N1607" s="135">
        <v>0.100550927424452</v>
      </c>
      <c r="O1607" s="135">
        <v>6.6370782584770693E-2</v>
      </c>
      <c r="P1607" s="135">
        <v>4.8691919716093601E-2</v>
      </c>
      <c r="Q1607" s="135">
        <v>4.7577436770175202E-2</v>
      </c>
      <c r="R1607" s="135">
        <v>4.5509288904961802E-2</v>
      </c>
      <c r="S1607" s="135">
        <v>3.7848359998856301E-2</v>
      </c>
      <c r="T1607" s="135">
        <v>3.0573751717803899E-2</v>
      </c>
      <c r="U1607" s="135">
        <v>2.64469028873856E-2</v>
      </c>
      <c r="V1607" s="135">
        <v>2.88668913330575E-2</v>
      </c>
      <c r="W1607" s="135">
        <v>3.3500157127386999E-2</v>
      </c>
      <c r="X1607" s="135">
        <v>5.1836860794266797E-2</v>
      </c>
      <c r="Y1607" s="135">
        <v>6.1465466933818297E-2</v>
      </c>
      <c r="Z1607" s="135">
        <v>5.8620218734925698E-2</v>
      </c>
      <c r="AA1607" s="135">
        <v>5.0994315474025297E-2</v>
      </c>
      <c r="AB1607" s="135">
        <v>4.3963235133990801E-2</v>
      </c>
      <c r="AC1607" s="135">
        <v>2.9666393669918498E-2</v>
      </c>
      <c r="AD1607" s="135">
        <v>2.0753633515458201E-2</v>
      </c>
      <c r="AF1607" s="243">
        <f t="shared" si="31"/>
        <v>0.25032278873962732</v>
      </c>
      <c r="AG1607" s="275">
        <f t="shared" si="32"/>
        <v>0.41195605387549383</v>
      </c>
      <c r="AH1607" s="391">
        <f t="shared" si="33"/>
        <v>0.57558045247148015</v>
      </c>
      <c r="AI1607" s="135">
        <f t="shared" si="34"/>
        <v>0.98753650634697399</v>
      </c>
    </row>
    <row r="1608" spans="1:35" ht="12.6">
      <c r="A1608" s="10" t="s">
        <v>58</v>
      </c>
      <c r="B1608" s="10">
        <v>147</v>
      </c>
      <c r="C1608" s="10" t="s">
        <v>1513</v>
      </c>
      <c r="D1608" s="388">
        <v>45073</v>
      </c>
      <c r="E1608" s="389">
        <v>45073</v>
      </c>
      <c r="F1608" s="390" t="str">
        <f t="shared" si="30"/>
        <v>Water heating</v>
      </c>
      <c r="G1608" s="135">
        <v>1.6507097869250999E-2</v>
      </c>
      <c r="H1608" s="135">
        <v>1.51639990758798E-2</v>
      </c>
      <c r="I1608" s="135">
        <v>1.54097470439992E-2</v>
      </c>
      <c r="J1608" s="135">
        <v>1.79340006996399E-2</v>
      </c>
      <c r="K1608" s="135">
        <v>2.2962840556772699E-2</v>
      </c>
      <c r="L1608" s="135">
        <v>2.1695854680460001E-2</v>
      </c>
      <c r="M1608" s="135">
        <v>2.56979639815424E-2</v>
      </c>
      <c r="N1608" s="135">
        <v>4.37381622200319E-2</v>
      </c>
      <c r="O1608" s="135">
        <v>6.2889120667870099E-2</v>
      </c>
      <c r="P1608" s="135">
        <v>7.60742643102119E-2</v>
      </c>
      <c r="Q1608" s="135">
        <v>7.3771105808853002E-2</v>
      </c>
      <c r="R1608" s="135">
        <v>6.5959187832445795E-2</v>
      </c>
      <c r="S1608" s="135">
        <v>5.5848142342757999E-2</v>
      </c>
      <c r="T1608" s="135">
        <v>4.60459489591524E-2</v>
      </c>
      <c r="U1608" s="135">
        <v>3.7499058702830997E-2</v>
      </c>
      <c r="V1608" s="135">
        <v>4.0762971593910798E-2</v>
      </c>
      <c r="W1608" s="135">
        <v>4.9487552337156397E-2</v>
      </c>
      <c r="X1608" s="135">
        <v>5.8970393891231702E-2</v>
      </c>
      <c r="Y1608" s="135">
        <v>6.1261276075970497E-2</v>
      </c>
      <c r="Z1608" s="135">
        <v>5.2198667098737501E-2</v>
      </c>
      <c r="AA1608" s="135">
        <v>3.97621487252637E-2</v>
      </c>
      <c r="AB1608" s="135">
        <v>3.2916755621154301E-2</v>
      </c>
      <c r="AC1608" s="135">
        <v>2.7584900895499601E-2</v>
      </c>
      <c r="AD1608" s="135">
        <v>1.92885342915688E-2</v>
      </c>
      <c r="AF1608" s="243">
        <f t="shared" si="31"/>
        <v>0.36937396757710739</v>
      </c>
      <c r="AG1608" s="275">
        <f t="shared" si="32"/>
        <v>0.41188861303042223</v>
      </c>
      <c r="AH1608" s="391">
        <f t="shared" si="33"/>
        <v>0.56754108225177036</v>
      </c>
      <c r="AI1608" s="135">
        <f t="shared" si="34"/>
        <v>0.97942969528219259</v>
      </c>
    </row>
    <row r="1609" spans="1:35" ht="12.6">
      <c r="A1609" s="10" t="s">
        <v>58</v>
      </c>
      <c r="B1609" s="10">
        <v>148</v>
      </c>
      <c r="C1609" s="10" t="s">
        <v>1513</v>
      </c>
      <c r="D1609" s="388">
        <v>45074</v>
      </c>
      <c r="E1609" s="389">
        <v>45074</v>
      </c>
      <c r="F1609" s="390" t="str">
        <f t="shared" si="30"/>
        <v>Water heating</v>
      </c>
      <c r="G1609" s="135">
        <v>1.6507097869250999E-2</v>
      </c>
      <c r="H1609" s="135">
        <v>1.51639990758798E-2</v>
      </c>
      <c r="I1609" s="135">
        <v>1.54097470439992E-2</v>
      </c>
      <c r="J1609" s="135">
        <v>1.79340006996399E-2</v>
      </c>
      <c r="K1609" s="135">
        <v>2.2962840556772699E-2</v>
      </c>
      <c r="L1609" s="135">
        <v>2.1695854680460001E-2</v>
      </c>
      <c r="M1609" s="135">
        <v>2.56979639815424E-2</v>
      </c>
      <c r="N1609" s="135">
        <v>4.37381622200319E-2</v>
      </c>
      <c r="O1609" s="135">
        <v>6.2889120667870099E-2</v>
      </c>
      <c r="P1609" s="135">
        <v>7.60742643102119E-2</v>
      </c>
      <c r="Q1609" s="135">
        <v>7.3771105808853002E-2</v>
      </c>
      <c r="R1609" s="135">
        <v>6.5959187832445795E-2</v>
      </c>
      <c r="S1609" s="135">
        <v>5.5848142342757999E-2</v>
      </c>
      <c r="T1609" s="135">
        <v>4.60459489591524E-2</v>
      </c>
      <c r="U1609" s="135">
        <v>3.7499058702830997E-2</v>
      </c>
      <c r="V1609" s="135">
        <v>4.0762971593910798E-2</v>
      </c>
      <c r="W1609" s="135">
        <v>4.9487552337156397E-2</v>
      </c>
      <c r="X1609" s="135">
        <v>5.8970393891231702E-2</v>
      </c>
      <c r="Y1609" s="135">
        <v>6.1261276075970497E-2</v>
      </c>
      <c r="Z1609" s="135">
        <v>5.2198667098737501E-2</v>
      </c>
      <c r="AA1609" s="135">
        <v>3.97621487252637E-2</v>
      </c>
      <c r="AB1609" s="135">
        <v>3.2916755621154301E-2</v>
      </c>
      <c r="AC1609" s="135">
        <v>2.7584900895499601E-2</v>
      </c>
      <c r="AD1609" s="135">
        <v>1.92885342915688E-2</v>
      </c>
      <c r="AF1609" s="243">
        <f t="shared" si="31"/>
        <v>0.36937396757710739</v>
      </c>
      <c r="AG1609" s="275">
        <f t="shared" si="32"/>
        <v>0.41188861303042223</v>
      </c>
      <c r="AH1609" s="391">
        <f t="shared" si="33"/>
        <v>0.56754108225177036</v>
      </c>
      <c r="AI1609" s="135">
        <f t="shared" si="34"/>
        <v>0.97942969528219259</v>
      </c>
    </row>
    <row r="1610" spans="1:35" ht="12.6">
      <c r="A1610" s="10" t="s">
        <v>58</v>
      </c>
      <c r="B1610" s="10">
        <v>149</v>
      </c>
      <c r="C1610" s="10" t="s">
        <v>1513</v>
      </c>
      <c r="D1610" s="388">
        <v>45075</v>
      </c>
      <c r="E1610" s="389">
        <v>45075</v>
      </c>
      <c r="F1610" s="390" t="str">
        <f t="shared" si="30"/>
        <v>Water heating</v>
      </c>
      <c r="G1610" s="135">
        <v>1.5985766681694599E-2</v>
      </c>
      <c r="H1610" s="135">
        <v>1.5584995252666401E-2</v>
      </c>
      <c r="I1610" s="135">
        <v>1.47561930496646E-2</v>
      </c>
      <c r="J1610" s="135">
        <v>1.67877901987388E-2</v>
      </c>
      <c r="K1610" s="135">
        <v>2.6107316830164401E-2</v>
      </c>
      <c r="L1610" s="135">
        <v>3.8273673678792003E-2</v>
      </c>
      <c r="M1610" s="135">
        <v>7.6804227933906094E-2</v>
      </c>
      <c r="N1610" s="135">
        <v>0.100550927424452</v>
      </c>
      <c r="O1610" s="135">
        <v>6.6370782584770693E-2</v>
      </c>
      <c r="P1610" s="135">
        <v>4.8691919716093601E-2</v>
      </c>
      <c r="Q1610" s="135">
        <v>4.7577436770175202E-2</v>
      </c>
      <c r="R1610" s="135">
        <v>4.5509288904961802E-2</v>
      </c>
      <c r="S1610" s="135">
        <v>3.7848359998856301E-2</v>
      </c>
      <c r="T1610" s="135">
        <v>3.0573751717803899E-2</v>
      </c>
      <c r="U1610" s="135">
        <v>2.64469028873856E-2</v>
      </c>
      <c r="V1610" s="135">
        <v>2.88668913330575E-2</v>
      </c>
      <c r="W1610" s="135">
        <v>3.3500157127386999E-2</v>
      </c>
      <c r="X1610" s="135">
        <v>5.1836860794266797E-2</v>
      </c>
      <c r="Y1610" s="135">
        <v>6.1465466933818297E-2</v>
      </c>
      <c r="Z1610" s="135">
        <v>5.8620218734925698E-2</v>
      </c>
      <c r="AA1610" s="135">
        <v>5.0994315474025297E-2</v>
      </c>
      <c r="AB1610" s="135">
        <v>4.3963235133990801E-2</v>
      </c>
      <c r="AC1610" s="135">
        <v>2.9666393669918498E-2</v>
      </c>
      <c r="AD1610" s="135">
        <v>2.0753633515458201E-2</v>
      </c>
      <c r="AF1610" s="243">
        <f t="shared" si="31"/>
        <v>0.25032278873962732</v>
      </c>
      <c r="AG1610" s="275">
        <f t="shared" si="32"/>
        <v>0.41195605387549383</v>
      </c>
      <c r="AH1610" s="391">
        <f t="shared" si="33"/>
        <v>0.57558045247148015</v>
      </c>
      <c r="AI1610" s="135">
        <f t="shared" si="34"/>
        <v>0.98753650634697399</v>
      </c>
    </row>
    <row r="1611" spans="1:35" ht="12.6">
      <c r="A1611" s="10" t="s">
        <v>58</v>
      </c>
      <c r="B1611" s="10">
        <v>150</v>
      </c>
      <c r="C1611" s="10" t="s">
        <v>1513</v>
      </c>
      <c r="D1611" s="388">
        <v>45076</v>
      </c>
      <c r="E1611" s="389">
        <v>45076</v>
      </c>
      <c r="F1611" s="390" t="str">
        <f t="shared" si="30"/>
        <v>Water heating</v>
      </c>
      <c r="G1611" s="135">
        <v>1.5985766681694599E-2</v>
      </c>
      <c r="H1611" s="135">
        <v>1.5584995252666401E-2</v>
      </c>
      <c r="I1611" s="135">
        <v>1.47561930496646E-2</v>
      </c>
      <c r="J1611" s="135">
        <v>1.67877901987388E-2</v>
      </c>
      <c r="K1611" s="135">
        <v>2.6107316830164401E-2</v>
      </c>
      <c r="L1611" s="135">
        <v>3.8273673678792003E-2</v>
      </c>
      <c r="M1611" s="135">
        <v>7.6804227933906094E-2</v>
      </c>
      <c r="N1611" s="135">
        <v>0.100550927424452</v>
      </c>
      <c r="O1611" s="135">
        <v>6.6370782584770693E-2</v>
      </c>
      <c r="P1611" s="135">
        <v>4.8691919716093601E-2</v>
      </c>
      <c r="Q1611" s="135">
        <v>4.7577436770175202E-2</v>
      </c>
      <c r="R1611" s="135">
        <v>4.5509288904961802E-2</v>
      </c>
      <c r="S1611" s="135">
        <v>3.7848359998856301E-2</v>
      </c>
      <c r="T1611" s="135">
        <v>3.0573751717803899E-2</v>
      </c>
      <c r="U1611" s="135">
        <v>2.64469028873856E-2</v>
      </c>
      <c r="V1611" s="135">
        <v>2.88668913330575E-2</v>
      </c>
      <c r="W1611" s="135">
        <v>3.3500157127386999E-2</v>
      </c>
      <c r="X1611" s="135">
        <v>5.1836860794266797E-2</v>
      </c>
      <c r="Y1611" s="135">
        <v>6.1465466933818297E-2</v>
      </c>
      <c r="Z1611" s="135">
        <v>5.8620218734925698E-2</v>
      </c>
      <c r="AA1611" s="135">
        <v>5.0994315474025297E-2</v>
      </c>
      <c r="AB1611" s="135">
        <v>4.3963235133990801E-2</v>
      </c>
      <c r="AC1611" s="135">
        <v>2.9666393669918498E-2</v>
      </c>
      <c r="AD1611" s="135">
        <v>2.0753633515458201E-2</v>
      </c>
      <c r="AF1611" s="243">
        <f t="shared" si="31"/>
        <v>0.25032278873962732</v>
      </c>
      <c r="AG1611" s="275">
        <f t="shared" si="32"/>
        <v>0.41195605387549383</v>
      </c>
      <c r="AH1611" s="391">
        <f t="shared" si="33"/>
        <v>0.57558045247148015</v>
      </c>
      <c r="AI1611" s="135">
        <f t="shared" si="34"/>
        <v>0.98753650634697399</v>
      </c>
    </row>
    <row r="1612" spans="1:35" ht="12.6">
      <c r="A1612" s="10" t="s">
        <v>58</v>
      </c>
      <c r="B1612" s="10">
        <v>151</v>
      </c>
      <c r="C1612" s="10" t="s">
        <v>1513</v>
      </c>
      <c r="D1612" s="388">
        <v>45077</v>
      </c>
      <c r="E1612" s="389">
        <v>45077</v>
      </c>
      <c r="F1612" s="390" t="str">
        <f t="shared" si="30"/>
        <v>Water heating</v>
      </c>
      <c r="G1612" s="135">
        <v>1.5985766681694599E-2</v>
      </c>
      <c r="H1612" s="135">
        <v>1.5584995252666401E-2</v>
      </c>
      <c r="I1612" s="135">
        <v>1.47561930496646E-2</v>
      </c>
      <c r="J1612" s="135">
        <v>1.67877901987388E-2</v>
      </c>
      <c r="K1612" s="135">
        <v>2.6107316830164401E-2</v>
      </c>
      <c r="L1612" s="135">
        <v>3.8273673678792003E-2</v>
      </c>
      <c r="M1612" s="135">
        <v>7.6804227933906094E-2</v>
      </c>
      <c r="N1612" s="135">
        <v>0.100550927424452</v>
      </c>
      <c r="O1612" s="135">
        <v>6.6370782584770693E-2</v>
      </c>
      <c r="P1612" s="135">
        <v>4.8691919716093601E-2</v>
      </c>
      <c r="Q1612" s="135">
        <v>4.7577436770175202E-2</v>
      </c>
      <c r="R1612" s="135">
        <v>4.5509288904961802E-2</v>
      </c>
      <c r="S1612" s="135">
        <v>3.7848359998856301E-2</v>
      </c>
      <c r="T1612" s="135">
        <v>3.0573751717803899E-2</v>
      </c>
      <c r="U1612" s="135">
        <v>2.64469028873856E-2</v>
      </c>
      <c r="V1612" s="135">
        <v>2.88668913330575E-2</v>
      </c>
      <c r="W1612" s="135">
        <v>3.3500157127386999E-2</v>
      </c>
      <c r="X1612" s="135">
        <v>5.1836860794266797E-2</v>
      </c>
      <c r="Y1612" s="135">
        <v>6.1465466933818297E-2</v>
      </c>
      <c r="Z1612" s="135">
        <v>5.8620218734925698E-2</v>
      </c>
      <c r="AA1612" s="135">
        <v>5.0994315474025297E-2</v>
      </c>
      <c r="AB1612" s="135">
        <v>4.3963235133990801E-2</v>
      </c>
      <c r="AC1612" s="135">
        <v>2.9666393669918498E-2</v>
      </c>
      <c r="AD1612" s="135">
        <v>2.0753633515458201E-2</v>
      </c>
      <c r="AF1612" s="243">
        <f t="shared" si="31"/>
        <v>0.25032278873962732</v>
      </c>
      <c r="AG1612" s="275">
        <f t="shared" si="32"/>
        <v>0.41195605387549383</v>
      </c>
      <c r="AH1612" s="391">
        <f t="shared" si="33"/>
        <v>0.57558045247148015</v>
      </c>
      <c r="AI1612" s="135">
        <f t="shared" si="34"/>
        <v>0.98753650634697399</v>
      </c>
    </row>
    <row r="1613" spans="1:35" ht="12.6">
      <c r="A1613" s="10" t="s">
        <v>58</v>
      </c>
      <c r="B1613" s="10">
        <v>152</v>
      </c>
      <c r="C1613" s="10" t="s">
        <v>1514</v>
      </c>
      <c r="D1613" s="388">
        <v>45078</v>
      </c>
      <c r="E1613" s="389">
        <v>45078</v>
      </c>
      <c r="F1613" s="390" t="str">
        <f t="shared" si="30"/>
        <v>Water heating</v>
      </c>
      <c r="G1613" s="135">
        <v>2.0061509553606499E-2</v>
      </c>
      <c r="H1613" s="135">
        <v>2.03876347727301E-2</v>
      </c>
      <c r="I1613" s="135">
        <v>1.6753605519526499E-2</v>
      </c>
      <c r="J1613" s="135">
        <v>1.42122819087922E-2</v>
      </c>
      <c r="K1613" s="135">
        <v>2.4947168454787699E-2</v>
      </c>
      <c r="L1613" s="135">
        <v>3.27053400896095E-2</v>
      </c>
      <c r="M1613" s="135">
        <v>7.1078546382967206E-2</v>
      </c>
      <c r="N1613" s="135">
        <v>0.13379956039823901</v>
      </c>
      <c r="O1613" s="135">
        <v>9.0805582704996293E-2</v>
      </c>
      <c r="P1613" s="135">
        <v>5.5478373015309897E-2</v>
      </c>
      <c r="Q1613" s="135">
        <v>5.2810493488683899E-2</v>
      </c>
      <c r="R1613" s="135">
        <v>5.7063558057432399E-2</v>
      </c>
      <c r="S1613" s="135">
        <v>4.7302748707018102E-2</v>
      </c>
      <c r="T1613" s="135">
        <v>3.72294280316771E-2</v>
      </c>
      <c r="U1613" s="135">
        <v>2.7864338995497999E-2</v>
      </c>
      <c r="V1613" s="135">
        <v>3.01915398727104E-2</v>
      </c>
      <c r="W1613" s="135">
        <v>3.8549449621234202E-2</v>
      </c>
      <c r="X1613" s="135">
        <v>5.5566551836602203E-2</v>
      </c>
      <c r="Y1613" s="135">
        <v>6.8602470305749202E-2</v>
      </c>
      <c r="Z1613" s="135">
        <v>6.5904032553255304E-2</v>
      </c>
      <c r="AA1613" s="135">
        <v>6.7145748732966304E-2</v>
      </c>
      <c r="AB1613" s="135">
        <v>5.7693615293340099E-2</v>
      </c>
      <c r="AC1613" s="135">
        <v>4.2408278037323499E-2</v>
      </c>
      <c r="AD1613" s="135">
        <v>3.0024095536888E-2</v>
      </c>
      <c r="AF1613" s="243">
        <f t="shared" si="31"/>
        <v>0.29101155677425411</v>
      </c>
      <c r="AG1613" s="275">
        <f t="shared" si="32"/>
        <v>0.4537159654843691</v>
      </c>
      <c r="AH1613" s="391">
        <f t="shared" si="33"/>
        <v>0.7048699863865745</v>
      </c>
      <c r="AI1613" s="135">
        <f t="shared" si="34"/>
        <v>1.1585859518709436</v>
      </c>
    </row>
    <row r="1614" spans="1:35" ht="12.6">
      <c r="A1614" s="10" t="s">
        <v>58</v>
      </c>
      <c r="B1614" s="10">
        <v>153</v>
      </c>
      <c r="C1614" s="10" t="s">
        <v>1514</v>
      </c>
      <c r="D1614" s="388">
        <v>45079</v>
      </c>
      <c r="E1614" s="389">
        <v>45079</v>
      </c>
      <c r="F1614" s="390" t="str">
        <f t="shared" si="30"/>
        <v>Water heating</v>
      </c>
      <c r="G1614" s="135">
        <v>2.0061509553606499E-2</v>
      </c>
      <c r="H1614" s="135">
        <v>2.03876347727301E-2</v>
      </c>
      <c r="I1614" s="135">
        <v>1.6753605519526499E-2</v>
      </c>
      <c r="J1614" s="135">
        <v>1.42122819087922E-2</v>
      </c>
      <c r="K1614" s="135">
        <v>2.4947168454787699E-2</v>
      </c>
      <c r="L1614" s="135">
        <v>3.27053400896095E-2</v>
      </c>
      <c r="M1614" s="135">
        <v>7.1078546382967206E-2</v>
      </c>
      <c r="N1614" s="135">
        <v>0.13379956039823901</v>
      </c>
      <c r="O1614" s="135">
        <v>9.0805582704996293E-2</v>
      </c>
      <c r="P1614" s="135">
        <v>5.5478373015309897E-2</v>
      </c>
      <c r="Q1614" s="135">
        <v>5.2810493488683899E-2</v>
      </c>
      <c r="R1614" s="135">
        <v>5.7063558057432399E-2</v>
      </c>
      <c r="S1614" s="135">
        <v>4.7302748707018102E-2</v>
      </c>
      <c r="T1614" s="135">
        <v>3.72294280316771E-2</v>
      </c>
      <c r="U1614" s="135">
        <v>2.7864338995497999E-2</v>
      </c>
      <c r="V1614" s="135">
        <v>3.01915398727104E-2</v>
      </c>
      <c r="W1614" s="135">
        <v>3.8549449621234202E-2</v>
      </c>
      <c r="X1614" s="135">
        <v>5.5566551836602203E-2</v>
      </c>
      <c r="Y1614" s="135">
        <v>6.8602470305749202E-2</v>
      </c>
      <c r="Z1614" s="135">
        <v>6.5904032553255304E-2</v>
      </c>
      <c r="AA1614" s="135">
        <v>6.7145748732966304E-2</v>
      </c>
      <c r="AB1614" s="135">
        <v>5.7693615293340099E-2</v>
      </c>
      <c r="AC1614" s="135">
        <v>4.2408278037323499E-2</v>
      </c>
      <c r="AD1614" s="135">
        <v>3.0024095536888E-2</v>
      </c>
      <c r="AF1614" s="243">
        <f t="shared" si="31"/>
        <v>0.29101155677425411</v>
      </c>
      <c r="AG1614" s="275">
        <f t="shared" si="32"/>
        <v>0.4537159654843691</v>
      </c>
      <c r="AH1614" s="391">
        <f t="shared" si="33"/>
        <v>0.7048699863865745</v>
      </c>
      <c r="AI1614" s="135">
        <f t="shared" si="34"/>
        <v>1.1585859518709436</v>
      </c>
    </row>
    <row r="1615" spans="1:35" ht="12.6">
      <c r="A1615" s="10" t="s">
        <v>58</v>
      </c>
      <c r="B1615" s="10">
        <v>154</v>
      </c>
      <c r="C1615" s="10" t="s">
        <v>1514</v>
      </c>
      <c r="D1615" s="388">
        <v>45080</v>
      </c>
      <c r="E1615" s="389">
        <v>45080</v>
      </c>
      <c r="F1615" s="390" t="str">
        <f t="shared" si="30"/>
        <v>Water heating</v>
      </c>
      <c r="G1615" s="135">
        <v>2.04101148177275E-2</v>
      </c>
      <c r="H1615" s="135">
        <v>1.9716913414001499E-2</v>
      </c>
      <c r="I1615" s="135">
        <v>1.6638557398121302E-2</v>
      </c>
      <c r="J1615" s="135">
        <v>1.40064079219577E-2</v>
      </c>
      <c r="K1615" s="135">
        <v>2.2460860939879701E-2</v>
      </c>
      <c r="L1615" s="135">
        <v>2.3076502943698399E-2</v>
      </c>
      <c r="M1615" s="135">
        <v>1.50880973548259E-2</v>
      </c>
      <c r="N1615" s="135">
        <v>4.0509288457499702E-2</v>
      </c>
      <c r="O1615" s="135">
        <v>6.3755056848317004E-2</v>
      </c>
      <c r="P1615" s="135">
        <v>9.1875402324564703E-2</v>
      </c>
      <c r="Q1615" s="135">
        <v>9.6456069881928702E-2</v>
      </c>
      <c r="R1615" s="135">
        <v>8.8103665978442394E-2</v>
      </c>
      <c r="S1615" s="135">
        <v>7.5601563331188906E-2</v>
      </c>
      <c r="T1615" s="135">
        <v>6.2924842571207895E-2</v>
      </c>
      <c r="U1615" s="135">
        <v>4.62104107919621E-2</v>
      </c>
      <c r="V1615" s="135">
        <v>4.9524632568285203E-2</v>
      </c>
      <c r="W1615" s="135">
        <v>5.8831065275470301E-2</v>
      </c>
      <c r="X1615" s="135">
        <v>6.6430061386033107E-2</v>
      </c>
      <c r="Y1615" s="135">
        <v>7.3148345546801302E-2</v>
      </c>
      <c r="Z1615" s="135">
        <v>6.1808796676876297E-2</v>
      </c>
      <c r="AA1615" s="135">
        <v>5.6772925649949797E-2</v>
      </c>
      <c r="AB1615" s="135">
        <v>5.1125461056197898E-2</v>
      </c>
      <c r="AC1615" s="135">
        <v>3.7544323279059599E-2</v>
      </c>
      <c r="AD1615" s="135">
        <v>2.74046736576571E-2</v>
      </c>
      <c r="AF1615" s="243">
        <f t="shared" si="31"/>
        <v>0.47765225039848547</v>
      </c>
      <c r="AG1615" s="275">
        <f t="shared" si="32"/>
        <v>0.48943896626504335</v>
      </c>
      <c r="AH1615" s="391">
        <f t="shared" si="33"/>
        <v>0.68998507380661089</v>
      </c>
      <c r="AI1615" s="135">
        <f t="shared" si="34"/>
        <v>1.1794240400716542</v>
      </c>
    </row>
    <row r="1616" spans="1:35" ht="12.6">
      <c r="A1616" s="10" t="s">
        <v>58</v>
      </c>
      <c r="B1616" s="10">
        <v>155</v>
      </c>
      <c r="C1616" s="10" t="s">
        <v>1514</v>
      </c>
      <c r="D1616" s="388">
        <v>45081</v>
      </c>
      <c r="E1616" s="389">
        <v>45081</v>
      </c>
      <c r="F1616" s="390" t="str">
        <f t="shared" si="30"/>
        <v>Water heating</v>
      </c>
      <c r="G1616" s="135">
        <v>2.04101148177275E-2</v>
      </c>
      <c r="H1616" s="135">
        <v>1.9716913414001499E-2</v>
      </c>
      <c r="I1616" s="135">
        <v>1.6638557398121302E-2</v>
      </c>
      <c r="J1616" s="135">
        <v>1.40064079219577E-2</v>
      </c>
      <c r="K1616" s="135">
        <v>2.2460860939879701E-2</v>
      </c>
      <c r="L1616" s="135">
        <v>2.3076502943698399E-2</v>
      </c>
      <c r="M1616" s="135">
        <v>1.50880973548259E-2</v>
      </c>
      <c r="N1616" s="135">
        <v>4.0509288457499702E-2</v>
      </c>
      <c r="O1616" s="135">
        <v>6.3755056848317004E-2</v>
      </c>
      <c r="P1616" s="135">
        <v>9.1875402324564703E-2</v>
      </c>
      <c r="Q1616" s="135">
        <v>9.6456069881928702E-2</v>
      </c>
      <c r="R1616" s="135">
        <v>8.8103665978442394E-2</v>
      </c>
      <c r="S1616" s="135">
        <v>7.5601563331188906E-2</v>
      </c>
      <c r="T1616" s="135">
        <v>6.2924842571207895E-2</v>
      </c>
      <c r="U1616" s="135">
        <v>4.62104107919621E-2</v>
      </c>
      <c r="V1616" s="135">
        <v>4.9524632568285203E-2</v>
      </c>
      <c r="W1616" s="135">
        <v>5.8831065275470301E-2</v>
      </c>
      <c r="X1616" s="135">
        <v>6.6430061386033107E-2</v>
      </c>
      <c r="Y1616" s="135">
        <v>7.3148345546801302E-2</v>
      </c>
      <c r="Z1616" s="135">
        <v>6.1808796676876297E-2</v>
      </c>
      <c r="AA1616" s="135">
        <v>5.6772925649949797E-2</v>
      </c>
      <c r="AB1616" s="135">
        <v>5.1125461056197898E-2</v>
      </c>
      <c r="AC1616" s="135">
        <v>3.7544323279059599E-2</v>
      </c>
      <c r="AD1616" s="135">
        <v>2.74046736576571E-2</v>
      </c>
      <c r="AF1616" s="243">
        <f t="shared" si="31"/>
        <v>0.47765225039848547</v>
      </c>
      <c r="AG1616" s="275">
        <f t="shared" si="32"/>
        <v>0.48943896626504335</v>
      </c>
      <c r="AH1616" s="391">
        <f t="shared" si="33"/>
        <v>0.68998507380661089</v>
      </c>
      <c r="AI1616" s="135">
        <f t="shared" si="34"/>
        <v>1.1794240400716542</v>
      </c>
    </row>
    <row r="1617" spans="1:35" ht="12.6">
      <c r="A1617" s="10" t="s">
        <v>58</v>
      </c>
      <c r="B1617" s="10">
        <v>156</v>
      </c>
      <c r="C1617" s="10" t="s">
        <v>1514</v>
      </c>
      <c r="D1617" s="388">
        <v>45082</v>
      </c>
      <c r="E1617" s="389">
        <v>45082</v>
      </c>
      <c r="F1617" s="390" t="str">
        <f t="shared" si="30"/>
        <v>Water heating</v>
      </c>
      <c r="G1617" s="135">
        <v>2.0061509553606499E-2</v>
      </c>
      <c r="H1617" s="135">
        <v>2.03876347727301E-2</v>
      </c>
      <c r="I1617" s="135">
        <v>1.6753605519526499E-2</v>
      </c>
      <c r="J1617" s="135">
        <v>1.42122819087922E-2</v>
      </c>
      <c r="K1617" s="135">
        <v>2.4947168454787699E-2</v>
      </c>
      <c r="L1617" s="135">
        <v>3.27053400896095E-2</v>
      </c>
      <c r="M1617" s="135">
        <v>7.1078546382967206E-2</v>
      </c>
      <c r="N1617" s="135">
        <v>0.13379956039823901</v>
      </c>
      <c r="O1617" s="135">
        <v>9.0805582704996293E-2</v>
      </c>
      <c r="P1617" s="135">
        <v>5.5478373015309897E-2</v>
      </c>
      <c r="Q1617" s="135">
        <v>5.2810493488683899E-2</v>
      </c>
      <c r="R1617" s="135">
        <v>5.7063558057432399E-2</v>
      </c>
      <c r="S1617" s="135">
        <v>4.7302748707018102E-2</v>
      </c>
      <c r="T1617" s="135">
        <v>3.72294280316771E-2</v>
      </c>
      <c r="U1617" s="135">
        <v>2.7864338995497999E-2</v>
      </c>
      <c r="V1617" s="135">
        <v>3.01915398727104E-2</v>
      </c>
      <c r="W1617" s="135">
        <v>3.8549449621234202E-2</v>
      </c>
      <c r="X1617" s="135">
        <v>5.5566551836602203E-2</v>
      </c>
      <c r="Y1617" s="135">
        <v>6.8602470305749202E-2</v>
      </c>
      <c r="Z1617" s="135">
        <v>6.5904032553255304E-2</v>
      </c>
      <c r="AA1617" s="135">
        <v>6.7145748732966304E-2</v>
      </c>
      <c r="AB1617" s="135">
        <v>5.7693615293340099E-2</v>
      </c>
      <c r="AC1617" s="135">
        <v>4.2408278037323499E-2</v>
      </c>
      <c r="AD1617" s="135">
        <v>3.0024095536888E-2</v>
      </c>
      <c r="AF1617" s="243">
        <f t="shared" si="31"/>
        <v>0.29101155677425411</v>
      </c>
      <c r="AG1617" s="275">
        <f t="shared" si="32"/>
        <v>0.4537159654843691</v>
      </c>
      <c r="AH1617" s="391">
        <f t="shared" si="33"/>
        <v>0.7048699863865745</v>
      </c>
      <c r="AI1617" s="135">
        <f t="shared" si="34"/>
        <v>1.1585859518709436</v>
      </c>
    </row>
    <row r="1618" spans="1:35" ht="12.6">
      <c r="A1618" s="10" t="s">
        <v>58</v>
      </c>
      <c r="B1618" s="10">
        <v>157</v>
      </c>
      <c r="C1618" s="10" t="s">
        <v>1514</v>
      </c>
      <c r="D1618" s="388">
        <v>45083</v>
      </c>
      <c r="E1618" s="389">
        <v>45083</v>
      </c>
      <c r="F1618" s="390" t="str">
        <f t="shared" si="30"/>
        <v>Water heating</v>
      </c>
      <c r="G1618" s="135">
        <v>2.0061509553606499E-2</v>
      </c>
      <c r="H1618" s="135">
        <v>2.03876347727301E-2</v>
      </c>
      <c r="I1618" s="135">
        <v>1.6753605519526499E-2</v>
      </c>
      <c r="J1618" s="135">
        <v>1.42122819087922E-2</v>
      </c>
      <c r="K1618" s="135">
        <v>2.4947168454787699E-2</v>
      </c>
      <c r="L1618" s="135">
        <v>3.27053400896095E-2</v>
      </c>
      <c r="M1618" s="135">
        <v>7.1078546382967206E-2</v>
      </c>
      <c r="N1618" s="135">
        <v>0.13379956039823901</v>
      </c>
      <c r="O1618" s="135">
        <v>9.0805582704996293E-2</v>
      </c>
      <c r="P1618" s="135">
        <v>5.5478373015309897E-2</v>
      </c>
      <c r="Q1618" s="135">
        <v>5.2810493488683899E-2</v>
      </c>
      <c r="R1618" s="135">
        <v>5.7063558057432399E-2</v>
      </c>
      <c r="S1618" s="135">
        <v>4.7302748707018102E-2</v>
      </c>
      <c r="T1618" s="135">
        <v>3.72294280316771E-2</v>
      </c>
      <c r="U1618" s="135">
        <v>2.7864338995497999E-2</v>
      </c>
      <c r="V1618" s="135">
        <v>3.01915398727104E-2</v>
      </c>
      <c r="W1618" s="135">
        <v>3.8549449621234202E-2</v>
      </c>
      <c r="X1618" s="135">
        <v>5.5566551836602203E-2</v>
      </c>
      <c r="Y1618" s="135">
        <v>6.8602470305749202E-2</v>
      </c>
      <c r="Z1618" s="135">
        <v>6.5904032553255304E-2</v>
      </c>
      <c r="AA1618" s="135">
        <v>6.7145748732966304E-2</v>
      </c>
      <c r="AB1618" s="135">
        <v>5.7693615293340099E-2</v>
      </c>
      <c r="AC1618" s="135">
        <v>4.2408278037323499E-2</v>
      </c>
      <c r="AD1618" s="135">
        <v>3.0024095536888E-2</v>
      </c>
      <c r="AF1618" s="243">
        <f t="shared" si="31"/>
        <v>0.29101155677425411</v>
      </c>
      <c r="AG1618" s="275">
        <f t="shared" si="32"/>
        <v>0.4537159654843691</v>
      </c>
      <c r="AH1618" s="391">
        <f t="shared" si="33"/>
        <v>0.7048699863865745</v>
      </c>
      <c r="AI1618" s="135">
        <f t="shared" si="34"/>
        <v>1.1585859518709436</v>
      </c>
    </row>
    <row r="1619" spans="1:35" ht="12.6">
      <c r="A1619" s="10" t="s">
        <v>58</v>
      </c>
      <c r="B1619" s="10">
        <v>158</v>
      </c>
      <c r="C1619" s="10" t="s">
        <v>1514</v>
      </c>
      <c r="D1619" s="388">
        <v>45084</v>
      </c>
      <c r="E1619" s="389">
        <v>45084</v>
      </c>
      <c r="F1619" s="390" t="str">
        <f t="shared" si="30"/>
        <v>Water heating</v>
      </c>
      <c r="G1619" s="135">
        <v>2.0061509553606499E-2</v>
      </c>
      <c r="H1619" s="135">
        <v>2.03876347727301E-2</v>
      </c>
      <c r="I1619" s="135">
        <v>1.6753605519526499E-2</v>
      </c>
      <c r="J1619" s="135">
        <v>1.42122819087922E-2</v>
      </c>
      <c r="K1619" s="135">
        <v>2.4947168454787699E-2</v>
      </c>
      <c r="L1619" s="135">
        <v>3.27053400896095E-2</v>
      </c>
      <c r="M1619" s="135">
        <v>7.1078546382967206E-2</v>
      </c>
      <c r="N1619" s="135">
        <v>0.13379956039823901</v>
      </c>
      <c r="O1619" s="135">
        <v>9.0805582704996293E-2</v>
      </c>
      <c r="P1619" s="135">
        <v>5.5478373015309897E-2</v>
      </c>
      <c r="Q1619" s="135">
        <v>5.2810493488683899E-2</v>
      </c>
      <c r="R1619" s="135">
        <v>5.7063558057432399E-2</v>
      </c>
      <c r="S1619" s="135">
        <v>4.7302748707018102E-2</v>
      </c>
      <c r="T1619" s="135">
        <v>3.72294280316771E-2</v>
      </c>
      <c r="U1619" s="135">
        <v>2.7864338995497999E-2</v>
      </c>
      <c r="V1619" s="135">
        <v>3.01915398727104E-2</v>
      </c>
      <c r="W1619" s="135">
        <v>3.8549449621234202E-2</v>
      </c>
      <c r="X1619" s="135">
        <v>5.5566551836602203E-2</v>
      </c>
      <c r="Y1619" s="135">
        <v>6.8602470305749202E-2</v>
      </c>
      <c r="Z1619" s="135">
        <v>6.5904032553255304E-2</v>
      </c>
      <c r="AA1619" s="135">
        <v>6.7145748732966304E-2</v>
      </c>
      <c r="AB1619" s="135">
        <v>5.7693615293340099E-2</v>
      </c>
      <c r="AC1619" s="135">
        <v>4.2408278037323499E-2</v>
      </c>
      <c r="AD1619" s="135">
        <v>3.0024095536888E-2</v>
      </c>
      <c r="AF1619" s="243">
        <f t="shared" si="31"/>
        <v>0.29101155677425411</v>
      </c>
      <c r="AG1619" s="275">
        <f t="shared" si="32"/>
        <v>0.4537159654843691</v>
      </c>
      <c r="AH1619" s="391">
        <f t="shared" si="33"/>
        <v>0.7048699863865745</v>
      </c>
      <c r="AI1619" s="135">
        <f t="shared" si="34"/>
        <v>1.1585859518709436</v>
      </c>
    </row>
    <row r="1620" spans="1:35" ht="12.6">
      <c r="A1620" s="10" t="s">
        <v>58</v>
      </c>
      <c r="B1620" s="10">
        <v>159</v>
      </c>
      <c r="C1620" s="10" t="s">
        <v>1514</v>
      </c>
      <c r="D1620" s="388">
        <v>45085</v>
      </c>
      <c r="E1620" s="389">
        <v>45085</v>
      </c>
      <c r="F1620" s="390" t="str">
        <f t="shared" si="30"/>
        <v>Water heating</v>
      </c>
      <c r="G1620" s="135">
        <v>2.0061509553606499E-2</v>
      </c>
      <c r="H1620" s="135">
        <v>2.03876347727301E-2</v>
      </c>
      <c r="I1620" s="135">
        <v>1.6753605519526499E-2</v>
      </c>
      <c r="J1620" s="135">
        <v>1.42122819087922E-2</v>
      </c>
      <c r="K1620" s="135">
        <v>2.4947168454787699E-2</v>
      </c>
      <c r="L1620" s="135">
        <v>3.27053400896095E-2</v>
      </c>
      <c r="M1620" s="135">
        <v>7.1078546382967206E-2</v>
      </c>
      <c r="N1620" s="135">
        <v>0.13379956039823901</v>
      </c>
      <c r="O1620" s="135">
        <v>9.0805582704996293E-2</v>
      </c>
      <c r="P1620" s="135">
        <v>5.5478373015309897E-2</v>
      </c>
      <c r="Q1620" s="135">
        <v>5.2810493488683899E-2</v>
      </c>
      <c r="R1620" s="135">
        <v>5.7063558057432399E-2</v>
      </c>
      <c r="S1620" s="135">
        <v>4.7302748707018102E-2</v>
      </c>
      <c r="T1620" s="135">
        <v>3.72294280316771E-2</v>
      </c>
      <c r="U1620" s="135">
        <v>2.7864338995497999E-2</v>
      </c>
      <c r="V1620" s="135">
        <v>3.01915398727104E-2</v>
      </c>
      <c r="W1620" s="135">
        <v>3.8549449621234202E-2</v>
      </c>
      <c r="X1620" s="135">
        <v>5.5566551836602203E-2</v>
      </c>
      <c r="Y1620" s="135">
        <v>6.8602470305749202E-2</v>
      </c>
      <c r="Z1620" s="135">
        <v>6.5904032553255304E-2</v>
      </c>
      <c r="AA1620" s="135">
        <v>6.7145748732966304E-2</v>
      </c>
      <c r="AB1620" s="135">
        <v>5.7693615293340099E-2</v>
      </c>
      <c r="AC1620" s="135">
        <v>4.2408278037323499E-2</v>
      </c>
      <c r="AD1620" s="135">
        <v>3.0024095536888E-2</v>
      </c>
      <c r="AF1620" s="243">
        <f t="shared" si="31"/>
        <v>0.29101155677425411</v>
      </c>
      <c r="AG1620" s="275">
        <f t="shared" si="32"/>
        <v>0.4537159654843691</v>
      </c>
      <c r="AH1620" s="391">
        <f t="shared" si="33"/>
        <v>0.7048699863865745</v>
      </c>
      <c r="AI1620" s="135">
        <f t="shared" si="34"/>
        <v>1.1585859518709436</v>
      </c>
    </row>
    <row r="1621" spans="1:35" ht="12.6">
      <c r="A1621" s="10" t="s">
        <v>58</v>
      </c>
      <c r="B1621" s="10">
        <v>160</v>
      </c>
      <c r="C1621" s="10" t="s">
        <v>1514</v>
      </c>
      <c r="D1621" s="388">
        <v>45086</v>
      </c>
      <c r="E1621" s="389">
        <v>45086</v>
      </c>
      <c r="F1621" s="390" t="str">
        <f t="shared" si="30"/>
        <v>Water heating</v>
      </c>
      <c r="G1621" s="135">
        <v>2.0061509553606499E-2</v>
      </c>
      <c r="H1621" s="135">
        <v>2.03876347727301E-2</v>
      </c>
      <c r="I1621" s="135">
        <v>1.6753605519526499E-2</v>
      </c>
      <c r="J1621" s="135">
        <v>1.42122819087922E-2</v>
      </c>
      <c r="K1621" s="135">
        <v>2.4947168454787699E-2</v>
      </c>
      <c r="L1621" s="135">
        <v>3.27053400896095E-2</v>
      </c>
      <c r="M1621" s="135">
        <v>7.1078546382967206E-2</v>
      </c>
      <c r="N1621" s="135">
        <v>0.13379956039823901</v>
      </c>
      <c r="O1621" s="135">
        <v>9.0805582704996293E-2</v>
      </c>
      <c r="P1621" s="135">
        <v>5.5478373015309897E-2</v>
      </c>
      <c r="Q1621" s="135">
        <v>5.2810493488683899E-2</v>
      </c>
      <c r="R1621" s="135">
        <v>5.7063558057432399E-2</v>
      </c>
      <c r="S1621" s="135">
        <v>4.7302748707018102E-2</v>
      </c>
      <c r="T1621" s="135">
        <v>3.72294280316771E-2</v>
      </c>
      <c r="U1621" s="135">
        <v>2.7864338995497999E-2</v>
      </c>
      <c r="V1621" s="135">
        <v>3.01915398727104E-2</v>
      </c>
      <c r="W1621" s="135">
        <v>3.8549449621234202E-2</v>
      </c>
      <c r="X1621" s="135">
        <v>5.5566551836602203E-2</v>
      </c>
      <c r="Y1621" s="135">
        <v>6.8602470305749202E-2</v>
      </c>
      <c r="Z1621" s="135">
        <v>6.5904032553255304E-2</v>
      </c>
      <c r="AA1621" s="135">
        <v>6.7145748732966304E-2</v>
      </c>
      <c r="AB1621" s="135">
        <v>5.7693615293340099E-2</v>
      </c>
      <c r="AC1621" s="135">
        <v>4.2408278037323499E-2</v>
      </c>
      <c r="AD1621" s="135">
        <v>3.0024095536888E-2</v>
      </c>
      <c r="AF1621" s="243">
        <f t="shared" si="31"/>
        <v>0.29101155677425411</v>
      </c>
      <c r="AG1621" s="275">
        <f t="shared" si="32"/>
        <v>0.4537159654843691</v>
      </c>
      <c r="AH1621" s="391">
        <f t="shared" si="33"/>
        <v>0.7048699863865745</v>
      </c>
      <c r="AI1621" s="135">
        <f t="shared" si="34"/>
        <v>1.1585859518709436</v>
      </c>
    </row>
    <row r="1622" spans="1:35" ht="12.6">
      <c r="A1622" s="10" t="s">
        <v>58</v>
      </c>
      <c r="B1622" s="10">
        <v>161</v>
      </c>
      <c r="C1622" s="10" t="s">
        <v>1514</v>
      </c>
      <c r="D1622" s="388">
        <v>45087</v>
      </c>
      <c r="E1622" s="389">
        <v>45087</v>
      </c>
      <c r="F1622" s="390" t="str">
        <f t="shared" si="30"/>
        <v>Water heating</v>
      </c>
      <c r="G1622" s="135">
        <v>2.04101148177275E-2</v>
      </c>
      <c r="H1622" s="135">
        <v>1.9716913414001499E-2</v>
      </c>
      <c r="I1622" s="135">
        <v>1.6638557398121302E-2</v>
      </c>
      <c r="J1622" s="135">
        <v>1.40064079219577E-2</v>
      </c>
      <c r="K1622" s="135">
        <v>2.2460860939879701E-2</v>
      </c>
      <c r="L1622" s="135">
        <v>2.3076502943698399E-2</v>
      </c>
      <c r="M1622" s="135">
        <v>1.50880973548259E-2</v>
      </c>
      <c r="N1622" s="135">
        <v>4.0509288457499702E-2</v>
      </c>
      <c r="O1622" s="135">
        <v>6.3755056848317004E-2</v>
      </c>
      <c r="P1622" s="135">
        <v>9.1875402324564703E-2</v>
      </c>
      <c r="Q1622" s="135">
        <v>9.6456069881928702E-2</v>
      </c>
      <c r="R1622" s="135">
        <v>8.8103665978442394E-2</v>
      </c>
      <c r="S1622" s="135">
        <v>7.5601563331188906E-2</v>
      </c>
      <c r="T1622" s="135">
        <v>6.2924842571207895E-2</v>
      </c>
      <c r="U1622" s="135">
        <v>4.62104107919621E-2</v>
      </c>
      <c r="V1622" s="135">
        <v>4.9524632568285203E-2</v>
      </c>
      <c r="W1622" s="135">
        <v>5.8831065275470301E-2</v>
      </c>
      <c r="X1622" s="135">
        <v>6.6430061386033107E-2</v>
      </c>
      <c r="Y1622" s="135">
        <v>7.3148345546801302E-2</v>
      </c>
      <c r="Z1622" s="135">
        <v>6.1808796676876297E-2</v>
      </c>
      <c r="AA1622" s="135">
        <v>5.6772925649949797E-2</v>
      </c>
      <c r="AB1622" s="135">
        <v>5.1125461056197898E-2</v>
      </c>
      <c r="AC1622" s="135">
        <v>3.7544323279059599E-2</v>
      </c>
      <c r="AD1622" s="135">
        <v>2.74046736576571E-2</v>
      </c>
      <c r="AF1622" s="243">
        <f t="shared" si="31"/>
        <v>0.47765225039848547</v>
      </c>
      <c r="AG1622" s="275">
        <f t="shared" si="32"/>
        <v>0.48943896626504335</v>
      </c>
      <c r="AH1622" s="391">
        <f t="shared" si="33"/>
        <v>0.68998507380661089</v>
      </c>
      <c r="AI1622" s="135">
        <f t="shared" si="34"/>
        <v>1.1794240400716542</v>
      </c>
    </row>
    <row r="1623" spans="1:35" ht="12.6">
      <c r="A1623" s="10" t="s">
        <v>58</v>
      </c>
      <c r="B1623" s="10">
        <v>162</v>
      </c>
      <c r="C1623" s="10" t="s">
        <v>1514</v>
      </c>
      <c r="D1623" s="388">
        <v>45088</v>
      </c>
      <c r="E1623" s="389">
        <v>45088</v>
      </c>
      <c r="F1623" s="390" t="str">
        <f t="shared" si="30"/>
        <v>Water heating</v>
      </c>
      <c r="G1623" s="135">
        <v>2.04101148177275E-2</v>
      </c>
      <c r="H1623" s="135">
        <v>1.9716913414001499E-2</v>
      </c>
      <c r="I1623" s="135">
        <v>1.6638557398121302E-2</v>
      </c>
      <c r="J1623" s="135">
        <v>1.40064079219577E-2</v>
      </c>
      <c r="K1623" s="135">
        <v>2.2460860939879701E-2</v>
      </c>
      <c r="L1623" s="135">
        <v>2.3076502943698399E-2</v>
      </c>
      <c r="M1623" s="135">
        <v>1.50880973548259E-2</v>
      </c>
      <c r="N1623" s="135">
        <v>4.0509288457499702E-2</v>
      </c>
      <c r="O1623" s="135">
        <v>6.3755056848317004E-2</v>
      </c>
      <c r="P1623" s="135">
        <v>9.1875402324564703E-2</v>
      </c>
      <c r="Q1623" s="135">
        <v>9.6456069881928702E-2</v>
      </c>
      <c r="R1623" s="135">
        <v>8.8103665978442394E-2</v>
      </c>
      <c r="S1623" s="135">
        <v>7.5601563331188906E-2</v>
      </c>
      <c r="T1623" s="135">
        <v>6.2924842571207895E-2</v>
      </c>
      <c r="U1623" s="135">
        <v>4.62104107919621E-2</v>
      </c>
      <c r="V1623" s="135">
        <v>4.9524632568285203E-2</v>
      </c>
      <c r="W1623" s="135">
        <v>5.8831065275470301E-2</v>
      </c>
      <c r="X1623" s="135">
        <v>6.6430061386033107E-2</v>
      </c>
      <c r="Y1623" s="135">
        <v>7.3148345546801302E-2</v>
      </c>
      <c r="Z1623" s="135">
        <v>6.1808796676876297E-2</v>
      </c>
      <c r="AA1623" s="135">
        <v>5.6772925649949797E-2</v>
      </c>
      <c r="AB1623" s="135">
        <v>5.1125461056197898E-2</v>
      </c>
      <c r="AC1623" s="135">
        <v>3.7544323279059599E-2</v>
      </c>
      <c r="AD1623" s="135">
        <v>2.74046736576571E-2</v>
      </c>
      <c r="AF1623" s="243">
        <f t="shared" si="31"/>
        <v>0.47765225039848547</v>
      </c>
      <c r="AG1623" s="275">
        <f t="shared" si="32"/>
        <v>0.48943896626504335</v>
      </c>
      <c r="AH1623" s="391">
        <f t="shared" si="33"/>
        <v>0.68998507380661089</v>
      </c>
      <c r="AI1623" s="135">
        <f t="shared" si="34"/>
        <v>1.1794240400716542</v>
      </c>
    </row>
    <row r="1624" spans="1:35" ht="12.6">
      <c r="A1624" s="10" t="s">
        <v>58</v>
      </c>
      <c r="B1624" s="10">
        <v>163</v>
      </c>
      <c r="C1624" s="10" t="s">
        <v>1514</v>
      </c>
      <c r="D1624" s="388">
        <v>45089</v>
      </c>
      <c r="E1624" s="389">
        <v>45089</v>
      </c>
      <c r="F1624" s="390" t="str">
        <f t="shared" si="30"/>
        <v>Water heating</v>
      </c>
      <c r="G1624" s="135">
        <v>2.0061509553606499E-2</v>
      </c>
      <c r="H1624" s="135">
        <v>2.03876347727301E-2</v>
      </c>
      <c r="I1624" s="135">
        <v>1.6753605519526499E-2</v>
      </c>
      <c r="J1624" s="135">
        <v>1.42122819087922E-2</v>
      </c>
      <c r="K1624" s="135">
        <v>2.4947168454787699E-2</v>
      </c>
      <c r="L1624" s="135">
        <v>3.27053400896095E-2</v>
      </c>
      <c r="M1624" s="135">
        <v>7.1078546382967206E-2</v>
      </c>
      <c r="N1624" s="135">
        <v>0.13379956039823901</v>
      </c>
      <c r="O1624" s="135">
        <v>9.0805582704996293E-2</v>
      </c>
      <c r="P1624" s="135">
        <v>5.5478373015309897E-2</v>
      </c>
      <c r="Q1624" s="135">
        <v>5.2810493488683899E-2</v>
      </c>
      <c r="R1624" s="135">
        <v>5.7063558057432399E-2</v>
      </c>
      <c r="S1624" s="135">
        <v>4.7302748707018102E-2</v>
      </c>
      <c r="T1624" s="135">
        <v>3.72294280316771E-2</v>
      </c>
      <c r="U1624" s="135">
        <v>2.7864338995497999E-2</v>
      </c>
      <c r="V1624" s="135">
        <v>3.01915398727104E-2</v>
      </c>
      <c r="W1624" s="135">
        <v>3.8549449621234202E-2</v>
      </c>
      <c r="X1624" s="135">
        <v>5.5566551836602203E-2</v>
      </c>
      <c r="Y1624" s="135">
        <v>6.8602470305749202E-2</v>
      </c>
      <c r="Z1624" s="135">
        <v>6.5904032553255304E-2</v>
      </c>
      <c r="AA1624" s="135">
        <v>6.7145748732966304E-2</v>
      </c>
      <c r="AB1624" s="135">
        <v>5.7693615293340099E-2</v>
      </c>
      <c r="AC1624" s="135">
        <v>4.2408278037323499E-2</v>
      </c>
      <c r="AD1624" s="135">
        <v>3.0024095536888E-2</v>
      </c>
      <c r="AF1624" s="243">
        <f t="shared" si="31"/>
        <v>0.29101155677425411</v>
      </c>
      <c r="AG1624" s="275">
        <f t="shared" si="32"/>
        <v>0.4537159654843691</v>
      </c>
      <c r="AH1624" s="391">
        <f t="shared" si="33"/>
        <v>0.7048699863865745</v>
      </c>
      <c r="AI1624" s="135">
        <f t="shared" si="34"/>
        <v>1.1585859518709436</v>
      </c>
    </row>
    <row r="1625" spans="1:35" ht="12.6">
      <c r="A1625" s="10" t="s">
        <v>58</v>
      </c>
      <c r="B1625" s="10">
        <v>164</v>
      </c>
      <c r="C1625" s="10" t="s">
        <v>1514</v>
      </c>
      <c r="D1625" s="388">
        <v>45090</v>
      </c>
      <c r="E1625" s="389">
        <v>45090</v>
      </c>
      <c r="F1625" s="390" t="str">
        <f t="shared" si="30"/>
        <v>Water heating</v>
      </c>
      <c r="G1625" s="135">
        <v>2.0061509553606499E-2</v>
      </c>
      <c r="H1625" s="135">
        <v>2.03876347727301E-2</v>
      </c>
      <c r="I1625" s="135">
        <v>1.6753605519526499E-2</v>
      </c>
      <c r="J1625" s="135">
        <v>1.42122819087922E-2</v>
      </c>
      <c r="K1625" s="135">
        <v>2.4947168454787699E-2</v>
      </c>
      <c r="L1625" s="135">
        <v>3.27053400896095E-2</v>
      </c>
      <c r="M1625" s="135">
        <v>7.1078546382967206E-2</v>
      </c>
      <c r="N1625" s="135">
        <v>0.13379956039823901</v>
      </c>
      <c r="O1625" s="135">
        <v>9.0805582704996293E-2</v>
      </c>
      <c r="P1625" s="135">
        <v>5.5478373015309897E-2</v>
      </c>
      <c r="Q1625" s="135">
        <v>5.2810493488683899E-2</v>
      </c>
      <c r="R1625" s="135">
        <v>5.7063558057432399E-2</v>
      </c>
      <c r="S1625" s="135">
        <v>4.7302748707018102E-2</v>
      </c>
      <c r="T1625" s="135">
        <v>3.72294280316771E-2</v>
      </c>
      <c r="U1625" s="135">
        <v>2.7864338995497999E-2</v>
      </c>
      <c r="V1625" s="135">
        <v>3.01915398727104E-2</v>
      </c>
      <c r="W1625" s="135">
        <v>3.8549449621234202E-2</v>
      </c>
      <c r="X1625" s="135">
        <v>5.5566551836602203E-2</v>
      </c>
      <c r="Y1625" s="135">
        <v>6.8602470305749202E-2</v>
      </c>
      <c r="Z1625" s="135">
        <v>6.5904032553255304E-2</v>
      </c>
      <c r="AA1625" s="135">
        <v>6.7145748732966304E-2</v>
      </c>
      <c r="AB1625" s="135">
        <v>5.7693615293340099E-2</v>
      </c>
      <c r="AC1625" s="135">
        <v>4.2408278037323499E-2</v>
      </c>
      <c r="AD1625" s="135">
        <v>3.0024095536888E-2</v>
      </c>
      <c r="AF1625" s="243">
        <f t="shared" si="31"/>
        <v>0.29101155677425411</v>
      </c>
      <c r="AG1625" s="275">
        <f t="shared" si="32"/>
        <v>0.4537159654843691</v>
      </c>
      <c r="AH1625" s="391">
        <f t="shared" si="33"/>
        <v>0.7048699863865745</v>
      </c>
      <c r="AI1625" s="135">
        <f t="shared" si="34"/>
        <v>1.1585859518709436</v>
      </c>
    </row>
    <row r="1626" spans="1:35" ht="12.6">
      <c r="A1626" s="10" t="s">
        <v>58</v>
      </c>
      <c r="B1626" s="10">
        <v>165</v>
      </c>
      <c r="C1626" s="10" t="s">
        <v>1514</v>
      </c>
      <c r="D1626" s="388">
        <v>45091</v>
      </c>
      <c r="E1626" s="389">
        <v>45091</v>
      </c>
      <c r="F1626" s="390" t="str">
        <f t="shared" si="30"/>
        <v>Water heating</v>
      </c>
      <c r="G1626" s="135">
        <v>2.0061509553606499E-2</v>
      </c>
      <c r="H1626" s="135">
        <v>2.03876347727301E-2</v>
      </c>
      <c r="I1626" s="135">
        <v>1.6753605519526499E-2</v>
      </c>
      <c r="J1626" s="135">
        <v>1.42122819087922E-2</v>
      </c>
      <c r="K1626" s="135">
        <v>2.4947168454787699E-2</v>
      </c>
      <c r="L1626" s="135">
        <v>3.27053400896095E-2</v>
      </c>
      <c r="M1626" s="135">
        <v>7.1078546382967206E-2</v>
      </c>
      <c r="N1626" s="135">
        <v>0.13379956039823901</v>
      </c>
      <c r="O1626" s="135">
        <v>9.0805582704996293E-2</v>
      </c>
      <c r="P1626" s="135">
        <v>5.5478373015309897E-2</v>
      </c>
      <c r="Q1626" s="135">
        <v>5.2810493488683899E-2</v>
      </c>
      <c r="R1626" s="135">
        <v>5.7063558057432399E-2</v>
      </c>
      <c r="S1626" s="135">
        <v>4.7302748707018102E-2</v>
      </c>
      <c r="T1626" s="135">
        <v>3.72294280316771E-2</v>
      </c>
      <c r="U1626" s="135">
        <v>2.7864338995497999E-2</v>
      </c>
      <c r="V1626" s="135">
        <v>3.01915398727104E-2</v>
      </c>
      <c r="W1626" s="135">
        <v>3.8549449621234202E-2</v>
      </c>
      <c r="X1626" s="135">
        <v>5.5566551836602203E-2</v>
      </c>
      <c r="Y1626" s="135">
        <v>6.8602470305749202E-2</v>
      </c>
      <c r="Z1626" s="135">
        <v>6.5904032553255304E-2</v>
      </c>
      <c r="AA1626" s="135">
        <v>6.7145748732966304E-2</v>
      </c>
      <c r="AB1626" s="135">
        <v>5.7693615293340099E-2</v>
      </c>
      <c r="AC1626" s="135">
        <v>4.2408278037323499E-2</v>
      </c>
      <c r="AD1626" s="135">
        <v>3.0024095536888E-2</v>
      </c>
      <c r="AF1626" s="243">
        <f t="shared" si="31"/>
        <v>0.29101155677425411</v>
      </c>
      <c r="AG1626" s="275">
        <f t="shared" si="32"/>
        <v>0.4537159654843691</v>
      </c>
      <c r="AH1626" s="391">
        <f t="shared" si="33"/>
        <v>0.7048699863865745</v>
      </c>
      <c r="AI1626" s="135">
        <f t="shared" si="34"/>
        <v>1.1585859518709436</v>
      </c>
    </row>
    <row r="1627" spans="1:35" ht="12.6">
      <c r="A1627" s="10" t="s">
        <v>58</v>
      </c>
      <c r="B1627" s="10">
        <v>166</v>
      </c>
      <c r="C1627" s="10" t="s">
        <v>1514</v>
      </c>
      <c r="D1627" s="388">
        <v>45092</v>
      </c>
      <c r="E1627" s="389">
        <v>45092</v>
      </c>
      <c r="F1627" s="390" t="str">
        <f t="shared" si="30"/>
        <v>Water heating</v>
      </c>
      <c r="G1627" s="135">
        <v>2.0061509553606499E-2</v>
      </c>
      <c r="H1627" s="135">
        <v>2.03876347727301E-2</v>
      </c>
      <c r="I1627" s="135">
        <v>1.6753605519526499E-2</v>
      </c>
      <c r="J1627" s="135">
        <v>1.42122819087922E-2</v>
      </c>
      <c r="K1627" s="135">
        <v>2.4947168454787699E-2</v>
      </c>
      <c r="L1627" s="135">
        <v>3.27053400896095E-2</v>
      </c>
      <c r="M1627" s="135">
        <v>7.1078546382967206E-2</v>
      </c>
      <c r="N1627" s="135">
        <v>0.13379956039823901</v>
      </c>
      <c r="O1627" s="135">
        <v>9.0805582704996293E-2</v>
      </c>
      <c r="P1627" s="135">
        <v>5.5478373015309897E-2</v>
      </c>
      <c r="Q1627" s="135">
        <v>5.2810493488683899E-2</v>
      </c>
      <c r="R1627" s="135">
        <v>5.7063558057432399E-2</v>
      </c>
      <c r="S1627" s="135">
        <v>4.7302748707018102E-2</v>
      </c>
      <c r="T1627" s="135">
        <v>3.72294280316771E-2</v>
      </c>
      <c r="U1627" s="135">
        <v>2.7864338995497999E-2</v>
      </c>
      <c r="V1627" s="135">
        <v>3.01915398727104E-2</v>
      </c>
      <c r="W1627" s="135">
        <v>3.8549449621234202E-2</v>
      </c>
      <c r="X1627" s="135">
        <v>5.5566551836602203E-2</v>
      </c>
      <c r="Y1627" s="135">
        <v>6.8602470305749202E-2</v>
      </c>
      <c r="Z1627" s="135">
        <v>6.5904032553255304E-2</v>
      </c>
      <c r="AA1627" s="135">
        <v>6.7145748732966304E-2</v>
      </c>
      <c r="AB1627" s="135">
        <v>5.7693615293340099E-2</v>
      </c>
      <c r="AC1627" s="135">
        <v>4.2408278037323499E-2</v>
      </c>
      <c r="AD1627" s="135">
        <v>3.0024095536888E-2</v>
      </c>
      <c r="AF1627" s="243">
        <f t="shared" si="31"/>
        <v>0.29101155677425411</v>
      </c>
      <c r="AG1627" s="275">
        <f t="shared" si="32"/>
        <v>0.4537159654843691</v>
      </c>
      <c r="AH1627" s="391">
        <f t="shared" si="33"/>
        <v>0.7048699863865745</v>
      </c>
      <c r="AI1627" s="135">
        <f t="shared" si="34"/>
        <v>1.1585859518709436</v>
      </c>
    </row>
    <row r="1628" spans="1:35" ht="12.6">
      <c r="A1628" s="10" t="s">
        <v>58</v>
      </c>
      <c r="B1628" s="10">
        <v>167</v>
      </c>
      <c r="C1628" s="10" t="s">
        <v>1514</v>
      </c>
      <c r="D1628" s="388">
        <v>45093</v>
      </c>
      <c r="E1628" s="389">
        <v>45093</v>
      </c>
      <c r="F1628" s="390" t="str">
        <f t="shared" si="30"/>
        <v>Water heating</v>
      </c>
      <c r="G1628" s="135">
        <v>2.0061509553606499E-2</v>
      </c>
      <c r="H1628" s="135">
        <v>2.03876347727301E-2</v>
      </c>
      <c r="I1628" s="135">
        <v>1.6753605519526499E-2</v>
      </c>
      <c r="J1628" s="135">
        <v>1.42122819087922E-2</v>
      </c>
      <c r="K1628" s="135">
        <v>2.4947168454787699E-2</v>
      </c>
      <c r="L1628" s="135">
        <v>3.27053400896095E-2</v>
      </c>
      <c r="M1628" s="135">
        <v>7.1078546382967206E-2</v>
      </c>
      <c r="N1628" s="135">
        <v>0.13379956039823901</v>
      </c>
      <c r="O1628" s="135">
        <v>9.0805582704996293E-2</v>
      </c>
      <c r="P1628" s="135">
        <v>5.5478373015309897E-2</v>
      </c>
      <c r="Q1628" s="135">
        <v>5.2810493488683899E-2</v>
      </c>
      <c r="R1628" s="135">
        <v>5.7063558057432399E-2</v>
      </c>
      <c r="S1628" s="135">
        <v>4.7302748707018102E-2</v>
      </c>
      <c r="T1628" s="135">
        <v>3.72294280316771E-2</v>
      </c>
      <c r="U1628" s="135">
        <v>2.7864338995497999E-2</v>
      </c>
      <c r="V1628" s="135">
        <v>3.01915398727104E-2</v>
      </c>
      <c r="W1628" s="135">
        <v>3.8549449621234202E-2</v>
      </c>
      <c r="X1628" s="135">
        <v>5.5566551836602203E-2</v>
      </c>
      <c r="Y1628" s="135">
        <v>6.8602470305749202E-2</v>
      </c>
      <c r="Z1628" s="135">
        <v>6.5904032553255304E-2</v>
      </c>
      <c r="AA1628" s="135">
        <v>6.7145748732966304E-2</v>
      </c>
      <c r="AB1628" s="135">
        <v>5.7693615293340099E-2</v>
      </c>
      <c r="AC1628" s="135">
        <v>4.2408278037323499E-2</v>
      </c>
      <c r="AD1628" s="135">
        <v>3.0024095536888E-2</v>
      </c>
      <c r="AF1628" s="243">
        <f t="shared" si="31"/>
        <v>0.29101155677425411</v>
      </c>
      <c r="AG1628" s="275">
        <f t="shared" si="32"/>
        <v>0.4537159654843691</v>
      </c>
      <c r="AH1628" s="391">
        <f t="shared" si="33"/>
        <v>0.7048699863865745</v>
      </c>
      <c r="AI1628" s="135">
        <f t="shared" si="34"/>
        <v>1.1585859518709436</v>
      </c>
    </row>
    <row r="1629" spans="1:35" ht="12.6">
      <c r="A1629" s="10" t="s">
        <v>58</v>
      </c>
      <c r="B1629" s="10">
        <v>168</v>
      </c>
      <c r="C1629" s="10" t="s">
        <v>1514</v>
      </c>
      <c r="D1629" s="388">
        <v>45094</v>
      </c>
      <c r="E1629" s="389">
        <v>45094</v>
      </c>
      <c r="F1629" s="390" t="str">
        <f t="shared" si="30"/>
        <v>Water heating</v>
      </c>
      <c r="G1629" s="135">
        <v>2.04101148177275E-2</v>
      </c>
      <c r="H1629" s="135">
        <v>1.9716913414001499E-2</v>
      </c>
      <c r="I1629" s="135">
        <v>1.6638557398121302E-2</v>
      </c>
      <c r="J1629" s="135">
        <v>1.40064079219577E-2</v>
      </c>
      <c r="K1629" s="135">
        <v>2.2460860939879701E-2</v>
      </c>
      <c r="L1629" s="135">
        <v>2.3076502943698399E-2</v>
      </c>
      <c r="M1629" s="135">
        <v>1.50880973548259E-2</v>
      </c>
      <c r="N1629" s="135">
        <v>4.0509288457499702E-2</v>
      </c>
      <c r="O1629" s="135">
        <v>6.3755056848317004E-2</v>
      </c>
      <c r="P1629" s="135">
        <v>9.1875402324564703E-2</v>
      </c>
      <c r="Q1629" s="135">
        <v>9.6456069881928702E-2</v>
      </c>
      <c r="R1629" s="135">
        <v>8.8103665978442394E-2</v>
      </c>
      <c r="S1629" s="135">
        <v>7.5601563331188906E-2</v>
      </c>
      <c r="T1629" s="135">
        <v>6.2924842571207895E-2</v>
      </c>
      <c r="U1629" s="135">
        <v>4.62104107919621E-2</v>
      </c>
      <c r="V1629" s="135">
        <v>4.9524632568285203E-2</v>
      </c>
      <c r="W1629" s="135">
        <v>5.8831065275470301E-2</v>
      </c>
      <c r="X1629" s="135">
        <v>6.6430061386033107E-2</v>
      </c>
      <c r="Y1629" s="135">
        <v>7.3148345546801302E-2</v>
      </c>
      <c r="Z1629" s="135">
        <v>6.1808796676876297E-2</v>
      </c>
      <c r="AA1629" s="135">
        <v>5.6772925649949797E-2</v>
      </c>
      <c r="AB1629" s="135">
        <v>5.1125461056197898E-2</v>
      </c>
      <c r="AC1629" s="135">
        <v>3.7544323279059599E-2</v>
      </c>
      <c r="AD1629" s="135">
        <v>2.74046736576571E-2</v>
      </c>
      <c r="AF1629" s="243">
        <f t="shared" si="31"/>
        <v>0.47765225039848547</v>
      </c>
      <c r="AG1629" s="275">
        <f t="shared" si="32"/>
        <v>0.48943896626504335</v>
      </c>
      <c r="AH1629" s="391">
        <f t="shared" si="33"/>
        <v>0.68998507380661089</v>
      </c>
      <c r="AI1629" s="135">
        <f t="shared" si="34"/>
        <v>1.1794240400716542</v>
      </c>
    </row>
    <row r="1630" spans="1:35" ht="12.6">
      <c r="A1630" s="10" t="s">
        <v>58</v>
      </c>
      <c r="B1630" s="10">
        <v>169</v>
      </c>
      <c r="C1630" s="10" t="s">
        <v>1514</v>
      </c>
      <c r="D1630" s="388">
        <v>45095</v>
      </c>
      <c r="E1630" s="389">
        <v>45095</v>
      </c>
      <c r="F1630" s="390" t="str">
        <f t="shared" si="30"/>
        <v>Water heating</v>
      </c>
      <c r="G1630" s="135">
        <v>2.04101148177275E-2</v>
      </c>
      <c r="H1630" s="135">
        <v>1.9716913414001499E-2</v>
      </c>
      <c r="I1630" s="135">
        <v>1.6638557398121302E-2</v>
      </c>
      <c r="J1630" s="135">
        <v>1.40064079219577E-2</v>
      </c>
      <c r="K1630" s="135">
        <v>2.2460860939879701E-2</v>
      </c>
      <c r="L1630" s="135">
        <v>2.3076502943698399E-2</v>
      </c>
      <c r="M1630" s="135">
        <v>1.50880973548259E-2</v>
      </c>
      <c r="N1630" s="135">
        <v>4.0509288457499702E-2</v>
      </c>
      <c r="O1630" s="135">
        <v>6.3755056848317004E-2</v>
      </c>
      <c r="P1630" s="135">
        <v>9.1875402324564703E-2</v>
      </c>
      <c r="Q1630" s="135">
        <v>9.6456069881928702E-2</v>
      </c>
      <c r="R1630" s="135">
        <v>8.8103665978442394E-2</v>
      </c>
      <c r="S1630" s="135">
        <v>7.5601563331188906E-2</v>
      </c>
      <c r="T1630" s="135">
        <v>6.2924842571207895E-2</v>
      </c>
      <c r="U1630" s="135">
        <v>4.62104107919621E-2</v>
      </c>
      <c r="V1630" s="135">
        <v>4.9524632568285203E-2</v>
      </c>
      <c r="W1630" s="135">
        <v>5.8831065275470301E-2</v>
      </c>
      <c r="X1630" s="135">
        <v>6.6430061386033107E-2</v>
      </c>
      <c r="Y1630" s="135">
        <v>7.3148345546801302E-2</v>
      </c>
      <c r="Z1630" s="135">
        <v>6.1808796676876297E-2</v>
      </c>
      <c r="AA1630" s="135">
        <v>5.6772925649949797E-2</v>
      </c>
      <c r="AB1630" s="135">
        <v>5.1125461056197898E-2</v>
      </c>
      <c r="AC1630" s="135">
        <v>3.7544323279059599E-2</v>
      </c>
      <c r="AD1630" s="135">
        <v>2.74046736576571E-2</v>
      </c>
      <c r="AF1630" s="243">
        <f t="shared" si="31"/>
        <v>0.47765225039848547</v>
      </c>
      <c r="AG1630" s="275">
        <f t="shared" si="32"/>
        <v>0.48943896626504335</v>
      </c>
      <c r="AH1630" s="391">
        <f t="shared" si="33"/>
        <v>0.68998507380661089</v>
      </c>
      <c r="AI1630" s="135">
        <f t="shared" si="34"/>
        <v>1.1794240400716542</v>
      </c>
    </row>
    <row r="1631" spans="1:35" ht="12.6">
      <c r="A1631" s="10" t="s">
        <v>58</v>
      </c>
      <c r="B1631" s="10">
        <v>170</v>
      </c>
      <c r="C1631" s="10" t="s">
        <v>1514</v>
      </c>
      <c r="D1631" s="388">
        <v>45096</v>
      </c>
      <c r="E1631" s="389">
        <v>45096</v>
      </c>
      <c r="F1631" s="390" t="str">
        <f t="shared" si="30"/>
        <v>Water heating</v>
      </c>
      <c r="G1631" s="135">
        <v>2.0061509553606499E-2</v>
      </c>
      <c r="H1631" s="135">
        <v>2.03876347727301E-2</v>
      </c>
      <c r="I1631" s="135">
        <v>1.6753605519526499E-2</v>
      </c>
      <c r="J1631" s="135">
        <v>1.42122819087922E-2</v>
      </c>
      <c r="K1631" s="135">
        <v>2.4947168454787699E-2</v>
      </c>
      <c r="L1631" s="135">
        <v>3.27053400896095E-2</v>
      </c>
      <c r="M1631" s="135">
        <v>7.1078546382967206E-2</v>
      </c>
      <c r="N1631" s="135">
        <v>0.13379956039823901</v>
      </c>
      <c r="O1631" s="135">
        <v>9.0805582704996293E-2</v>
      </c>
      <c r="P1631" s="135">
        <v>5.5478373015309897E-2</v>
      </c>
      <c r="Q1631" s="135">
        <v>5.2810493488683899E-2</v>
      </c>
      <c r="R1631" s="135">
        <v>5.7063558057432399E-2</v>
      </c>
      <c r="S1631" s="135">
        <v>4.7302748707018102E-2</v>
      </c>
      <c r="T1631" s="135">
        <v>3.72294280316771E-2</v>
      </c>
      <c r="U1631" s="135">
        <v>2.7864338995497999E-2</v>
      </c>
      <c r="V1631" s="135">
        <v>3.01915398727104E-2</v>
      </c>
      <c r="W1631" s="135">
        <v>3.8549449621234202E-2</v>
      </c>
      <c r="X1631" s="135">
        <v>5.5566551836602203E-2</v>
      </c>
      <c r="Y1631" s="135">
        <v>6.8602470305749202E-2</v>
      </c>
      <c r="Z1631" s="135">
        <v>6.5904032553255304E-2</v>
      </c>
      <c r="AA1631" s="135">
        <v>6.7145748732966304E-2</v>
      </c>
      <c r="AB1631" s="135">
        <v>5.7693615293340099E-2</v>
      </c>
      <c r="AC1631" s="135">
        <v>4.2408278037323499E-2</v>
      </c>
      <c r="AD1631" s="135">
        <v>3.0024095536888E-2</v>
      </c>
      <c r="AF1631" s="243">
        <f t="shared" si="31"/>
        <v>0.29101155677425411</v>
      </c>
      <c r="AG1631" s="275">
        <f t="shared" si="32"/>
        <v>0.4537159654843691</v>
      </c>
      <c r="AH1631" s="391">
        <f t="shared" si="33"/>
        <v>0.7048699863865745</v>
      </c>
      <c r="AI1631" s="135">
        <f t="shared" si="34"/>
        <v>1.1585859518709436</v>
      </c>
    </row>
    <row r="1632" spans="1:35" ht="12.6">
      <c r="A1632" s="10" t="s">
        <v>58</v>
      </c>
      <c r="B1632" s="10">
        <v>171</v>
      </c>
      <c r="C1632" s="10" t="s">
        <v>1514</v>
      </c>
      <c r="D1632" s="388">
        <v>45097</v>
      </c>
      <c r="E1632" s="389">
        <v>45097</v>
      </c>
      <c r="F1632" s="390" t="str">
        <f t="shared" si="30"/>
        <v>Water heating</v>
      </c>
      <c r="G1632" s="135">
        <v>2.0061509553606499E-2</v>
      </c>
      <c r="H1632" s="135">
        <v>2.03876347727301E-2</v>
      </c>
      <c r="I1632" s="135">
        <v>1.6753605519526499E-2</v>
      </c>
      <c r="J1632" s="135">
        <v>1.42122819087922E-2</v>
      </c>
      <c r="K1632" s="135">
        <v>2.4947168454787699E-2</v>
      </c>
      <c r="L1632" s="135">
        <v>3.27053400896095E-2</v>
      </c>
      <c r="M1632" s="135">
        <v>7.1078546382967206E-2</v>
      </c>
      <c r="N1632" s="135">
        <v>0.13379956039823901</v>
      </c>
      <c r="O1632" s="135">
        <v>9.0805582704996293E-2</v>
      </c>
      <c r="P1632" s="135">
        <v>5.5478373015309897E-2</v>
      </c>
      <c r="Q1632" s="135">
        <v>5.2810493488683899E-2</v>
      </c>
      <c r="R1632" s="135">
        <v>5.7063558057432399E-2</v>
      </c>
      <c r="S1632" s="135">
        <v>4.7302748707018102E-2</v>
      </c>
      <c r="T1632" s="135">
        <v>3.72294280316771E-2</v>
      </c>
      <c r="U1632" s="135">
        <v>2.7864338995497999E-2</v>
      </c>
      <c r="V1632" s="135">
        <v>3.01915398727104E-2</v>
      </c>
      <c r="W1632" s="135">
        <v>3.8549449621234202E-2</v>
      </c>
      <c r="X1632" s="135">
        <v>5.5566551836602203E-2</v>
      </c>
      <c r="Y1632" s="135">
        <v>6.8602470305749202E-2</v>
      </c>
      <c r="Z1632" s="135">
        <v>6.5904032553255304E-2</v>
      </c>
      <c r="AA1632" s="135">
        <v>6.7145748732966304E-2</v>
      </c>
      <c r="AB1632" s="135">
        <v>5.7693615293340099E-2</v>
      </c>
      <c r="AC1632" s="135">
        <v>4.2408278037323499E-2</v>
      </c>
      <c r="AD1632" s="135">
        <v>3.0024095536888E-2</v>
      </c>
      <c r="AF1632" s="243">
        <f t="shared" si="31"/>
        <v>0.29101155677425411</v>
      </c>
      <c r="AG1632" s="275">
        <f t="shared" si="32"/>
        <v>0.4537159654843691</v>
      </c>
      <c r="AH1632" s="391">
        <f t="shared" si="33"/>
        <v>0.7048699863865745</v>
      </c>
      <c r="AI1632" s="135">
        <f t="shared" si="34"/>
        <v>1.1585859518709436</v>
      </c>
    </row>
    <row r="1633" spans="1:35" ht="12.6">
      <c r="A1633" s="10" t="s">
        <v>58</v>
      </c>
      <c r="B1633" s="10">
        <v>172</v>
      </c>
      <c r="C1633" s="10" t="s">
        <v>1514</v>
      </c>
      <c r="D1633" s="388">
        <v>45098</v>
      </c>
      <c r="E1633" s="389">
        <v>45098</v>
      </c>
      <c r="F1633" s="390" t="str">
        <f t="shared" si="30"/>
        <v>Water heating</v>
      </c>
      <c r="G1633" s="135">
        <v>2.0061509553606499E-2</v>
      </c>
      <c r="H1633" s="135">
        <v>2.03876347727301E-2</v>
      </c>
      <c r="I1633" s="135">
        <v>1.6753605519526499E-2</v>
      </c>
      <c r="J1633" s="135">
        <v>1.42122819087922E-2</v>
      </c>
      <c r="K1633" s="135">
        <v>2.4947168454787699E-2</v>
      </c>
      <c r="L1633" s="135">
        <v>3.27053400896095E-2</v>
      </c>
      <c r="M1633" s="135">
        <v>7.1078546382967206E-2</v>
      </c>
      <c r="N1633" s="135">
        <v>0.13379956039823901</v>
      </c>
      <c r="O1633" s="135">
        <v>9.0805582704996293E-2</v>
      </c>
      <c r="P1633" s="135">
        <v>5.5478373015309897E-2</v>
      </c>
      <c r="Q1633" s="135">
        <v>5.2810493488683899E-2</v>
      </c>
      <c r="R1633" s="135">
        <v>5.7063558057432399E-2</v>
      </c>
      <c r="S1633" s="135">
        <v>4.7302748707018102E-2</v>
      </c>
      <c r="T1633" s="135">
        <v>3.72294280316771E-2</v>
      </c>
      <c r="U1633" s="135">
        <v>2.7864338995497999E-2</v>
      </c>
      <c r="V1633" s="135">
        <v>3.01915398727104E-2</v>
      </c>
      <c r="W1633" s="135">
        <v>3.8549449621234202E-2</v>
      </c>
      <c r="X1633" s="135">
        <v>5.5566551836602203E-2</v>
      </c>
      <c r="Y1633" s="135">
        <v>6.8602470305749202E-2</v>
      </c>
      <c r="Z1633" s="135">
        <v>6.5904032553255304E-2</v>
      </c>
      <c r="AA1633" s="135">
        <v>6.7145748732966304E-2</v>
      </c>
      <c r="AB1633" s="135">
        <v>5.7693615293340099E-2</v>
      </c>
      <c r="AC1633" s="135">
        <v>4.2408278037323499E-2</v>
      </c>
      <c r="AD1633" s="135">
        <v>3.0024095536888E-2</v>
      </c>
      <c r="AF1633" s="243">
        <f t="shared" si="31"/>
        <v>0.29101155677425411</v>
      </c>
      <c r="AG1633" s="275">
        <f t="shared" si="32"/>
        <v>0.4537159654843691</v>
      </c>
      <c r="AH1633" s="391">
        <f t="shared" si="33"/>
        <v>0.7048699863865745</v>
      </c>
      <c r="AI1633" s="135">
        <f t="shared" si="34"/>
        <v>1.1585859518709436</v>
      </c>
    </row>
    <row r="1634" spans="1:35" ht="12.6">
      <c r="A1634" s="10" t="s">
        <v>58</v>
      </c>
      <c r="B1634" s="10">
        <v>173</v>
      </c>
      <c r="C1634" s="10" t="s">
        <v>1514</v>
      </c>
      <c r="D1634" s="388">
        <v>45099</v>
      </c>
      <c r="E1634" s="389">
        <v>45099</v>
      </c>
      <c r="F1634" s="390" t="str">
        <f t="shared" si="30"/>
        <v>Water heating</v>
      </c>
      <c r="G1634" s="135">
        <v>2.0061509553606499E-2</v>
      </c>
      <c r="H1634" s="135">
        <v>2.03876347727301E-2</v>
      </c>
      <c r="I1634" s="135">
        <v>1.6753605519526499E-2</v>
      </c>
      <c r="J1634" s="135">
        <v>1.42122819087922E-2</v>
      </c>
      <c r="K1634" s="135">
        <v>2.4947168454787699E-2</v>
      </c>
      <c r="L1634" s="135">
        <v>3.27053400896095E-2</v>
      </c>
      <c r="M1634" s="135">
        <v>7.1078546382967206E-2</v>
      </c>
      <c r="N1634" s="135">
        <v>0.13379956039823901</v>
      </c>
      <c r="O1634" s="135">
        <v>9.0805582704996293E-2</v>
      </c>
      <c r="P1634" s="135">
        <v>5.5478373015309897E-2</v>
      </c>
      <c r="Q1634" s="135">
        <v>5.2810493488683899E-2</v>
      </c>
      <c r="R1634" s="135">
        <v>5.7063558057432399E-2</v>
      </c>
      <c r="S1634" s="135">
        <v>4.7302748707018102E-2</v>
      </c>
      <c r="T1634" s="135">
        <v>3.72294280316771E-2</v>
      </c>
      <c r="U1634" s="135">
        <v>2.7864338995497999E-2</v>
      </c>
      <c r="V1634" s="135">
        <v>3.01915398727104E-2</v>
      </c>
      <c r="W1634" s="135">
        <v>3.8549449621234202E-2</v>
      </c>
      <c r="X1634" s="135">
        <v>5.5566551836602203E-2</v>
      </c>
      <c r="Y1634" s="135">
        <v>6.8602470305749202E-2</v>
      </c>
      <c r="Z1634" s="135">
        <v>6.5904032553255304E-2</v>
      </c>
      <c r="AA1634" s="135">
        <v>6.7145748732966304E-2</v>
      </c>
      <c r="AB1634" s="135">
        <v>5.7693615293340099E-2</v>
      </c>
      <c r="AC1634" s="135">
        <v>4.2408278037323499E-2</v>
      </c>
      <c r="AD1634" s="135">
        <v>3.0024095536888E-2</v>
      </c>
      <c r="AF1634" s="243">
        <f t="shared" si="31"/>
        <v>0.29101155677425411</v>
      </c>
      <c r="AG1634" s="275">
        <f t="shared" si="32"/>
        <v>0.4537159654843691</v>
      </c>
      <c r="AH1634" s="391">
        <f t="shared" si="33"/>
        <v>0.7048699863865745</v>
      </c>
      <c r="AI1634" s="135">
        <f t="shared" si="34"/>
        <v>1.1585859518709436</v>
      </c>
    </row>
    <row r="1635" spans="1:35" ht="12.6">
      <c r="A1635" s="10" t="s">
        <v>58</v>
      </c>
      <c r="B1635" s="10">
        <v>174</v>
      </c>
      <c r="C1635" s="10" t="s">
        <v>1514</v>
      </c>
      <c r="D1635" s="388">
        <v>45100</v>
      </c>
      <c r="E1635" s="389">
        <v>45100</v>
      </c>
      <c r="F1635" s="390" t="str">
        <f t="shared" si="30"/>
        <v>Water heating</v>
      </c>
      <c r="G1635" s="135">
        <v>2.0061509553606499E-2</v>
      </c>
      <c r="H1635" s="135">
        <v>2.03876347727301E-2</v>
      </c>
      <c r="I1635" s="135">
        <v>1.6753605519526499E-2</v>
      </c>
      <c r="J1635" s="135">
        <v>1.42122819087922E-2</v>
      </c>
      <c r="K1635" s="135">
        <v>2.4947168454787699E-2</v>
      </c>
      <c r="L1635" s="135">
        <v>3.27053400896095E-2</v>
      </c>
      <c r="M1635" s="135">
        <v>7.1078546382967206E-2</v>
      </c>
      <c r="N1635" s="135">
        <v>0.13379956039823901</v>
      </c>
      <c r="O1635" s="135">
        <v>9.0805582704996293E-2</v>
      </c>
      <c r="P1635" s="135">
        <v>5.5478373015309897E-2</v>
      </c>
      <c r="Q1635" s="135">
        <v>5.2810493488683899E-2</v>
      </c>
      <c r="R1635" s="135">
        <v>5.7063558057432399E-2</v>
      </c>
      <c r="S1635" s="135">
        <v>4.7302748707018102E-2</v>
      </c>
      <c r="T1635" s="135">
        <v>3.72294280316771E-2</v>
      </c>
      <c r="U1635" s="135">
        <v>2.7864338995497999E-2</v>
      </c>
      <c r="V1635" s="135">
        <v>3.01915398727104E-2</v>
      </c>
      <c r="W1635" s="135">
        <v>3.8549449621234202E-2</v>
      </c>
      <c r="X1635" s="135">
        <v>5.5566551836602203E-2</v>
      </c>
      <c r="Y1635" s="135">
        <v>6.8602470305749202E-2</v>
      </c>
      <c r="Z1635" s="135">
        <v>6.5904032553255304E-2</v>
      </c>
      <c r="AA1635" s="135">
        <v>6.7145748732966304E-2</v>
      </c>
      <c r="AB1635" s="135">
        <v>5.7693615293340099E-2</v>
      </c>
      <c r="AC1635" s="135">
        <v>4.2408278037323499E-2</v>
      </c>
      <c r="AD1635" s="135">
        <v>3.0024095536888E-2</v>
      </c>
      <c r="AF1635" s="243">
        <f t="shared" si="31"/>
        <v>0.29101155677425411</v>
      </c>
      <c r="AG1635" s="275">
        <f t="shared" si="32"/>
        <v>0.4537159654843691</v>
      </c>
      <c r="AH1635" s="391">
        <f t="shared" si="33"/>
        <v>0.7048699863865745</v>
      </c>
      <c r="AI1635" s="135">
        <f t="shared" si="34"/>
        <v>1.1585859518709436</v>
      </c>
    </row>
    <row r="1636" spans="1:35" ht="12.6">
      <c r="A1636" s="10" t="s">
        <v>58</v>
      </c>
      <c r="B1636" s="10">
        <v>175</v>
      </c>
      <c r="C1636" s="10" t="s">
        <v>1514</v>
      </c>
      <c r="D1636" s="388">
        <v>45101</v>
      </c>
      <c r="E1636" s="389">
        <v>45101</v>
      </c>
      <c r="F1636" s="390" t="str">
        <f t="shared" si="30"/>
        <v>Water heating</v>
      </c>
      <c r="G1636" s="135">
        <v>2.04101148177275E-2</v>
      </c>
      <c r="H1636" s="135">
        <v>1.9716913414001499E-2</v>
      </c>
      <c r="I1636" s="135">
        <v>1.6638557398121302E-2</v>
      </c>
      <c r="J1636" s="135">
        <v>1.40064079219577E-2</v>
      </c>
      <c r="K1636" s="135">
        <v>2.2460860939879701E-2</v>
      </c>
      <c r="L1636" s="135">
        <v>2.3076502943698399E-2</v>
      </c>
      <c r="M1636" s="135">
        <v>1.50880973548259E-2</v>
      </c>
      <c r="N1636" s="135">
        <v>4.0509288457499702E-2</v>
      </c>
      <c r="O1636" s="135">
        <v>6.3755056848317004E-2</v>
      </c>
      <c r="P1636" s="135">
        <v>9.1875402324564703E-2</v>
      </c>
      <c r="Q1636" s="135">
        <v>9.6456069881928702E-2</v>
      </c>
      <c r="R1636" s="135">
        <v>8.8103665978442394E-2</v>
      </c>
      <c r="S1636" s="135">
        <v>7.5601563331188906E-2</v>
      </c>
      <c r="T1636" s="135">
        <v>6.2924842571207895E-2</v>
      </c>
      <c r="U1636" s="135">
        <v>4.62104107919621E-2</v>
      </c>
      <c r="V1636" s="135">
        <v>4.9524632568285203E-2</v>
      </c>
      <c r="W1636" s="135">
        <v>5.8831065275470301E-2</v>
      </c>
      <c r="X1636" s="135">
        <v>6.6430061386033107E-2</v>
      </c>
      <c r="Y1636" s="135">
        <v>7.3148345546801302E-2</v>
      </c>
      <c r="Z1636" s="135">
        <v>6.1808796676876297E-2</v>
      </c>
      <c r="AA1636" s="135">
        <v>5.6772925649949797E-2</v>
      </c>
      <c r="AB1636" s="135">
        <v>5.1125461056197898E-2</v>
      </c>
      <c r="AC1636" s="135">
        <v>3.7544323279059599E-2</v>
      </c>
      <c r="AD1636" s="135">
        <v>2.74046736576571E-2</v>
      </c>
      <c r="AF1636" s="243">
        <f t="shared" si="31"/>
        <v>0.47765225039848547</v>
      </c>
      <c r="AG1636" s="275">
        <f t="shared" si="32"/>
        <v>0.48943896626504335</v>
      </c>
      <c r="AH1636" s="391">
        <f t="shared" si="33"/>
        <v>0.68998507380661089</v>
      </c>
      <c r="AI1636" s="135">
        <f t="shared" si="34"/>
        <v>1.1794240400716542</v>
      </c>
    </row>
    <row r="1637" spans="1:35" ht="12.6">
      <c r="A1637" s="10" t="s">
        <v>58</v>
      </c>
      <c r="B1637" s="10">
        <v>176</v>
      </c>
      <c r="C1637" s="10" t="s">
        <v>1514</v>
      </c>
      <c r="D1637" s="388">
        <v>45102</v>
      </c>
      <c r="E1637" s="389">
        <v>45102</v>
      </c>
      <c r="F1637" s="390" t="str">
        <f t="shared" si="30"/>
        <v>Water heating</v>
      </c>
      <c r="G1637" s="135">
        <v>2.04101148177275E-2</v>
      </c>
      <c r="H1637" s="135">
        <v>1.9716913414001499E-2</v>
      </c>
      <c r="I1637" s="135">
        <v>1.6638557398121302E-2</v>
      </c>
      <c r="J1637" s="135">
        <v>1.40064079219577E-2</v>
      </c>
      <c r="K1637" s="135">
        <v>2.2460860939879701E-2</v>
      </c>
      <c r="L1637" s="135">
        <v>2.3076502943698399E-2</v>
      </c>
      <c r="M1637" s="135">
        <v>1.50880973548259E-2</v>
      </c>
      <c r="N1637" s="135">
        <v>4.0509288457499702E-2</v>
      </c>
      <c r="O1637" s="135">
        <v>6.3755056848317004E-2</v>
      </c>
      <c r="P1637" s="135">
        <v>9.1875402324564703E-2</v>
      </c>
      <c r="Q1637" s="135">
        <v>9.6456069881928702E-2</v>
      </c>
      <c r="R1637" s="135">
        <v>8.8103665978442394E-2</v>
      </c>
      <c r="S1637" s="135">
        <v>7.5601563331188906E-2</v>
      </c>
      <c r="T1637" s="135">
        <v>6.2924842571207895E-2</v>
      </c>
      <c r="U1637" s="135">
        <v>4.62104107919621E-2</v>
      </c>
      <c r="V1637" s="135">
        <v>4.9524632568285203E-2</v>
      </c>
      <c r="W1637" s="135">
        <v>5.8831065275470301E-2</v>
      </c>
      <c r="X1637" s="135">
        <v>6.6430061386033107E-2</v>
      </c>
      <c r="Y1637" s="135">
        <v>7.3148345546801302E-2</v>
      </c>
      <c r="Z1637" s="135">
        <v>6.1808796676876297E-2</v>
      </c>
      <c r="AA1637" s="135">
        <v>5.6772925649949797E-2</v>
      </c>
      <c r="AB1637" s="135">
        <v>5.1125461056197898E-2</v>
      </c>
      <c r="AC1637" s="135">
        <v>3.7544323279059599E-2</v>
      </c>
      <c r="AD1637" s="135">
        <v>2.74046736576571E-2</v>
      </c>
      <c r="AF1637" s="243">
        <f t="shared" si="31"/>
        <v>0.47765225039848547</v>
      </c>
      <c r="AG1637" s="275">
        <f t="shared" si="32"/>
        <v>0.48943896626504335</v>
      </c>
      <c r="AH1637" s="391">
        <f t="shared" si="33"/>
        <v>0.68998507380661089</v>
      </c>
      <c r="AI1637" s="135">
        <f t="shared" si="34"/>
        <v>1.1794240400716542</v>
      </c>
    </row>
    <row r="1638" spans="1:35" ht="12.6">
      <c r="A1638" s="10" t="s">
        <v>58</v>
      </c>
      <c r="B1638" s="10">
        <v>177</v>
      </c>
      <c r="C1638" s="10" t="s">
        <v>1514</v>
      </c>
      <c r="D1638" s="388">
        <v>45103</v>
      </c>
      <c r="E1638" s="389">
        <v>45103</v>
      </c>
      <c r="F1638" s="390" t="str">
        <f t="shared" si="30"/>
        <v>Water heating</v>
      </c>
      <c r="G1638" s="135">
        <v>2.0061509553606499E-2</v>
      </c>
      <c r="H1638" s="135">
        <v>2.03876347727301E-2</v>
      </c>
      <c r="I1638" s="135">
        <v>1.6753605519526499E-2</v>
      </c>
      <c r="J1638" s="135">
        <v>1.42122819087922E-2</v>
      </c>
      <c r="K1638" s="135">
        <v>2.4947168454787699E-2</v>
      </c>
      <c r="L1638" s="135">
        <v>3.27053400896095E-2</v>
      </c>
      <c r="M1638" s="135">
        <v>7.1078546382967206E-2</v>
      </c>
      <c r="N1638" s="135">
        <v>0.13379956039823901</v>
      </c>
      <c r="O1638" s="135">
        <v>9.0805582704996293E-2</v>
      </c>
      <c r="P1638" s="135">
        <v>5.5478373015309897E-2</v>
      </c>
      <c r="Q1638" s="135">
        <v>5.2810493488683899E-2</v>
      </c>
      <c r="R1638" s="135">
        <v>5.7063558057432399E-2</v>
      </c>
      <c r="S1638" s="135">
        <v>4.7302748707018102E-2</v>
      </c>
      <c r="T1638" s="135">
        <v>3.72294280316771E-2</v>
      </c>
      <c r="U1638" s="135">
        <v>2.7864338995497999E-2</v>
      </c>
      <c r="V1638" s="135">
        <v>3.01915398727104E-2</v>
      </c>
      <c r="W1638" s="135">
        <v>3.8549449621234202E-2</v>
      </c>
      <c r="X1638" s="135">
        <v>5.5566551836602203E-2</v>
      </c>
      <c r="Y1638" s="135">
        <v>6.8602470305749202E-2</v>
      </c>
      <c r="Z1638" s="135">
        <v>6.5904032553255304E-2</v>
      </c>
      <c r="AA1638" s="135">
        <v>6.7145748732966304E-2</v>
      </c>
      <c r="AB1638" s="135">
        <v>5.7693615293340099E-2</v>
      </c>
      <c r="AC1638" s="135">
        <v>4.2408278037323499E-2</v>
      </c>
      <c r="AD1638" s="135">
        <v>3.0024095536888E-2</v>
      </c>
      <c r="AF1638" s="243">
        <f t="shared" si="31"/>
        <v>0.29101155677425411</v>
      </c>
      <c r="AG1638" s="275">
        <f t="shared" si="32"/>
        <v>0.4537159654843691</v>
      </c>
      <c r="AH1638" s="391">
        <f t="shared" si="33"/>
        <v>0.7048699863865745</v>
      </c>
      <c r="AI1638" s="135">
        <f t="shared" si="34"/>
        <v>1.1585859518709436</v>
      </c>
    </row>
    <row r="1639" spans="1:35" ht="12.6">
      <c r="A1639" s="10" t="s">
        <v>58</v>
      </c>
      <c r="B1639" s="10">
        <v>178</v>
      </c>
      <c r="C1639" s="10" t="s">
        <v>1514</v>
      </c>
      <c r="D1639" s="388">
        <v>45104</v>
      </c>
      <c r="E1639" s="389">
        <v>45104</v>
      </c>
      <c r="F1639" s="390" t="str">
        <f t="shared" si="30"/>
        <v>Water heating</v>
      </c>
      <c r="G1639" s="135">
        <v>2.0061509553606499E-2</v>
      </c>
      <c r="H1639" s="135">
        <v>2.03876347727301E-2</v>
      </c>
      <c r="I1639" s="135">
        <v>1.6753605519526499E-2</v>
      </c>
      <c r="J1639" s="135">
        <v>1.42122819087922E-2</v>
      </c>
      <c r="K1639" s="135">
        <v>2.4947168454787699E-2</v>
      </c>
      <c r="L1639" s="135">
        <v>3.27053400896095E-2</v>
      </c>
      <c r="M1639" s="135">
        <v>7.1078546382967206E-2</v>
      </c>
      <c r="N1639" s="135">
        <v>0.13379956039823901</v>
      </c>
      <c r="O1639" s="135">
        <v>9.0805582704996293E-2</v>
      </c>
      <c r="P1639" s="135">
        <v>5.5478373015309897E-2</v>
      </c>
      <c r="Q1639" s="135">
        <v>5.2810493488683899E-2</v>
      </c>
      <c r="R1639" s="135">
        <v>5.7063558057432399E-2</v>
      </c>
      <c r="S1639" s="135">
        <v>4.7302748707018102E-2</v>
      </c>
      <c r="T1639" s="135">
        <v>3.72294280316771E-2</v>
      </c>
      <c r="U1639" s="135">
        <v>2.7864338995497999E-2</v>
      </c>
      <c r="V1639" s="135">
        <v>3.01915398727104E-2</v>
      </c>
      <c r="W1639" s="135">
        <v>3.8549449621234202E-2</v>
      </c>
      <c r="X1639" s="135">
        <v>5.5566551836602203E-2</v>
      </c>
      <c r="Y1639" s="135">
        <v>6.8602470305749202E-2</v>
      </c>
      <c r="Z1639" s="135">
        <v>6.5904032553255304E-2</v>
      </c>
      <c r="AA1639" s="135">
        <v>6.7145748732966304E-2</v>
      </c>
      <c r="AB1639" s="135">
        <v>5.7693615293340099E-2</v>
      </c>
      <c r="AC1639" s="135">
        <v>4.2408278037323499E-2</v>
      </c>
      <c r="AD1639" s="135">
        <v>3.0024095536888E-2</v>
      </c>
      <c r="AF1639" s="243">
        <f t="shared" si="31"/>
        <v>0.29101155677425411</v>
      </c>
      <c r="AG1639" s="275">
        <f t="shared" si="32"/>
        <v>0.4537159654843691</v>
      </c>
      <c r="AH1639" s="391">
        <f t="shared" si="33"/>
        <v>0.7048699863865745</v>
      </c>
      <c r="AI1639" s="135">
        <f t="shared" si="34"/>
        <v>1.1585859518709436</v>
      </c>
    </row>
    <row r="1640" spans="1:35" ht="12.6">
      <c r="A1640" s="10" t="s">
        <v>58</v>
      </c>
      <c r="B1640" s="10">
        <v>179</v>
      </c>
      <c r="C1640" s="10" t="s">
        <v>1514</v>
      </c>
      <c r="D1640" s="388">
        <v>45105</v>
      </c>
      <c r="E1640" s="389">
        <v>45105</v>
      </c>
      <c r="F1640" s="390" t="str">
        <f t="shared" si="30"/>
        <v>Water heating</v>
      </c>
      <c r="G1640" s="135">
        <v>2.0061509553606499E-2</v>
      </c>
      <c r="H1640" s="135">
        <v>2.03876347727301E-2</v>
      </c>
      <c r="I1640" s="135">
        <v>1.6753605519526499E-2</v>
      </c>
      <c r="J1640" s="135">
        <v>1.42122819087922E-2</v>
      </c>
      <c r="K1640" s="135">
        <v>2.4947168454787699E-2</v>
      </c>
      <c r="L1640" s="135">
        <v>3.27053400896095E-2</v>
      </c>
      <c r="M1640" s="135">
        <v>7.1078546382967206E-2</v>
      </c>
      <c r="N1640" s="135">
        <v>0.13379956039823901</v>
      </c>
      <c r="O1640" s="135">
        <v>9.0805582704996293E-2</v>
      </c>
      <c r="P1640" s="135">
        <v>5.5478373015309897E-2</v>
      </c>
      <c r="Q1640" s="135">
        <v>5.2810493488683899E-2</v>
      </c>
      <c r="R1640" s="135">
        <v>5.7063558057432399E-2</v>
      </c>
      <c r="S1640" s="135">
        <v>4.7302748707018102E-2</v>
      </c>
      <c r="T1640" s="135">
        <v>3.72294280316771E-2</v>
      </c>
      <c r="U1640" s="135">
        <v>2.7864338995497999E-2</v>
      </c>
      <c r="V1640" s="135">
        <v>3.01915398727104E-2</v>
      </c>
      <c r="W1640" s="135">
        <v>3.8549449621234202E-2</v>
      </c>
      <c r="X1640" s="135">
        <v>5.5566551836602203E-2</v>
      </c>
      <c r="Y1640" s="135">
        <v>6.8602470305749202E-2</v>
      </c>
      <c r="Z1640" s="135">
        <v>6.5904032553255304E-2</v>
      </c>
      <c r="AA1640" s="135">
        <v>6.7145748732966304E-2</v>
      </c>
      <c r="AB1640" s="135">
        <v>5.7693615293340099E-2</v>
      </c>
      <c r="AC1640" s="135">
        <v>4.2408278037323499E-2</v>
      </c>
      <c r="AD1640" s="135">
        <v>3.0024095536888E-2</v>
      </c>
      <c r="AF1640" s="243">
        <f t="shared" si="31"/>
        <v>0.29101155677425411</v>
      </c>
      <c r="AG1640" s="275">
        <f t="shared" si="32"/>
        <v>0.4537159654843691</v>
      </c>
      <c r="AH1640" s="391">
        <f t="shared" si="33"/>
        <v>0.7048699863865745</v>
      </c>
      <c r="AI1640" s="135">
        <f t="shared" si="34"/>
        <v>1.1585859518709436</v>
      </c>
    </row>
    <row r="1641" spans="1:35" ht="12.6">
      <c r="A1641" s="10" t="s">
        <v>58</v>
      </c>
      <c r="B1641" s="10">
        <v>180</v>
      </c>
      <c r="C1641" s="10" t="s">
        <v>1514</v>
      </c>
      <c r="D1641" s="388">
        <v>45106</v>
      </c>
      <c r="E1641" s="389">
        <v>45106</v>
      </c>
      <c r="F1641" s="390" t="str">
        <f t="shared" si="30"/>
        <v>Water heating</v>
      </c>
      <c r="G1641" s="135">
        <v>2.0061509553606499E-2</v>
      </c>
      <c r="H1641" s="135">
        <v>2.03876347727301E-2</v>
      </c>
      <c r="I1641" s="135">
        <v>1.6753605519526499E-2</v>
      </c>
      <c r="J1641" s="135">
        <v>1.42122819087922E-2</v>
      </c>
      <c r="K1641" s="135">
        <v>2.4947168454787699E-2</v>
      </c>
      <c r="L1641" s="135">
        <v>3.27053400896095E-2</v>
      </c>
      <c r="M1641" s="135">
        <v>7.1078546382967206E-2</v>
      </c>
      <c r="N1641" s="135">
        <v>0.13379956039823901</v>
      </c>
      <c r="O1641" s="135">
        <v>9.0805582704996293E-2</v>
      </c>
      <c r="P1641" s="135">
        <v>5.5478373015309897E-2</v>
      </c>
      <c r="Q1641" s="135">
        <v>5.2810493488683899E-2</v>
      </c>
      <c r="R1641" s="135">
        <v>5.7063558057432399E-2</v>
      </c>
      <c r="S1641" s="135">
        <v>4.7302748707018102E-2</v>
      </c>
      <c r="T1641" s="135">
        <v>3.72294280316771E-2</v>
      </c>
      <c r="U1641" s="135">
        <v>2.7864338995497999E-2</v>
      </c>
      <c r="V1641" s="135">
        <v>3.01915398727104E-2</v>
      </c>
      <c r="W1641" s="135">
        <v>3.8549449621234202E-2</v>
      </c>
      <c r="X1641" s="135">
        <v>5.5566551836602203E-2</v>
      </c>
      <c r="Y1641" s="135">
        <v>6.8602470305749202E-2</v>
      </c>
      <c r="Z1641" s="135">
        <v>6.5904032553255304E-2</v>
      </c>
      <c r="AA1641" s="135">
        <v>6.7145748732966304E-2</v>
      </c>
      <c r="AB1641" s="135">
        <v>5.7693615293340099E-2</v>
      </c>
      <c r="AC1641" s="135">
        <v>4.2408278037323499E-2</v>
      </c>
      <c r="AD1641" s="135">
        <v>3.0024095536888E-2</v>
      </c>
      <c r="AF1641" s="243">
        <f t="shared" si="31"/>
        <v>0.29101155677425411</v>
      </c>
      <c r="AG1641" s="275">
        <f t="shared" si="32"/>
        <v>0.4537159654843691</v>
      </c>
      <c r="AH1641" s="391">
        <f t="shared" si="33"/>
        <v>0.7048699863865745</v>
      </c>
      <c r="AI1641" s="135">
        <f t="shared" si="34"/>
        <v>1.1585859518709436</v>
      </c>
    </row>
    <row r="1642" spans="1:35" ht="12.6">
      <c r="A1642" s="10" t="s">
        <v>58</v>
      </c>
      <c r="B1642" s="10">
        <v>181</v>
      </c>
      <c r="C1642" s="10" t="s">
        <v>1514</v>
      </c>
      <c r="D1642" s="388">
        <v>45107</v>
      </c>
      <c r="E1642" s="389">
        <v>45107</v>
      </c>
      <c r="F1642" s="390" t="str">
        <f t="shared" si="30"/>
        <v>Water heating</v>
      </c>
      <c r="G1642" s="135">
        <v>2.0061509553606499E-2</v>
      </c>
      <c r="H1642" s="135">
        <v>2.03876347727301E-2</v>
      </c>
      <c r="I1642" s="135">
        <v>1.6753605519526499E-2</v>
      </c>
      <c r="J1642" s="135">
        <v>1.42122819087922E-2</v>
      </c>
      <c r="K1642" s="135">
        <v>2.4947168454787699E-2</v>
      </c>
      <c r="L1642" s="135">
        <v>3.27053400896095E-2</v>
      </c>
      <c r="M1642" s="135">
        <v>7.1078546382967206E-2</v>
      </c>
      <c r="N1642" s="135">
        <v>0.13379956039823901</v>
      </c>
      <c r="O1642" s="135">
        <v>9.0805582704996293E-2</v>
      </c>
      <c r="P1642" s="135">
        <v>5.5478373015309897E-2</v>
      </c>
      <c r="Q1642" s="135">
        <v>5.2810493488683899E-2</v>
      </c>
      <c r="R1642" s="135">
        <v>5.7063558057432399E-2</v>
      </c>
      <c r="S1642" s="135">
        <v>4.7302748707018102E-2</v>
      </c>
      <c r="T1642" s="135">
        <v>3.72294280316771E-2</v>
      </c>
      <c r="U1642" s="135">
        <v>2.7864338995497999E-2</v>
      </c>
      <c r="V1642" s="135">
        <v>3.01915398727104E-2</v>
      </c>
      <c r="W1642" s="135">
        <v>3.8549449621234202E-2</v>
      </c>
      <c r="X1642" s="135">
        <v>5.5566551836602203E-2</v>
      </c>
      <c r="Y1642" s="135">
        <v>6.8602470305749202E-2</v>
      </c>
      <c r="Z1642" s="135">
        <v>6.5904032553255304E-2</v>
      </c>
      <c r="AA1642" s="135">
        <v>6.7145748732966304E-2</v>
      </c>
      <c r="AB1642" s="135">
        <v>5.7693615293340099E-2</v>
      </c>
      <c r="AC1642" s="135">
        <v>4.2408278037323499E-2</v>
      </c>
      <c r="AD1642" s="135">
        <v>3.0024095536888E-2</v>
      </c>
      <c r="AF1642" s="243">
        <f t="shared" si="31"/>
        <v>0.29101155677425411</v>
      </c>
      <c r="AG1642" s="275">
        <f t="shared" si="32"/>
        <v>0.4537159654843691</v>
      </c>
      <c r="AH1642" s="391">
        <f t="shared" si="33"/>
        <v>0.7048699863865745</v>
      </c>
      <c r="AI1642" s="135">
        <f t="shared" si="34"/>
        <v>1.1585859518709436</v>
      </c>
    </row>
    <row r="1643" spans="1:35" ht="12.6">
      <c r="A1643" s="10" t="s">
        <v>58</v>
      </c>
      <c r="B1643" s="10">
        <v>182</v>
      </c>
      <c r="C1643" s="10" t="s">
        <v>1514</v>
      </c>
      <c r="D1643" s="388">
        <v>45108</v>
      </c>
      <c r="E1643" s="389">
        <v>45108</v>
      </c>
      <c r="F1643" s="390" t="str">
        <f t="shared" si="30"/>
        <v>Water heating</v>
      </c>
      <c r="G1643" s="135">
        <v>2.04101148177275E-2</v>
      </c>
      <c r="H1643" s="135">
        <v>1.9716913414001499E-2</v>
      </c>
      <c r="I1643" s="135">
        <v>1.6638557398121302E-2</v>
      </c>
      <c r="J1643" s="135">
        <v>1.40064079219577E-2</v>
      </c>
      <c r="K1643" s="135">
        <v>2.2460860939879701E-2</v>
      </c>
      <c r="L1643" s="135">
        <v>2.3076502943698399E-2</v>
      </c>
      <c r="M1643" s="135">
        <v>1.50880973548259E-2</v>
      </c>
      <c r="N1643" s="135">
        <v>4.0509288457499702E-2</v>
      </c>
      <c r="O1643" s="135">
        <v>6.3755056848317004E-2</v>
      </c>
      <c r="P1643" s="135">
        <v>9.1875402324564703E-2</v>
      </c>
      <c r="Q1643" s="135">
        <v>9.6456069881928702E-2</v>
      </c>
      <c r="R1643" s="135">
        <v>8.8103665978442394E-2</v>
      </c>
      <c r="S1643" s="135">
        <v>7.5601563331188906E-2</v>
      </c>
      <c r="T1643" s="135">
        <v>6.2924842571207895E-2</v>
      </c>
      <c r="U1643" s="135">
        <v>4.62104107919621E-2</v>
      </c>
      <c r="V1643" s="135">
        <v>4.9524632568285203E-2</v>
      </c>
      <c r="W1643" s="135">
        <v>5.8831065275470301E-2</v>
      </c>
      <c r="X1643" s="135">
        <v>6.6430061386033107E-2</v>
      </c>
      <c r="Y1643" s="135">
        <v>7.3148345546801302E-2</v>
      </c>
      <c r="Z1643" s="135">
        <v>6.1808796676876297E-2</v>
      </c>
      <c r="AA1643" s="135">
        <v>5.6772925649949797E-2</v>
      </c>
      <c r="AB1643" s="135">
        <v>5.1125461056197898E-2</v>
      </c>
      <c r="AC1643" s="135">
        <v>3.7544323279059599E-2</v>
      </c>
      <c r="AD1643" s="135">
        <v>2.74046736576571E-2</v>
      </c>
      <c r="AF1643" s="243">
        <f t="shared" si="31"/>
        <v>0.47765225039848547</v>
      </c>
      <c r="AG1643" s="275">
        <f t="shared" si="32"/>
        <v>0.48943896626504335</v>
      </c>
      <c r="AH1643" s="391">
        <f t="shared" si="33"/>
        <v>0.68998507380661089</v>
      </c>
      <c r="AI1643" s="135">
        <f t="shared" si="34"/>
        <v>1.1794240400716542</v>
      </c>
    </row>
    <row r="1644" spans="1:35" ht="12.6">
      <c r="A1644" s="10" t="s">
        <v>58</v>
      </c>
      <c r="B1644" s="10">
        <v>183</v>
      </c>
      <c r="C1644" s="10" t="s">
        <v>1514</v>
      </c>
      <c r="D1644" s="388">
        <v>45109</v>
      </c>
      <c r="E1644" s="389">
        <v>45109</v>
      </c>
      <c r="F1644" s="390" t="str">
        <f t="shared" si="30"/>
        <v>Water heating</v>
      </c>
      <c r="G1644" s="135">
        <v>2.04101148177275E-2</v>
      </c>
      <c r="H1644" s="135">
        <v>1.9716913414001499E-2</v>
      </c>
      <c r="I1644" s="135">
        <v>1.6638557398121302E-2</v>
      </c>
      <c r="J1644" s="135">
        <v>1.40064079219577E-2</v>
      </c>
      <c r="K1644" s="135">
        <v>2.2460860939879701E-2</v>
      </c>
      <c r="L1644" s="135">
        <v>2.3076502943698399E-2</v>
      </c>
      <c r="M1644" s="135">
        <v>1.50880973548259E-2</v>
      </c>
      <c r="N1644" s="135">
        <v>4.0509288457499702E-2</v>
      </c>
      <c r="O1644" s="135">
        <v>6.3755056848317004E-2</v>
      </c>
      <c r="P1644" s="135">
        <v>9.1875402324564703E-2</v>
      </c>
      <c r="Q1644" s="135">
        <v>9.6456069881928702E-2</v>
      </c>
      <c r="R1644" s="135">
        <v>8.8103665978442394E-2</v>
      </c>
      <c r="S1644" s="135">
        <v>7.5601563331188906E-2</v>
      </c>
      <c r="T1644" s="135">
        <v>6.2924842571207895E-2</v>
      </c>
      <c r="U1644" s="135">
        <v>4.62104107919621E-2</v>
      </c>
      <c r="V1644" s="135">
        <v>4.9524632568285203E-2</v>
      </c>
      <c r="W1644" s="135">
        <v>5.8831065275470301E-2</v>
      </c>
      <c r="X1644" s="135">
        <v>6.6430061386033107E-2</v>
      </c>
      <c r="Y1644" s="135">
        <v>7.3148345546801302E-2</v>
      </c>
      <c r="Z1644" s="135">
        <v>6.1808796676876297E-2</v>
      </c>
      <c r="AA1644" s="135">
        <v>5.6772925649949797E-2</v>
      </c>
      <c r="AB1644" s="135">
        <v>5.1125461056197898E-2</v>
      </c>
      <c r="AC1644" s="135">
        <v>3.7544323279059599E-2</v>
      </c>
      <c r="AD1644" s="135">
        <v>2.74046736576571E-2</v>
      </c>
      <c r="AF1644" s="243">
        <f t="shared" si="31"/>
        <v>0.47765225039848547</v>
      </c>
      <c r="AG1644" s="275">
        <f t="shared" si="32"/>
        <v>0.48943896626504335</v>
      </c>
      <c r="AH1644" s="391">
        <f t="shared" si="33"/>
        <v>0.68998507380661089</v>
      </c>
      <c r="AI1644" s="135">
        <f t="shared" si="34"/>
        <v>1.1794240400716542</v>
      </c>
    </row>
    <row r="1645" spans="1:35" ht="12.6">
      <c r="A1645" s="10" t="s">
        <v>58</v>
      </c>
      <c r="B1645" s="10">
        <v>184</v>
      </c>
      <c r="C1645" s="10" t="s">
        <v>1514</v>
      </c>
      <c r="D1645" s="388">
        <v>45110</v>
      </c>
      <c r="E1645" s="389">
        <v>45110</v>
      </c>
      <c r="F1645" s="390" t="str">
        <f t="shared" si="30"/>
        <v>Water heating</v>
      </c>
      <c r="G1645" s="135">
        <v>2.0061509553606499E-2</v>
      </c>
      <c r="H1645" s="135">
        <v>2.03876347727301E-2</v>
      </c>
      <c r="I1645" s="135">
        <v>1.6753605519526499E-2</v>
      </c>
      <c r="J1645" s="135">
        <v>1.42122819087922E-2</v>
      </c>
      <c r="K1645" s="135">
        <v>2.4947168454787699E-2</v>
      </c>
      <c r="L1645" s="135">
        <v>3.27053400896095E-2</v>
      </c>
      <c r="M1645" s="135">
        <v>7.1078546382967206E-2</v>
      </c>
      <c r="N1645" s="135">
        <v>0.13379956039823901</v>
      </c>
      <c r="O1645" s="135">
        <v>9.0805582704996293E-2</v>
      </c>
      <c r="P1645" s="135">
        <v>5.5478373015309897E-2</v>
      </c>
      <c r="Q1645" s="135">
        <v>5.2810493488683899E-2</v>
      </c>
      <c r="R1645" s="135">
        <v>5.7063558057432399E-2</v>
      </c>
      <c r="S1645" s="135">
        <v>4.7302748707018102E-2</v>
      </c>
      <c r="T1645" s="135">
        <v>3.72294280316771E-2</v>
      </c>
      <c r="U1645" s="135">
        <v>2.7864338995497999E-2</v>
      </c>
      <c r="V1645" s="135">
        <v>3.01915398727104E-2</v>
      </c>
      <c r="W1645" s="135">
        <v>3.8549449621234202E-2</v>
      </c>
      <c r="X1645" s="135">
        <v>5.5566551836602203E-2</v>
      </c>
      <c r="Y1645" s="135">
        <v>6.8602470305749202E-2</v>
      </c>
      <c r="Z1645" s="135">
        <v>6.5904032553255304E-2</v>
      </c>
      <c r="AA1645" s="135">
        <v>6.7145748732966304E-2</v>
      </c>
      <c r="AB1645" s="135">
        <v>5.7693615293340099E-2</v>
      </c>
      <c r="AC1645" s="135">
        <v>4.2408278037323499E-2</v>
      </c>
      <c r="AD1645" s="135">
        <v>3.0024095536888E-2</v>
      </c>
      <c r="AF1645" s="243">
        <f t="shared" si="31"/>
        <v>0.29101155677425411</v>
      </c>
      <c r="AG1645" s="275">
        <f t="shared" si="32"/>
        <v>0.4537159654843691</v>
      </c>
      <c r="AH1645" s="391">
        <f t="shared" si="33"/>
        <v>0.7048699863865745</v>
      </c>
      <c r="AI1645" s="135">
        <f t="shared" si="34"/>
        <v>1.1585859518709436</v>
      </c>
    </row>
    <row r="1646" spans="1:35" ht="12.6">
      <c r="A1646" s="10" t="s">
        <v>58</v>
      </c>
      <c r="B1646" s="10">
        <v>185</v>
      </c>
      <c r="C1646" s="10" t="s">
        <v>1514</v>
      </c>
      <c r="D1646" s="388">
        <v>45111</v>
      </c>
      <c r="E1646" s="389">
        <v>45111</v>
      </c>
      <c r="F1646" s="390" t="str">
        <f t="shared" si="30"/>
        <v>Water heating</v>
      </c>
      <c r="G1646" s="135">
        <v>2.0061509553606499E-2</v>
      </c>
      <c r="H1646" s="135">
        <v>2.03876347727301E-2</v>
      </c>
      <c r="I1646" s="135">
        <v>1.6753605519526499E-2</v>
      </c>
      <c r="J1646" s="135">
        <v>1.42122819087922E-2</v>
      </c>
      <c r="K1646" s="135">
        <v>2.4947168454787699E-2</v>
      </c>
      <c r="L1646" s="135">
        <v>3.27053400896095E-2</v>
      </c>
      <c r="M1646" s="135">
        <v>7.1078546382967206E-2</v>
      </c>
      <c r="N1646" s="135">
        <v>0.13379956039823901</v>
      </c>
      <c r="O1646" s="135">
        <v>9.0805582704996293E-2</v>
      </c>
      <c r="P1646" s="135">
        <v>5.5478373015309897E-2</v>
      </c>
      <c r="Q1646" s="135">
        <v>5.2810493488683899E-2</v>
      </c>
      <c r="R1646" s="135">
        <v>5.7063558057432399E-2</v>
      </c>
      <c r="S1646" s="135">
        <v>4.7302748707018102E-2</v>
      </c>
      <c r="T1646" s="135">
        <v>3.72294280316771E-2</v>
      </c>
      <c r="U1646" s="135">
        <v>2.7864338995497999E-2</v>
      </c>
      <c r="V1646" s="135">
        <v>3.01915398727104E-2</v>
      </c>
      <c r="W1646" s="135">
        <v>3.8549449621234202E-2</v>
      </c>
      <c r="X1646" s="135">
        <v>5.5566551836602203E-2</v>
      </c>
      <c r="Y1646" s="135">
        <v>6.8602470305749202E-2</v>
      </c>
      <c r="Z1646" s="135">
        <v>6.5904032553255304E-2</v>
      </c>
      <c r="AA1646" s="135">
        <v>6.7145748732966304E-2</v>
      </c>
      <c r="AB1646" s="135">
        <v>5.7693615293340099E-2</v>
      </c>
      <c r="AC1646" s="135">
        <v>4.2408278037323499E-2</v>
      </c>
      <c r="AD1646" s="135">
        <v>3.0024095536888E-2</v>
      </c>
      <c r="AF1646" s="243">
        <f t="shared" si="31"/>
        <v>0.29101155677425411</v>
      </c>
      <c r="AG1646" s="275">
        <f t="shared" si="32"/>
        <v>0.4537159654843691</v>
      </c>
      <c r="AH1646" s="391">
        <f t="shared" si="33"/>
        <v>0.7048699863865745</v>
      </c>
      <c r="AI1646" s="135">
        <f t="shared" si="34"/>
        <v>1.1585859518709436</v>
      </c>
    </row>
    <row r="1647" spans="1:35" ht="12.6">
      <c r="A1647" s="10" t="s">
        <v>58</v>
      </c>
      <c r="B1647" s="10">
        <v>186</v>
      </c>
      <c r="C1647" s="10" t="s">
        <v>1514</v>
      </c>
      <c r="D1647" s="388">
        <v>45112</v>
      </c>
      <c r="E1647" s="389">
        <v>45112</v>
      </c>
      <c r="F1647" s="390" t="str">
        <f t="shared" si="30"/>
        <v>Water heating</v>
      </c>
      <c r="G1647" s="135">
        <v>2.0061509553606499E-2</v>
      </c>
      <c r="H1647" s="135">
        <v>2.03876347727301E-2</v>
      </c>
      <c r="I1647" s="135">
        <v>1.6753605519526499E-2</v>
      </c>
      <c r="J1647" s="135">
        <v>1.42122819087922E-2</v>
      </c>
      <c r="K1647" s="135">
        <v>2.4947168454787699E-2</v>
      </c>
      <c r="L1647" s="135">
        <v>3.27053400896095E-2</v>
      </c>
      <c r="M1647" s="135">
        <v>7.1078546382967206E-2</v>
      </c>
      <c r="N1647" s="135">
        <v>0.13379956039823901</v>
      </c>
      <c r="O1647" s="135">
        <v>9.0805582704996293E-2</v>
      </c>
      <c r="P1647" s="135">
        <v>5.5478373015309897E-2</v>
      </c>
      <c r="Q1647" s="135">
        <v>5.2810493488683899E-2</v>
      </c>
      <c r="R1647" s="135">
        <v>5.7063558057432399E-2</v>
      </c>
      <c r="S1647" s="135">
        <v>4.7302748707018102E-2</v>
      </c>
      <c r="T1647" s="135">
        <v>3.72294280316771E-2</v>
      </c>
      <c r="U1647" s="135">
        <v>2.7864338995497999E-2</v>
      </c>
      <c r="V1647" s="135">
        <v>3.01915398727104E-2</v>
      </c>
      <c r="W1647" s="135">
        <v>3.8549449621234202E-2</v>
      </c>
      <c r="X1647" s="135">
        <v>5.5566551836602203E-2</v>
      </c>
      <c r="Y1647" s="135">
        <v>6.8602470305749202E-2</v>
      </c>
      <c r="Z1647" s="135">
        <v>6.5904032553255304E-2</v>
      </c>
      <c r="AA1647" s="135">
        <v>6.7145748732966304E-2</v>
      </c>
      <c r="AB1647" s="135">
        <v>5.7693615293340099E-2</v>
      </c>
      <c r="AC1647" s="135">
        <v>4.2408278037323499E-2</v>
      </c>
      <c r="AD1647" s="135">
        <v>3.0024095536888E-2</v>
      </c>
      <c r="AF1647" s="243">
        <f t="shared" si="31"/>
        <v>0.29101155677425411</v>
      </c>
      <c r="AG1647" s="275">
        <f t="shared" si="32"/>
        <v>0.4537159654843691</v>
      </c>
      <c r="AH1647" s="391">
        <f t="shared" si="33"/>
        <v>0.7048699863865745</v>
      </c>
      <c r="AI1647" s="135">
        <f t="shared" si="34"/>
        <v>1.1585859518709436</v>
      </c>
    </row>
    <row r="1648" spans="1:35" ht="12.6">
      <c r="A1648" s="10" t="s">
        <v>58</v>
      </c>
      <c r="B1648" s="10">
        <v>187</v>
      </c>
      <c r="C1648" s="10" t="s">
        <v>1514</v>
      </c>
      <c r="D1648" s="388">
        <v>45113</v>
      </c>
      <c r="E1648" s="389">
        <v>45113</v>
      </c>
      <c r="F1648" s="390" t="str">
        <f t="shared" si="30"/>
        <v>Water heating</v>
      </c>
      <c r="G1648" s="135">
        <v>2.0061509553606499E-2</v>
      </c>
      <c r="H1648" s="135">
        <v>2.03876347727301E-2</v>
      </c>
      <c r="I1648" s="135">
        <v>1.6753605519526499E-2</v>
      </c>
      <c r="J1648" s="135">
        <v>1.42122819087922E-2</v>
      </c>
      <c r="K1648" s="135">
        <v>2.4947168454787699E-2</v>
      </c>
      <c r="L1648" s="135">
        <v>3.27053400896095E-2</v>
      </c>
      <c r="M1648" s="135">
        <v>7.1078546382967206E-2</v>
      </c>
      <c r="N1648" s="135">
        <v>0.13379956039823901</v>
      </c>
      <c r="O1648" s="135">
        <v>9.0805582704996293E-2</v>
      </c>
      <c r="P1648" s="135">
        <v>5.5478373015309897E-2</v>
      </c>
      <c r="Q1648" s="135">
        <v>5.2810493488683899E-2</v>
      </c>
      <c r="R1648" s="135">
        <v>5.7063558057432399E-2</v>
      </c>
      <c r="S1648" s="135">
        <v>4.7302748707018102E-2</v>
      </c>
      <c r="T1648" s="135">
        <v>3.72294280316771E-2</v>
      </c>
      <c r="U1648" s="135">
        <v>2.7864338995497999E-2</v>
      </c>
      <c r="V1648" s="135">
        <v>3.01915398727104E-2</v>
      </c>
      <c r="W1648" s="135">
        <v>3.8549449621234202E-2</v>
      </c>
      <c r="X1648" s="135">
        <v>5.5566551836602203E-2</v>
      </c>
      <c r="Y1648" s="135">
        <v>6.8602470305749202E-2</v>
      </c>
      <c r="Z1648" s="135">
        <v>6.5904032553255304E-2</v>
      </c>
      <c r="AA1648" s="135">
        <v>6.7145748732966304E-2</v>
      </c>
      <c r="AB1648" s="135">
        <v>5.7693615293340099E-2</v>
      </c>
      <c r="AC1648" s="135">
        <v>4.2408278037323499E-2</v>
      </c>
      <c r="AD1648" s="135">
        <v>3.0024095536888E-2</v>
      </c>
      <c r="AF1648" s="243">
        <f t="shared" si="31"/>
        <v>0.29101155677425411</v>
      </c>
      <c r="AG1648" s="275">
        <f t="shared" si="32"/>
        <v>0.4537159654843691</v>
      </c>
      <c r="AH1648" s="391">
        <f t="shared" si="33"/>
        <v>0.7048699863865745</v>
      </c>
      <c r="AI1648" s="135">
        <f t="shared" si="34"/>
        <v>1.1585859518709436</v>
      </c>
    </row>
    <row r="1649" spans="1:35" ht="12.6">
      <c r="A1649" s="10" t="s">
        <v>58</v>
      </c>
      <c r="B1649" s="10">
        <v>188</v>
      </c>
      <c r="C1649" s="10" t="s">
        <v>1514</v>
      </c>
      <c r="D1649" s="388">
        <v>45114</v>
      </c>
      <c r="E1649" s="389">
        <v>45114</v>
      </c>
      <c r="F1649" s="390" t="str">
        <f t="shared" si="30"/>
        <v>Water heating</v>
      </c>
      <c r="G1649" s="135">
        <v>2.0061509553606499E-2</v>
      </c>
      <c r="H1649" s="135">
        <v>2.03876347727301E-2</v>
      </c>
      <c r="I1649" s="135">
        <v>1.6753605519526499E-2</v>
      </c>
      <c r="J1649" s="135">
        <v>1.42122819087922E-2</v>
      </c>
      <c r="K1649" s="135">
        <v>2.4947168454787699E-2</v>
      </c>
      <c r="L1649" s="135">
        <v>3.27053400896095E-2</v>
      </c>
      <c r="M1649" s="135">
        <v>7.1078546382967206E-2</v>
      </c>
      <c r="N1649" s="135">
        <v>0.13379956039823901</v>
      </c>
      <c r="O1649" s="135">
        <v>9.0805582704996293E-2</v>
      </c>
      <c r="P1649" s="135">
        <v>5.5478373015309897E-2</v>
      </c>
      <c r="Q1649" s="135">
        <v>5.2810493488683899E-2</v>
      </c>
      <c r="R1649" s="135">
        <v>5.7063558057432399E-2</v>
      </c>
      <c r="S1649" s="135">
        <v>4.7302748707018102E-2</v>
      </c>
      <c r="T1649" s="135">
        <v>3.72294280316771E-2</v>
      </c>
      <c r="U1649" s="135">
        <v>2.7864338995497999E-2</v>
      </c>
      <c r="V1649" s="135">
        <v>3.01915398727104E-2</v>
      </c>
      <c r="W1649" s="135">
        <v>3.8549449621234202E-2</v>
      </c>
      <c r="X1649" s="135">
        <v>5.5566551836602203E-2</v>
      </c>
      <c r="Y1649" s="135">
        <v>6.8602470305749202E-2</v>
      </c>
      <c r="Z1649" s="135">
        <v>6.5904032553255304E-2</v>
      </c>
      <c r="AA1649" s="135">
        <v>6.7145748732966304E-2</v>
      </c>
      <c r="AB1649" s="135">
        <v>5.7693615293340099E-2</v>
      </c>
      <c r="AC1649" s="135">
        <v>4.2408278037323499E-2</v>
      </c>
      <c r="AD1649" s="135">
        <v>3.0024095536888E-2</v>
      </c>
      <c r="AF1649" s="243">
        <f t="shared" si="31"/>
        <v>0.29101155677425411</v>
      </c>
      <c r="AG1649" s="275">
        <f t="shared" si="32"/>
        <v>0.4537159654843691</v>
      </c>
      <c r="AH1649" s="391">
        <f t="shared" si="33"/>
        <v>0.7048699863865745</v>
      </c>
      <c r="AI1649" s="135">
        <f t="shared" si="34"/>
        <v>1.1585859518709436</v>
      </c>
    </row>
    <row r="1650" spans="1:35" ht="12.6">
      <c r="A1650" s="10" t="s">
        <v>58</v>
      </c>
      <c r="B1650" s="10">
        <v>189</v>
      </c>
      <c r="C1650" s="10" t="s">
        <v>1514</v>
      </c>
      <c r="D1650" s="388">
        <v>45115</v>
      </c>
      <c r="E1650" s="389">
        <v>45115</v>
      </c>
      <c r="F1650" s="390" t="str">
        <f t="shared" si="30"/>
        <v>Water heating</v>
      </c>
      <c r="G1650" s="135">
        <v>2.04101148177275E-2</v>
      </c>
      <c r="H1650" s="135">
        <v>1.9716913414001499E-2</v>
      </c>
      <c r="I1650" s="135">
        <v>1.6638557398121302E-2</v>
      </c>
      <c r="J1650" s="135">
        <v>1.40064079219577E-2</v>
      </c>
      <c r="K1650" s="135">
        <v>2.2460860939879701E-2</v>
      </c>
      <c r="L1650" s="135">
        <v>2.3076502943698399E-2</v>
      </c>
      <c r="M1650" s="135">
        <v>1.50880973548259E-2</v>
      </c>
      <c r="N1650" s="135">
        <v>4.0509288457499702E-2</v>
      </c>
      <c r="O1650" s="135">
        <v>6.3755056848317004E-2</v>
      </c>
      <c r="P1650" s="135">
        <v>9.1875402324564703E-2</v>
      </c>
      <c r="Q1650" s="135">
        <v>9.6456069881928702E-2</v>
      </c>
      <c r="R1650" s="135">
        <v>8.8103665978442394E-2</v>
      </c>
      <c r="S1650" s="135">
        <v>7.5601563331188906E-2</v>
      </c>
      <c r="T1650" s="135">
        <v>6.2924842571207895E-2</v>
      </c>
      <c r="U1650" s="135">
        <v>4.62104107919621E-2</v>
      </c>
      <c r="V1650" s="135">
        <v>4.9524632568285203E-2</v>
      </c>
      <c r="W1650" s="135">
        <v>5.8831065275470301E-2</v>
      </c>
      <c r="X1650" s="135">
        <v>6.6430061386033107E-2</v>
      </c>
      <c r="Y1650" s="135">
        <v>7.3148345546801302E-2</v>
      </c>
      <c r="Z1650" s="135">
        <v>6.1808796676876297E-2</v>
      </c>
      <c r="AA1650" s="135">
        <v>5.6772925649949797E-2</v>
      </c>
      <c r="AB1650" s="135">
        <v>5.1125461056197898E-2</v>
      </c>
      <c r="AC1650" s="135">
        <v>3.7544323279059599E-2</v>
      </c>
      <c r="AD1650" s="135">
        <v>2.74046736576571E-2</v>
      </c>
      <c r="AF1650" s="243">
        <f t="shared" si="31"/>
        <v>0.47765225039848547</v>
      </c>
      <c r="AG1650" s="275">
        <f t="shared" si="32"/>
        <v>0.48943896626504335</v>
      </c>
      <c r="AH1650" s="391">
        <f t="shared" si="33"/>
        <v>0.68998507380661089</v>
      </c>
      <c r="AI1650" s="135">
        <f t="shared" si="34"/>
        <v>1.1794240400716542</v>
      </c>
    </row>
    <row r="1651" spans="1:35" ht="12.6">
      <c r="A1651" s="10" t="s">
        <v>58</v>
      </c>
      <c r="B1651" s="10">
        <v>190</v>
      </c>
      <c r="C1651" s="10" t="s">
        <v>1514</v>
      </c>
      <c r="D1651" s="388">
        <v>45116</v>
      </c>
      <c r="E1651" s="389">
        <v>45116</v>
      </c>
      <c r="F1651" s="390" t="str">
        <f t="shared" si="30"/>
        <v>Water heating</v>
      </c>
      <c r="G1651" s="135">
        <v>2.04101148177275E-2</v>
      </c>
      <c r="H1651" s="135">
        <v>1.9716913414001499E-2</v>
      </c>
      <c r="I1651" s="135">
        <v>1.6638557398121302E-2</v>
      </c>
      <c r="J1651" s="135">
        <v>1.40064079219577E-2</v>
      </c>
      <c r="K1651" s="135">
        <v>2.2460860939879701E-2</v>
      </c>
      <c r="L1651" s="135">
        <v>2.3076502943698399E-2</v>
      </c>
      <c r="M1651" s="135">
        <v>1.50880973548259E-2</v>
      </c>
      <c r="N1651" s="135">
        <v>4.0509288457499702E-2</v>
      </c>
      <c r="O1651" s="135">
        <v>6.3755056848317004E-2</v>
      </c>
      <c r="P1651" s="135">
        <v>9.1875402324564703E-2</v>
      </c>
      <c r="Q1651" s="135">
        <v>9.6456069881928702E-2</v>
      </c>
      <c r="R1651" s="135">
        <v>8.8103665978442394E-2</v>
      </c>
      <c r="S1651" s="135">
        <v>7.5601563331188906E-2</v>
      </c>
      <c r="T1651" s="135">
        <v>6.2924842571207895E-2</v>
      </c>
      <c r="U1651" s="135">
        <v>4.62104107919621E-2</v>
      </c>
      <c r="V1651" s="135">
        <v>4.9524632568285203E-2</v>
      </c>
      <c r="W1651" s="135">
        <v>5.8831065275470301E-2</v>
      </c>
      <c r="X1651" s="135">
        <v>6.6430061386033107E-2</v>
      </c>
      <c r="Y1651" s="135">
        <v>7.3148345546801302E-2</v>
      </c>
      <c r="Z1651" s="135">
        <v>6.1808796676876297E-2</v>
      </c>
      <c r="AA1651" s="135">
        <v>5.6772925649949797E-2</v>
      </c>
      <c r="AB1651" s="135">
        <v>5.1125461056197898E-2</v>
      </c>
      <c r="AC1651" s="135">
        <v>3.7544323279059599E-2</v>
      </c>
      <c r="AD1651" s="135">
        <v>2.74046736576571E-2</v>
      </c>
      <c r="AF1651" s="243">
        <f t="shared" si="31"/>
        <v>0.47765225039848547</v>
      </c>
      <c r="AG1651" s="275">
        <f t="shared" si="32"/>
        <v>0.48943896626504335</v>
      </c>
      <c r="AH1651" s="391">
        <f t="shared" si="33"/>
        <v>0.68998507380661089</v>
      </c>
      <c r="AI1651" s="135">
        <f t="shared" si="34"/>
        <v>1.1794240400716542</v>
      </c>
    </row>
    <row r="1652" spans="1:35" ht="12.6">
      <c r="A1652" s="10" t="s">
        <v>58</v>
      </c>
      <c r="B1652" s="10">
        <v>191</v>
      </c>
      <c r="C1652" s="10" t="s">
        <v>1514</v>
      </c>
      <c r="D1652" s="388">
        <v>45117</v>
      </c>
      <c r="E1652" s="389">
        <v>45117</v>
      </c>
      <c r="F1652" s="390" t="str">
        <f t="shared" si="30"/>
        <v>Water heating</v>
      </c>
      <c r="G1652" s="135">
        <v>2.0061509553606499E-2</v>
      </c>
      <c r="H1652" s="135">
        <v>2.03876347727301E-2</v>
      </c>
      <c r="I1652" s="135">
        <v>1.6753605519526499E-2</v>
      </c>
      <c r="J1652" s="135">
        <v>1.42122819087922E-2</v>
      </c>
      <c r="K1652" s="135">
        <v>2.4947168454787699E-2</v>
      </c>
      <c r="L1652" s="135">
        <v>3.27053400896095E-2</v>
      </c>
      <c r="M1652" s="135">
        <v>7.1078546382967206E-2</v>
      </c>
      <c r="N1652" s="135">
        <v>0.13379956039823901</v>
      </c>
      <c r="O1652" s="135">
        <v>9.0805582704996293E-2</v>
      </c>
      <c r="P1652" s="135">
        <v>5.5478373015309897E-2</v>
      </c>
      <c r="Q1652" s="135">
        <v>5.2810493488683899E-2</v>
      </c>
      <c r="R1652" s="135">
        <v>5.7063558057432399E-2</v>
      </c>
      <c r="S1652" s="135">
        <v>4.7302748707018102E-2</v>
      </c>
      <c r="T1652" s="135">
        <v>3.72294280316771E-2</v>
      </c>
      <c r="U1652" s="135">
        <v>2.7864338995497999E-2</v>
      </c>
      <c r="V1652" s="135">
        <v>3.01915398727104E-2</v>
      </c>
      <c r="W1652" s="135">
        <v>3.8549449621234202E-2</v>
      </c>
      <c r="X1652" s="135">
        <v>5.5566551836602203E-2</v>
      </c>
      <c r="Y1652" s="135">
        <v>6.8602470305749202E-2</v>
      </c>
      <c r="Z1652" s="135">
        <v>6.5904032553255304E-2</v>
      </c>
      <c r="AA1652" s="135">
        <v>6.7145748732966304E-2</v>
      </c>
      <c r="AB1652" s="135">
        <v>5.7693615293340099E-2</v>
      </c>
      <c r="AC1652" s="135">
        <v>4.2408278037323499E-2</v>
      </c>
      <c r="AD1652" s="135">
        <v>3.0024095536888E-2</v>
      </c>
      <c r="AF1652" s="243">
        <f t="shared" si="31"/>
        <v>0.29101155677425411</v>
      </c>
      <c r="AG1652" s="275">
        <f t="shared" si="32"/>
        <v>0.4537159654843691</v>
      </c>
      <c r="AH1652" s="391">
        <f t="shared" si="33"/>
        <v>0.7048699863865745</v>
      </c>
      <c r="AI1652" s="135">
        <f t="shared" si="34"/>
        <v>1.1585859518709436</v>
      </c>
    </row>
    <row r="1653" spans="1:35" ht="12.6">
      <c r="A1653" s="10" t="s">
        <v>58</v>
      </c>
      <c r="B1653" s="10">
        <v>192</v>
      </c>
      <c r="C1653" s="10" t="s">
        <v>1514</v>
      </c>
      <c r="D1653" s="388">
        <v>45118</v>
      </c>
      <c r="E1653" s="389">
        <v>45118</v>
      </c>
      <c r="F1653" s="390" t="str">
        <f t="shared" si="30"/>
        <v>Water heating</v>
      </c>
      <c r="G1653" s="135">
        <v>2.0061509553606499E-2</v>
      </c>
      <c r="H1653" s="135">
        <v>2.03876347727301E-2</v>
      </c>
      <c r="I1653" s="135">
        <v>1.6753605519526499E-2</v>
      </c>
      <c r="J1653" s="135">
        <v>1.42122819087922E-2</v>
      </c>
      <c r="K1653" s="135">
        <v>2.4947168454787699E-2</v>
      </c>
      <c r="L1653" s="135">
        <v>3.27053400896095E-2</v>
      </c>
      <c r="M1653" s="135">
        <v>7.1078546382967206E-2</v>
      </c>
      <c r="N1653" s="135">
        <v>0.13379956039823901</v>
      </c>
      <c r="O1653" s="135">
        <v>9.0805582704996293E-2</v>
      </c>
      <c r="P1653" s="135">
        <v>5.5478373015309897E-2</v>
      </c>
      <c r="Q1653" s="135">
        <v>5.2810493488683899E-2</v>
      </c>
      <c r="R1653" s="135">
        <v>5.7063558057432399E-2</v>
      </c>
      <c r="S1653" s="135">
        <v>4.7302748707018102E-2</v>
      </c>
      <c r="T1653" s="135">
        <v>3.72294280316771E-2</v>
      </c>
      <c r="U1653" s="135">
        <v>2.7864338995497999E-2</v>
      </c>
      <c r="V1653" s="135">
        <v>3.01915398727104E-2</v>
      </c>
      <c r="W1653" s="135">
        <v>3.8549449621234202E-2</v>
      </c>
      <c r="X1653" s="135">
        <v>5.5566551836602203E-2</v>
      </c>
      <c r="Y1653" s="135">
        <v>6.8602470305749202E-2</v>
      </c>
      <c r="Z1653" s="135">
        <v>6.5904032553255304E-2</v>
      </c>
      <c r="AA1653" s="135">
        <v>6.7145748732966304E-2</v>
      </c>
      <c r="AB1653" s="135">
        <v>5.7693615293340099E-2</v>
      </c>
      <c r="AC1653" s="135">
        <v>4.2408278037323499E-2</v>
      </c>
      <c r="AD1653" s="135">
        <v>3.0024095536888E-2</v>
      </c>
      <c r="AF1653" s="243">
        <f t="shared" si="31"/>
        <v>0.29101155677425411</v>
      </c>
      <c r="AG1653" s="275">
        <f t="shared" si="32"/>
        <v>0.4537159654843691</v>
      </c>
      <c r="AH1653" s="391">
        <f t="shared" si="33"/>
        <v>0.7048699863865745</v>
      </c>
      <c r="AI1653" s="135">
        <f t="shared" si="34"/>
        <v>1.1585859518709436</v>
      </c>
    </row>
    <row r="1654" spans="1:35" ht="12.6">
      <c r="A1654" s="10" t="s">
        <v>58</v>
      </c>
      <c r="B1654" s="10">
        <v>193</v>
      </c>
      <c r="C1654" s="10" t="s">
        <v>1514</v>
      </c>
      <c r="D1654" s="388">
        <v>45119</v>
      </c>
      <c r="E1654" s="389">
        <v>45119</v>
      </c>
      <c r="F1654" s="390" t="str">
        <f t="shared" si="30"/>
        <v>Water heating</v>
      </c>
      <c r="G1654" s="135">
        <v>2.0061509553606499E-2</v>
      </c>
      <c r="H1654" s="135">
        <v>2.03876347727301E-2</v>
      </c>
      <c r="I1654" s="135">
        <v>1.6753605519526499E-2</v>
      </c>
      <c r="J1654" s="135">
        <v>1.42122819087922E-2</v>
      </c>
      <c r="K1654" s="135">
        <v>2.4947168454787699E-2</v>
      </c>
      <c r="L1654" s="135">
        <v>3.27053400896095E-2</v>
      </c>
      <c r="M1654" s="135">
        <v>7.1078546382967206E-2</v>
      </c>
      <c r="N1654" s="135">
        <v>0.13379956039823901</v>
      </c>
      <c r="O1654" s="135">
        <v>9.0805582704996293E-2</v>
      </c>
      <c r="P1654" s="135">
        <v>5.5478373015309897E-2</v>
      </c>
      <c r="Q1654" s="135">
        <v>5.2810493488683899E-2</v>
      </c>
      <c r="R1654" s="135">
        <v>5.7063558057432399E-2</v>
      </c>
      <c r="S1654" s="135">
        <v>4.7302748707018102E-2</v>
      </c>
      <c r="T1654" s="135">
        <v>3.72294280316771E-2</v>
      </c>
      <c r="U1654" s="135">
        <v>2.7864338995497999E-2</v>
      </c>
      <c r="V1654" s="135">
        <v>3.01915398727104E-2</v>
      </c>
      <c r="W1654" s="135">
        <v>3.8549449621234202E-2</v>
      </c>
      <c r="X1654" s="135">
        <v>5.5566551836602203E-2</v>
      </c>
      <c r="Y1654" s="135">
        <v>6.8602470305749202E-2</v>
      </c>
      <c r="Z1654" s="135">
        <v>6.5904032553255304E-2</v>
      </c>
      <c r="AA1654" s="135">
        <v>6.7145748732966304E-2</v>
      </c>
      <c r="AB1654" s="135">
        <v>5.7693615293340099E-2</v>
      </c>
      <c r="AC1654" s="135">
        <v>4.2408278037323499E-2</v>
      </c>
      <c r="AD1654" s="135">
        <v>3.0024095536888E-2</v>
      </c>
      <c r="AF1654" s="243">
        <f t="shared" si="31"/>
        <v>0.29101155677425411</v>
      </c>
      <c r="AG1654" s="275">
        <f t="shared" si="32"/>
        <v>0.4537159654843691</v>
      </c>
      <c r="AH1654" s="391">
        <f t="shared" si="33"/>
        <v>0.7048699863865745</v>
      </c>
      <c r="AI1654" s="135">
        <f t="shared" si="34"/>
        <v>1.1585859518709436</v>
      </c>
    </row>
    <row r="1655" spans="1:35" ht="12.6">
      <c r="A1655" s="10" t="s">
        <v>58</v>
      </c>
      <c r="B1655" s="10">
        <v>194</v>
      </c>
      <c r="C1655" s="10" t="s">
        <v>1514</v>
      </c>
      <c r="D1655" s="388">
        <v>45120</v>
      </c>
      <c r="E1655" s="389">
        <v>45120</v>
      </c>
      <c r="F1655" s="390" t="str">
        <f t="shared" si="30"/>
        <v>Water heating</v>
      </c>
      <c r="G1655" s="135">
        <v>2.0061509553606499E-2</v>
      </c>
      <c r="H1655" s="135">
        <v>2.03876347727301E-2</v>
      </c>
      <c r="I1655" s="135">
        <v>1.6753605519526499E-2</v>
      </c>
      <c r="J1655" s="135">
        <v>1.42122819087922E-2</v>
      </c>
      <c r="K1655" s="135">
        <v>2.4947168454787699E-2</v>
      </c>
      <c r="L1655" s="135">
        <v>3.27053400896095E-2</v>
      </c>
      <c r="M1655" s="135">
        <v>7.1078546382967206E-2</v>
      </c>
      <c r="N1655" s="135">
        <v>0.13379956039823901</v>
      </c>
      <c r="O1655" s="135">
        <v>9.0805582704996293E-2</v>
      </c>
      <c r="P1655" s="135">
        <v>5.5478373015309897E-2</v>
      </c>
      <c r="Q1655" s="135">
        <v>5.2810493488683899E-2</v>
      </c>
      <c r="R1655" s="135">
        <v>5.7063558057432399E-2</v>
      </c>
      <c r="S1655" s="135">
        <v>4.7302748707018102E-2</v>
      </c>
      <c r="T1655" s="135">
        <v>3.72294280316771E-2</v>
      </c>
      <c r="U1655" s="135">
        <v>2.7864338995497999E-2</v>
      </c>
      <c r="V1655" s="135">
        <v>3.01915398727104E-2</v>
      </c>
      <c r="W1655" s="135">
        <v>3.8549449621234202E-2</v>
      </c>
      <c r="X1655" s="135">
        <v>5.5566551836602203E-2</v>
      </c>
      <c r="Y1655" s="135">
        <v>6.8602470305749202E-2</v>
      </c>
      <c r="Z1655" s="135">
        <v>6.5904032553255304E-2</v>
      </c>
      <c r="AA1655" s="135">
        <v>6.7145748732966304E-2</v>
      </c>
      <c r="AB1655" s="135">
        <v>5.7693615293340099E-2</v>
      </c>
      <c r="AC1655" s="135">
        <v>4.2408278037323499E-2</v>
      </c>
      <c r="AD1655" s="135">
        <v>3.0024095536888E-2</v>
      </c>
      <c r="AF1655" s="243">
        <f t="shared" si="31"/>
        <v>0.29101155677425411</v>
      </c>
      <c r="AG1655" s="275">
        <f t="shared" si="32"/>
        <v>0.4537159654843691</v>
      </c>
      <c r="AH1655" s="391">
        <f t="shared" si="33"/>
        <v>0.7048699863865745</v>
      </c>
      <c r="AI1655" s="135">
        <f t="shared" si="34"/>
        <v>1.1585859518709436</v>
      </c>
    </row>
    <row r="1656" spans="1:35" ht="12.6">
      <c r="A1656" s="10" t="s">
        <v>58</v>
      </c>
      <c r="B1656" s="10">
        <v>195</v>
      </c>
      <c r="C1656" s="10" t="s">
        <v>1514</v>
      </c>
      <c r="D1656" s="388">
        <v>45121</v>
      </c>
      <c r="E1656" s="389">
        <v>45121</v>
      </c>
      <c r="F1656" s="390" t="str">
        <f t="shared" si="30"/>
        <v>Water heating</v>
      </c>
      <c r="G1656" s="135">
        <v>2.0061509553606499E-2</v>
      </c>
      <c r="H1656" s="135">
        <v>2.03876347727301E-2</v>
      </c>
      <c r="I1656" s="135">
        <v>1.6753605519526499E-2</v>
      </c>
      <c r="J1656" s="135">
        <v>1.42122819087922E-2</v>
      </c>
      <c r="K1656" s="135">
        <v>2.4947168454787699E-2</v>
      </c>
      <c r="L1656" s="135">
        <v>3.27053400896095E-2</v>
      </c>
      <c r="M1656" s="135">
        <v>7.1078546382967206E-2</v>
      </c>
      <c r="N1656" s="135">
        <v>0.13379956039823901</v>
      </c>
      <c r="O1656" s="135">
        <v>9.0805582704996293E-2</v>
      </c>
      <c r="P1656" s="135">
        <v>5.5478373015309897E-2</v>
      </c>
      <c r="Q1656" s="135">
        <v>5.2810493488683899E-2</v>
      </c>
      <c r="R1656" s="135">
        <v>5.7063558057432399E-2</v>
      </c>
      <c r="S1656" s="135">
        <v>4.7302748707018102E-2</v>
      </c>
      <c r="T1656" s="135">
        <v>3.72294280316771E-2</v>
      </c>
      <c r="U1656" s="135">
        <v>2.7864338995497999E-2</v>
      </c>
      <c r="V1656" s="135">
        <v>3.01915398727104E-2</v>
      </c>
      <c r="W1656" s="135">
        <v>3.8549449621234202E-2</v>
      </c>
      <c r="X1656" s="135">
        <v>5.5566551836602203E-2</v>
      </c>
      <c r="Y1656" s="135">
        <v>6.8602470305749202E-2</v>
      </c>
      <c r="Z1656" s="135">
        <v>6.5904032553255304E-2</v>
      </c>
      <c r="AA1656" s="135">
        <v>6.7145748732966304E-2</v>
      </c>
      <c r="AB1656" s="135">
        <v>5.7693615293340099E-2</v>
      </c>
      <c r="AC1656" s="135">
        <v>4.2408278037323499E-2</v>
      </c>
      <c r="AD1656" s="135">
        <v>3.0024095536888E-2</v>
      </c>
      <c r="AF1656" s="243">
        <f t="shared" si="31"/>
        <v>0.29101155677425411</v>
      </c>
      <c r="AG1656" s="275">
        <f t="shared" si="32"/>
        <v>0.4537159654843691</v>
      </c>
      <c r="AH1656" s="391">
        <f t="shared" si="33"/>
        <v>0.7048699863865745</v>
      </c>
      <c r="AI1656" s="135">
        <f t="shared" si="34"/>
        <v>1.1585859518709436</v>
      </c>
    </row>
    <row r="1657" spans="1:35" ht="12.6">
      <c r="A1657" s="10" t="s">
        <v>58</v>
      </c>
      <c r="B1657" s="10">
        <v>196</v>
      </c>
      <c r="C1657" s="10" t="s">
        <v>1514</v>
      </c>
      <c r="D1657" s="388">
        <v>45122</v>
      </c>
      <c r="E1657" s="389">
        <v>45122</v>
      </c>
      <c r="F1657" s="390" t="str">
        <f t="shared" si="30"/>
        <v>Water heating</v>
      </c>
      <c r="G1657" s="135">
        <v>2.04101148177275E-2</v>
      </c>
      <c r="H1657" s="135">
        <v>1.9716913414001499E-2</v>
      </c>
      <c r="I1657" s="135">
        <v>1.6638557398121302E-2</v>
      </c>
      <c r="J1657" s="135">
        <v>1.40064079219577E-2</v>
      </c>
      <c r="K1657" s="135">
        <v>2.2460860939879701E-2</v>
      </c>
      <c r="L1657" s="135">
        <v>2.3076502943698399E-2</v>
      </c>
      <c r="M1657" s="135">
        <v>1.50880973548259E-2</v>
      </c>
      <c r="N1657" s="135">
        <v>4.0509288457499702E-2</v>
      </c>
      <c r="O1657" s="135">
        <v>6.3755056848317004E-2</v>
      </c>
      <c r="P1657" s="135">
        <v>9.1875402324564703E-2</v>
      </c>
      <c r="Q1657" s="135">
        <v>9.6456069881928702E-2</v>
      </c>
      <c r="R1657" s="135">
        <v>8.8103665978442394E-2</v>
      </c>
      <c r="S1657" s="135">
        <v>7.5601563331188906E-2</v>
      </c>
      <c r="T1657" s="135">
        <v>6.2924842571207895E-2</v>
      </c>
      <c r="U1657" s="135">
        <v>4.62104107919621E-2</v>
      </c>
      <c r="V1657" s="135">
        <v>4.9524632568285203E-2</v>
      </c>
      <c r="W1657" s="135">
        <v>5.8831065275470301E-2</v>
      </c>
      <c r="X1657" s="135">
        <v>6.6430061386033107E-2</v>
      </c>
      <c r="Y1657" s="135">
        <v>7.3148345546801302E-2</v>
      </c>
      <c r="Z1657" s="135">
        <v>6.1808796676876297E-2</v>
      </c>
      <c r="AA1657" s="135">
        <v>5.6772925649949797E-2</v>
      </c>
      <c r="AB1657" s="135">
        <v>5.1125461056197898E-2</v>
      </c>
      <c r="AC1657" s="135">
        <v>3.7544323279059599E-2</v>
      </c>
      <c r="AD1657" s="135">
        <v>2.74046736576571E-2</v>
      </c>
      <c r="AF1657" s="243">
        <f t="shared" si="31"/>
        <v>0.47765225039848547</v>
      </c>
      <c r="AG1657" s="275">
        <f t="shared" si="32"/>
        <v>0.48943896626504335</v>
      </c>
      <c r="AH1657" s="391">
        <f t="shared" si="33"/>
        <v>0.68998507380661089</v>
      </c>
      <c r="AI1657" s="135">
        <f t="shared" si="34"/>
        <v>1.1794240400716542</v>
      </c>
    </row>
    <row r="1658" spans="1:35" ht="12.6">
      <c r="A1658" s="10" t="s">
        <v>58</v>
      </c>
      <c r="B1658" s="10">
        <v>197</v>
      </c>
      <c r="C1658" s="10" t="s">
        <v>1514</v>
      </c>
      <c r="D1658" s="388">
        <v>45123</v>
      </c>
      <c r="E1658" s="389">
        <v>45123</v>
      </c>
      <c r="F1658" s="390" t="str">
        <f t="shared" si="30"/>
        <v>Water heating</v>
      </c>
      <c r="G1658" s="135">
        <v>2.04101148177275E-2</v>
      </c>
      <c r="H1658" s="135">
        <v>1.9716913414001499E-2</v>
      </c>
      <c r="I1658" s="135">
        <v>1.6638557398121302E-2</v>
      </c>
      <c r="J1658" s="135">
        <v>1.40064079219577E-2</v>
      </c>
      <c r="K1658" s="135">
        <v>2.2460860939879701E-2</v>
      </c>
      <c r="L1658" s="135">
        <v>2.3076502943698399E-2</v>
      </c>
      <c r="M1658" s="135">
        <v>1.50880973548259E-2</v>
      </c>
      <c r="N1658" s="135">
        <v>4.0509288457499702E-2</v>
      </c>
      <c r="O1658" s="135">
        <v>6.3755056848317004E-2</v>
      </c>
      <c r="P1658" s="135">
        <v>9.1875402324564703E-2</v>
      </c>
      <c r="Q1658" s="135">
        <v>9.6456069881928702E-2</v>
      </c>
      <c r="R1658" s="135">
        <v>8.8103665978442394E-2</v>
      </c>
      <c r="S1658" s="135">
        <v>7.5601563331188906E-2</v>
      </c>
      <c r="T1658" s="135">
        <v>6.2924842571207895E-2</v>
      </c>
      <c r="U1658" s="135">
        <v>4.62104107919621E-2</v>
      </c>
      <c r="V1658" s="135">
        <v>4.9524632568285203E-2</v>
      </c>
      <c r="W1658" s="135">
        <v>5.8831065275470301E-2</v>
      </c>
      <c r="X1658" s="135">
        <v>6.6430061386033107E-2</v>
      </c>
      <c r="Y1658" s="135">
        <v>7.3148345546801302E-2</v>
      </c>
      <c r="Z1658" s="135">
        <v>6.1808796676876297E-2</v>
      </c>
      <c r="AA1658" s="135">
        <v>5.6772925649949797E-2</v>
      </c>
      <c r="AB1658" s="135">
        <v>5.1125461056197898E-2</v>
      </c>
      <c r="AC1658" s="135">
        <v>3.7544323279059599E-2</v>
      </c>
      <c r="AD1658" s="135">
        <v>2.74046736576571E-2</v>
      </c>
      <c r="AF1658" s="243">
        <f t="shared" si="31"/>
        <v>0.47765225039848547</v>
      </c>
      <c r="AG1658" s="275">
        <f t="shared" si="32"/>
        <v>0.48943896626504335</v>
      </c>
      <c r="AH1658" s="391">
        <f t="shared" si="33"/>
        <v>0.68998507380661089</v>
      </c>
      <c r="AI1658" s="135">
        <f t="shared" si="34"/>
        <v>1.1794240400716542</v>
      </c>
    </row>
    <row r="1659" spans="1:35" ht="12.6">
      <c r="A1659" s="10" t="s">
        <v>58</v>
      </c>
      <c r="B1659" s="10">
        <v>198</v>
      </c>
      <c r="C1659" s="10" t="s">
        <v>1514</v>
      </c>
      <c r="D1659" s="388">
        <v>45124</v>
      </c>
      <c r="E1659" s="389">
        <v>45124</v>
      </c>
      <c r="F1659" s="390" t="str">
        <f t="shared" si="30"/>
        <v>Water heating</v>
      </c>
      <c r="G1659" s="135">
        <v>2.0061509553606499E-2</v>
      </c>
      <c r="H1659" s="135">
        <v>2.03876347727301E-2</v>
      </c>
      <c r="I1659" s="135">
        <v>1.6753605519526499E-2</v>
      </c>
      <c r="J1659" s="135">
        <v>1.42122819087922E-2</v>
      </c>
      <c r="K1659" s="135">
        <v>2.4947168454787699E-2</v>
      </c>
      <c r="L1659" s="135">
        <v>3.27053400896095E-2</v>
      </c>
      <c r="M1659" s="135">
        <v>7.1078546382967206E-2</v>
      </c>
      <c r="N1659" s="135">
        <v>0.13379956039823901</v>
      </c>
      <c r="O1659" s="135">
        <v>9.0805582704996293E-2</v>
      </c>
      <c r="P1659" s="135">
        <v>5.5478373015309897E-2</v>
      </c>
      <c r="Q1659" s="135">
        <v>5.2810493488683899E-2</v>
      </c>
      <c r="R1659" s="135">
        <v>5.7063558057432399E-2</v>
      </c>
      <c r="S1659" s="135">
        <v>4.7302748707018102E-2</v>
      </c>
      <c r="T1659" s="135">
        <v>3.72294280316771E-2</v>
      </c>
      <c r="U1659" s="135">
        <v>2.7864338995497999E-2</v>
      </c>
      <c r="V1659" s="135">
        <v>3.01915398727104E-2</v>
      </c>
      <c r="W1659" s="135">
        <v>3.8549449621234202E-2</v>
      </c>
      <c r="X1659" s="135">
        <v>5.5566551836602203E-2</v>
      </c>
      <c r="Y1659" s="135">
        <v>6.8602470305749202E-2</v>
      </c>
      <c r="Z1659" s="135">
        <v>6.5904032553255304E-2</v>
      </c>
      <c r="AA1659" s="135">
        <v>6.7145748732966304E-2</v>
      </c>
      <c r="AB1659" s="135">
        <v>5.7693615293340099E-2</v>
      </c>
      <c r="AC1659" s="135">
        <v>4.2408278037323499E-2</v>
      </c>
      <c r="AD1659" s="135">
        <v>3.0024095536888E-2</v>
      </c>
      <c r="AF1659" s="243">
        <f t="shared" si="31"/>
        <v>0.29101155677425411</v>
      </c>
      <c r="AG1659" s="275">
        <f t="shared" si="32"/>
        <v>0.4537159654843691</v>
      </c>
      <c r="AH1659" s="391">
        <f t="shared" si="33"/>
        <v>0.7048699863865745</v>
      </c>
      <c r="AI1659" s="135">
        <f t="shared" si="34"/>
        <v>1.1585859518709436</v>
      </c>
    </row>
    <row r="1660" spans="1:35" ht="12.6">
      <c r="A1660" s="10" t="s">
        <v>58</v>
      </c>
      <c r="B1660" s="10">
        <v>199</v>
      </c>
      <c r="C1660" s="10" t="s">
        <v>1514</v>
      </c>
      <c r="D1660" s="388">
        <v>45125</v>
      </c>
      <c r="E1660" s="389">
        <v>45125</v>
      </c>
      <c r="F1660" s="390" t="str">
        <f t="shared" si="30"/>
        <v>Water heating</v>
      </c>
      <c r="G1660" s="135">
        <v>2.0061509553606499E-2</v>
      </c>
      <c r="H1660" s="135">
        <v>2.03876347727301E-2</v>
      </c>
      <c r="I1660" s="135">
        <v>1.6753605519526499E-2</v>
      </c>
      <c r="J1660" s="135">
        <v>1.42122819087922E-2</v>
      </c>
      <c r="K1660" s="135">
        <v>2.4947168454787699E-2</v>
      </c>
      <c r="L1660" s="135">
        <v>3.27053400896095E-2</v>
      </c>
      <c r="M1660" s="135">
        <v>7.1078546382967206E-2</v>
      </c>
      <c r="N1660" s="135">
        <v>0.13379956039823901</v>
      </c>
      <c r="O1660" s="135">
        <v>9.0805582704996293E-2</v>
      </c>
      <c r="P1660" s="135">
        <v>5.5478373015309897E-2</v>
      </c>
      <c r="Q1660" s="135">
        <v>5.2810493488683899E-2</v>
      </c>
      <c r="R1660" s="135">
        <v>5.7063558057432399E-2</v>
      </c>
      <c r="S1660" s="135">
        <v>4.7302748707018102E-2</v>
      </c>
      <c r="T1660" s="135">
        <v>3.72294280316771E-2</v>
      </c>
      <c r="U1660" s="135">
        <v>2.7864338995497999E-2</v>
      </c>
      <c r="V1660" s="135">
        <v>3.01915398727104E-2</v>
      </c>
      <c r="W1660" s="135">
        <v>3.8549449621234202E-2</v>
      </c>
      <c r="X1660" s="135">
        <v>5.5566551836602203E-2</v>
      </c>
      <c r="Y1660" s="135">
        <v>6.8602470305749202E-2</v>
      </c>
      <c r="Z1660" s="135">
        <v>6.5904032553255304E-2</v>
      </c>
      <c r="AA1660" s="135">
        <v>6.7145748732966304E-2</v>
      </c>
      <c r="AB1660" s="135">
        <v>5.7693615293340099E-2</v>
      </c>
      <c r="AC1660" s="135">
        <v>4.2408278037323499E-2</v>
      </c>
      <c r="AD1660" s="135">
        <v>3.0024095536888E-2</v>
      </c>
      <c r="AF1660" s="243">
        <f t="shared" si="31"/>
        <v>0.29101155677425411</v>
      </c>
      <c r="AG1660" s="275">
        <f t="shared" si="32"/>
        <v>0.4537159654843691</v>
      </c>
      <c r="AH1660" s="391">
        <f t="shared" si="33"/>
        <v>0.7048699863865745</v>
      </c>
      <c r="AI1660" s="135">
        <f t="shared" si="34"/>
        <v>1.1585859518709436</v>
      </c>
    </row>
    <row r="1661" spans="1:35" ht="12.6">
      <c r="A1661" s="10" t="s">
        <v>58</v>
      </c>
      <c r="B1661" s="10">
        <v>200</v>
      </c>
      <c r="C1661" s="10" t="s">
        <v>1514</v>
      </c>
      <c r="D1661" s="388">
        <v>45126</v>
      </c>
      <c r="E1661" s="389">
        <v>45126</v>
      </c>
      <c r="F1661" s="390" t="str">
        <f t="shared" si="30"/>
        <v>Water heating</v>
      </c>
      <c r="G1661" s="135">
        <v>2.0061509553606499E-2</v>
      </c>
      <c r="H1661" s="135">
        <v>2.03876347727301E-2</v>
      </c>
      <c r="I1661" s="135">
        <v>1.6753605519526499E-2</v>
      </c>
      <c r="J1661" s="135">
        <v>1.42122819087922E-2</v>
      </c>
      <c r="K1661" s="135">
        <v>2.4947168454787699E-2</v>
      </c>
      <c r="L1661" s="135">
        <v>3.27053400896095E-2</v>
      </c>
      <c r="M1661" s="135">
        <v>7.1078546382967206E-2</v>
      </c>
      <c r="N1661" s="135">
        <v>0.13379956039823901</v>
      </c>
      <c r="O1661" s="135">
        <v>9.0805582704996293E-2</v>
      </c>
      <c r="P1661" s="135">
        <v>5.5478373015309897E-2</v>
      </c>
      <c r="Q1661" s="135">
        <v>5.2810493488683899E-2</v>
      </c>
      <c r="R1661" s="135">
        <v>5.7063558057432399E-2</v>
      </c>
      <c r="S1661" s="135">
        <v>4.7302748707018102E-2</v>
      </c>
      <c r="T1661" s="135">
        <v>3.72294280316771E-2</v>
      </c>
      <c r="U1661" s="135">
        <v>2.7864338995497999E-2</v>
      </c>
      <c r="V1661" s="135">
        <v>3.01915398727104E-2</v>
      </c>
      <c r="W1661" s="135">
        <v>3.8549449621234202E-2</v>
      </c>
      <c r="X1661" s="135">
        <v>5.5566551836602203E-2</v>
      </c>
      <c r="Y1661" s="135">
        <v>6.8602470305749202E-2</v>
      </c>
      <c r="Z1661" s="135">
        <v>6.5904032553255304E-2</v>
      </c>
      <c r="AA1661" s="135">
        <v>6.7145748732966304E-2</v>
      </c>
      <c r="AB1661" s="135">
        <v>5.7693615293340099E-2</v>
      </c>
      <c r="AC1661" s="135">
        <v>4.2408278037323499E-2</v>
      </c>
      <c r="AD1661" s="135">
        <v>3.0024095536888E-2</v>
      </c>
      <c r="AF1661" s="243">
        <f t="shared" si="31"/>
        <v>0.29101155677425411</v>
      </c>
      <c r="AG1661" s="275">
        <f t="shared" si="32"/>
        <v>0.4537159654843691</v>
      </c>
      <c r="AH1661" s="391">
        <f t="shared" si="33"/>
        <v>0.7048699863865745</v>
      </c>
      <c r="AI1661" s="135">
        <f t="shared" si="34"/>
        <v>1.1585859518709436</v>
      </c>
    </row>
    <row r="1662" spans="1:35" ht="12.6">
      <c r="A1662" s="10" t="s">
        <v>58</v>
      </c>
      <c r="B1662" s="10">
        <v>201</v>
      </c>
      <c r="C1662" s="10" t="s">
        <v>1514</v>
      </c>
      <c r="D1662" s="388">
        <v>45127</v>
      </c>
      <c r="E1662" s="389">
        <v>45127</v>
      </c>
      <c r="F1662" s="390" t="str">
        <f t="shared" si="30"/>
        <v>Water heating</v>
      </c>
      <c r="G1662" s="135">
        <v>2.0061509553606499E-2</v>
      </c>
      <c r="H1662" s="135">
        <v>2.03876347727301E-2</v>
      </c>
      <c r="I1662" s="135">
        <v>1.6753605519526499E-2</v>
      </c>
      <c r="J1662" s="135">
        <v>1.42122819087922E-2</v>
      </c>
      <c r="K1662" s="135">
        <v>2.4947168454787699E-2</v>
      </c>
      <c r="L1662" s="135">
        <v>3.27053400896095E-2</v>
      </c>
      <c r="M1662" s="135">
        <v>7.1078546382967206E-2</v>
      </c>
      <c r="N1662" s="135">
        <v>0.13379956039823901</v>
      </c>
      <c r="O1662" s="135">
        <v>9.0805582704996293E-2</v>
      </c>
      <c r="P1662" s="135">
        <v>5.5478373015309897E-2</v>
      </c>
      <c r="Q1662" s="135">
        <v>5.2810493488683899E-2</v>
      </c>
      <c r="R1662" s="135">
        <v>5.7063558057432399E-2</v>
      </c>
      <c r="S1662" s="135">
        <v>4.7302748707018102E-2</v>
      </c>
      <c r="T1662" s="135">
        <v>3.72294280316771E-2</v>
      </c>
      <c r="U1662" s="135">
        <v>2.7864338995497999E-2</v>
      </c>
      <c r="V1662" s="135">
        <v>3.01915398727104E-2</v>
      </c>
      <c r="W1662" s="135">
        <v>3.8549449621234202E-2</v>
      </c>
      <c r="X1662" s="135">
        <v>5.5566551836602203E-2</v>
      </c>
      <c r="Y1662" s="135">
        <v>6.8602470305749202E-2</v>
      </c>
      <c r="Z1662" s="135">
        <v>6.5904032553255304E-2</v>
      </c>
      <c r="AA1662" s="135">
        <v>6.7145748732966304E-2</v>
      </c>
      <c r="AB1662" s="135">
        <v>5.7693615293340099E-2</v>
      </c>
      <c r="AC1662" s="135">
        <v>4.2408278037323499E-2</v>
      </c>
      <c r="AD1662" s="135">
        <v>3.0024095536888E-2</v>
      </c>
      <c r="AF1662" s="243">
        <f t="shared" si="31"/>
        <v>0.29101155677425411</v>
      </c>
      <c r="AG1662" s="275">
        <f t="shared" si="32"/>
        <v>0.4537159654843691</v>
      </c>
      <c r="AH1662" s="391">
        <f t="shared" si="33"/>
        <v>0.7048699863865745</v>
      </c>
      <c r="AI1662" s="135">
        <f t="shared" si="34"/>
        <v>1.1585859518709436</v>
      </c>
    </row>
    <row r="1663" spans="1:35" ht="12.6">
      <c r="A1663" s="10" t="s">
        <v>58</v>
      </c>
      <c r="B1663" s="10">
        <v>202</v>
      </c>
      <c r="C1663" s="10" t="s">
        <v>1514</v>
      </c>
      <c r="D1663" s="388">
        <v>45128</v>
      </c>
      <c r="E1663" s="389">
        <v>45128</v>
      </c>
      <c r="F1663" s="390" t="str">
        <f t="shared" si="30"/>
        <v>Water heating</v>
      </c>
      <c r="G1663" s="135">
        <v>2.0061509553606499E-2</v>
      </c>
      <c r="H1663" s="135">
        <v>2.03876347727301E-2</v>
      </c>
      <c r="I1663" s="135">
        <v>1.6753605519526499E-2</v>
      </c>
      <c r="J1663" s="135">
        <v>1.42122819087922E-2</v>
      </c>
      <c r="K1663" s="135">
        <v>2.4947168454787699E-2</v>
      </c>
      <c r="L1663" s="135">
        <v>3.27053400896095E-2</v>
      </c>
      <c r="M1663" s="135">
        <v>7.1078546382967206E-2</v>
      </c>
      <c r="N1663" s="135">
        <v>0.13379956039823901</v>
      </c>
      <c r="O1663" s="135">
        <v>9.0805582704996293E-2</v>
      </c>
      <c r="P1663" s="135">
        <v>5.5478373015309897E-2</v>
      </c>
      <c r="Q1663" s="135">
        <v>5.2810493488683899E-2</v>
      </c>
      <c r="R1663" s="135">
        <v>5.7063558057432399E-2</v>
      </c>
      <c r="S1663" s="135">
        <v>4.7302748707018102E-2</v>
      </c>
      <c r="T1663" s="135">
        <v>3.72294280316771E-2</v>
      </c>
      <c r="U1663" s="135">
        <v>2.7864338995497999E-2</v>
      </c>
      <c r="V1663" s="135">
        <v>3.01915398727104E-2</v>
      </c>
      <c r="W1663" s="135">
        <v>3.8549449621234202E-2</v>
      </c>
      <c r="X1663" s="135">
        <v>5.5566551836602203E-2</v>
      </c>
      <c r="Y1663" s="135">
        <v>6.8602470305749202E-2</v>
      </c>
      <c r="Z1663" s="135">
        <v>6.5904032553255304E-2</v>
      </c>
      <c r="AA1663" s="135">
        <v>6.7145748732966304E-2</v>
      </c>
      <c r="AB1663" s="135">
        <v>5.7693615293340099E-2</v>
      </c>
      <c r="AC1663" s="135">
        <v>4.2408278037323499E-2</v>
      </c>
      <c r="AD1663" s="135">
        <v>3.0024095536888E-2</v>
      </c>
      <c r="AF1663" s="243">
        <f t="shared" si="31"/>
        <v>0.29101155677425411</v>
      </c>
      <c r="AG1663" s="275">
        <f t="shared" si="32"/>
        <v>0.4537159654843691</v>
      </c>
      <c r="AH1663" s="391">
        <f t="shared" si="33"/>
        <v>0.7048699863865745</v>
      </c>
      <c r="AI1663" s="135">
        <f t="shared" si="34"/>
        <v>1.1585859518709436</v>
      </c>
    </row>
    <row r="1664" spans="1:35" ht="12.6">
      <c r="A1664" s="10" t="s">
        <v>58</v>
      </c>
      <c r="B1664" s="10">
        <v>203</v>
      </c>
      <c r="C1664" s="10" t="s">
        <v>1514</v>
      </c>
      <c r="D1664" s="388">
        <v>45129</v>
      </c>
      <c r="E1664" s="389">
        <v>45129</v>
      </c>
      <c r="F1664" s="390" t="str">
        <f t="shared" si="30"/>
        <v>Water heating</v>
      </c>
      <c r="G1664" s="135">
        <v>2.04101148177275E-2</v>
      </c>
      <c r="H1664" s="135">
        <v>1.9716913414001499E-2</v>
      </c>
      <c r="I1664" s="135">
        <v>1.6638557398121302E-2</v>
      </c>
      <c r="J1664" s="135">
        <v>1.40064079219577E-2</v>
      </c>
      <c r="K1664" s="135">
        <v>2.2460860939879701E-2</v>
      </c>
      <c r="L1664" s="135">
        <v>2.3076502943698399E-2</v>
      </c>
      <c r="M1664" s="135">
        <v>1.50880973548259E-2</v>
      </c>
      <c r="N1664" s="135">
        <v>4.0509288457499702E-2</v>
      </c>
      <c r="O1664" s="135">
        <v>6.3755056848317004E-2</v>
      </c>
      <c r="P1664" s="135">
        <v>9.1875402324564703E-2</v>
      </c>
      <c r="Q1664" s="135">
        <v>9.6456069881928702E-2</v>
      </c>
      <c r="R1664" s="135">
        <v>8.8103665978442394E-2</v>
      </c>
      <c r="S1664" s="135">
        <v>7.5601563331188906E-2</v>
      </c>
      <c r="T1664" s="135">
        <v>6.2924842571207895E-2</v>
      </c>
      <c r="U1664" s="135">
        <v>4.62104107919621E-2</v>
      </c>
      <c r="V1664" s="135">
        <v>4.9524632568285203E-2</v>
      </c>
      <c r="W1664" s="135">
        <v>5.8831065275470301E-2</v>
      </c>
      <c r="X1664" s="135">
        <v>6.6430061386033107E-2</v>
      </c>
      <c r="Y1664" s="135">
        <v>7.3148345546801302E-2</v>
      </c>
      <c r="Z1664" s="135">
        <v>6.1808796676876297E-2</v>
      </c>
      <c r="AA1664" s="135">
        <v>5.6772925649949797E-2</v>
      </c>
      <c r="AB1664" s="135">
        <v>5.1125461056197898E-2</v>
      </c>
      <c r="AC1664" s="135">
        <v>3.7544323279059599E-2</v>
      </c>
      <c r="AD1664" s="135">
        <v>2.74046736576571E-2</v>
      </c>
      <c r="AF1664" s="243">
        <f t="shared" si="31"/>
        <v>0.47765225039848547</v>
      </c>
      <c r="AG1664" s="275">
        <f t="shared" si="32"/>
        <v>0.48943896626504335</v>
      </c>
      <c r="AH1664" s="391">
        <f t="shared" si="33"/>
        <v>0.68998507380661089</v>
      </c>
      <c r="AI1664" s="135">
        <f t="shared" si="34"/>
        <v>1.1794240400716542</v>
      </c>
    </row>
    <row r="1665" spans="1:35" ht="12.6">
      <c r="A1665" s="10" t="s">
        <v>58</v>
      </c>
      <c r="B1665" s="10">
        <v>204</v>
      </c>
      <c r="C1665" s="10" t="s">
        <v>1514</v>
      </c>
      <c r="D1665" s="388">
        <v>45130</v>
      </c>
      <c r="E1665" s="389">
        <v>45130</v>
      </c>
      <c r="F1665" s="390" t="str">
        <f t="shared" si="30"/>
        <v>Water heating</v>
      </c>
      <c r="G1665" s="135">
        <v>2.04101148177275E-2</v>
      </c>
      <c r="H1665" s="135">
        <v>1.9716913414001499E-2</v>
      </c>
      <c r="I1665" s="135">
        <v>1.6638557398121302E-2</v>
      </c>
      <c r="J1665" s="135">
        <v>1.40064079219577E-2</v>
      </c>
      <c r="K1665" s="135">
        <v>2.2460860939879701E-2</v>
      </c>
      <c r="L1665" s="135">
        <v>2.3076502943698399E-2</v>
      </c>
      <c r="M1665" s="135">
        <v>1.50880973548259E-2</v>
      </c>
      <c r="N1665" s="135">
        <v>4.0509288457499702E-2</v>
      </c>
      <c r="O1665" s="135">
        <v>6.3755056848317004E-2</v>
      </c>
      <c r="P1665" s="135">
        <v>9.1875402324564703E-2</v>
      </c>
      <c r="Q1665" s="135">
        <v>9.6456069881928702E-2</v>
      </c>
      <c r="R1665" s="135">
        <v>8.8103665978442394E-2</v>
      </c>
      <c r="S1665" s="135">
        <v>7.5601563331188906E-2</v>
      </c>
      <c r="T1665" s="135">
        <v>6.2924842571207895E-2</v>
      </c>
      <c r="U1665" s="135">
        <v>4.62104107919621E-2</v>
      </c>
      <c r="V1665" s="135">
        <v>4.9524632568285203E-2</v>
      </c>
      <c r="W1665" s="135">
        <v>5.8831065275470301E-2</v>
      </c>
      <c r="X1665" s="135">
        <v>6.6430061386033107E-2</v>
      </c>
      <c r="Y1665" s="135">
        <v>7.3148345546801302E-2</v>
      </c>
      <c r="Z1665" s="135">
        <v>6.1808796676876297E-2</v>
      </c>
      <c r="AA1665" s="135">
        <v>5.6772925649949797E-2</v>
      </c>
      <c r="AB1665" s="135">
        <v>5.1125461056197898E-2</v>
      </c>
      <c r="AC1665" s="135">
        <v>3.7544323279059599E-2</v>
      </c>
      <c r="AD1665" s="135">
        <v>2.74046736576571E-2</v>
      </c>
      <c r="AF1665" s="243">
        <f t="shared" si="31"/>
        <v>0.47765225039848547</v>
      </c>
      <c r="AG1665" s="275">
        <f t="shared" si="32"/>
        <v>0.48943896626504335</v>
      </c>
      <c r="AH1665" s="391">
        <f t="shared" si="33"/>
        <v>0.68998507380661089</v>
      </c>
      <c r="AI1665" s="135">
        <f t="shared" si="34"/>
        <v>1.1794240400716542</v>
      </c>
    </row>
    <row r="1666" spans="1:35" ht="12.6">
      <c r="A1666" s="10" t="s">
        <v>58</v>
      </c>
      <c r="B1666" s="10">
        <v>205</v>
      </c>
      <c r="C1666" s="10" t="s">
        <v>1514</v>
      </c>
      <c r="D1666" s="388">
        <v>45131</v>
      </c>
      <c r="E1666" s="389">
        <v>45131</v>
      </c>
      <c r="F1666" s="390" t="str">
        <f t="shared" si="30"/>
        <v>Water heating</v>
      </c>
      <c r="G1666" s="135">
        <v>2.0061509553606499E-2</v>
      </c>
      <c r="H1666" s="135">
        <v>2.03876347727301E-2</v>
      </c>
      <c r="I1666" s="135">
        <v>1.6753605519526499E-2</v>
      </c>
      <c r="J1666" s="135">
        <v>1.42122819087922E-2</v>
      </c>
      <c r="K1666" s="135">
        <v>2.4947168454787699E-2</v>
      </c>
      <c r="L1666" s="135">
        <v>3.27053400896095E-2</v>
      </c>
      <c r="M1666" s="135">
        <v>7.1078546382967206E-2</v>
      </c>
      <c r="N1666" s="135">
        <v>0.13379956039823901</v>
      </c>
      <c r="O1666" s="135">
        <v>9.0805582704996293E-2</v>
      </c>
      <c r="P1666" s="135">
        <v>5.5478373015309897E-2</v>
      </c>
      <c r="Q1666" s="135">
        <v>5.2810493488683899E-2</v>
      </c>
      <c r="R1666" s="135">
        <v>5.7063558057432399E-2</v>
      </c>
      <c r="S1666" s="135">
        <v>4.7302748707018102E-2</v>
      </c>
      <c r="T1666" s="135">
        <v>3.72294280316771E-2</v>
      </c>
      <c r="U1666" s="135">
        <v>2.7864338995497999E-2</v>
      </c>
      <c r="V1666" s="135">
        <v>3.01915398727104E-2</v>
      </c>
      <c r="W1666" s="135">
        <v>3.8549449621234202E-2</v>
      </c>
      <c r="X1666" s="135">
        <v>5.5566551836602203E-2</v>
      </c>
      <c r="Y1666" s="135">
        <v>6.8602470305749202E-2</v>
      </c>
      <c r="Z1666" s="135">
        <v>6.5904032553255304E-2</v>
      </c>
      <c r="AA1666" s="135">
        <v>6.7145748732966304E-2</v>
      </c>
      <c r="AB1666" s="135">
        <v>5.7693615293340099E-2</v>
      </c>
      <c r="AC1666" s="135">
        <v>4.2408278037323499E-2</v>
      </c>
      <c r="AD1666" s="135">
        <v>3.0024095536888E-2</v>
      </c>
      <c r="AF1666" s="243">
        <f t="shared" si="31"/>
        <v>0.29101155677425411</v>
      </c>
      <c r="AG1666" s="275">
        <f t="shared" si="32"/>
        <v>0.4537159654843691</v>
      </c>
      <c r="AH1666" s="391">
        <f t="shared" si="33"/>
        <v>0.7048699863865745</v>
      </c>
      <c r="AI1666" s="135">
        <f t="shared" si="34"/>
        <v>1.1585859518709436</v>
      </c>
    </row>
    <row r="1667" spans="1:35" ht="12.6">
      <c r="A1667" s="10" t="s">
        <v>58</v>
      </c>
      <c r="B1667" s="10">
        <v>206</v>
      </c>
      <c r="C1667" s="10" t="s">
        <v>1514</v>
      </c>
      <c r="D1667" s="388">
        <v>45132</v>
      </c>
      <c r="E1667" s="389">
        <v>45132</v>
      </c>
      <c r="F1667" s="390" t="str">
        <f t="shared" si="30"/>
        <v>Water heating</v>
      </c>
      <c r="G1667" s="135">
        <v>2.0061509553606499E-2</v>
      </c>
      <c r="H1667" s="135">
        <v>2.03876347727301E-2</v>
      </c>
      <c r="I1667" s="135">
        <v>1.6753605519526499E-2</v>
      </c>
      <c r="J1667" s="135">
        <v>1.42122819087922E-2</v>
      </c>
      <c r="K1667" s="135">
        <v>2.4947168454787699E-2</v>
      </c>
      <c r="L1667" s="135">
        <v>3.27053400896095E-2</v>
      </c>
      <c r="M1667" s="135">
        <v>7.1078546382967206E-2</v>
      </c>
      <c r="N1667" s="135">
        <v>0.13379956039823901</v>
      </c>
      <c r="O1667" s="135">
        <v>9.0805582704996293E-2</v>
      </c>
      <c r="P1667" s="135">
        <v>5.5478373015309897E-2</v>
      </c>
      <c r="Q1667" s="135">
        <v>5.2810493488683899E-2</v>
      </c>
      <c r="R1667" s="135">
        <v>5.7063558057432399E-2</v>
      </c>
      <c r="S1667" s="135">
        <v>4.7302748707018102E-2</v>
      </c>
      <c r="T1667" s="135">
        <v>3.72294280316771E-2</v>
      </c>
      <c r="U1667" s="135">
        <v>2.7864338995497999E-2</v>
      </c>
      <c r="V1667" s="135">
        <v>3.01915398727104E-2</v>
      </c>
      <c r="W1667" s="135">
        <v>3.8549449621234202E-2</v>
      </c>
      <c r="X1667" s="135">
        <v>5.5566551836602203E-2</v>
      </c>
      <c r="Y1667" s="135">
        <v>6.8602470305749202E-2</v>
      </c>
      <c r="Z1667" s="135">
        <v>6.5904032553255304E-2</v>
      </c>
      <c r="AA1667" s="135">
        <v>6.7145748732966304E-2</v>
      </c>
      <c r="AB1667" s="135">
        <v>5.7693615293340099E-2</v>
      </c>
      <c r="AC1667" s="135">
        <v>4.2408278037323499E-2</v>
      </c>
      <c r="AD1667" s="135">
        <v>3.0024095536888E-2</v>
      </c>
      <c r="AF1667" s="243">
        <f t="shared" si="31"/>
        <v>0.29101155677425411</v>
      </c>
      <c r="AG1667" s="275">
        <f t="shared" si="32"/>
        <v>0.4537159654843691</v>
      </c>
      <c r="AH1667" s="391">
        <f t="shared" si="33"/>
        <v>0.7048699863865745</v>
      </c>
      <c r="AI1667" s="135">
        <f t="shared" si="34"/>
        <v>1.1585859518709436</v>
      </c>
    </row>
    <row r="1668" spans="1:35" ht="12.6">
      <c r="A1668" s="10" t="s">
        <v>58</v>
      </c>
      <c r="B1668" s="10">
        <v>207</v>
      </c>
      <c r="C1668" s="10" t="s">
        <v>1514</v>
      </c>
      <c r="D1668" s="388">
        <v>45133</v>
      </c>
      <c r="E1668" s="389">
        <v>45133</v>
      </c>
      <c r="F1668" s="390" t="str">
        <f t="shared" si="30"/>
        <v>Water heating</v>
      </c>
      <c r="G1668" s="135">
        <v>2.0061509553606499E-2</v>
      </c>
      <c r="H1668" s="135">
        <v>2.03876347727301E-2</v>
      </c>
      <c r="I1668" s="135">
        <v>1.6753605519526499E-2</v>
      </c>
      <c r="J1668" s="135">
        <v>1.42122819087922E-2</v>
      </c>
      <c r="K1668" s="135">
        <v>2.4947168454787699E-2</v>
      </c>
      <c r="L1668" s="135">
        <v>3.27053400896095E-2</v>
      </c>
      <c r="M1668" s="135">
        <v>7.1078546382967206E-2</v>
      </c>
      <c r="N1668" s="135">
        <v>0.13379956039823901</v>
      </c>
      <c r="O1668" s="135">
        <v>9.0805582704996293E-2</v>
      </c>
      <c r="P1668" s="135">
        <v>5.5478373015309897E-2</v>
      </c>
      <c r="Q1668" s="135">
        <v>5.2810493488683899E-2</v>
      </c>
      <c r="R1668" s="135">
        <v>5.7063558057432399E-2</v>
      </c>
      <c r="S1668" s="135">
        <v>4.7302748707018102E-2</v>
      </c>
      <c r="T1668" s="135">
        <v>3.72294280316771E-2</v>
      </c>
      <c r="U1668" s="135">
        <v>2.7864338995497999E-2</v>
      </c>
      <c r="V1668" s="135">
        <v>3.01915398727104E-2</v>
      </c>
      <c r="W1668" s="135">
        <v>3.8549449621234202E-2</v>
      </c>
      <c r="X1668" s="135">
        <v>5.5566551836602203E-2</v>
      </c>
      <c r="Y1668" s="135">
        <v>6.8602470305749202E-2</v>
      </c>
      <c r="Z1668" s="135">
        <v>6.5904032553255304E-2</v>
      </c>
      <c r="AA1668" s="135">
        <v>6.7145748732966304E-2</v>
      </c>
      <c r="AB1668" s="135">
        <v>5.7693615293340099E-2</v>
      </c>
      <c r="AC1668" s="135">
        <v>4.2408278037323499E-2</v>
      </c>
      <c r="AD1668" s="135">
        <v>3.0024095536888E-2</v>
      </c>
      <c r="AF1668" s="243">
        <f t="shared" si="31"/>
        <v>0.29101155677425411</v>
      </c>
      <c r="AG1668" s="275">
        <f t="shared" si="32"/>
        <v>0.4537159654843691</v>
      </c>
      <c r="AH1668" s="391">
        <f t="shared" si="33"/>
        <v>0.7048699863865745</v>
      </c>
      <c r="AI1668" s="135">
        <f t="shared" si="34"/>
        <v>1.1585859518709436</v>
      </c>
    </row>
    <row r="1669" spans="1:35" ht="12.6">
      <c r="A1669" s="10" t="s">
        <v>58</v>
      </c>
      <c r="B1669" s="10">
        <v>208</v>
      </c>
      <c r="C1669" s="10" t="s">
        <v>1514</v>
      </c>
      <c r="D1669" s="388">
        <v>45134</v>
      </c>
      <c r="E1669" s="389">
        <v>45134</v>
      </c>
      <c r="F1669" s="390" t="str">
        <f t="shared" si="30"/>
        <v>Water heating</v>
      </c>
      <c r="G1669" s="135">
        <v>2.0061509553606499E-2</v>
      </c>
      <c r="H1669" s="135">
        <v>2.03876347727301E-2</v>
      </c>
      <c r="I1669" s="135">
        <v>1.6753605519526499E-2</v>
      </c>
      <c r="J1669" s="135">
        <v>1.42122819087922E-2</v>
      </c>
      <c r="K1669" s="135">
        <v>2.4947168454787699E-2</v>
      </c>
      <c r="L1669" s="135">
        <v>3.27053400896095E-2</v>
      </c>
      <c r="M1669" s="135">
        <v>7.1078546382967206E-2</v>
      </c>
      <c r="N1669" s="135">
        <v>0.13379956039823901</v>
      </c>
      <c r="O1669" s="135">
        <v>9.0805582704996293E-2</v>
      </c>
      <c r="P1669" s="135">
        <v>5.5478373015309897E-2</v>
      </c>
      <c r="Q1669" s="135">
        <v>5.2810493488683899E-2</v>
      </c>
      <c r="R1669" s="135">
        <v>5.7063558057432399E-2</v>
      </c>
      <c r="S1669" s="135">
        <v>4.7302748707018102E-2</v>
      </c>
      <c r="T1669" s="135">
        <v>3.72294280316771E-2</v>
      </c>
      <c r="U1669" s="135">
        <v>2.7864338995497999E-2</v>
      </c>
      <c r="V1669" s="135">
        <v>3.01915398727104E-2</v>
      </c>
      <c r="W1669" s="135">
        <v>3.8549449621234202E-2</v>
      </c>
      <c r="X1669" s="135">
        <v>5.5566551836602203E-2</v>
      </c>
      <c r="Y1669" s="135">
        <v>6.8602470305749202E-2</v>
      </c>
      <c r="Z1669" s="135">
        <v>6.5904032553255304E-2</v>
      </c>
      <c r="AA1669" s="135">
        <v>6.7145748732966304E-2</v>
      </c>
      <c r="AB1669" s="135">
        <v>5.7693615293340099E-2</v>
      </c>
      <c r="AC1669" s="135">
        <v>4.2408278037323499E-2</v>
      </c>
      <c r="AD1669" s="135">
        <v>3.0024095536888E-2</v>
      </c>
      <c r="AF1669" s="243">
        <f t="shared" si="31"/>
        <v>0.29101155677425411</v>
      </c>
      <c r="AG1669" s="275">
        <f t="shared" si="32"/>
        <v>0.4537159654843691</v>
      </c>
      <c r="AH1669" s="391">
        <f t="shared" si="33"/>
        <v>0.7048699863865745</v>
      </c>
      <c r="AI1669" s="135">
        <f t="shared" si="34"/>
        <v>1.1585859518709436</v>
      </c>
    </row>
    <row r="1670" spans="1:35" ht="12.6">
      <c r="A1670" s="10" t="s">
        <v>58</v>
      </c>
      <c r="B1670" s="10">
        <v>209</v>
      </c>
      <c r="C1670" s="10" t="s">
        <v>1514</v>
      </c>
      <c r="D1670" s="388">
        <v>45135</v>
      </c>
      <c r="E1670" s="389">
        <v>45135</v>
      </c>
      <c r="F1670" s="390" t="str">
        <f t="shared" si="30"/>
        <v>Water heating</v>
      </c>
      <c r="G1670" s="135">
        <v>2.0061509553606499E-2</v>
      </c>
      <c r="H1670" s="135">
        <v>2.03876347727301E-2</v>
      </c>
      <c r="I1670" s="135">
        <v>1.6753605519526499E-2</v>
      </c>
      <c r="J1670" s="135">
        <v>1.42122819087922E-2</v>
      </c>
      <c r="K1670" s="135">
        <v>2.4947168454787699E-2</v>
      </c>
      <c r="L1670" s="135">
        <v>3.27053400896095E-2</v>
      </c>
      <c r="M1670" s="135">
        <v>7.1078546382967206E-2</v>
      </c>
      <c r="N1670" s="135">
        <v>0.13379956039823901</v>
      </c>
      <c r="O1670" s="135">
        <v>9.0805582704996293E-2</v>
      </c>
      <c r="P1670" s="135">
        <v>5.5478373015309897E-2</v>
      </c>
      <c r="Q1670" s="135">
        <v>5.2810493488683899E-2</v>
      </c>
      <c r="R1670" s="135">
        <v>5.7063558057432399E-2</v>
      </c>
      <c r="S1670" s="135">
        <v>4.7302748707018102E-2</v>
      </c>
      <c r="T1670" s="135">
        <v>3.72294280316771E-2</v>
      </c>
      <c r="U1670" s="135">
        <v>2.7864338995497999E-2</v>
      </c>
      <c r="V1670" s="135">
        <v>3.01915398727104E-2</v>
      </c>
      <c r="W1670" s="135">
        <v>3.8549449621234202E-2</v>
      </c>
      <c r="X1670" s="135">
        <v>5.5566551836602203E-2</v>
      </c>
      <c r="Y1670" s="135">
        <v>6.8602470305749202E-2</v>
      </c>
      <c r="Z1670" s="135">
        <v>6.5904032553255304E-2</v>
      </c>
      <c r="AA1670" s="135">
        <v>6.7145748732966304E-2</v>
      </c>
      <c r="AB1670" s="135">
        <v>5.7693615293340099E-2</v>
      </c>
      <c r="AC1670" s="135">
        <v>4.2408278037323499E-2</v>
      </c>
      <c r="AD1670" s="135">
        <v>3.0024095536888E-2</v>
      </c>
      <c r="AF1670" s="243">
        <f t="shared" si="31"/>
        <v>0.29101155677425411</v>
      </c>
      <c r="AG1670" s="275">
        <f t="shared" si="32"/>
        <v>0.4537159654843691</v>
      </c>
      <c r="AH1670" s="391">
        <f t="shared" si="33"/>
        <v>0.7048699863865745</v>
      </c>
      <c r="AI1670" s="135">
        <f t="shared" si="34"/>
        <v>1.1585859518709436</v>
      </c>
    </row>
    <row r="1671" spans="1:35" ht="12.6">
      <c r="A1671" s="10" t="s">
        <v>58</v>
      </c>
      <c r="B1671" s="10">
        <v>210</v>
      </c>
      <c r="C1671" s="10" t="s">
        <v>1514</v>
      </c>
      <c r="D1671" s="388">
        <v>45136</v>
      </c>
      <c r="E1671" s="389">
        <v>45136</v>
      </c>
      <c r="F1671" s="390" t="str">
        <f t="shared" si="30"/>
        <v>Water heating</v>
      </c>
      <c r="G1671" s="135">
        <v>2.04101148177275E-2</v>
      </c>
      <c r="H1671" s="135">
        <v>1.9716913414001499E-2</v>
      </c>
      <c r="I1671" s="135">
        <v>1.6638557398121302E-2</v>
      </c>
      <c r="J1671" s="135">
        <v>1.40064079219577E-2</v>
      </c>
      <c r="K1671" s="135">
        <v>2.2460860939879701E-2</v>
      </c>
      <c r="L1671" s="135">
        <v>2.3076502943698399E-2</v>
      </c>
      <c r="M1671" s="135">
        <v>1.50880973548259E-2</v>
      </c>
      <c r="N1671" s="135">
        <v>4.0509288457499702E-2</v>
      </c>
      <c r="O1671" s="135">
        <v>6.3755056848317004E-2</v>
      </c>
      <c r="P1671" s="135">
        <v>9.1875402324564703E-2</v>
      </c>
      <c r="Q1671" s="135">
        <v>9.6456069881928702E-2</v>
      </c>
      <c r="R1671" s="135">
        <v>8.8103665978442394E-2</v>
      </c>
      <c r="S1671" s="135">
        <v>7.5601563331188906E-2</v>
      </c>
      <c r="T1671" s="135">
        <v>6.2924842571207895E-2</v>
      </c>
      <c r="U1671" s="135">
        <v>4.62104107919621E-2</v>
      </c>
      <c r="V1671" s="135">
        <v>4.9524632568285203E-2</v>
      </c>
      <c r="W1671" s="135">
        <v>5.8831065275470301E-2</v>
      </c>
      <c r="X1671" s="135">
        <v>6.6430061386033107E-2</v>
      </c>
      <c r="Y1671" s="135">
        <v>7.3148345546801302E-2</v>
      </c>
      <c r="Z1671" s="135">
        <v>6.1808796676876297E-2</v>
      </c>
      <c r="AA1671" s="135">
        <v>5.6772925649949797E-2</v>
      </c>
      <c r="AB1671" s="135">
        <v>5.1125461056197898E-2</v>
      </c>
      <c r="AC1671" s="135">
        <v>3.7544323279059599E-2</v>
      </c>
      <c r="AD1671" s="135">
        <v>2.74046736576571E-2</v>
      </c>
      <c r="AF1671" s="243">
        <f t="shared" si="31"/>
        <v>0.47765225039848547</v>
      </c>
      <c r="AG1671" s="275">
        <f t="shared" si="32"/>
        <v>0.48943896626504335</v>
      </c>
      <c r="AH1671" s="391">
        <f t="shared" si="33"/>
        <v>0.68998507380661089</v>
      </c>
      <c r="AI1671" s="135">
        <f t="shared" si="34"/>
        <v>1.1794240400716542</v>
      </c>
    </row>
    <row r="1672" spans="1:35" ht="12.6">
      <c r="A1672" s="10" t="s">
        <v>58</v>
      </c>
      <c r="B1672" s="10">
        <v>211</v>
      </c>
      <c r="C1672" s="10" t="s">
        <v>1514</v>
      </c>
      <c r="D1672" s="388">
        <v>45137</v>
      </c>
      <c r="E1672" s="389">
        <v>45137</v>
      </c>
      <c r="F1672" s="390" t="str">
        <f t="shared" si="30"/>
        <v>Water heating</v>
      </c>
      <c r="G1672" s="135">
        <v>2.04101148177275E-2</v>
      </c>
      <c r="H1672" s="135">
        <v>1.9716913414001499E-2</v>
      </c>
      <c r="I1672" s="135">
        <v>1.6638557398121302E-2</v>
      </c>
      <c r="J1672" s="135">
        <v>1.40064079219577E-2</v>
      </c>
      <c r="K1672" s="135">
        <v>2.2460860939879701E-2</v>
      </c>
      <c r="L1672" s="135">
        <v>2.3076502943698399E-2</v>
      </c>
      <c r="M1672" s="135">
        <v>1.50880973548259E-2</v>
      </c>
      <c r="N1672" s="135">
        <v>4.0509288457499702E-2</v>
      </c>
      <c r="O1672" s="135">
        <v>6.3755056848317004E-2</v>
      </c>
      <c r="P1672" s="135">
        <v>9.1875402324564703E-2</v>
      </c>
      <c r="Q1672" s="135">
        <v>9.6456069881928702E-2</v>
      </c>
      <c r="R1672" s="135">
        <v>8.8103665978442394E-2</v>
      </c>
      <c r="S1672" s="135">
        <v>7.5601563331188906E-2</v>
      </c>
      <c r="T1672" s="135">
        <v>6.2924842571207895E-2</v>
      </c>
      <c r="U1672" s="135">
        <v>4.62104107919621E-2</v>
      </c>
      <c r="V1672" s="135">
        <v>4.9524632568285203E-2</v>
      </c>
      <c r="W1672" s="135">
        <v>5.8831065275470301E-2</v>
      </c>
      <c r="X1672" s="135">
        <v>6.6430061386033107E-2</v>
      </c>
      <c r="Y1672" s="135">
        <v>7.3148345546801302E-2</v>
      </c>
      <c r="Z1672" s="135">
        <v>6.1808796676876297E-2</v>
      </c>
      <c r="AA1672" s="135">
        <v>5.6772925649949797E-2</v>
      </c>
      <c r="AB1672" s="135">
        <v>5.1125461056197898E-2</v>
      </c>
      <c r="AC1672" s="135">
        <v>3.7544323279059599E-2</v>
      </c>
      <c r="AD1672" s="135">
        <v>2.74046736576571E-2</v>
      </c>
      <c r="AF1672" s="243">
        <f t="shared" si="31"/>
        <v>0.47765225039848547</v>
      </c>
      <c r="AG1672" s="275">
        <f t="shared" si="32"/>
        <v>0.48943896626504335</v>
      </c>
      <c r="AH1672" s="391">
        <f t="shared" si="33"/>
        <v>0.68998507380661089</v>
      </c>
      <c r="AI1672" s="135">
        <f t="shared" si="34"/>
        <v>1.1794240400716542</v>
      </c>
    </row>
    <row r="1673" spans="1:35" ht="12.6">
      <c r="A1673" s="10" t="s">
        <v>58</v>
      </c>
      <c r="B1673" s="10">
        <v>212</v>
      </c>
      <c r="C1673" s="10" t="s">
        <v>1514</v>
      </c>
      <c r="D1673" s="388">
        <v>45138</v>
      </c>
      <c r="E1673" s="389">
        <v>45138</v>
      </c>
      <c r="F1673" s="390" t="str">
        <f t="shared" si="30"/>
        <v>Water heating</v>
      </c>
      <c r="G1673" s="135">
        <v>2.0061509553606499E-2</v>
      </c>
      <c r="H1673" s="135">
        <v>2.03876347727301E-2</v>
      </c>
      <c r="I1673" s="135">
        <v>1.6753605519526499E-2</v>
      </c>
      <c r="J1673" s="135">
        <v>1.42122819087922E-2</v>
      </c>
      <c r="K1673" s="135">
        <v>2.4947168454787699E-2</v>
      </c>
      <c r="L1673" s="135">
        <v>3.27053400896095E-2</v>
      </c>
      <c r="M1673" s="135">
        <v>7.1078546382967206E-2</v>
      </c>
      <c r="N1673" s="135">
        <v>0.13379956039823901</v>
      </c>
      <c r="O1673" s="135">
        <v>9.0805582704996293E-2</v>
      </c>
      <c r="P1673" s="135">
        <v>5.5478373015309897E-2</v>
      </c>
      <c r="Q1673" s="135">
        <v>5.2810493488683899E-2</v>
      </c>
      <c r="R1673" s="135">
        <v>5.7063558057432399E-2</v>
      </c>
      <c r="S1673" s="135">
        <v>4.7302748707018102E-2</v>
      </c>
      <c r="T1673" s="135">
        <v>3.72294280316771E-2</v>
      </c>
      <c r="U1673" s="135">
        <v>2.7864338995497999E-2</v>
      </c>
      <c r="V1673" s="135">
        <v>3.01915398727104E-2</v>
      </c>
      <c r="W1673" s="135">
        <v>3.8549449621234202E-2</v>
      </c>
      <c r="X1673" s="135">
        <v>5.5566551836602203E-2</v>
      </c>
      <c r="Y1673" s="135">
        <v>6.8602470305749202E-2</v>
      </c>
      <c r="Z1673" s="135">
        <v>6.5904032553255304E-2</v>
      </c>
      <c r="AA1673" s="135">
        <v>6.7145748732966304E-2</v>
      </c>
      <c r="AB1673" s="135">
        <v>5.7693615293340099E-2</v>
      </c>
      <c r="AC1673" s="135">
        <v>4.2408278037323499E-2</v>
      </c>
      <c r="AD1673" s="135">
        <v>3.0024095536888E-2</v>
      </c>
      <c r="AF1673" s="243">
        <f t="shared" si="31"/>
        <v>0.29101155677425411</v>
      </c>
      <c r="AG1673" s="275">
        <f t="shared" si="32"/>
        <v>0.4537159654843691</v>
      </c>
      <c r="AH1673" s="391">
        <f t="shared" si="33"/>
        <v>0.7048699863865745</v>
      </c>
      <c r="AI1673" s="135">
        <f t="shared" si="34"/>
        <v>1.1585859518709436</v>
      </c>
    </row>
    <row r="1674" spans="1:35" ht="12.6">
      <c r="A1674" s="10" t="s">
        <v>58</v>
      </c>
      <c r="B1674" s="10">
        <v>213</v>
      </c>
      <c r="C1674" s="10" t="s">
        <v>1514</v>
      </c>
      <c r="D1674" s="388">
        <v>45139</v>
      </c>
      <c r="E1674" s="389">
        <v>45139</v>
      </c>
      <c r="F1674" s="390" t="str">
        <f t="shared" si="30"/>
        <v>Water heating</v>
      </c>
      <c r="G1674" s="135">
        <v>2.0061509553606499E-2</v>
      </c>
      <c r="H1674" s="135">
        <v>2.03876347727301E-2</v>
      </c>
      <c r="I1674" s="135">
        <v>1.6753605519526499E-2</v>
      </c>
      <c r="J1674" s="135">
        <v>1.42122819087922E-2</v>
      </c>
      <c r="K1674" s="135">
        <v>2.4947168454787699E-2</v>
      </c>
      <c r="L1674" s="135">
        <v>3.27053400896095E-2</v>
      </c>
      <c r="M1674" s="135">
        <v>7.1078546382967206E-2</v>
      </c>
      <c r="N1674" s="135">
        <v>0.13379956039823901</v>
      </c>
      <c r="O1674" s="135">
        <v>9.0805582704996293E-2</v>
      </c>
      <c r="P1674" s="135">
        <v>5.5478373015309897E-2</v>
      </c>
      <c r="Q1674" s="135">
        <v>5.2810493488683899E-2</v>
      </c>
      <c r="R1674" s="135">
        <v>5.7063558057432399E-2</v>
      </c>
      <c r="S1674" s="135">
        <v>4.7302748707018102E-2</v>
      </c>
      <c r="T1674" s="135">
        <v>3.72294280316771E-2</v>
      </c>
      <c r="U1674" s="135">
        <v>2.7864338995497999E-2</v>
      </c>
      <c r="V1674" s="135">
        <v>3.01915398727104E-2</v>
      </c>
      <c r="W1674" s="135">
        <v>3.8549449621234202E-2</v>
      </c>
      <c r="X1674" s="135">
        <v>5.5566551836602203E-2</v>
      </c>
      <c r="Y1674" s="135">
        <v>6.8602470305749202E-2</v>
      </c>
      <c r="Z1674" s="135">
        <v>6.5904032553255304E-2</v>
      </c>
      <c r="AA1674" s="135">
        <v>6.7145748732966304E-2</v>
      </c>
      <c r="AB1674" s="135">
        <v>5.7693615293340099E-2</v>
      </c>
      <c r="AC1674" s="135">
        <v>4.2408278037323499E-2</v>
      </c>
      <c r="AD1674" s="135">
        <v>3.0024095536888E-2</v>
      </c>
      <c r="AF1674" s="243">
        <f t="shared" si="31"/>
        <v>0.29101155677425411</v>
      </c>
      <c r="AG1674" s="275">
        <f t="shared" si="32"/>
        <v>0.4537159654843691</v>
      </c>
      <c r="AH1674" s="391">
        <f t="shared" si="33"/>
        <v>0.7048699863865745</v>
      </c>
      <c r="AI1674" s="135">
        <f t="shared" si="34"/>
        <v>1.1585859518709436</v>
      </c>
    </row>
    <row r="1675" spans="1:35" ht="12.6">
      <c r="A1675" s="10" t="s">
        <v>58</v>
      </c>
      <c r="B1675" s="10">
        <v>214</v>
      </c>
      <c r="C1675" s="10" t="s">
        <v>1514</v>
      </c>
      <c r="D1675" s="388">
        <v>45140</v>
      </c>
      <c r="E1675" s="389">
        <v>45140</v>
      </c>
      <c r="F1675" s="390" t="str">
        <f t="shared" si="30"/>
        <v>Water heating</v>
      </c>
      <c r="G1675" s="135">
        <v>2.0061509553606499E-2</v>
      </c>
      <c r="H1675" s="135">
        <v>2.03876347727301E-2</v>
      </c>
      <c r="I1675" s="135">
        <v>1.6753605519526499E-2</v>
      </c>
      <c r="J1675" s="135">
        <v>1.42122819087922E-2</v>
      </c>
      <c r="K1675" s="135">
        <v>2.4947168454787699E-2</v>
      </c>
      <c r="L1675" s="135">
        <v>3.27053400896095E-2</v>
      </c>
      <c r="M1675" s="135">
        <v>7.1078546382967206E-2</v>
      </c>
      <c r="N1675" s="135">
        <v>0.13379956039823901</v>
      </c>
      <c r="O1675" s="135">
        <v>9.0805582704996293E-2</v>
      </c>
      <c r="P1675" s="135">
        <v>5.5478373015309897E-2</v>
      </c>
      <c r="Q1675" s="135">
        <v>5.2810493488683899E-2</v>
      </c>
      <c r="R1675" s="135">
        <v>5.7063558057432399E-2</v>
      </c>
      <c r="S1675" s="135">
        <v>4.7302748707018102E-2</v>
      </c>
      <c r="T1675" s="135">
        <v>3.72294280316771E-2</v>
      </c>
      <c r="U1675" s="135">
        <v>2.7864338995497999E-2</v>
      </c>
      <c r="V1675" s="135">
        <v>3.01915398727104E-2</v>
      </c>
      <c r="W1675" s="135">
        <v>3.8549449621234202E-2</v>
      </c>
      <c r="X1675" s="135">
        <v>5.5566551836602203E-2</v>
      </c>
      <c r="Y1675" s="135">
        <v>6.8602470305749202E-2</v>
      </c>
      <c r="Z1675" s="135">
        <v>6.5904032553255304E-2</v>
      </c>
      <c r="AA1675" s="135">
        <v>6.7145748732966304E-2</v>
      </c>
      <c r="AB1675" s="135">
        <v>5.7693615293340099E-2</v>
      </c>
      <c r="AC1675" s="135">
        <v>4.2408278037323499E-2</v>
      </c>
      <c r="AD1675" s="135">
        <v>3.0024095536888E-2</v>
      </c>
      <c r="AF1675" s="243">
        <f t="shared" si="31"/>
        <v>0.29101155677425411</v>
      </c>
      <c r="AG1675" s="275">
        <f t="shared" si="32"/>
        <v>0.4537159654843691</v>
      </c>
      <c r="AH1675" s="391">
        <f t="shared" si="33"/>
        <v>0.7048699863865745</v>
      </c>
      <c r="AI1675" s="135">
        <f t="shared" si="34"/>
        <v>1.1585859518709436</v>
      </c>
    </row>
    <row r="1676" spans="1:35" ht="12.6">
      <c r="A1676" s="10" t="s">
        <v>58</v>
      </c>
      <c r="B1676" s="10">
        <v>215</v>
      </c>
      <c r="C1676" s="10" t="s">
        <v>1514</v>
      </c>
      <c r="D1676" s="388">
        <v>45141</v>
      </c>
      <c r="E1676" s="389">
        <v>45141</v>
      </c>
      <c r="F1676" s="390" t="str">
        <f t="shared" si="30"/>
        <v>Water heating</v>
      </c>
      <c r="G1676" s="135">
        <v>2.0061509553606499E-2</v>
      </c>
      <c r="H1676" s="135">
        <v>2.03876347727301E-2</v>
      </c>
      <c r="I1676" s="135">
        <v>1.6753605519526499E-2</v>
      </c>
      <c r="J1676" s="135">
        <v>1.42122819087922E-2</v>
      </c>
      <c r="K1676" s="135">
        <v>2.4947168454787699E-2</v>
      </c>
      <c r="L1676" s="135">
        <v>3.27053400896095E-2</v>
      </c>
      <c r="M1676" s="135">
        <v>7.1078546382967206E-2</v>
      </c>
      <c r="N1676" s="135">
        <v>0.13379956039823901</v>
      </c>
      <c r="O1676" s="135">
        <v>9.0805582704996293E-2</v>
      </c>
      <c r="P1676" s="135">
        <v>5.5478373015309897E-2</v>
      </c>
      <c r="Q1676" s="135">
        <v>5.2810493488683899E-2</v>
      </c>
      <c r="R1676" s="135">
        <v>5.7063558057432399E-2</v>
      </c>
      <c r="S1676" s="135">
        <v>4.7302748707018102E-2</v>
      </c>
      <c r="T1676" s="135">
        <v>3.72294280316771E-2</v>
      </c>
      <c r="U1676" s="135">
        <v>2.7864338995497999E-2</v>
      </c>
      <c r="V1676" s="135">
        <v>3.01915398727104E-2</v>
      </c>
      <c r="W1676" s="135">
        <v>3.8549449621234202E-2</v>
      </c>
      <c r="X1676" s="135">
        <v>5.5566551836602203E-2</v>
      </c>
      <c r="Y1676" s="135">
        <v>6.8602470305749202E-2</v>
      </c>
      <c r="Z1676" s="135">
        <v>6.5904032553255304E-2</v>
      </c>
      <c r="AA1676" s="135">
        <v>6.7145748732966304E-2</v>
      </c>
      <c r="AB1676" s="135">
        <v>5.7693615293340099E-2</v>
      </c>
      <c r="AC1676" s="135">
        <v>4.2408278037323499E-2</v>
      </c>
      <c r="AD1676" s="135">
        <v>3.0024095536888E-2</v>
      </c>
      <c r="AF1676" s="243">
        <f t="shared" si="31"/>
        <v>0.29101155677425411</v>
      </c>
      <c r="AG1676" s="275">
        <f t="shared" si="32"/>
        <v>0.4537159654843691</v>
      </c>
      <c r="AH1676" s="391">
        <f t="shared" si="33"/>
        <v>0.7048699863865745</v>
      </c>
      <c r="AI1676" s="135">
        <f t="shared" si="34"/>
        <v>1.1585859518709436</v>
      </c>
    </row>
    <row r="1677" spans="1:35" ht="12.6">
      <c r="A1677" s="10" t="s">
        <v>58</v>
      </c>
      <c r="B1677" s="10">
        <v>216</v>
      </c>
      <c r="C1677" s="10" t="s">
        <v>1514</v>
      </c>
      <c r="D1677" s="388">
        <v>45142</v>
      </c>
      <c r="E1677" s="389">
        <v>45142</v>
      </c>
      <c r="F1677" s="390" t="str">
        <f t="shared" si="30"/>
        <v>Water heating</v>
      </c>
      <c r="G1677" s="135">
        <v>2.0061509553606499E-2</v>
      </c>
      <c r="H1677" s="135">
        <v>2.03876347727301E-2</v>
      </c>
      <c r="I1677" s="135">
        <v>1.6753605519526499E-2</v>
      </c>
      <c r="J1677" s="135">
        <v>1.42122819087922E-2</v>
      </c>
      <c r="K1677" s="135">
        <v>2.4947168454787699E-2</v>
      </c>
      <c r="L1677" s="135">
        <v>3.27053400896095E-2</v>
      </c>
      <c r="M1677" s="135">
        <v>7.1078546382967206E-2</v>
      </c>
      <c r="N1677" s="135">
        <v>0.13379956039823901</v>
      </c>
      <c r="O1677" s="135">
        <v>9.0805582704996293E-2</v>
      </c>
      <c r="P1677" s="135">
        <v>5.5478373015309897E-2</v>
      </c>
      <c r="Q1677" s="135">
        <v>5.2810493488683899E-2</v>
      </c>
      <c r="R1677" s="135">
        <v>5.7063558057432399E-2</v>
      </c>
      <c r="S1677" s="135">
        <v>4.7302748707018102E-2</v>
      </c>
      <c r="T1677" s="135">
        <v>3.72294280316771E-2</v>
      </c>
      <c r="U1677" s="135">
        <v>2.7864338995497999E-2</v>
      </c>
      <c r="V1677" s="135">
        <v>3.01915398727104E-2</v>
      </c>
      <c r="W1677" s="135">
        <v>3.8549449621234202E-2</v>
      </c>
      <c r="X1677" s="135">
        <v>5.5566551836602203E-2</v>
      </c>
      <c r="Y1677" s="135">
        <v>6.8602470305749202E-2</v>
      </c>
      <c r="Z1677" s="135">
        <v>6.5904032553255304E-2</v>
      </c>
      <c r="AA1677" s="135">
        <v>6.7145748732966304E-2</v>
      </c>
      <c r="AB1677" s="135">
        <v>5.7693615293340099E-2</v>
      </c>
      <c r="AC1677" s="135">
        <v>4.2408278037323499E-2</v>
      </c>
      <c r="AD1677" s="135">
        <v>3.0024095536888E-2</v>
      </c>
      <c r="AF1677" s="243">
        <f t="shared" si="31"/>
        <v>0.29101155677425411</v>
      </c>
      <c r="AG1677" s="275">
        <f t="shared" si="32"/>
        <v>0.4537159654843691</v>
      </c>
      <c r="AH1677" s="391">
        <f t="shared" si="33"/>
        <v>0.7048699863865745</v>
      </c>
      <c r="AI1677" s="135">
        <f t="shared" si="34"/>
        <v>1.1585859518709436</v>
      </c>
    </row>
    <row r="1678" spans="1:35" ht="12.6">
      <c r="A1678" s="10" t="s">
        <v>58</v>
      </c>
      <c r="B1678" s="10">
        <v>217</v>
      </c>
      <c r="C1678" s="10" t="s">
        <v>1514</v>
      </c>
      <c r="D1678" s="388">
        <v>45143</v>
      </c>
      <c r="E1678" s="389">
        <v>45143</v>
      </c>
      <c r="F1678" s="390" t="str">
        <f t="shared" si="30"/>
        <v>Water heating</v>
      </c>
      <c r="G1678" s="135">
        <v>2.04101148177275E-2</v>
      </c>
      <c r="H1678" s="135">
        <v>1.9716913414001499E-2</v>
      </c>
      <c r="I1678" s="135">
        <v>1.6638557398121302E-2</v>
      </c>
      <c r="J1678" s="135">
        <v>1.40064079219577E-2</v>
      </c>
      <c r="K1678" s="135">
        <v>2.2460860939879701E-2</v>
      </c>
      <c r="L1678" s="135">
        <v>2.3076502943698399E-2</v>
      </c>
      <c r="M1678" s="135">
        <v>1.50880973548259E-2</v>
      </c>
      <c r="N1678" s="135">
        <v>4.0509288457499702E-2</v>
      </c>
      <c r="O1678" s="135">
        <v>6.3755056848317004E-2</v>
      </c>
      <c r="P1678" s="135">
        <v>9.1875402324564703E-2</v>
      </c>
      <c r="Q1678" s="135">
        <v>9.6456069881928702E-2</v>
      </c>
      <c r="R1678" s="135">
        <v>8.8103665978442394E-2</v>
      </c>
      <c r="S1678" s="135">
        <v>7.5601563331188906E-2</v>
      </c>
      <c r="T1678" s="135">
        <v>6.2924842571207895E-2</v>
      </c>
      <c r="U1678" s="135">
        <v>4.62104107919621E-2</v>
      </c>
      <c r="V1678" s="135">
        <v>4.9524632568285203E-2</v>
      </c>
      <c r="W1678" s="135">
        <v>5.8831065275470301E-2</v>
      </c>
      <c r="X1678" s="135">
        <v>6.6430061386033107E-2</v>
      </c>
      <c r="Y1678" s="135">
        <v>7.3148345546801302E-2</v>
      </c>
      <c r="Z1678" s="135">
        <v>6.1808796676876297E-2</v>
      </c>
      <c r="AA1678" s="135">
        <v>5.6772925649949797E-2</v>
      </c>
      <c r="AB1678" s="135">
        <v>5.1125461056197898E-2</v>
      </c>
      <c r="AC1678" s="135">
        <v>3.7544323279059599E-2</v>
      </c>
      <c r="AD1678" s="135">
        <v>2.74046736576571E-2</v>
      </c>
      <c r="AF1678" s="243">
        <f t="shared" si="31"/>
        <v>0.47765225039848547</v>
      </c>
      <c r="AG1678" s="275">
        <f t="shared" si="32"/>
        <v>0.48943896626504335</v>
      </c>
      <c r="AH1678" s="391">
        <f t="shared" si="33"/>
        <v>0.68998507380661089</v>
      </c>
      <c r="AI1678" s="135">
        <f t="shared" si="34"/>
        <v>1.1794240400716542</v>
      </c>
    </row>
    <row r="1679" spans="1:35" ht="12.6">
      <c r="A1679" s="10" t="s">
        <v>58</v>
      </c>
      <c r="B1679" s="10">
        <v>218</v>
      </c>
      <c r="C1679" s="10" t="s">
        <v>1514</v>
      </c>
      <c r="D1679" s="388">
        <v>45144</v>
      </c>
      <c r="E1679" s="389">
        <v>45144</v>
      </c>
      <c r="F1679" s="390" t="str">
        <f t="shared" si="30"/>
        <v>Water heating</v>
      </c>
      <c r="G1679" s="135">
        <v>2.04101148177275E-2</v>
      </c>
      <c r="H1679" s="135">
        <v>1.9716913414001499E-2</v>
      </c>
      <c r="I1679" s="135">
        <v>1.6638557398121302E-2</v>
      </c>
      <c r="J1679" s="135">
        <v>1.40064079219577E-2</v>
      </c>
      <c r="K1679" s="135">
        <v>2.2460860939879701E-2</v>
      </c>
      <c r="L1679" s="135">
        <v>2.3076502943698399E-2</v>
      </c>
      <c r="M1679" s="135">
        <v>1.50880973548259E-2</v>
      </c>
      <c r="N1679" s="135">
        <v>4.0509288457499702E-2</v>
      </c>
      <c r="O1679" s="135">
        <v>6.3755056848317004E-2</v>
      </c>
      <c r="P1679" s="135">
        <v>9.1875402324564703E-2</v>
      </c>
      <c r="Q1679" s="135">
        <v>9.6456069881928702E-2</v>
      </c>
      <c r="R1679" s="135">
        <v>8.8103665978442394E-2</v>
      </c>
      <c r="S1679" s="135">
        <v>7.5601563331188906E-2</v>
      </c>
      <c r="T1679" s="135">
        <v>6.2924842571207895E-2</v>
      </c>
      <c r="U1679" s="135">
        <v>4.62104107919621E-2</v>
      </c>
      <c r="V1679" s="135">
        <v>4.9524632568285203E-2</v>
      </c>
      <c r="W1679" s="135">
        <v>5.8831065275470301E-2</v>
      </c>
      <c r="X1679" s="135">
        <v>6.6430061386033107E-2</v>
      </c>
      <c r="Y1679" s="135">
        <v>7.3148345546801302E-2</v>
      </c>
      <c r="Z1679" s="135">
        <v>6.1808796676876297E-2</v>
      </c>
      <c r="AA1679" s="135">
        <v>5.6772925649949797E-2</v>
      </c>
      <c r="AB1679" s="135">
        <v>5.1125461056197898E-2</v>
      </c>
      <c r="AC1679" s="135">
        <v>3.7544323279059599E-2</v>
      </c>
      <c r="AD1679" s="135">
        <v>2.74046736576571E-2</v>
      </c>
      <c r="AF1679" s="243">
        <f t="shared" si="31"/>
        <v>0.47765225039848547</v>
      </c>
      <c r="AG1679" s="275">
        <f t="shared" si="32"/>
        <v>0.48943896626504335</v>
      </c>
      <c r="AH1679" s="391">
        <f t="shared" si="33"/>
        <v>0.68998507380661089</v>
      </c>
      <c r="AI1679" s="135">
        <f t="shared" si="34"/>
        <v>1.1794240400716542</v>
      </c>
    </row>
    <row r="1680" spans="1:35" ht="12.6">
      <c r="A1680" s="10" t="s">
        <v>58</v>
      </c>
      <c r="B1680" s="10">
        <v>219</v>
      </c>
      <c r="C1680" s="10" t="s">
        <v>1514</v>
      </c>
      <c r="D1680" s="388">
        <v>45145</v>
      </c>
      <c r="E1680" s="389">
        <v>45145</v>
      </c>
      <c r="F1680" s="390" t="str">
        <f t="shared" si="30"/>
        <v>Water heating</v>
      </c>
      <c r="G1680" s="135">
        <v>2.0061509553606499E-2</v>
      </c>
      <c r="H1680" s="135">
        <v>2.03876347727301E-2</v>
      </c>
      <c r="I1680" s="135">
        <v>1.6753605519526499E-2</v>
      </c>
      <c r="J1680" s="135">
        <v>1.42122819087922E-2</v>
      </c>
      <c r="K1680" s="135">
        <v>2.4947168454787699E-2</v>
      </c>
      <c r="L1680" s="135">
        <v>3.27053400896095E-2</v>
      </c>
      <c r="M1680" s="135">
        <v>7.1078546382967206E-2</v>
      </c>
      <c r="N1680" s="135">
        <v>0.13379956039823901</v>
      </c>
      <c r="O1680" s="135">
        <v>9.0805582704996293E-2</v>
      </c>
      <c r="P1680" s="135">
        <v>5.5478373015309897E-2</v>
      </c>
      <c r="Q1680" s="135">
        <v>5.2810493488683899E-2</v>
      </c>
      <c r="R1680" s="135">
        <v>5.7063558057432399E-2</v>
      </c>
      <c r="S1680" s="135">
        <v>4.7302748707018102E-2</v>
      </c>
      <c r="T1680" s="135">
        <v>3.72294280316771E-2</v>
      </c>
      <c r="U1680" s="135">
        <v>2.7864338995497999E-2</v>
      </c>
      <c r="V1680" s="135">
        <v>3.01915398727104E-2</v>
      </c>
      <c r="W1680" s="135">
        <v>3.8549449621234202E-2</v>
      </c>
      <c r="X1680" s="135">
        <v>5.5566551836602203E-2</v>
      </c>
      <c r="Y1680" s="135">
        <v>6.8602470305749202E-2</v>
      </c>
      <c r="Z1680" s="135">
        <v>6.5904032553255304E-2</v>
      </c>
      <c r="AA1680" s="135">
        <v>6.7145748732966304E-2</v>
      </c>
      <c r="AB1680" s="135">
        <v>5.7693615293340099E-2</v>
      </c>
      <c r="AC1680" s="135">
        <v>4.2408278037323499E-2</v>
      </c>
      <c r="AD1680" s="135">
        <v>3.0024095536888E-2</v>
      </c>
      <c r="AF1680" s="243">
        <f t="shared" si="31"/>
        <v>0.29101155677425411</v>
      </c>
      <c r="AG1680" s="275">
        <f t="shared" si="32"/>
        <v>0.4537159654843691</v>
      </c>
      <c r="AH1680" s="391">
        <f t="shared" si="33"/>
        <v>0.7048699863865745</v>
      </c>
      <c r="AI1680" s="135">
        <f t="shared" si="34"/>
        <v>1.1585859518709436</v>
      </c>
    </row>
    <row r="1681" spans="1:35" ht="12.6">
      <c r="A1681" s="10" t="s">
        <v>58</v>
      </c>
      <c r="B1681" s="10">
        <v>220</v>
      </c>
      <c r="C1681" s="10" t="s">
        <v>1514</v>
      </c>
      <c r="D1681" s="388">
        <v>45146</v>
      </c>
      <c r="E1681" s="389">
        <v>45146</v>
      </c>
      <c r="F1681" s="390" t="str">
        <f t="shared" si="30"/>
        <v>Water heating</v>
      </c>
      <c r="G1681" s="135">
        <v>2.0061509553606499E-2</v>
      </c>
      <c r="H1681" s="135">
        <v>2.03876347727301E-2</v>
      </c>
      <c r="I1681" s="135">
        <v>1.6753605519526499E-2</v>
      </c>
      <c r="J1681" s="135">
        <v>1.42122819087922E-2</v>
      </c>
      <c r="K1681" s="135">
        <v>2.4947168454787699E-2</v>
      </c>
      <c r="L1681" s="135">
        <v>3.27053400896095E-2</v>
      </c>
      <c r="M1681" s="135">
        <v>7.1078546382967206E-2</v>
      </c>
      <c r="N1681" s="135">
        <v>0.13379956039823901</v>
      </c>
      <c r="O1681" s="135">
        <v>9.0805582704996293E-2</v>
      </c>
      <c r="P1681" s="135">
        <v>5.5478373015309897E-2</v>
      </c>
      <c r="Q1681" s="135">
        <v>5.2810493488683899E-2</v>
      </c>
      <c r="R1681" s="135">
        <v>5.7063558057432399E-2</v>
      </c>
      <c r="S1681" s="135">
        <v>4.7302748707018102E-2</v>
      </c>
      <c r="T1681" s="135">
        <v>3.72294280316771E-2</v>
      </c>
      <c r="U1681" s="135">
        <v>2.7864338995497999E-2</v>
      </c>
      <c r="V1681" s="135">
        <v>3.01915398727104E-2</v>
      </c>
      <c r="W1681" s="135">
        <v>3.8549449621234202E-2</v>
      </c>
      <c r="X1681" s="135">
        <v>5.5566551836602203E-2</v>
      </c>
      <c r="Y1681" s="135">
        <v>6.8602470305749202E-2</v>
      </c>
      <c r="Z1681" s="135">
        <v>6.5904032553255304E-2</v>
      </c>
      <c r="AA1681" s="135">
        <v>6.7145748732966304E-2</v>
      </c>
      <c r="AB1681" s="135">
        <v>5.7693615293340099E-2</v>
      </c>
      <c r="AC1681" s="135">
        <v>4.2408278037323499E-2</v>
      </c>
      <c r="AD1681" s="135">
        <v>3.0024095536888E-2</v>
      </c>
      <c r="AF1681" s="243">
        <f t="shared" si="31"/>
        <v>0.29101155677425411</v>
      </c>
      <c r="AG1681" s="275">
        <f t="shared" si="32"/>
        <v>0.4537159654843691</v>
      </c>
      <c r="AH1681" s="391">
        <f t="shared" si="33"/>
        <v>0.7048699863865745</v>
      </c>
      <c r="AI1681" s="135">
        <f t="shared" si="34"/>
        <v>1.1585859518709436</v>
      </c>
    </row>
    <row r="1682" spans="1:35" ht="12.6">
      <c r="A1682" s="10" t="s">
        <v>58</v>
      </c>
      <c r="B1682" s="10">
        <v>221</v>
      </c>
      <c r="C1682" s="10" t="s">
        <v>1514</v>
      </c>
      <c r="D1682" s="388">
        <v>45147</v>
      </c>
      <c r="E1682" s="389">
        <v>45147</v>
      </c>
      <c r="F1682" s="390" t="str">
        <f t="shared" si="30"/>
        <v>Water heating</v>
      </c>
      <c r="G1682" s="135">
        <v>2.0061509553606499E-2</v>
      </c>
      <c r="H1682" s="135">
        <v>2.03876347727301E-2</v>
      </c>
      <c r="I1682" s="135">
        <v>1.6753605519526499E-2</v>
      </c>
      <c r="J1682" s="135">
        <v>1.42122819087922E-2</v>
      </c>
      <c r="K1682" s="135">
        <v>2.4947168454787699E-2</v>
      </c>
      <c r="L1682" s="135">
        <v>3.27053400896095E-2</v>
      </c>
      <c r="M1682" s="135">
        <v>7.1078546382967206E-2</v>
      </c>
      <c r="N1682" s="135">
        <v>0.13379956039823901</v>
      </c>
      <c r="O1682" s="135">
        <v>9.0805582704996293E-2</v>
      </c>
      <c r="P1682" s="135">
        <v>5.5478373015309897E-2</v>
      </c>
      <c r="Q1682" s="135">
        <v>5.2810493488683899E-2</v>
      </c>
      <c r="R1682" s="135">
        <v>5.7063558057432399E-2</v>
      </c>
      <c r="S1682" s="135">
        <v>4.7302748707018102E-2</v>
      </c>
      <c r="T1682" s="135">
        <v>3.72294280316771E-2</v>
      </c>
      <c r="U1682" s="135">
        <v>2.7864338995497999E-2</v>
      </c>
      <c r="V1682" s="135">
        <v>3.01915398727104E-2</v>
      </c>
      <c r="W1682" s="135">
        <v>3.8549449621234202E-2</v>
      </c>
      <c r="X1682" s="135">
        <v>5.5566551836602203E-2</v>
      </c>
      <c r="Y1682" s="135">
        <v>6.8602470305749202E-2</v>
      </c>
      <c r="Z1682" s="135">
        <v>6.5904032553255304E-2</v>
      </c>
      <c r="AA1682" s="135">
        <v>6.7145748732966304E-2</v>
      </c>
      <c r="AB1682" s="135">
        <v>5.7693615293340099E-2</v>
      </c>
      <c r="AC1682" s="135">
        <v>4.2408278037323499E-2</v>
      </c>
      <c r="AD1682" s="135">
        <v>3.0024095536888E-2</v>
      </c>
      <c r="AF1682" s="243">
        <f t="shared" si="31"/>
        <v>0.29101155677425411</v>
      </c>
      <c r="AG1682" s="275">
        <f t="shared" si="32"/>
        <v>0.4537159654843691</v>
      </c>
      <c r="AH1682" s="391">
        <f t="shared" si="33"/>
        <v>0.7048699863865745</v>
      </c>
      <c r="AI1682" s="135">
        <f t="shared" si="34"/>
        <v>1.1585859518709436</v>
      </c>
    </row>
    <row r="1683" spans="1:35" ht="12.6">
      <c r="A1683" s="10" t="s">
        <v>58</v>
      </c>
      <c r="B1683" s="10">
        <v>222</v>
      </c>
      <c r="C1683" s="10" t="s">
        <v>1514</v>
      </c>
      <c r="D1683" s="388">
        <v>45148</v>
      </c>
      <c r="E1683" s="389">
        <v>45148</v>
      </c>
      <c r="F1683" s="390" t="str">
        <f t="shared" si="30"/>
        <v>Water heating</v>
      </c>
      <c r="G1683" s="135">
        <v>2.0061509553606499E-2</v>
      </c>
      <c r="H1683" s="135">
        <v>2.03876347727301E-2</v>
      </c>
      <c r="I1683" s="135">
        <v>1.6753605519526499E-2</v>
      </c>
      <c r="J1683" s="135">
        <v>1.42122819087922E-2</v>
      </c>
      <c r="K1683" s="135">
        <v>2.4947168454787699E-2</v>
      </c>
      <c r="L1683" s="135">
        <v>3.27053400896095E-2</v>
      </c>
      <c r="M1683" s="135">
        <v>7.1078546382967206E-2</v>
      </c>
      <c r="N1683" s="135">
        <v>0.13379956039823901</v>
      </c>
      <c r="O1683" s="135">
        <v>9.0805582704996293E-2</v>
      </c>
      <c r="P1683" s="135">
        <v>5.5478373015309897E-2</v>
      </c>
      <c r="Q1683" s="135">
        <v>5.2810493488683899E-2</v>
      </c>
      <c r="R1683" s="135">
        <v>5.7063558057432399E-2</v>
      </c>
      <c r="S1683" s="135">
        <v>4.7302748707018102E-2</v>
      </c>
      <c r="T1683" s="135">
        <v>3.72294280316771E-2</v>
      </c>
      <c r="U1683" s="135">
        <v>2.7864338995497999E-2</v>
      </c>
      <c r="V1683" s="135">
        <v>3.01915398727104E-2</v>
      </c>
      <c r="W1683" s="135">
        <v>3.8549449621234202E-2</v>
      </c>
      <c r="X1683" s="135">
        <v>5.5566551836602203E-2</v>
      </c>
      <c r="Y1683" s="135">
        <v>6.8602470305749202E-2</v>
      </c>
      <c r="Z1683" s="135">
        <v>6.5904032553255304E-2</v>
      </c>
      <c r="AA1683" s="135">
        <v>6.7145748732966304E-2</v>
      </c>
      <c r="AB1683" s="135">
        <v>5.7693615293340099E-2</v>
      </c>
      <c r="AC1683" s="135">
        <v>4.2408278037323499E-2</v>
      </c>
      <c r="AD1683" s="135">
        <v>3.0024095536888E-2</v>
      </c>
      <c r="AF1683" s="243">
        <f t="shared" si="31"/>
        <v>0.29101155677425411</v>
      </c>
      <c r="AG1683" s="275">
        <f t="shared" si="32"/>
        <v>0.4537159654843691</v>
      </c>
      <c r="AH1683" s="391">
        <f t="shared" si="33"/>
        <v>0.7048699863865745</v>
      </c>
      <c r="AI1683" s="135">
        <f t="shared" si="34"/>
        <v>1.1585859518709436</v>
      </c>
    </row>
    <row r="1684" spans="1:35" ht="12.6">
      <c r="A1684" s="10" t="s">
        <v>58</v>
      </c>
      <c r="B1684" s="10">
        <v>223</v>
      </c>
      <c r="C1684" s="10" t="s">
        <v>1514</v>
      </c>
      <c r="D1684" s="388">
        <v>45149</v>
      </c>
      <c r="E1684" s="389">
        <v>45149</v>
      </c>
      <c r="F1684" s="390" t="str">
        <f t="shared" si="30"/>
        <v>Water heating</v>
      </c>
      <c r="G1684" s="135">
        <v>2.0061509553606499E-2</v>
      </c>
      <c r="H1684" s="135">
        <v>2.03876347727301E-2</v>
      </c>
      <c r="I1684" s="135">
        <v>1.6753605519526499E-2</v>
      </c>
      <c r="J1684" s="135">
        <v>1.42122819087922E-2</v>
      </c>
      <c r="K1684" s="135">
        <v>2.4947168454787699E-2</v>
      </c>
      <c r="L1684" s="135">
        <v>3.27053400896095E-2</v>
      </c>
      <c r="M1684" s="135">
        <v>7.1078546382967206E-2</v>
      </c>
      <c r="N1684" s="135">
        <v>0.13379956039823901</v>
      </c>
      <c r="O1684" s="135">
        <v>9.0805582704996293E-2</v>
      </c>
      <c r="P1684" s="135">
        <v>5.5478373015309897E-2</v>
      </c>
      <c r="Q1684" s="135">
        <v>5.2810493488683899E-2</v>
      </c>
      <c r="R1684" s="135">
        <v>5.7063558057432399E-2</v>
      </c>
      <c r="S1684" s="135">
        <v>4.7302748707018102E-2</v>
      </c>
      <c r="T1684" s="135">
        <v>3.72294280316771E-2</v>
      </c>
      <c r="U1684" s="135">
        <v>2.7864338995497999E-2</v>
      </c>
      <c r="V1684" s="135">
        <v>3.01915398727104E-2</v>
      </c>
      <c r="W1684" s="135">
        <v>3.8549449621234202E-2</v>
      </c>
      <c r="X1684" s="135">
        <v>5.5566551836602203E-2</v>
      </c>
      <c r="Y1684" s="135">
        <v>6.8602470305749202E-2</v>
      </c>
      <c r="Z1684" s="135">
        <v>6.5904032553255304E-2</v>
      </c>
      <c r="AA1684" s="135">
        <v>6.7145748732966304E-2</v>
      </c>
      <c r="AB1684" s="135">
        <v>5.7693615293340099E-2</v>
      </c>
      <c r="AC1684" s="135">
        <v>4.2408278037323499E-2</v>
      </c>
      <c r="AD1684" s="135">
        <v>3.0024095536888E-2</v>
      </c>
      <c r="AF1684" s="243">
        <f t="shared" si="31"/>
        <v>0.29101155677425411</v>
      </c>
      <c r="AG1684" s="275">
        <f t="shared" si="32"/>
        <v>0.4537159654843691</v>
      </c>
      <c r="AH1684" s="391">
        <f t="shared" si="33"/>
        <v>0.7048699863865745</v>
      </c>
      <c r="AI1684" s="135">
        <f t="shared" si="34"/>
        <v>1.1585859518709436</v>
      </c>
    </row>
    <row r="1685" spans="1:35" ht="12.6">
      <c r="A1685" s="10" t="s">
        <v>58</v>
      </c>
      <c r="B1685" s="10">
        <v>224</v>
      </c>
      <c r="C1685" s="10" t="s">
        <v>1514</v>
      </c>
      <c r="D1685" s="388">
        <v>45150</v>
      </c>
      <c r="E1685" s="389">
        <v>45150</v>
      </c>
      <c r="F1685" s="390" t="str">
        <f t="shared" si="30"/>
        <v>Water heating</v>
      </c>
      <c r="G1685" s="135">
        <v>2.04101148177275E-2</v>
      </c>
      <c r="H1685" s="135">
        <v>1.9716913414001499E-2</v>
      </c>
      <c r="I1685" s="135">
        <v>1.6638557398121302E-2</v>
      </c>
      <c r="J1685" s="135">
        <v>1.40064079219577E-2</v>
      </c>
      <c r="K1685" s="135">
        <v>2.2460860939879701E-2</v>
      </c>
      <c r="L1685" s="135">
        <v>2.3076502943698399E-2</v>
      </c>
      <c r="M1685" s="135">
        <v>1.50880973548259E-2</v>
      </c>
      <c r="N1685" s="135">
        <v>4.0509288457499702E-2</v>
      </c>
      <c r="O1685" s="135">
        <v>6.3755056848317004E-2</v>
      </c>
      <c r="P1685" s="135">
        <v>9.1875402324564703E-2</v>
      </c>
      <c r="Q1685" s="135">
        <v>9.6456069881928702E-2</v>
      </c>
      <c r="R1685" s="135">
        <v>8.8103665978442394E-2</v>
      </c>
      <c r="S1685" s="135">
        <v>7.5601563331188906E-2</v>
      </c>
      <c r="T1685" s="135">
        <v>6.2924842571207895E-2</v>
      </c>
      <c r="U1685" s="135">
        <v>4.62104107919621E-2</v>
      </c>
      <c r="V1685" s="135">
        <v>4.9524632568285203E-2</v>
      </c>
      <c r="W1685" s="135">
        <v>5.8831065275470301E-2</v>
      </c>
      <c r="X1685" s="135">
        <v>6.6430061386033107E-2</v>
      </c>
      <c r="Y1685" s="135">
        <v>7.3148345546801302E-2</v>
      </c>
      <c r="Z1685" s="135">
        <v>6.1808796676876297E-2</v>
      </c>
      <c r="AA1685" s="135">
        <v>5.6772925649949797E-2</v>
      </c>
      <c r="AB1685" s="135">
        <v>5.1125461056197898E-2</v>
      </c>
      <c r="AC1685" s="135">
        <v>3.7544323279059599E-2</v>
      </c>
      <c r="AD1685" s="135">
        <v>2.74046736576571E-2</v>
      </c>
      <c r="AF1685" s="243">
        <f t="shared" si="31"/>
        <v>0.47765225039848547</v>
      </c>
      <c r="AG1685" s="275">
        <f t="shared" si="32"/>
        <v>0.48943896626504335</v>
      </c>
      <c r="AH1685" s="391">
        <f t="shared" si="33"/>
        <v>0.68998507380661089</v>
      </c>
      <c r="AI1685" s="135">
        <f t="shared" si="34"/>
        <v>1.1794240400716542</v>
      </c>
    </row>
    <row r="1686" spans="1:35" ht="12.6">
      <c r="A1686" s="10" t="s">
        <v>58</v>
      </c>
      <c r="B1686" s="10">
        <v>225</v>
      </c>
      <c r="C1686" s="10" t="s">
        <v>1514</v>
      </c>
      <c r="D1686" s="388">
        <v>45151</v>
      </c>
      <c r="E1686" s="389">
        <v>45151</v>
      </c>
      <c r="F1686" s="390" t="str">
        <f t="shared" si="30"/>
        <v>Water heating</v>
      </c>
      <c r="G1686" s="135">
        <v>2.04101148177275E-2</v>
      </c>
      <c r="H1686" s="135">
        <v>1.9716913414001499E-2</v>
      </c>
      <c r="I1686" s="135">
        <v>1.6638557398121302E-2</v>
      </c>
      <c r="J1686" s="135">
        <v>1.40064079219577E-2</v>
      </c>
      <c r="K1686" s="135">
        <v>2.2460860939879701E-2</v>
      </c>
      <c r="L1686" s="135">
        <v>2.3076502943698399E-2</v>
      </c>
      <c r="M1686" s="135">
        <v>1.50880973548259E-2</v>
      </c>
      <c r="N1686" s="135">
        <v>4.0509288457499702E-2</v>
      </c>
      <c r="O1686" s="135">
        <v>6.3755056848317004E-2</v>
      </c>
      <c r="P1686" s="135">
        <v>9.1875402324564703E-2</v>
      </c>
      <c r="Q1686" s="135">
        <v>9.6456069881928702E-2</v>
      </c>
      <c r="R1686" s="135">
        <v>8.8103665978442394E-2</v>
      </c>
      <c r="S1686" s="135">
        <v>7.5601563331188906E-2</v>
      </c>
      <c r="T1686" s="135">
        <v>6.2924842571207895E-2</v>
      </c>
      <c r="U1686" s="135">
        <v>4.62104107919621E-2</v>
      </c>
      <c r="V1686" s="135">
        <v>4.9524632568285203E-2</v>
      </c>
      <c r="W1686" s="135">
        <v>5.8831065275470301E-2</v>
      </c>
      <c r="X1686" s="135">
        <v>6.6430061386033107E-2</v>
      </c>
      <c r="Y1686" s="135">
        <v>7.3148345546801302E-2</v>
      </c>
      <c r="Z1686" s="135">
        <v>6.1808796676876297E-2</v>
      </c>
      <c r="AA1686" s="135">
        <v>5.6772925649949797E-2</v>
      </c>
      <c r="AB1686" s="135">
        <v>5.1125461056197898E-2</v>
      </c>
      <c r="AC1686" s="135">
        <v>3.7544323279059599E-2</v>
      </c>
      <c r="AD1686" s="135">
        <v>2.74046736576571E-2</v>
      </c>
      <c r="AF1686" s="243">
        <f t="shared" si="31"/>
        <v>0.47765225039848547</v>
      </c>
      <c r="AG1686" s="275">
        <f t="shared" si="32"/>
        <v>0.48943896626504335</v>
      </c>
      <c r="AH1686" s="391">
        <f t="shared" si="33"/>
        <v>0.68998507380661089</v>
      </c>
      <c r="AI1686" s="135">
        <f t="shared" si="34"/>
        <v>1.1794240400716542</v>
      </c>
    </row>
    <row r="1687" spans="1:35" ht="12.6">
      <c r="A1687" s="10" t="s">
        <v>58</v>
      </c>
      <c r="B1687" s="10">
        <v>226</v>
      </c>
      <c r="C1687" s="10" t="s">
        <v>1514</v>
      </c>
      <c r="D1687" s="388">
        <v>45152</v>
      </c>
      <c r="E1687" s="389">
        <v>45152</v>
      </c>
      <c r="F1687" s="390" t="str">
        <f t="shared" si="30"/>
        <v>Water heating</v>
      </c>
      <c r="G1687" s="135">
        <v>2.0061509553606499E-2</v>
      </c>
      <c r="H1687" s="135">
        <v>2.03876347727301E-2</v>
      </c>
      <c r="I1687" s="135">
        <v>1.6753605519526499E-2</v>
      </c>
      <c r="J1687" s="135">
        <v>1.42122819087922E-2</v>
      </c>
      <c r="K1687" s="135">
        <v>2.4947168454787699E-2</v>
      </c>
      <c r="L1687" s="135">
        <v>3.27053400896095E-2</v>
      </c>
      <c r="M1687" s="135">
        <v>7.1078546382967206E-2</v>
      </c>
      <c r="N1687" s="135">
        <v>0.13379956039823901</v>
      </c>
      <c r="O1687" s="135">
        <v>9.0805582704996293E-2</v>
      </c>
      <c r="P1687" s="135">
        <v>5.5478373015309897E-2</v>
      </c>
      <c r="Q1687" s="135">
        <v>5.2810493488683899E-2</v>
      </c>
      <c r="R1687" s="135">
        <v>5.7063558057432399E-2</v>
      </c>
      <c r="S1687" s="135">
        <v>4.7302748707018102E-2</v>
      </c>
      <c r="T1687" s="135">
        <v>3.72294280316771E-2</v>
      </c>
      <c r="U1687" s="135">
        <v>2.7864338995497999E-2</v>
      </c>
      <c r="V1687" s="135">
        <v>3.01915398727104E-2</v>
      </c>
      <c r="W1687" s="135">
        <v>3.8549449621234202E-2</v>
      </c>
      <c r="X1687" s="135">
        <v>5.5566551836602203E-2</v>
      </c>
      <c r="Y1687" s="135">
        <v>6.8602470305749202E-2</v>
      </c>
      <c r="Z1687" s="135">
        <v>6.5904032553255304E-2</v>
      </c>
      <c r="AA1687" s="135">
        <v>6.7145748732966304E-2</v>
      </c>
      <c r="AB1687" s="135">
        <v>5.7693615293340099E-2</v>
      </c>
      <c r="AC1687" s="135">
        <v>4.2408278037323499E-2</v>
      </c>
      <c r="AD1687" s="135">
        <v>3.0024095536888E-2</v>
      </c>
      <c r="AF1687" s="243">
        <f t="shared" si="31"/>
        <v>0.29101155677425411</v>
      </c>
      <c r="AG1687" s="275">
        <f t="shared" si="32"/>
        <v>0.4537159654843691</v>
      </c>
      <c r="AH1687" s="391">
        <f t="shared" si="33"/>
        <v>0.7048699863865745</v>
      </c>
      <c r="AI1687" s="135">
        <f t="shared" si="34"/>
        <v>1.1585859518709436</v>
      </c>
    </row>
    <row r="1688" spans="1:35" ht="12.6">
      <c r="A1688" s="10" t="s">
        <v>58</v>
      </c>
      <c r="B1688" s="10">
        <v>227</v>
      </c>
      <c r="C1688" s="10" t="s">
        <v>1514</v>
      </c>
      <c r="D1688" s="388">
        <v>45153</v>
      </c>
      <c r="E1688" s="389">
        <v>45153</v>
      </c>
      <c r="F1688" s="390" t="str">
        <f t="shared" si="30"/>
        <v>Water heating</v>
      </c>
      <c r="G1688" s="135">
        <v>2.0061509553606499E-2</v>
      </c>
      <c r="H1688" s="135">
        <v>2.03876347727301E-2</v>
      </c>
      <c r="I1688" s="135">
        <v>1.6753605519526499E-2</v>
      </c>
      <c r="J1688" s="135">
        <v>1.42122819087922E-2</v>
      </c>
      <c r="K1688" s="135">
        <v>2.4947168454787699E-2</v>
      </c>
      <c r="L1688" s="135">
        <v>3.27053400896095E-2</v>
      </c>
      <c r="M1688" s="135">
        <v>7.1078546382967206E-2</v>
      </c>
      <c r="N1688" s="135">
        <v>0.13379956039823901</v>
      </c>
      <c r="O1688" s="135">
        <v>9.0805582704996293E-2</v>
      </c>
      <c r="P1688" s="135">
        <v>5.5478373015309897E-2</v>
      </c>
      <c r="Q1688" s="135">
        <v>5.2810493488683899E-2</v>
      </c>
      <c r="R1688" s="135">
        <v>5.7063558057432399E-2</v>
      </c>
      <c r="S1688" s="135">
        <v>4.7302748707018102E-2</v>
      </c>
      <c r="T1688" s="135">
        <v>3.72294280316771E-2</v>
      </c>
      <c r="U1688" s="135">
        <v>2.7864338995497999E-2</v>
      </c>
      <c r="V1688" s="135">
        <v>3.01915398727104E-2</v>
      </c>
      <c r="W1688" s="135">
        <v>3.8549449621234202E-2</v>
      </c>
      <c r="X1688" s="135">
        <v>5.5566551836602203E-2</v>
      </c>
      <c r="Y1688" s="135">
        <v>6.8602470305749202E-2</v>
      </c>
      <c r="Z1688" s="135">
        <v>6.5904032553255304E-2</v>
      </c>
      <c r="AA1688" s="135">
        <v>6.7145748732966304E-2</v>
      </c>
      <c r="AB1688" s="135">
        <v>5.7693615293340099E-2</v>
      </c>
      <c r="AC1688" s="135">
        <v>4.2408278037323499E-2</v>
      </c>
      <c r="AD1688" s="135">
        <v>3.0024095536888E-2</v>
      </c>
      <c r="AF1688" s="243">
        <f t="shared" si="31"/>
        <v>0.29101155677425411</v>
      </c>
      <c r="AG1688" s="275">
        <f t="shared" si="32"/>
        <v>0.4537159654843691</v>
      </c>
      <c r="AH1688" s="391">
        <f t="shared" si="33"/>
        <v>0.7048699863865745</v>
      </c>
      <c r="AI1688" s="135">
        <f t="shared" si="34"/>
        <v>1.1585859518709436</v>
      </c>
    </row>
    <row r="1689" spans="1:35" ht="12.6">
      <c r="A1689" s="10" t="s">
        <v>58</v>
      </c>
      <c r="B1689" s="10">
        <v>228</v>
      </c>
      <c r="C1689" s="10" t="s">
        <v>1514</v>
      </c>
      <c r="D1689" s="388">
        <v>45154</v>
      </c>
      <c r="E1689" s="389">
        <v>45154</v>
      </c>
      <c r="F1689" s="390" t="str">
        <f t="shared" si="30"/>
        <v>Water heating</v>
      </c>
      <c r="G1689" s="135">
        <v>2.0061509553606499E-2</v>
      </c>
      <c r="H1689" s="135">
        <v>2.03876347727301E-2</v>
      </c>
      <c r="I1689" s="135">
        <v>1.6753605519526499E-2</v>
      </c>
      <c r="J1689" s="135">
        <v>1.42122819087922E-2</v>
      </c>
      <c r="K1689" s="135">
        <v>2.4947168454787699E-2</v>
      </c>
      <c r="L1689" s="135">
        <v>3.27053400896095E-2</v>
      </c>
      <c r="M1689" s="135">
        <v>7.1078546382967206E-2</v>
      </c>
      <c r="N1689" s="135">
        <v>0.13379956039823901</v>
      </c>
      <c r="O1689" s="135">
        <v>9.0805582704996293E-2</v>
      </c>
      <c r="P1689" s="135">
        <v>5.5478373015309897E-2</v>
      </c>
      <c r="Q1689" s="135">
        <v>5.2810493488683899E-2</v>
      </c>
      <c r="R1689" s="135">
        <v>5.7063558057432399E-2</v>
      </c>
      <c r="S1689" s="135">
        <v>4.7302748707018102E-2</v>
      </c>
      <c r="T1689" s="135">
        <v>3.72294280316771E-2</v>
      </c>
      <c r="U1689" s="135">
        <v>2.7864338995497999E-2</v>
      </c>
      <c r="V1689" s="135">
        <v>3.01915398727104E-2</v>
      </c>
      <c r="W1689" s="135">
        <v>3.8549449621234202E-2</v>
      </c>
      <c r="X1689" s="135">
        <v>5.5566551836602203E-2</v>
      </c>
      <c r="Y1689" s="135">
        <v>6.8602470305749202E-2</v>
      </c>
      <c r="Z1689" s="135">
        <v>6.5904032553255304E-2</v>
      </c>
      <c r="AA1689" s="135">
        <v>6.7145748732966304E-2</v>
      </c>
      <c r="AB1689" s="135">
        <v>5.7693615293340099E-2</v>
      </c>
      <c r="AC1689" s="135">
        <v>4.2408278037323499E-2</v>
      </c>
      <c r="AD1689" s="135">
        <v>3.0024095536888E-2</v>
      </c>
      <c r="AF1689" s="243">
        <f t="shared" si="31"/>
        <v>0.29101155677425411</v>
      </c>
      <c r="AG1689" s="275">
        <f t="shared" si="32"/>
        <v>0.4537159654843691</v>
      </c>
      <c r="AH1689" s="391">
        <f t="shared" si="33"/>
        <v>0.7048699863865745</v>
      </c>
      <c r="AI1689" s="135">
        <f t="shared" si="34"/>
        <v>1.1585859518709436</v>
      </c>
    </row>
    <row r="1690" spans="1:35" ht="12.6">
      <c r="A1690" s="10" t="s">
        <v>58</v>
      </c>
      <c r="B1690" s="10">
        <v>229</v>
      </c>
      <c r="C1690" s="10" t="s">
        <v>1514</v>
      </c>
      <c r="D1690" s="388">
        <v>45155</v>
      </c>
      <c r="E1690" s="389">
        <v>45155</v>
      </c>
      <c r="F1690" s="390" t="str">
        <f t="shared" si="30"/>
        <v>Water heating</v>
      </c>
      <c r="G1690" s="135">
        <v>2.0061509553606499E-2</v>
      </c>
      <c r="H1690" s="135">
        <v>2.03876347727301E-2</v>
      </c>
      <c r="I1690" s="135">
        <v>1.6753605519526499E-2</v>
      </c>
      <c r="J1690" s="135">
        <v>1.42122819087922E-2</v>
      </c>
      <c r="K1690" s="135">
        <v>2.4947168454787699E-2</v>
      </c>
      <c r="L1690" s="135">
        <v>3.27053400896095E-2</v>
      </c>
      <c r="M1690" s="135">
        <v>7.1078546382967206E-2</v>
      </c>
      <c r="N1690" s="135">
        <v>0.13379956039823901</v>
      </c>
      <c r="O1690" s="135">
        <v>9.0805582704996293E-2</v>
      </c>
      <c r="P1690" s="135">
        <v>5.5478373015309897E-2</v>
      </c>
      <c r="Q1690" s="135">
        <v>5.2810493488683899E-2</v>
      </c>
      <c r="R1690" s="135">
        <v>5.7063558057432399E-2</v>
      </c>
      <c r="S1690" s="135">
        <v>4.7302748707018102E-2</v>
      </c>
      <c r="T1690" s="135">
        <v>3.72294280316771E-2</v>
      </c>
      <c r="U1690" s="135">
        <v>2.7864338995497999E-2</v>
      </c>
      <c r="V1690" s="135">
        <v>3.01915398727104E-2</v>
      </c>
      <c r="W1690" s="135">
        <v>3.8549449621234202E-2</v>
      </c>
      <c r="X1690" s="135">
        <v>5.5566551836602203E-2</v>
      </c>
      <c r="Y1690" s="135">
        <v>6.8602470305749202E-2</v>
      </c>
      <c r="Z1690" s="135">
        <v>6.5904032553255304E-2</v>
      </c>
      <c r="AA1690" s="135">
        <v>6.7145748732966304E-2</v>
      </c>
      <c r="AB1690" s="135">
        <v>5.7693615293340099E-2</v>
      </c>
      <c r="AC1690" s="135">
        <v>4.2408278037323499E-2</v>
      </c>
      <c r="AD1690" s="135">
        <v>3.0024095536888E-2</v>
      </c>
      <c r="AF1690" s="243">
        <f t="shared" si="31"/>
        <v>0.29101155677425411</v>
      </c>
      <c r="AG1690" s="275">
        <f t="shared" si="32"/>
        <v>0.4537159654843691</v>
      </c>
      <c r="AH1690" s="391">
        <f t="shared" si="33"/>
        <v>0.7048699863865745</v>
      </c>
      <c r="AI1690" s="135">
        <f t="shared" si="34"/>
        <v>1.1585859518709436</v>
      </c>
    </row>
    <row r="1691" spans="1:35" ht="12.6">
      <c r="A1691" s="10" t="s">
        <v>58</v>
      </c>
      <c r="B1691" s="10">
        <v>230</v>
      </c>
      <c r="C1691" s="10" t="s">
        <v>1514</v>
      </c>
      <c r="D1691" s="388">
        <v>45156</v>
      </c>
      <c r="E1691" s="389">
        <v>45156</v>
      </c>
      <c r="F1691" s="390" t="str">
        <f t="shared" si="30"/>
        <v>Water heating</v>
      </c>
      <c r="G1691" s="135">
        <v>2.0061509553606499E-2</v>
      </c>
      <c r="H1691" s="135">
        <v>2.03876347727301E-2</v>
      </c>
      <c r="I1691" s="135">
        <v>1.6753605519526499E-2</v>
      </c>
      <c r="J1691" s="135">
        <v>1.42122819087922E-2</v>
      </c>
      <c r="K1691" s="135">
        <v>2.4947168454787699E-2</v>
      </c>
      <c r="L1691" s="135">
        <v>3.27053400896095E-2</v>
      </c>
      <c r="M1691" s="135">
        <v>7.1078546382967206E-2</v>
      </c>
      <c r="N1691" s="135">
        <v>0.13379956039823901</v>
      </c>
      <c r="O1691" s="135">
        <v>9.0805582704996293E-2</v>
      </c>
      <c r="P1691" s="135">
        <v>5.5478373015309897E-2</v>
      </c>
      <c r="Q1691" s="135">
        <v>5.2810493488683899E-2</v>
      </c>
      <c r="R1691" s="135">
        <v>5.7063558057432399E-2</v>
      </c>
      <c r="S1691" s="135">
        <v>4.7302748707018102E-2</v>
      </c>
      <c r="T1691" s="135">
        <v>3.72294280316771E-2</v>
      </c>
      <c r="U1691" s="135">
        <v>2.7864338995497999E-2</v>
      </c>
      <c r="V1691" s="135">
        <v>3.01915398727104E-2</v>
      </c>
      <c r="W1691" s="135">
        <v>3.8549449621234202E-2</v>
      </c>
      <c r="X1691" s="135">
        <v>5.5566551836602203E-2</v>
      </c>
      <c r="Y1691" s="135">
        <v>6.8602470305749202E-2</v>
      </c>
      <c r="Z1691" s="135">
        <v>6.5904032553255304E-2</v>
      </c>
      <c r="AA1691" s="135">
        <v>6.7145748732966304E-2</v>
      </c>
      <c r="AB1691" s="135">
        <v>5.7693615293340099E-2</v>
      </c>
      <c r="AC1691" s="135">
        <v>4.2408278037323499E-2</v>
      </c>
      <c r="AD1691" s="135">
        <v>3.0024095536888E-2</v>
      </c>
      <c r="AF1691" s="243">
        <f t="shared" si="31"/>
        <v>0.29101155677425411</v>
      </c>
      <c r="AG1691" s="275">
        <f t="shared" si="32"/>
        <v>0.4537159654843691</v>
      </c>
      <c r="AH1691" s="391">
        <f t="shared" si="33"/>
        <v>0.7048699863865745</v>
      </c>
      <c r="AI1691" s="135">
        <f t="shared" si="34"/>
        <v>1.1585859518709436</v>
      </c>
    </row>
    <row r="1692" spans="1:35" ht="12.6">
      <c r="A1692" s="10" t="s">
        <v>58</v>
      </c>
      <c r="B1692" s="10">
        <v>231</v>
      </c>
      <c r="C1692" s="10" t="s">
        <v>1514</v>
      </c>
      <c r="D1692" s="388">
        <v>45157</v>
      </c>
      <c r="E1692" s="389">
        <v>45157</v>
      </c>
      <c r="F1692" s="390" t="str">
        <f t="shared" si="30"/>
        <v>Water heating</v>
      </c>
      <c r="G1692" s="135">
        <v>2.04101148177275E-2</v>
      </c>
      <c r="H1692" s="135">
        <v>1.9716913414001499E-2</v>
      </c>
      <c r="I1692" s="135">
        <v>1.6638557398121302E-2</v>
      </c>
      <c r="J1692" s="135">
        <v>1.40064079219577E-2</v>
      </c>
      <c r="K1692" s="135">
        <v>2.2460860939879701E-2</v>
      </c>
      <c r="L1692" s="135">
        <v>2.3076502943698399E-2</v>
      </c>
      <c r="M1692" s="135">
        <v>1.50880973548259E-2</v>
      </c>
      <c r="N1692" s="135">
        <v>4.0509288457499702E-2</v>
      </c>
      <c r="O1692" s="135">
        <v>6.3755056848317004E-2</v>
      </c>
      <c r="P1692" s="135">
        <v>9.1875402324564703E-2</v>
      </c>
      <c r="Q1692" s="135">
        <v>9.6456069881928702E-2</v>
      </c>
      <c r="R1692" s="135">
        <v>8.8103665978442394E-2</v>
      </c>
      <c r="S1692" s="135">
        <v>7.5601563331188906E-2</v>
      </c>
      <c r="T1692" s="135">
        <v>6.2924842571207895E-2</v>
      </c>
      <c r="U1692" s="135">
        <v>4.62104107919621E-2</v>
      </c>
      <c r="V1692" s="135">
        <v>4.9524632568285203E-2</v>
      </c>
      <c r="W1692" s="135">
        <v>5.8831065275470301E-2</v>
      </c>
      <c r="X1692" s="135">
        <v>6.6430061386033107E-2</v>
      </c>
      <c r="Y1692" s="135">
        <v>7.3148345546801302E-2</v>
      </c>
      <c r="Z1692" s="135">
        <v>6.1808796676876297E-2</v>
      </c>
      <c r="AA1692" s="135">
        <v>5.6772925649949797E-2</v>
      </c>
      <c r="AB1692" s="135">
        <v>5.1125461056197898E-2</v>
      </c>
      <c r="AC1692" s="135">
        <v>3.7544323279059599E-2</v>
      </c>
      <c r="AD1692" s="135">
        <v>2.74046736576571E-2</v>
      </c>
      <c r="AF1692" s="243">
        <f t="shared" si="31"/>
        <v>0.47765225039848547</v>
      </c>
      <c r="AG1692" s="275">
        <f t="shared" si="32"/>
        <v>0.48943896626504335</v>
      </c>
      <c r="AH1692" s="391">
        <f t="shared" si="33"/>
        <v>0.68998507380661089</v>
      </c>
      <c r="AI1692" s="135">
        <f t="shared" si="34"/>
        <v>1.1794240400716542</v>
      </c>
    </row>
    <row r="1693" spans="1:35" ht="12.6">
      <c r="A1693" s="10" t="s">
        <v>58</v>
      </c>
      <c r="B1693" s="10">
        <v>232</v>
      </c>
      <c r="C1693" s="10" t="s">
        <v>1514</v>
      </c>
      <c r="D1693" s="388">
        <v>45158</v>
      </c>
      <c r="E1693" s="389">
        <v>45158</v>
      </c>
      <c r="F1693" s="390" t="str">
        <f t="shared" si="30"/>
        <v>Water heating</v>
      </c>
      <c r="G1693" s="135">
        <v>2.04101148177275E-2</v>
      </c>
      <c r="H1693" s="135">
        <v>1.9716913414001499E-2</v>
      </c>
      <c r="I1693" s="135">
        <v>1.6638557398121302E-2</v>
      </c>
      <c r="J1693" s="135">
        <v>1.40064079219577E-2</v>
      </c>
      <c r="K1693" s="135">
        <v>2.2460860939879701E-2</v>
      </c>
      <c r="L1693" s="135">
        <v>2.3076502943698399E-2</v>
      </c>
      <c r="M1693" s="135">
        <v>1.50880973548259E-2</v>
      </c>
      <c r="N1693" s="135">
        <v>4.0509288457499702E-2</v>
      </c>
      <c r="O1693" s="135">
        <v>6.3755056848317004E-2</v>
      </c>
      <c r="P1693" s="135">
        <v>9.1875402324564703E-2</v>
      </c>
      <c r="Q1693" s="135">
        <v>9.6456069881928702E-2</v>
      </c>
      <c r="R1693" s="135">
        <v>8.8103665978442394E-2</v>
      </c>
      <c r="S1693" s="135">
        <v>7.5601563331188906E-2</v>
      </c>
      <c r="T1693" s="135">
        <v>6.2924842571207895E-2</v>
      </c>
      <c r="U1693" s="135">
        <v>4.62104107919621E-2</v>
      </c>
      <c r="V1693" s="135">
        <v>4.9524632568285203E-2</v>
      </c>
      <c r="W1693" s="135">
        <v>5.8831065275470301E-2</v>
      </c>
      <c r="X1693" s="135">
        <v>6.6430061386033107E-2</v>
      </c>
      <c r="Y1693" s="135">
        <v>7.3148345546801302E-2</v>
      </c>
      <c r="Z1693" s="135">
        <v>6.1808796676876297E-2</v>
      </c>
      <c r="AA1693" s="135">
        <v>5.6772925649949797E-2</v>
      </c>
      <c r="AB1693" s="135">
        <v>5.1125461056197898E-2</v>
      </c>
      <c r="AC1693" s="135">
        <v>3.7544323279059599E-2</v>
      </c>
      <c r="AD1693" s="135">
        <v>2.74046736576571E-2</v>
      </c>
      <c r="AF1693" s="243">
        <f t="shared" si="31"/>
        <v>0.47765225039848547</v>
      </c>
      <c r="AG1693" s="275">
        <f t="shared" si="32"/>
        <v>0.48943896626504335</v>
      </c>
      <c r="AH1693" s="391">
        <f t="shared" si="33"/>
        <v>0.68998507380661089</v>
      </c>
      <c r="AI1693" s="135">
        <f t="shared" si="34"/>
        <v>1.1794240400716542</v>
      </c>
    </row>
    <row r="1694" spans="1:35" ht="12.6">
      <c r="A1694" s="10" t="s">
        <v>58</v>
      </c>
      <c r="B1694" s="10">
        <v>233</v>
      </c>
      <c r="C1694" s="10" t="s">
        <v>1514</v>
      </c>
      <c r="D1694" s="388">
        <v>45159</v>
      </c>
      <c r="E1694" s="389">
        <v>45159</v>
      </c>
      <c r="F1694" s="390" t="str">
        <f t="shared" si="30"/>
        <v>Water heating</v>
      </c>
      <c r="G1694" s="135">
        <v>2.0061509553606499E-2</v>
      </c>
      <c r="H1694" s="135">
        <v>2.03876347727301E-2</v>
      </c>
      <c r="I1694" s="135">
        <v>1.6753605519526499E-2</v>
      </c>
      <c r="J1694" s="135">
        <v>1.42122819087922E-2</v>
      </c>
      <c r="K1694" s="135">
        <v>2.4947168454787699E-2</v>
      </c>
      <c r="L1694" s="135">
        <v>3.27053400896095E-2</v>
      </c>
      <c r="M1694" s="135">
        <v>7.1078546382967206E-2</v>
      </c>
      <c r="N1694" s="135">
        <v>0.13379956039823901</v>
      </c>
      <c r="O1694" s="135">
        <v>9.0805582704996293E-2</v>
      </c>
      <c r="P1694" s="135">
        <v>5.5478373015309897E-2</v>
      </c>
      <c r="Q1694" s="135">
        <v>5.2810493488683899E-2</v>
      </c>
      <c r="R1694" s="135">
        <v>5.7063558057432399E-2</v>
      </c>
      <c r="S1694" s="135">
        <v>4.7302748707018102E-2</v>
      </c>
      <c r="T1694" s="135">
        <v>3.72294280316771E-2</v>
      </c>
      <c r="U1694" s="135">
        <v>2.7864338995497999E-2</v>
      </c>
      <c r="V1694" s="135">
        <v>3.01915398727104E-2</v>
      </c>
      <c r="W1694" s="135">
        <v>3.8549449621234202E-2</v>
      </c>
      <c r="X1694" s="135">
        <v>5.5566551836602203E-2</v>
      </c>
      <c r="Y1694" s="135">
        <v>6.8602470305749202E-2</v>
      </c>
      <c r="Z1694" s="135">
        <v>6.5904032553255304E-2</v>
      </c>
      <c r="AA1694" s="135">
        <v>6.7145748732966304E-2</v>
      </c>
      <c r="AB1694" s="135">
        <v>5.7693615293340099E-2</v>
      </c>
      <c r="AC1694" s="135">
        <v>4.2408278037323499E-2</v>
      </c>
      <c r="AD1694" s="135">
        <v>3.0024095536888E-2</v>
      </c>
      <c r="AF1694" s="243">
        <f t="shared" si="31"/>
        <v>0.29101155677425411</v>
      </c>
      <c r="AG1694" s="275">
        <f t="shared" si="32"/>
        <v>0.4537159654843691</v>
      </c>
      <c r="AH1694" s="391">
        <f t="shared" si="33"/>
        <v>0.7048699863865745</v>
      </c>
      <c r="AI1694" s="135">
        <f t="shared" si="34"/>
        <v>1.1585859518709436</v>
      </c>
    </row>
    <row r="1695" spans="1:35" ht="12.6">
      <c r="A1695" s="10" t="s">
        <v>58</v>
      </c>
      <c r="B1695" s="10">
        <v>234</v>
      </c>
      <c r="C1695" s="10" t="s">
        <v>1514</v>
      </c>
      <c r="D1695" s="388">
        <v>45160</v>
      </c>
      <c r="E1695" s="389">
        <v>45160</v>
      </c>
      <c r="F1695" s="390" t="str">
        <f t="shared" si="30"/>
        <v>Water heating</v>
      </c>
      <c r="G1695" s="135">
        <v>2.0061509553606499E-2</v>
      </c>
      <c r="H1695" s="135">
        <v>2.03876347727301E-2</v>
      </c>
      <c r="I1695" s="135">
        <v>1.6753605519526499E-2</v>
      </c>
      <c r="J1695" s="135">
        <v>1.42122819087922E-2</v>
      </c>
      <c r="K1695" s="135">
        <v>2.4947168454787699E-2</v>
      </c>
      <c r="L1695" s="135">
        <v>3.27053400896095E-2</v>
      </c>
      <c r="M1695" s="135">
        <v>7.1078546382967206E-2</v>
      </c>
      <c r="N1695" s="135">
        <v>0.13379956039823901</v>
      </c>
      <c r="O1695" s="135">
        <v>9.0805582704996293E-2</v>
      </c>
      <c r="P1695" s="135">
        <v>5.5478373015309897E-2</v>
      </c>
      <c r="Q1695" s="135">
        <v>5.2810493488683899E-2</v>
      </c>
      <c r="R1695" s="135">
        <v>5.7063558057432399E-2</v>
      </c>
      <c r="S1695" s="135">
        <v>4.7302748707018102E-2</v>
      </c>
      <c r="T1695" s="135">
        <v>3.72294280316771E-2</v>
      </c>
      <c r="U1695" s="135">
        <v>2.7864338995497999E-2</v>
      </c>
      <c r="V1695" s="135">
        <v>3.01915398727104E-2</v>
      </c>
      <c r="W1695" s="135">
        <v>3.8549449621234202E-2</v>
      </c>
      <c r="X1695" s="135">
        <v>5.5566551836602203E-2</v>
      </c>
      <c r="Y1695" s="135">
        <v>6.8602470305749202E-2</v>
      </c>
      <c r="Z1695" s="135">
        <v>6.5904032553255304E-2</v>
      </c>
      <c r="AA1695" s="135">
        <v>6.7145748732966304E-2</v>
      </c>
      <c r="AB1695" s="135">
        <v>5.7693615293340099E-2</v>
      </c>
      <c r="AC1695" s="135">
        <v>4.2408278037323499E-2</v>
      </c>
      <c r="AD1695" s="135">
        <v>3.0024095536888E-2</v>
      </c>
      <c r="AF1695" s="243">
        <f t="shared" si="31"/>
        <v>0.29101155677425411</v>
      </c>
      <c r="AG1695" s="275">
        <f t="shared" si="32"/>
        <v>0.4537159654843691</v>
      </c>
      <c r="AH1695" s="391">
        <f t="shared" si="33"/>
        <v>0.7048699863865745</v>
      </c>
      <c r="AI1695" s="135">
        <f t="shared" si="34"/>
        <v>1.1585859518709436</v>
      </c>
    </row>
    <row r="1696" spans="1:35" ht="12.6">
      <c r="A1696" s="10" t="s">
        <v>58</v>
      </c>
      <c r="B1696" s="10">
        <v>235</v>
      </c>
      <c r="C1696" s="10" t="s">
        <v>1514</v>
      </c>
      <c r="D1696" s="388">
        <v>45161</v>
      </c>
      <c r="E1696" s="389">
        <v>45161</v>
      </c>
      <c r="F1696" s="390" t="str">
        <f t="shared" si="30"/>
        <v>Water heating</v>
      </c>
      <c r="G1696" s="135">
        <v>2.0061509553606499E-2</v>
      </c>
      <c r="H1696" s="135">
        <v>2.03876347727301E-2</v>
      </c>
      <c r="I1696" s="135">
        <v>1.6753605519526499E-2</v>
      </c>
      <c r="J1696" s="135">
        <v>1.42122819087922E-2</v>
      </c>
      <c r="K1696" s="135">
        <v>2.4947168454787699E-2</v>
      </c>
      <c r="L1696" s="135">
        <v>3.27053400896095E-2</v>
      </c>
      <c r="M1696" s="135">
        <v>7.1078546382967206E-2</v>
      </c>
      <c r="N1696" s="135">
        <v>0.13379956039823901</v>
      </c>
      <c r="O1696" s="135">
        <v>9.0805582704996293E-2</v>
      </c>
      <c r="P1696" s="135">
        <v>5.5478373015309897E-2</v>
      </c>
      <c r="Q1696" s="135">
        <v>5.2810493488683899E-2</v>
      </c>
      <c r="R1696" s="135">
        <v>5.7063558057432399E-2</v>
      </c>
      <c r="S1696" s="135">
        <v>4.7302748707018102E-2</v>
      </c>
      <c r="T1696" s="135">
        <v>3.72294280316771E-2</v>
      </c>
      <c r="U1696" s="135">
        <v>2.7864338995497999E-2</v>
      </c>
      <c r="V1696" s="135">
        <v>3.01915398727104E-2</v>
      </c>
      <c r="W1696" s="135">
        <v>3.8549449621234202E-2</v>
      </c>
      <c r="X1696" s="135">
        <v>5.5566551836602203E-2</v>
      </c>
      <c r="Y1696" s="135">
        <v>6.8602470305749202E-2</v>
      </c>
      <c r="Z1696" s="135">
        <v>6.5904032553255304E-2</v>
      </c>
      <c r="AA1696" s="135">
        <v>6.7145748732966304E-2</v>
      </c>
      <c r="AB1696" s="135">
        <v>5.7693615293340099E-2</v>
      </c>
      <c r="AC1696" s="135">
        <v>4.2408278037323499E-2</v>
      </c>
      <c r="AD1696" s="135">
        <v>3.0024095536888E-2</v>
      </c>
      <c r="AF1696" s="243">
        <f t="shared" si="31"/>
        <v>0.29101155677425411</v>
      </c>
      <c r="AG1696" s="275">
        <f t="shared" si="32"/>
        <v>0.4537159654843691</v>
      </c>
      <c r="AH1696" s="391">
        <f t="shared" si="33"/>
        <v>0.7048699863865745</v>
      </c>
      <c r="AI1696" s="135">
        <f t="shared" si="34"/>
        <v>1.1585859518709436</v>
      </c>
    </row>
    <row r="1697" spans="1:35" ht="12.6">
      <c r="A1697" s="10" t="s">
        <v>58</v>
      </c>
      <c r="B1697" s="10">
        <v>236</v>
      </c>
      <c r="C1697" s="10" t="s">
        <v>1514</v>
      </c>
      <c r="D1697" s="388">
        <v>45162</v>
      </c>
      <c r="E1697" s="389">
        <v>45162</v>
      </c>
      <c r="F1697" s="390" t="str">
        <f t="shared" si="30"/>
        <v>Water heating</v>
      </c>
      <c r="G1697" s="135">
        <v>2.0061509553606499E-2</v>
      </c>
      <c r="H1697" s="135">
        <v>2.03876347727301E-2</v>
      </c>
      <c r="I1697" s="135">
        <v>1.6753605519526499E-2</v>
      </c>
      <c r="J1697" s="135">
        <v>1.42122819087922E-2</v>
      </c>
      <c r="K1697" s="135">
        <v>2.4947168454787699E-2</v>
      </c>
      <c r="L1697" s="135">
        <v>3.27053400896095E-2</v>
      </c>
      <c r="M1697" s="135">
        <v>7.1078546382967206E-2</v>
      </c>
      <c r="N1697" s="135">
        <v>0.13379956039823901</v>
      </c>
      <c r="O1697" s="135">
        <v>9.0805582704996293E-2</v>
      </c>
      <c r="P1697" s="135">
        <v>5.5478373015309897E-2</v>
      </c>
      <c r="Q1697" s="135">
        <v>5.2810493488683899E-2</v>
      </c>
      <c r="R1697" s="135">
        <v>5.7063558057432399E-2</v>
      </c>
      <c r="S1697" s="135">
        <v>4.7302748707018102E-2</v>
      </c>
      <c r="T1697" s="135">
        <v>3.72294280316771E-2</v>
      </c>
      <c r="U1697" s="135">
        <v>2.7864338995497999E-2</v>
      </c>
      <c r="V1697" s="135">
        <v>3.01915398727104E-2</v>
      </c>
      <c r="W1697" s="135">
        <v>3.8549449621234202E-2</v>
      </c>
      <c r="X1697" s="135">
        <v>5.5566551836602203E-2</v>
      </c>
      <c r="Y1697" s="135">
        <v>6.8602470305749202E-2</v>
      </c>
      <c r="Z1697" s="135">
        <v>6.5904032553255304E-2</v>
      </c>
      <c r="AA1697" s="135">
        <v>6.7145748732966304E-2</v>
      </c>
      <c r="AB1697" s="135">
        <v>5.7693615293340099E-2</v>
      </c>
      <c r="AC1697" s="135">
        <v>4.2408278037323499E-2</v>
      </c>
      <c r="AD1697" s="135">
        <v>3.0024095536888E-2</v>
      </c>
      <c r="AF1697" s="243">
        <f t="shared" si="31"/>
        <v>0.29101155677425411</v>
      </c>
      <c r="AG1697" s="275">
        <f t="shared" si="32"/>
        <v>0.4537159654843691</v>
      </c>
      <c r="AH1697" s="391">
        <f t="shared" si="33"/>
        <v>0.7048699863865745</v>
      </c>
      <c r="AI1697" s="135">
        <f t="shared" si="34"/>
        <v>1.1585859518709436</v>
      </c>
    </row>
    <row r="1698" spans="1:35" ht="12.6">
      <c r="A1698" s="10" t="s">
        <v>58</v>
      </c>
      <c r="B1698" s="10">
        <v>237</v>
      </c>
      <c r="C1698" s="10" t="s">
        <v>1514</v>
      </c>
      <c r="D1698" s="388">
        <v>45163</v>
      </c>
      <c r="E1698" s="389">
        <v>45163</v>
      </c>
      <c r="F1698" s="390" t="str">
        <f t="shared" si="30"/>
        <v>Water heating</v>
      </c>
      <c r="G1698" s="135">
        <v>2.0061509553606499E-2</v>
      </c>
      <c r="H1698" s="135">
        <v>2.03876347727301E-2</v>
      </c>
      <c r="I1698" s="135">
        <v>1.6753605519526499E-2</v>
      </c>
      <c r="J1698" s="135">
        <v>1.42122819087922E-2</v>
      </c>
      <c r="K1698" s="135">
        <v>2.4947168454787699E-2</v>
      </c>
      <c r="L1698" s="135">
        <v>3.27053400896095E-2</v>
      </c>
      <c r="M1698" s="135">
        <v>7.1078546382967206E-2</v>
      </c>
      <c r="N1698" s="135">
        <v>0.13379956039823901</v>
      </c>
      <c r="O1698" s="135">
        <v>9.0805582704996293E-2</v>
      </c>
      <c r="P1698" s="135">
        <v>5.5478373015309897E-2</v>
      </c>
      <c r="Q1698" s="135">
        <v>5.2810493488683899E-2</v>
      </c>
      <c r="R1698" s="135">
        <v>5.7063558057432399E-2</v>
      </c>
      <c r="S1698" s="135">
        <v>4.7302748707018102E-2</v>
      </c>
      <c r="T1698" s="135">
        <v>3.72294280316771E-2</v>
      </c>
      <c r="U1698" s="135">
        <v>2.7864338995497999E-2</v>
      </c>
      <c r="V1698" s="135">
        <v>3.01915398727104E-2</v>
      </c>
      <c r="W1698" s="135">
        <v>3.8549449621234202E-2</v>
      </c>
      <c r="X1698" s="135">
        <v>5.5566551836602203E-2</v>
      </c>
      <c r="Y1698" s="135">
        <v>6.8602470305749202E-2</v>
      </c>
      <c r="Z1698" s="135">
        <v>6.5904032553255304E-2</v>
      </c>
      <c r="AA1698" s="135">
        <v>6.7145748732966304E-2</v>
      </c>
      <c r="AB1698" s="135">
        <v>5.7693615293340099E-2</v>
      </c>
      <c r="AC1698" s="135">
        <v>4.2408278037323499E-2</v>
      </c>
      <c r="AD1698" s="135">
        <v>3.0024095536888E-2</v>
      </c>
      <c r="AF1698" s="243">
        <f t="shared" si="31"/>
        <v>0.29101155677425411</v>
      </c>
      <c r="AG1698" s="275">
        <f t="shared" si="32"/>
        <v>0.4537159654843691</v>
      </c>
      <c r="AH1698" s="391">
        <f t="shared" si="33"/>
        <v>0.7048699863865745</v>
      </c>
      <c r="AI1698" s="135">
        <f t="shared" si="34"/>
        <v>1.1585859518709436</v>
      </c>
    </row>
    <row r="1699" spans="1:35" ht="12.6">
      <c r="A1699" s="10" t="s">
        <v>58</v>
      </c>
      <c r="B1699" s="10">
        <v>238</v>
      </c>
      <c r="C1699" s="10" t="s">
        <v>1514</v>
      </c>
      <c r="D1699" s="388">
        <v>45164</v>
      </c>
      <c r="E1699" s="389">
        <v>45164</v>
      </c>
      <c r="F1699" s="390" t="str">
        <f t="shared" si="30"/>
        <v>Water heating</v>
      </c>
      <c r="G1699" s="135">
        <v>2.04101148177275E-2</v>
      </c>
      <c r="H1699" s="135">
        <v>1.9716913414001499E-2</v>
      </c>
      <c r="I1699" s="135">
        <v>1.6638557398121302E-2</v>
      </c>
      <c r="J1699" s="135">
        <v>1.40064079219577E-2</v>
      </c>
      <c r="K1699" s="135">
        <v>2.2460860939879701E-2</v>
      </c>
      <c r="L1699" s="135">
        <v>2.3076502943698399E-2</v>
      </c>
      <c r="M1699" s="135">
        <v>1.50880973548259E-2</v>
      </c>
      <c r="N1699" s="135">
        <v>4.0509288457499702E-2</v>
      </c>
      <c r="O1699" s="135">
        <v>6.3755056848317004E-2</v>
      </c>
      <c r="P1699" s="135">
        <v>9.1875402324564703E-2</v>
      </c>
      <c r="Q1699" s="135">
        <v>9.6456069881928702E-2</v>
      </c>
      <c r="R1699" s="135">
        <v>8.8103665978442394E-2</v>
      </c>
      <c r="S1699" s="135">
        <v>7.5601563331188906E-2</v>
      </c>
      <c r="T1699" s="135">
        <v>6.2924842571207895E-2</v>
      </c>
      <c r="U1699" s="135">
        <v>4.62104107919621E-2</v>
      </c>
      <c r="V1699" s="135">
        <v>4.9524632568285203E-2</v>
      </c>
      <c r="W1699" s="135">
        <v>5.8831065275470301E-2</v>
      </c>
      <c r="X1699" s="135">
        <v>6.6430061386033107E-2</v>
      </c>
      <c r="Y1699" s="135">
        <v>7.3148345546801302E-2</v>
      </c>
      <c r="Z1699" s="135">
        <v>6.1808796676876297E-2</v>
      </c>
      <c r="AA1699" s="135">
        <v>5.6772925649949797E-2</v>
      </c>
      <c r="AB1699" s="135">
        <v>5.1125461056197898E-2</v>
      </c>
      <c r="AC1699" s="135">
        <v>3.7544323279059599E-2</v>
      </c>
      <c r="AD1699" s="135">
        <v>2.74046736576571E-2</v>
      </c>
      <c r="AF1699" s="243">
        <f t="shared" si="31"/>
        <v>0.47765225039848547</v>
      </c>
      <c r="AG1699" s="275">
        <f t="shared" si="32"/>
        <v>0.48943896626504335</v>
      </c>
      <c r="AH1699" s="391">
        <f t="shared" si="33"/>
        <v>0.68998507380661089</v>
      </c>
      <c r="AI1699" s="135">
        <f t="shared" si="34"/>
        <v>1.1794240400716542</v>
      </c>
    </row>
    <row r="1700" spans="1:35" ht="12.6">
      <c r="A1700" s="10" t="s">
        <v>58</v>
      </c>
      <c r="B1700" s="10">
        <v>239</v>
      </c>
      <c r="C1700" s="10" t="s">
        <v>1514</v>
      </c>
      <c r="D1700" s="388">
        <v>45165</v>
      </c>
      <c r="E1700" s="389">
        <v>45165</v>
      </c>
      <c r="F1700" s="390" t="str">
        <f t="shared" si="30"/>
        <v>Water heating</v>
      </c>
      <c r="G1700" s="135">
        <v>2.04101148177275E-2</v>
      </c>
      <c r="H1700" s="135">
        <v>1.9716913414001499E-2</v>
      </c>
      <c r="I1700" s="135">
        <v>1.6638557398121302E-2</v>
      </c>
      <c r="J1700" s="135">
        <v>1.40064079219577E-2</v>
      </c>
      <c r="K1700" s="135">
        <v>2.2460860939879701E-2</v>
      </c>
      <c r="L1700" s="135">
        <v>2.3076502943698399E-2</v>
      </c>
      <c r="M1700" s="135">
        <v>1.50880973548259E-2</v>
      </c>
      <c r="N1700" s="135">
        <v>4.0509288457499702E-2</v>
      </c>
      <c r="O1700" s="135">
        <v>6.3755056848317004E-2</v>
      </c>
      <c r="P1700" s="135">
        <v>9.1875402324564703E-2</v>
      </c>
      <c r="Q1700" s="135">
        <v>9.6456069881928702E-2</v>
      </c>
      <c r="R1700" s="135">
        <v>8.8103665978442394E-2</v>
      </c>
      <c r="S1700" s="135">
        <v>7.5601563331188906E-2</v>
      </c>
      <c r="T1700" s="135">
        <v>6.2924842571207895E-2</v>
      </c>
      <c r="U1700" s="135">
        <v>4.62104107919621E-2</v>
      </c>
      <c r="V1700" s="135">
        <v>4.9524632568285203E-2</v>
      </c>
      <c r="W1700" s="135">
        <v>5.8831065275470301E-2</v>
      </c>
      <c r="X1700" s="135">
        <v>6.6430061386033107E-2</v>
      </c>
      <c r="Y1700" s="135">
        <v>7.3148345546801302E-2</v>
      </c>
      <c r="Z1700" s="135">
        <v>6.1808796676876297E-2</v>
      </c>
      <c r="AA1700" s="135">
        <v>5.6772925649949797E-2</v>
      </c>
      <c r="AB1700" s="135">
        <v>5.1125461056197898E-2</v>
      </c>
      <c r="AC1700" s="135">
        <v>3.7544323279059599E-2</v>
      </c>
      <c r="AD1700" s="135">
        <v>2.74046736576571E-2</v>
      </c>
      <c r="AF1700" s="243">
        <f t="shared" si="31"/>
        <v>0.47765225039848547</v>
      </c>
      <c r="AG1700" s="275">
        <f t="shared" si="32"/>
        <v>0.48943896626504335</v>
      </c>
      <c r="AH1700" s="391">
        <f t="shared" si="33"/>
        <v>0.68998507380661089</v>
      </c>
      <c r="AI1700" s="135">
        <f t="shared" si="34"/>
        <v>1.1794240400716542</v>
      </c>
    </row>
    <row r="1701" spans="1:35" ht="12.6">
      <c r="A1701" s="10" t="s">
        <v>58</v>
      </c>
      <c r="B1701" s="10">
        <v>240</v>
      </c>
      <c r="C1701" s="10" t="s">
        <v>1514</v>
      </c>
      <c r="D1701" s="388">
        <v>45166</v>
      </c>
      <c r="E1701" s="389">
        <v>45166</v>
      </c>
      <c r="F1701" s="390" t="str">
        <f t="shared" si="30"/>
        <v>Water heating</v>
      </c>
      <c r="G1701" s="135">
        <v>2.0061509553606499E-2</v>
      </c>
      <c r="H1701" s="135">
        <v>2.03876347727301E-2</v>
      </c>
      <c r="I1701" s="135">
        <v>1.6753605519526499E-2</v>
      </c>
      <c r="J1701" s="135">
        <v>1.42122819087922E-2</v>
      </c>
      <c r="K1701" s="135">
        <v>2.4947168454787699E-2</v>
      </c>
      <c r="L1701" s="135">
        <v>3.27053400896095E-2</v>
      </c>
      <c r="M1701" s="135">
        <v>7.1078546382967206E-2</v>
      </c>
      <c r="N1701" s="135">
        <v>0.13379956039823901</v>
      </c>
      <c r="O1701" s="135">
        <v>9.0805582704996293E-2</v>
      </c>
      <c r="P1701" s="135">
        <v>5.5478373015309897E-2</v>
      </c>
      <c r="Q1701" s="135">
        <v>5.2810493488683899E-2</v>
      </c>
      <c r="R1701" s="135">
        <v>5.7063558057432399E-2</v>
      </c>
      <c r="S1701" s="135">
        <v>4.7302748707018102E-2</v>
      </c>
      <c r="T1701" s="135">
        <v>3.72294280316771E-2</v>
      </c>
      <c r="U1701" s="135">
        <v>2.7864338995497999E-2</v>
      </c>
      <c r="V1701" s="135">
        <v>3.01915398727104E-2</v>
      </c>
      <c r="W1701" s="135">
        <v>3.8549449621234202E-2</v>
      </c>
      <c r="X1701" s="135">
        <v>5.5566551836602203E-2</v>
      </c>
      <c r="Y1701" s="135">
        <v>6.8602470305749202E-2</v>
      </c>
      <c r="Z1701" s="135">
        <v>6.5904032553255304E-2</v>
      </c>
      <c r="AA1701" s="135">
        <v>6.7145748732966304E-2</v>
      </c>
      <c r="AB1701" s="135">
        <v>5.7693615293340099E-2</v>
      </c>
      <c r="AC1701" s="135">
        <v>4.2408278037323499E-2</v>
      </c>
      <c r="AD1701" s="135">
        <v>3.0024095536888E-2</v>
      </c>
      <c r="AF1701" s="243">
        <f t="shared" si="31"/>
        <v>0.29101155677425411</v>
      </c>
      <c r="AG1701" s="275">
        <f t="shared" si="32"/>
        <v>0.4537159654843691</v>
      </c>
      <c r="AH1701" s="391">
        <f t="shared" si="33"/>
        <v>0.7048699863865745</v>
      </c>
      <c r="AI1701" s="135">
        <f t="shared" si="34"/>
        <v>1.1585859518709436</v>
      </c>
    </row>
    <row r="1702" spans="1:35" ht="12.6">
      <c r="A1702" s="10" t="s">
        <v>58</v>
      </c>
      <c r="B1702" s="10">
        <v>241</v>
      </c>
      <c r="C1702" s="10" t="s">
        <v>1514</v>
      </c>
      <c r="D1702" s="388">
        <v>45167</v>
      </c>
      <c r="E1702" s="389">
        <v>45167</v>
      </c>
      <c r="F1702" s="390" t="str">
        <f t="shared" si="30"/>
        <v>Water heating</v>
      </c>
      <c r="G1702" s="135">
        <v>2.0061509553606499E-2</v>
      </c>
      <c r="H1702" s="135">
        <v>2.03876347727301E-2</v>
      </c>
      <c r="I1702" s="135">
        <v>1.6753605519526499E-2</v>
      </c>
      <c r="J1702" s="135">
        <v>1.42122819087922E-2</v>
      </c>
      <c r="K1702" s="135">
        <v>2.4947168454787699E-2</v>
      </c>
      <c r="L1702" s="135">
        <v>3.27053400896095E-2</v>
      </c>
      <c r="M1702" s="135">
        <v>7.1078546382967206E-2</v>
      </c>
      <c r="N1702" s="135">
        <v>0.13379956039823901</v>
      </c>
      <c r="O1702" s="135">
        <v>9.0805582704996293E-2</v>
      </c>
      <c r="P1702" s="135">
        <v>5.5478373015309897E-2</v>
      </c>
      <c r="Q1702" s="135">
        <v>5.2810493488683899E-2</v>
      </c>
      <c r="R1702" s="135">
        <v>5.7063558057432399E-2</v>
      </c>
      <c r="S1702" s="135">
        <v>4.7302748707018102E-2</v>
      </c>
      <c r="T1702" s="135">
        <v>3.72294280316771E-2</v>
      </c>
      <c r="U1702" s="135">
        <v>2.7864338995497999E-2</v>
      </c>
      <c r="V1702" s="135">
        <v>3.01915398727104E-2</v>
      </c>
      <c r="W1702" s="135">
        <v>3.8549449621234202E-2</v>
      </c>
      <c r="X1702" s="135">
        <v>5.5566551836602203E-2</v>
      </c>
      <c r="Y1702" s="135">
        <v>6.8602470305749202E-2</v>
      </c>
      <c r="Z1702" s="135">
        <v>6.5904032553255304E-2</v>
      </c>
      <c r="AA1702" s="135">
        <v>6.7145748732966304E-2</v>
      </c>
      <c r="AB1702" s="135">
        <v>5.7693615293340099E-2</v>
      </c>
      <c r="AC1702" s="135">
        <v>4.2408278037323499E-2</v>
      </c>
      <c r="AD1702" s="135">
        <v>3.0024095536888E-2</v>
      </c>
      <c r="AF1702" s="243">
        <f t="shared" si="31"/>
        <v>0.29101155677425411</v>
      </c>
      <c r="AG1702" s="275">
        <f t="shared" si="32"/>
        <v>0.4537159654843691</v>
      </c>
      <c r="AH1702" s="391">
        <f t="shared" si="33"/>
        <v>0.7048699863865745</v>
      </c>
      <c r="AI1702" s="135">
        <f t="shared" si="34"/>
        <v>1.1585859518709436</v>
      </c>
    </row>
    <row r="1703" spans="1:35" ht="12.6">
      <c r="A1703" s="10" t="s">
        <v>58</v>
      </c>
      <c r="B1703" s="10">
        <v>242</v>
      </c>
      <c r="C1703" s="10" t="s">
        <v>1514</v>
      </c>
      <c r="D1703" s="388">
        <v>45168</v>
      </c>
      <c r="E1703" s="389">
        <v>45168</v>
      </c>
      <c r="F1703" s="390" t="str">
        <f t="shared" si="30"/>
        <v>Water heating</v>
      </c>
      <c r="G1703" s="135">
        <v>2.0061509553606499E-2</v>
      </c>
      <c r="H1703" s="135">
        <v>2.03876347727301E-2</v>
      </c>
      <c r="I1703" s="135">
        <v>1.6753605519526499E-2</v>
      </c>
      <c r="J1703" s="135">
        <v>1.42122819087922E-2</v>
      </c>
      <c r="K1703" s="135">
        <v>2.4947168454787699E-2</v>
      </c>
      <c r="L1703" s="135">
        <v>3.27053400896095E-2</v>
      </c>
      <c r="M1703" s="135">
        <v>7.1078546382967206E-2</v>
      </c>
      <c r="N1703" s="135">
        <v>0.13379956039823901</v>
      </c>
      <c r="O1703" s="135">
        <v>9.0805582704996293E-2</v>
      </c>
      <c r="P1703" s="135">
        <v>5.5478373015309897E-2</v>
      </c>
      <c r="Q1703" s="135">
        <v>5.2810493488683899E-2</v>
      </c>
      <c r="R1703" s="135">
        <v>5.7063558057432399E-2</v>
      </c>
      <c r="S1703" s="135">
        <v>4.7302748707018102E-2</v>
      </c>
      <c r="T1703" s="135">
        <v>3.72294280316771E-2</v>
      </c>
      <c r="U1703" s="135">
        <v>2.7864338995497999E-2</v>
      </c>
      <c r="V1703" s="135">
        <v>3.01915398727104E-2</v>
      </c>
      <c r="W1703" s="135">
        <v>3.8549449621234202E-2</v>
      </c>
      <c r="X1703" s="135">
        <v>5.5566551836602203E-2</v>
      </c>
      <c r="Y1703" s="135">
        <v>6.8602470305749202E-2</v>
      </c>
      <c r="Z1703" s="135">
        <v>6.5904032553255304E-2</v>
      </c>
      <c r="AA1703" s="135">
        <v>6.7145748732966304E-2</v>
      </c>
      <c r="AB1703" s="135">
        <v>5.7693615293340099E-2</v>
      </c>
      <c r="AC1703" s="135">
        <v>4.2408278037323499E-2</v>
      </c>
      <c r="AD1703" s="135">
        <v>3.0024095536888E-2</v>
      </c>
      <c r="AF1703" s="243">
        <f t="shared" si="31"/>
        <v>0.29101155677425411</v>
      </c>
      <c r="AG1703" s="275">
        <f t="shared" si="32"/>
        <v>0.4537159654843691</v>
      </c>
      <c r="AH1703" s="391">
        <f t="shared" si="33"/>
        <v>0.7048699863865745</v>
      </c>
      <c r="AI1703" s="135">
        <f t="shared" si="34"/>
        <v>1.1585859518709436</v>
      </c>
    </row>
    <row r="1704" spans="1:35" ht="12.6">
      <c r="A1704" s="10" t="s">
        <v>58</v>
      </c>
      <c r="B1704" s="10">
        <v>243</v>
      </c>
      <c r="C1704" s="10" t="s">
        <v>1514</v>
      </c>
      <c r="D1704" s="388">
        <v>45169</v>
      </c>
      <c r="E1704" s="389">
        <v>45169</v>
      </c>
      <c r="F1704" s="390" t="str">
        <f t="shared" si="30"/>
        <v>Water heating</v>
      </c>
      <c r="G1704" s="135">
        <v>2.0061509553606499E-2</v>
      </c>
      <c r="H1704" s="135">
        <v>2.03876347727301E-2</v>
      </c>
      <c r="I1704" s="135">
        <v>1.6753605519526499E-2</v>
      </c>
      <c r="J1704" s="135">
        <v>1.42122819087922E-2</v>
      </c>
      <c r="K1704" s="135">
        <v>2.4947168454787699E-2</v>
      </c>
      <c r="L1704" s="135">
        <v>3.27053400896095E-2</v>
      </c>
      <c r="M1704" s="135">
        <v>7.1078546382967206E-2</v>
      </c>
      <c r="N1704" s="135">
        <v>0.13379956039823901</v>
      </c>
      <c r="O1704" s="135">
        <v>9.0805582704996293E-2</v>
      </c>
      <c r="P1704" s="135">
        <v>5.5478373015309897E-2</v>
      </c>
      <c r="Q1704" s="135">
        <v>5.2810493488683899E-2</v>
      </c>
      <c r="R1704" s="135">
        <v>5.7063558057432399E-2</v>
      </c>
      <c r="S1704" s="135">
        <v>4.7302748707018102E-2</v>
      </c>
      <c r="T1704" s="135">
        <v>3.72294280316771E-2</v>
      </c>
      <c r="U1704" s="135">
        <v>2.7864338995497999E-2</v>
      </c>
      <c r="V1704" s="135">
        <v>3.01915398727104E-2</v>
      </c>
      <c r="W1704" s="135">
        <v>3.8549449621234202E-2</v>
      </c>
      <c r="X1704" s="135">
        <v>5.5566551836602203E-2</v>
      </c>
      <c r="Y1704" s="135">
        <v>6.8602470305749202E-2</v>
      </c>
      <c r="Z1704" s="135">
        <v>6.5904032553255304E-2</v>
      </c>
      <c r="AA1704" s="135">
        <v>6.7145748732966304E-2</v>
      </c>
      <c r="AB1704" s="135">
        <v>5.7693615293340099E-2</v>
      </c>
      <c r="AC1704" s="135">
        <v>4.2408278037323499E-2</v>
      </c>
      <c r="AD1704" s="135">
        <v>3.0024095536888E-2</v>
      </c>
      <c r="AF1704" s="243">
        <f t="shared" si="31"/>
        <v>0.29101155677425411</v>
      </c>
      <c r="AG1704" s="275">
        <f t="shared" si="32"/>
        <v>0.4537159654843691</v>
      </c>
      <c r="AH1704" s="391">
        <f t="shared" si="33"/>
        <v>0.7048699863865745</v>
      </c>
      <c r="AI1704" s="135">
        <f t="shared" si="34"/>
        <v>1.1585859518709436</v>
      </c>
    </row>
    <row r="1705" spans="1:35" ht="12.6">
      <c r="A1705" s="10" t="s">
        <v>58</v>
      </c>
      <c r="B1705" s="10">
        <v>244</v>
      </c>
      <c r="C1705" s="10" t="s">
        <v>1515</v>
      </c>
      <c r="D1705" s="388">
        <v>45170</v>
      </c>
      <c r="E1705" s="389">
        <v>45170</v>
      </c>
      <c r="F1705" s="390" t="str">
        <f t="shared" si="30"/>
        <v>Water heating</v>
      </c>
      <c r="G1705" s="135">
        <v>1.8023380941015198E-2</v>
      </c>
      <c r="H1705" s="135">
        <v>1.7437284884137001E-2</v>
      </c>
      <c r="I1705" s="135">
        <v>1.3924288831905701E-2</v>
      </c>
      <c r="J1705" s="135">
        <v>2.1911478334890599E-2</v>
      </c>
      <c r="K1705" s="135">
        <v>3.2170781734296799E-2</v>
      </c>
      <c r="L1705" s="135">
        <v>6.1466017438899602E-2</v>
      </c>
      <c r="M1705" s="135">
        <v>0.104371225719738</v>
      </c>
      <c r="N1705" s="135">
        <v>9.41452251778261E-2</v>
      </c>
      <c r="O1705" s="135">
        <v>6.2047694398215697E-2</v>
      </c>
      <c r="P1705" s="135">
        <v>4.6517399382564398E-2</v>
      </c>
      <c r="Q1705" s="135">
        <v>4.8076729267419002E-2</v>
      </c>
      <c r="R1705" s="135">
        <v>4.0992084102811403E-2</v>
      </c>
      <c r="S1705" s="135">
        <v>3.0024873217214799E-2</v>
      </c>
      <c r="T1705" s="135">
        <v>2.4597254598098701E-2</v>
      </c>
      <c r="U1705" s="135">
        <v>2.3269815809137999E-2</v>
      </c>
      <c r="V1705" s="135">
        <v>2.6430524453741298E-2</v>
      </c>
      <c r="W1705" s="135">
        <v>3.7758403562643698E-2</v>
      </c>
      <c r="X1705" s="135">
        <v>5.6154443526283397E-2</v>
      </c>
      <c r="Y1705" s="135">
        <v>6.1948692548018602E-2</v>
      </c>
      <c r="Z1705" s="135">
        <v>5.7517025778521101E-2</v>
      </c>
      <c r="AA1705" s="135">
        <v>5.3769129995412397E-2</v>
      </c>
      <c r="AB1705" s="135">
        <v>4.3674975728680898E-2</v>
      </c>
      <c r="AC1705" s="135">
        <v>2.8386202239524701E-2</v>
      </c>
      <c r="AD1705" s="135">
        <v>2.01632563016995E-2</v>
      </c>
      <c r="AF1705" s="243">
        <f t="shared" si="31"/>
        <v>0.23114968501106692</v>
      </c>
      <c r="AG1705" s="275">
        <f t="shared" si="32"/>
        <v>0.45993478806694377</v>
      </c>
      <c r="AH1705" s="391">
        <f t="shared" si="33"/>
        <v>0.56484339990575294</v>
      </c>
      <c r="AI1705" s="135">
        <f t="shared" si="34"/>
        <v>1.0247781879726967</v>
      </c>
    </row>
    <row r="1706" spans="1:35" ht="12.6">
      <c r="A1706" s="10" t="s">
        <v>58</v>
      </c>
      <c r="B1706" s="10">
        <v>245</v>
      </c>
      <c r="C1706" s="10" t="s">
        <v>1515</v>
      </c>
      <c r="D1706" s="388">
        <v>45171</v>
      </c>
      <c r="E1706" s="389">
        <v>45171</v>
      </c>
      <c r="F1706" s="390" t="str">
        <f t="shared" si="30"/>
        <v>Water heating</v>
      </c>
      <c r="G1706" s="135">
        <v>1.7183885350872501E-2</v>
      </c>
      <c r="H1706" s="135">
        <v>1.59011345186259E-2</v>
      </c>
      <c r="I1706" s="135">
        <v>1.4115632768602299E-2</v>
      </c>
      <c r="J1706" s="135">
        <v>2.01090464103275E-2</v>
      </c>
      <c r="K1706" s="135">
        <v>2.6215478372511501E-2</v>
      </c>
      <c r="L1706" s="135">
        <v>2.2009705581087599E-2</v>
      </c>
      <c r="M1706" s="135">
        <v>3.1615965839039403E-2</v>
      </c>
      <c r="N1706" s="135">
        <v>5.5257986517302897E-2</v>
      </c>
      <c r="O1706" s="135">
        <v>7.2045354380560006E-2</v>
      </c>
      <c r="P1706" s="135">
        <v>8.0777097351997798E-2</v>
      </c>
      <c r="Q1706" s="135">
        <v>7.8779942879803999E-2</v>
      </c>
      <c r="R1706" s="135">
        <v>6.7839090157574097E-2</v>
      </c>
      <c r="S1706" s="135">
        <v>5.2090622227560002E-2</v>
      </c>
      <c r="T1706" s="135">
        <v>4.3790795909337203E-2</v>
      </c>
      <c r="U1706" s="135">
        <v>4.2253902234682998E-2</v>
      </c>
      <c r="V1706" s="135">
        <v>4.3817062782733E-2</v>
      </c>
      <c r="W1706" s="135">
        <v>4.9882965506830301E-2</v>
      </c>
      <c r="X1706" s="135">
        <v>5.22139681915968E-2</v>
      </c>
      <c r="Y1706" s="135">
        <v>5.72865582831057E-2</v>
      </c>
      <c r="Z1706" s="135">
        <v>5.3143981166714503E-2</v>
      </c>
      <c r="AA1706" s="135">
        <v>4.6527009601664303E-2</v>
      </c>
      <c r="AB1706" s="135">
        <v>4.1565732763832797E-2</v>
      </c>
      <c r="AC1706" s="135">
        <v>2.81501184507593E-2</v>
      </c>
      <c r="AD1706" s="135">
        <v>1.9884657304084601E-2</v>
      </c>
      <c r="AF1706" s="243">
        <f t="shared" si="31"/>
        <v>0.37845438169852164</v>
      </c>
      <c r="AG1706" s="275">
        <f t="shared" si="32"/>
        <v>0.42702097325705379</v>
      </c>
      <c r="AH1706" s="391">
        <f t="shared" si="33"/>
        <v>0.60543672129415294</v>
      </c>
      <c r="AI1706" s="135">
        <f t="shared" si="34"/>
        <v>1.0324576945512067</v>
      </c>
    </row>
    <row r="1707" spans="1:35" ht="12.6">
      <c r="A1707" s="10" t="s">
        <v>58</v>
      </c>
      <c r="B1707" s="10">
        <v>246</v>
      </c>
      <c r="C1707" s="10" t="s">
        <v>1515</v>
      </c>
      <c r="D1707" s="388">
        <v>45172</v>
      </c>
      <c r="E1707" s="389">
        <v>45172</v>
      </c>
      <c r="F1707" s="390" t="str">
        <f t="shared" si="30"/>
        <v>Water heating</v>
      </c>
      <c r="G1707" s="135">
        <v>1.7183885350872501E-2</v>
      </c>
      <c r="H1707" s="135">
        <v>1.59011345186259E-2</v>
      </c>
      <c r="I1707" s="135">
        <v>1.4115632768602299E-2</v>
      </c>
      <c r="J1707" s="135">
        <v>2.01090464103275E-2</v>
      </c>
      <c r="K1707" s="135">
        <v>2.6215478372511501E-2</v>
      </c>
      <c r="L1707" s="135">
        <v>2.2009705581087599E-2</v>
      </c>
      <c r="M1707" s="135">
        <v>3.1615965839039403E-2</v>
      </c>
      <c r="N1707" s="135">
        <v>5.5257986517302897E-2</v>
      </c>
      <c r="O1707" s="135">
        <v>7.2045354380560006E-2</v>
      </c>
      <c r="P1707" s="135">
        <v>8.0777097351997798E-2</v>
      </c>
      <c r="Q1707" s="135">
        <v>7.8779942879803999E-2</v>
      </c>
      <c r="R1707" s="135">
        <v>6.7839090157574097E-2</v>
      </c>
      <c r="S1707" s="135">
        <v>5.2090622227560002E-2</v>
      </c>
      <c r="T1707" s="135">
        <v>4.3790795909337203E-2</v>
      </c>
      <c r="U1707" s="135">
        <v>4.2253902234682998E-2</v>
      </c>
      <c r="V1707" s="135">
        <v>4.3817062782733E-2</v>
      </c>
      <c r="W1707" s="135">
        <v>4.9882965506830301E-2</v>
      </c>
      <c r="X1707" s="135">
        <v>5.22139681915968E-2</v>
      </c>
      <c r="Y1707" s="135">
        <v>5.72865582831057E-2</v>
      </c>
      <c r="Z1707" s="135">
        <v>5.3143981166714503E-2</v>
      </c>
      <c r="AA1707" s="135">
        <v>4.6527009601664303E-2</v>
      </c>
      <c r="AB1707" s="135">
        <v>4.1565732763832797E-2</v>
      </c>
      <c r="AC1707" s="135">
        <v>2.81501184507593E-2</v>
      </c>
      <c r="AD1707" s="135">
        <v>1.9884657304084601E-2</v>
      </c>
      <c r="AF1707" s="243">
        <f t="shared" si="31"/>
        <v>0.37845438169852164</v>
      </c>
      <c r="AG1707" s="275">
        <f t="shared" si="32"/>
        <v>0.42702097325705379</v>
      </c>
      <c r="AH1707" s="391">
        <f t="shared" si="33"/>
        <v>0.60543672129415294</v>
      </c>
      <c r="AI1707" s="135">
        <f t="shared" si="34"/>
        <v>1.0324576945512067</v>
      </c>
    </row>
    <row r="1708" spans="1:35" ht="12.6">
      <c r="A1708" s="10" t="s">
        <v>58</v>
      </c>
      <c r="B1708" s="10">
        <v>247</v>
      </c>
      <c r="C1708" s="10" t="s">
        <v>1515</v>
      </c>
      <c r="D1708" s="388">
        <v>45173</v>
      </c>
      <c r="E1708" s="389">
        <v>45173</v>
      </c>
      <c r="F1708" s="390" t="str">
        <f t="shared" si="30"/>
        <v>Water heating</v>
      </c>
      <c r="G1708" s="135">
        <v>1.8023380941015198E-2</v>
      </c>
      <c r="H1708" s="135">
        <v>1.7437284884137001E-2</v>
      </c>
      <c r="I1708" s="135">
        <v>1.3924288831905701E-2</v>
      </c>
      <c r="J1708" s="135">
        <v>2.1911478334890599E-2</v>
      </c>
      <c r="K1708" s="135">
        <v>3.2170781734296799E-2</v>
      </c>
      <c r="L1708" s="135">
        <v>6.1466017438899602E-2</v>
      </c>
      <c r="M1708" s="135">
        <v>0.104371225719738</v>
      </c>
      <c r="N1708" s="135">
        <v>9.41452251778261E-2</v>
      </c>
      <c r="O1708" s="135">
        <v>6.2047694398215697E-2</v>
      </c>
      <c r="P1708" s="135">
        <v>4.6517399382564398E-2</v>
      </c>
      <c r="Q1708" s="135">
        <v>4.8076729267419002E-2</v>
      </c>
      <c r="R1708" s="135">
        <v>4.0992084102811403E-2</v>
      </c>
      <c r="S1708" s="135">
        <v>3.0024873217214799E-2</v>
      </c>
      <c r="T1708" s="135">
        <v>2.4597254598098701E-2</v>
      </c>
      <c r="U1708" s="135">
        <v>2.3269815809137999E-2</v>
      </c>
      <c r="V1708" s="135">
        <v>2.6430524453741298E-2</v>
      </c>
      <c r="W1708" s="135">
        <v>3.7758403562643698E-2</v>
      </c>
      <c r="X1708" s="135">
        <v>5.6154443526283397E-2</v>
      </c>
      <c r="Y1708" s="135">
        <v>6.1948692548018602E-2</v>
      </c>
      <c r="Z1708" s="135">
        <v>5.7517025778521101E-2</v>
      </c>
      <c r="AA1708" s="135">
        <v>5.3769129995412397E-2</v>
      </c>
      <c r="AB1708" s="135">
        <v>4.3674975728680898E-2</v>
      </c>
      <c r="AC1708" s="135">
        <v>2.8386202239524701E-2</v>
      </c>
      <c r="AD1708" s="135">
        <v>2.01632563016995E-2</v>
      </c>
      <c r="AF1708" s="243">
        <f t="shared" si="31"/>
        <v>0.23114968501106692</v>
      </c>
      <c r="AG1708" s="275">
        <f t="shared" si="32"/>
        <v>0.45993478806694377</v>
      </c>
      <c r="AH1708" s="391">
        <f t="shared" si="33"/>
        <v>0.56484339990575294</v>
      </c>
      <c r="AI1708" s="135">
        <f t="shared" si="34"/>
        <v>1.0247781879726967</v>
      </c>
    </row>
    <row r="1709" spans="1:35" ht="12.6">
      <c r="A1709" s="10" t="s">
        <v>58</v>
      </c>
      <c r="B1709" s="10">
        <v>248</v>
      </c>
      <c r="C1709" s="10" t="s">
        <v>1515</v>
      </c>
      <c r="D1709" s="388">
        <v>45174</v>
      </c>
      <c r="E1709" s="389">
        <v>45174</v>
      </c>
      <c r="F1709" s="390" t="str">
        <f t="shared" si="30"/>
        <v>Water heating</v>
      </c>
      <c r="G1709" s="135">
        <v>1.8023380941015198E-2</v>
      </c>
      <c r="H1709" s="135">
        <v>1.7437284884137001E-2</v>
      </c>
      <c r="I1709" s="135">
        <v>1.3924288831905701E-2</v>
      </c>
      <c r="J1709" s="135">
        <v>2.1911478334890599E-2</v>
      </c>
      <c r="K1709" s="135">
        <v>3.2170781734296799E-2</v>
      </c>
      <c r="L1709" s="135">
        <v>6.1466017438899602E-2</v>
      </c>
      <c r="M1709" s="135">
        <v>0.104371225719738</v>
      </c>
      <c r="N1709" s="135">
        <v>9.41452251778261E-2</v>
      </c>
      <c r="O1709" s="135">
        <v>6.2047694398215697E-2</v>
      </c>
      <c r="P1709" s="135">
        <v>4.6517399382564398E-2</v>
      </c>
      <c r="Q1709" s="135">
        <v>4.8076729267419002E-2</v>
      </c>
      <c r="R1709" s="135">
        <v>4.0992084102811403E-2</v>
      </c>
      <c r="S1709" s="135">
        <v>3.0024873217214799E-2</v>
      </c>
      <c r="T1709" s="135">
        <v>2.4597254598098701E-2</v>
      </c>
      <c r="U1709" s="135">
        <v>2.3269815809137999E-2</v>
      </c>
      <c r="V1709" s="135">
        <v>2.6430524453741298E-2</v>
      </c>
      <c r="W1709" s="135">
        <v>3.7758403562643698E-2</v>
      </c>
      <c r="X1709" s="135">
        <v>5.6154443526283397E-2</v>
      </c>
      <c r="Y1709" s="135">
        <v>6.1948692548018602E-2</v>
      </c>
      <c r="Z1709" s="135">
        <v>5.7517025778521101E-2</v>
      </c>
      <c r="AA1709" s="135">
        <v>5.3769129995412397E-2</v>
      </c>
      <c r="AB1709" s="135">
        <v>4.3674975728680898E-2</v>
      </c>
      <c r="AC1709" s="135">
        <v>2.8386202239524701E-2</v>
      </c>
      <c r="AD1709" s="135">
        <v>2.01632563016995E-2</v>
      </c>
      <c r="AF1709" s="243">
        <f t="shared" si="31"/>
        <v>0.23114968501106692</v>
      </c>
      <c r="AG1709" s="275">
        <f t="shared" si="32"/>
        <v>0.45993478806694377</v>
      </c>
      <c r="AH1709" s="391">
        <f t="shared" si="33"/>
        <v>0.56484339990575294</v>
      </c>
      <c r="AI1709" s="135">
        <f t="shared" si="34"/>
        <v>1.0247781879726967</v>
      </c>
    </row>
    <row r="1710" spans="1:35" ht="12.6">
      <c r="A1710" s="10" t="s">
        <v>58</v>
      </c>
      <c r="B1710" s="10">
        <v>249</v>
      </c>
      <c r="C1710" s="10" t="s">
        <v>1515</v>
      </c>
      <c r="D1710" s="388">
        <v>45175</v>
      </c>
      <c r="E1710" s="389">
        <v>45175</v>
      </c>
      <c r="F1710" s="390" t="str">
        <f t="shared" si="30"/>
        <v>Water heating</v>
      </c>
      <c r="G1710" s="135">
        <v>1.8023380941015198E-2</v>
      </c>
      <c r="H1710" s="135">
        <v>1.7437284884137001E-2</v>
      </c>
      <c r="I1710" s="135">
        <v>1.3924288831905701E-2</v>
      </c>
      <c r="J1710" s="135">
        <v>2.1911478334890599E-2</v>
      </c>
      <c r="K1710" s="135">
        <v>3.2170781734296799E-2</v>
      </c>
      <c r="L1710" s="135">
        <v>6.1466017438899602E-2</v>
      </c>
      <c r="M1710" s="135">
        <v>0.104371225719738</v>
      </c>
      <c r="N1710" s="135">
        <v>9.41452251778261E-2</v>
      </c>
      <c r="O1710" s="135">
        <v>6.2047694398215697E-2</v>
      </c>
      <c r="P1710" s="135">
        <v>4.6517399382564398E-2</v>
      </c>
      <c r="Q1710" s="135">
        <v>4.8076729267419002E-2</v>
      </c>
      <c r="R1710" s="135">
        <v>4.0992084102811403E-2</v>
      </c>
      <c r="S1710" s="135">
        <v>3.0024873217214799E-2</v>
      </c>
      <c r="T1710" s="135">
        <v>2.4597254598098701E-2</v>
      </c>
      <c r="U1710" s="135">
        <v>2.3269815809137999E-2</v>
      </c>
      <c r="V1710" s="135">
        <v>2.6430524453741298E-2</v>
      </c>
      <c r="W1710" s="135">
        <v>3.7758403562643698E-2</v>
      </c>
      <c r="X1710" s="135">
        <v>5.6154443526283397E-2</v>
      </c>
      <c r="Y1710" s="135">
        <v>6.1948692548018602E-2</v>
      </c>
      <c r="Z1710" s="135">
        <v>5.7517025778521101E-2</v>
      </c>
      <c r="AA1710" s="135">
        <v>5.3769129995412397E-2</v>
      </c>
      <c r="AB1710" s="135">
        <v>4.3674975728680898E-2</v>
      </c>
      <c r="AC1710" s="135">
        <v>2.8386202239524701E-2</v>
      </c>
      <c r="AD1710" s="135">
        <v>2.01632563016995E-2</v>
      </c>
      <c r="AF1710" s="243">
        <f t="shared" si="31"/>
        <v>0.23114968501106692</v>
      </c>
      <c r="AG1710" s="275">
        <f t="shared" si="32"/>
        <v>0.45993478806694377</v>
      </c>
      <c r="AH1710" s="391">
        <f t="shared" si="33"/>
        <v>0.56484339990575294</v>
      </c>
      <c r="AI1710" s="135">
        <f t="shared" si="34"/>
        <v>1.0247781879726967</v>
      </c>
    </row>
    <row r="1711" spans="1:35" ht="12.6">
      <c r="A1711" s="10" t="s">
        <v>58</v>
      </c>
      <c r="B1711" s="10">
        <v>250</v>
      </c>
      <c r="C1711" s="10" t="s">
        <v>1515</v>
      </c>
      <c r="D1711" s="388">
        <v>45176</v>
      </c>
      <c r="E1711" s="389">
        <v>45176</v>
      </c>
      <c r="F1711" s="390" t="str">
        <f t="shared" si="30"/>
        <v>Water heating</v>
      </c>
      <c r="G1711" s="135">
        <v>1.8023380941015198E-2</v>
      </c>
      <c r="H1711" s="135">
        <v>1.7437284884137001E-2</v>
      </c>
      <c r="I1711" s="135">
        <v>1.3924288831905701E-2</v>
      </c>
      <c r="J1711" s="135">
        <v>2.1911478334890599E-2</v>
      </c>
      <c r="K1711" s="135">
        <v>3.2170781734296799E-2</v>
      </c>
      <c r="L1711" s="135">
        <v>6.1466017438899602E-2</v>
      </c>
      <c r="M1711" s="135">
        <v>0.104371225719738</v>
      </c>
      <c r="N1711" s="135">
        <v>9.41452251778261E-2</v>
      </c>
      <c r="O1711" s="135">
        <v>6.2047694398215697E-2</v>
      </c>
      <c r="P1711" s="135">
        <v>4.6517399382564398E-2</v>
      </c>
      <c r="Q1711" s="135">
        <v>4.8076729267419002E-2</v>
      </c>
      <c r="R1711" s="135">
        <v>4.0992084102811403E-2</v>
      </c>
      <c r="S1711" s="135">
        <v>3.0024873217214799E-2</v>
      </c>
      <c r="T1711" s="135">
        <v>2.4597254598098701E-2</v>
      </c>
      <c r="U1711" s="135">
        <v>2.3269815809137999E-2</v>
      </c>
      <c r="V1711" s="135">
        <v>2.6430524453741298E-2</v>
      </c>
      <c r="W1711" s="135">
        <v>3.7758403562643698E-2</v>
      </c>
      <c r="X1711" s="135">
        <v>5.6154443526283397E-2</v>
      </c>
      <c r="Y1711" s="135">
        <v>6.1948692548018602E-2</v>
      </c>
      <c r="Z1711" s="135">
        <v>5.7517025778521101E-2</v>
      </c>
      <c r="AA1711" s="135">
        <v>5.3769129995412397E-2</v>
      </c>
      <c r="AB1711" s="135">
        <v>4.3674975728680898E-2</v>
      </c>
      <c r="AC1711" s="135">
        <v>2.8386202239524701E-2</v>
      </c>
      <c r="AD1711" s="135">
        <v>2.01632563016995E-2</v>
      </c>
      <c r="AF1711" s="243">
        <f t="shared" si="31"/>
        <v>0.23114968501106692</v>
      </c>
      <c r="AG1711" s="275">
        <f t="shared" si="32"/>
        <v>0.45993478806694377</v>
      </c>
      <c r="AH1711" s="391">
        <f t="shared" si="33"/>
        <v>0.56484339990575294</v>
      </c>
      <c r="AI1711" s="135">
        <f t="shared" si="34"/>
        <v>1.0247781879726967</v>
      </c>
    </row>
    <row r="1712" spans="1:35" ht="12.6">
      <c r="A1712" s="10" t="s">
        <v>58</v>
      </c>
      <c r="B1712" s="10">
        <v>251</v>
      </c>
      <c r="C1712" s="10" t="s">
        <v>1515</v>
      </c>
      <c r="D1712" s="388">
        <v>45177</v>
      </c>
      <c r="E1712" s="389">
        <v>45177</v>
      </c>
      <c r="F1712" s="390" t="str">
        <f t="shared" si="30"/>
        <v>Water heating</v>
      </c>
      <c r="G1712" s="135">
        <v>1.8023380941015198E-2</v>
      </c>
      <c r="H1712" s="135">
        <v>1.7437284884137001E-2</v>
      </c>
      <c r="I1712" s="135">
        <v>1.3924288831905701E-2</v>
      </c>
      <c r="J1712" s="135">
        <v>2.1911478334890599E-2</v>
      </c>
      <c r="K1712" s="135">
        <v>3.2170781734296799E-2</v>
      </c>
      <c r="L1712" s="135">
        <v>6.1466017438899602E-2</v>
      </c>
      <c r="M1712" s="135">
        <v>0.104371225719738</v>
      </c>
      <c r="N1712" s="135">
        <v>9.41452251778261E-2</v>
      </c>
      <c r="O1712" s="135">
        <v>6.2047694398215697E-2</v>
      </c>
      <c r="P1712" s="135">
        <v>4.6517399382564398E-2</v>
      </c>
      <c r="Q1712" s="135">
        <v>4.8076729267419002E-2</v>
      </c>
      <c r="R1712" s="135">
        <v>4.0992084102811403E-2</v>
      </c>
      <c r="S1712" s="135">
        <v>3.0024873217214799E-2</v>
      </c>
      <c r="T1712" s="135">
        <v>2.4597254598098701E-2</v>
      </c>
      <c r="U1712" s="135">
        <v>2.3269815809137999E-2</v>
      </c>
      <c r="V1712" s="135">
        <v>2.6430524453741298E-2</v>
      </c>
      <c r="W1712" s="135">
        <v>3.7758403562643698E-2</v>
      </c>
      <c r="X1712" s="135">
        <v>5.6154443526283397E-2</v>
      </c>
      <c r="Y1712" s="135">
        <v>6.1948692548018602E-2</v>
      </c>
      <c r="Z1712" s="135">
        <v>5.7517025778521101E-2</v>
      </c>
      <c r="AA1712" s="135">
        <v>5.3769129995412397E-2</v>
      </c>
      <c r="AB1712" s="135">
        <v>4.3674975728680898E-2</v>
      </c>
      <c r="AC1712" s="135">
        <v>2.8386202239524701E-2</v>
      </c>
      <c r="AD1712" s="135">
        <v>2.01632563016995E-2</v>
      </c>
      <c r="AF1712" s="243">
        <f t="shared" si="31"/>
        <v>0.23114968501106692</v>
      </c>
      <c r="AG1712" s="275">
        <f t="shared" si="32"/>
        <v>0.45993478806694377</v>
      </c>
      <c r="AH1712" s="391">
        <f t="shared" si="33"/>
        <v>0.56484339990575294</v>
      </c>
      <c r="AI1712" s="135">
        <f t="shared" si="34"/>
        <v>1.0247781879726967</v>
      </c>
    </row>
    <row r="1713" spans="1:35" ht="12.6">
      <c r="A1713" s="10" t="s">
        <v>58</v>
      </c>
      <c r="B1713" s="10">
        <v>252</v>
      </c>
      <c r="C1713" s="10" t="s">
        <v>1515</v>
      </c>
      <c r="D1713" s="388">
        <v>45178</v>
      </c>
      <c r="E1713" s="389">
        <v>45178</v>
      </c>
      <c r="F1713" s="390" t="str">
        <f t="shared" si="30"/>
        <v>Water heating</v>
      </c>
      <c r="G1713" s="135">
        <v>1.7183885350872501E-2</v>
      </c>
      <c r="H1713" s="135">
        <v>1.59011345186259E-2</v>
      </c>
      <c r="I1713" s="135">
        <v>1.4115632768602299E-2</v>
      </c>
      <c r="J1713" s="135">
        <v>2.01090464103275E-2</v>
      </c>
      <c r="K1713" s="135">
        <v>2.6215478372511501E-2</v>
      </c>
      <c r="L1713" s="135">
        <v>2.2009705581087599E-2</v>
      </c>
      <c r="M1713" s="135">
        <v>3.1615965839039403E-2</v>
      </c>
      <c r="N1713" s="135">
        <v>5.5257986517302897E-2</v>
      </c>
      <c r="O1713" s="135">
        <v>7.2045354380560006E-2</v>
      </c>
      <c r="P1713" s="135">
        <v>8.0777097351997798E-2</v>
      </c>
      <c r="Q1713" s="135">
        <v>7.8779942879803999E-2</v>
      </c>
      <c r="R1713" s="135">
        <v>6.7839090157574097E-2</v>
      </c>
      <c r="S1713" s="135">
        <v>5.2090622227560002E-2</v>
      </c>
      <c r="T1713" s="135">
        <v>4.3790795909337203E-2</v>
      </c>
      <c r="U1713" s="135">
        <v>4.2253902234682998E-2</v>
      </c>
      <c r="V1713" s="135">
        <v>4.3817062782733E-2</v>
      </c>
      <c r="W1713" s="135">
        <v>4.9882965506830301E-2</v>
      </c>
      <c r="X1713" s="135">
        <v>5.22139681915968E-2</v>
      </c>
      <c r="Y1713" s="135">
        <v>5.72865582831057E-2</v>
      </c>
      <c r="Z1713" s="135">
        <v>5.3143981166714503E-2</v>
      </c>
      <c r="AA1713" s="135">
        <v>4.6527009601664303E-2</v>
      </c>
      <c r="AB1713" s="135">
        <v>4.1565732763832797E-2</v>
      </c>
      <c r="AC1713" s="135">
        <v>2.81501184507593E-2</v>
      </c>
      <c r="AD1713" s="135">
        <v>1.9884657304084601E-2</v>
      </c>
      <c r="AF1713" s="243">
        <f t="shared" si="31"/>
        <v>0.37845438169852164</v>
      </c>
      <c r="AG1713" s="275">
        <f t="shared" si="32"/>
        <v>0.42702097325705379</v>
      </c>
      <c r="AH1713" s="391">
        <f t="shared" si="33"/>
        <v>0.60543672129415294</v>
      </c>
      <c r="AI1713" s="135">
        <f t="shared" si="34"/>
        <v>1.0324576945512067</v>
      </c>
    </row>
    <row r="1714" spans="1:35" ht="12.6">
      <c r="A1714" s="10" t="s">
        <v>58</v>
      </c>
      <c r="B1714" s="10">
        <v>253</v>
      </c>
      <c r="C1714" s="10" t="s">
        <v>1515</v>
      </c>
      <c r="D1714" s="388">
        <v>45179</v>
      </c>
      <c r="E1714" s="389">
        <v>45179</v>
      </c>
      <c r="F1714" s="390" t="str">
        <f t="shared" si="30"/>
        <v>Water heating</v>
      </c>
      <c r="G1714" s="135">
        <v>1.7183885350872501E-2</v>
      </c>
      <c r="H1714" s="135">
        <v>1.59011345186259E-2</v>
      </c>
      <c r="I1714" s="135">
        <v>1.4115632768602299E-2</v>
      </c>
      <c r="J1714" s="135">
        <v>2.01090464103275E-2</v>
      </c>
      <c r="K1714" s="135">
        <v>2.6215478372511501E-2</v>
      </c>
      <c r="L1714" s="135">
        <v>2.2009705581087599E-2</v>
      </c>
      <c r="M1714" s="135">
        <v>3.1615965839039403E-2</v>
      </c>
      <c r="N1714" s="135">
        <v>5.5257986517302897E-2</v>
      </c>
      <c r="O1714" s="135">
        <v>7.2045354380560006E-2</v>
      </c>
      <c r="P1714" s="135">
        <v>8.0777097351997798E-2</v>
      </c>
      <c r="Q1714" s="135">
        <v>7.8779942879803999E-2</v>
      </c>
      <c r="R1714" s="135">
        <v>6.7839090157574097E-2</v>
      </c>
      <c r="S1714" s="135">
        <v>5.2090622227560002E-2</v>
      </c>
      <c r="T1714" s="135">
        <v>4.3790795909337203E-2</v>
      </c>
      <c r="U1714" s="135">
        <v>4.2253902234682998E-2</v>
      </c>
      <c r="V1714" s="135">
        <v>4.3817062782733E-2</v>
      </c>
      <c r="W1714" s="135">
        <v>4.9882965506830301E-2</v>
      </c>
      <c r="X1714" s="135">
        <v>5.22139681915968E-2</v>
      </c>
      <c r="Y1714" s="135">
        <v>5.72865582831057E-2</v>
      </c>
      <c r="Z1714" s="135">
        <v>5.3143981166714503E-2</v>
      </c>
      <c r="AA1714" s="135">
        <v>4.6527009601664303E-2</v>
      </c>
      <c r="AB1714" s="135">
        <v>4.1565732763832797E-2</v>
      </c>
      <c r="AC1714" s="135">
        <v>2.81501184507593E-2</v>
      </c>
      <c r="AD1714" s="135">
        <v>1.9884657304084601E-2</v>
      </c>
      <c r="AF1714" s="243">
        <f t="shared" si="31"/>
        <v>0.37845438169852164</v>
      </c>
      <c r="AG1714" s="275">
        <f t="shared" si="32"/>
        <v>0.42702097325705379</v>
      </c>
      <c r="AH1714" s="391">
        <f t="shared" si="33"/>
        <v>0.60543672129415294</v>
      </c>
      <c r="AI1714" s="135">
        <f t="shared" si="34"/>
        <v>1.0324576945512067</v>
      </c>
    </row>
    <row r="1715" spans="1:35" ht="12.6">
      <c r="A1715" s="10" t="s">
        <v>58</v>
      </c>
      <c r="B1715" s="10">
        <v>254</v>
      </c>
      <c r="C1715" s="10" t="s">
        <v>1515</v>
      </c>
      <c r="D1715" s="388">
        <v>45180</v>
      </c>
      <c r="E1715" s="389">
        <v>45180</v>
      </c>
      <c r="F1715" s="390" t="str">
        <f t="shared" si="30"/>
        <v>Water heating</v>
      </c>
      <c r="G1715" s="135">
        <v>1.8023380941015198E-2</v>
      </c>
      <c r="H1715" s="135">
        <v>1.7437284884137001E-2</v>
      </c>
      <c r="I1715" s="135">
        <v>1.3924288831905701E-2</v>
      </c>
      <c r="J1715" s="135">
        <v>2.1911478334890599E-2</v>
      </c>
      <c r="K1715" s="135">
        <v>3.2170781734296799E-2</v>
      </c>
      <c r="L1715" s="135">
        <v>6.1466017438899602E-2</v>
      </c>
      <c r="M1715" s="135">
        <v>0.104371225719738</v>
      </c>
      <c r="N1715" s="135">
        <v>9.41452251778261E-2</v>
      </c>
      <c r="O1715" s="135">
        <v>6.2047694398215697E-2</v>
      </c>
      <c r="P1715" s="135">
        <v>4.6517399382564398E-2</v>
      </c>
      <c r="Q1715" s="135">
        <v>4.8076729267419002E-2</v>
      </c>
      <c r="R1715" s="135">
        <v>4.0992084102811403E-2</v>
      </c>
      <c r="S1715" s="135">
        <v>3.0024873217214799E-2</v>
      </c>
      <c r="T1715" s="135">
        <v>2.4597254598098701E-2</v>
      </c>
      <c r="U1715" s="135">
        <v>2.3269815809137999E-2</v>
      </c>
      <c r="V1715" s="135">
        <v>2.6430524453741298E-2</v>
      </c>
      <c r="W1715" s="135">
        <v>3.7758403562643698E-2</v>
      </c>
      <c r="X1715" s="135">
        <v>5.6154443526283397E-2</v>
      </c>
      <c r="Y1715" s="135">
        <v>6.1948692548018602E-2</v>
      </c>
      <c r="Z1715" s="135">
        <v>5.7517025778521101E-2</v>
      </c>
      <c r="AA1715" s="135">
        <v>5.3769129995412397E-2</v>
      </c>
      <c r="AB1715" s="135">
        <v>4.3674975728680898E-2</v>
      </c>
      <c r="AC1715" s="135">
        <v>2.8386202239524701E-2</v>
      </c>
      <c r="AD1715" s="135">
        <v>2.01632563016995E-2</v>
      </c>
      <c r="AF1715" s="243">
        <f t="shared" si="31"/>
        <v>0.23114968501106692</v>
      </c>
      <c r="AG1715" s="275">
        <f t="shared" si="32"/>
        <v>0.45993478806694377</v>
      </c>
      <c r="AH1715" s="391">
        <f t="shared" si="33"/>
        <v>0.56484339990575294</v>
      </c>
      <c r="AI1715" s="135">
        <f t="shared" si="34"/>
        <v>1.0247781879726967</v>
      </c>
    </row>
    <row r="1716" spans="1:35" ht="12.6">
      <c r="A1716" s="10" t="s">
        <v>58</v>
      </c>
      <c r="B1716" s="10">
        <v>255</v>
      </c>
      <c r="C1716" s="10" t="s">
        <v>1515</v>
      </c>
      <c r="D1716" s="388">
        <v>45181</v>
      </c>
      <c r="E1716" s="389">
        <v>45181</v>
      </c>
      <c r="F1716" s="390" t="str">
        <f t="shared" si="30"/>
        <v>Water heating</v>
      </c>
      <c r="G1716" s="135">
        <v>1.8023380941015198E-2</v>
      </c>
      <c r="H1716" s="135">
        <v>1.7437284884137001E-2</v>
      </c>
      <c r="I1716" s="135">
        <v>1.3924288831905701E-2</v>
      </c>
      <c r="J1716" s="135">
        <v>2.1911478334890599E-2</v>
      </c>
      <c r="K1716" s="135">
        <v>3.2170781734296799E-2</v>
      </c>
      <c r="L1716" s="135">
        <v>6.1466017438899602E-2</v>
      </c>
      <c r="M1716" s="135">
        <v>0.104371225719738</v>
      </c>
      <c r="N1716" s="135">
        <v>9.41452251778261E-2</v>
      </c>
      <c r="O1716" s="135">
        <v>6.2047694398215697E-2</v>
      </c>
      <c r="P1716" s="135">
        <v>4.6517399382564398E-2</v>
      </c>
      <c r="Q1716" s="135">
        <v>4.8076729267419002E-2</v>
      </c>
      <c r="R1716" s="135">
        <v>4.0992084102811403E-2</v>
      </c>
      <c r="S1716" s="135">
        <v>3.0024873217214799E-2</v>
      </c>
      <c r="T1716" s="135">
        <v>2.4597254598098701E-2</v>
      </c>
      <c r="U1716" s="135">
        <v>2.3269815809137999E-2</v>
      </c>
      <c r="V1716" s="135">
        <v>2.6430524453741298E-2</v>
      </c>
      <c r="W1716" s="135">
        <v>3.7758403562643698E-2</v>
      </c>
      <c r="X1716" s="135">
        <v>5.6154443526283397E-2</v>
      </c>
      <c r="Y1716" s="135">
        <v>6.1948692548018602E-2</v>
      </c>
      <c r="Z1716" s="135">
        <v>5.7517025778521101E-2</v>
      </c>
      <c r="AA1716" s="135">
        <v>5.3769129995412397E-2</v>
      </c>
      <c r="AB1716" s="135">
        <v>4.3674975728680898E-2</v>
      </c>
      <c r="AC1716" s="135">
        <v>2.8386202239524701E-2</v>
      </c>
      <c r="AD1716" s="135">
        <v>2.01632563016995E-2</v>
      </c>
      <c r="AF1716" s="243">
        <f t="shared" si="31"/>
        <v>0.23114968501106692</v>
      </c>
      <c r="AG1716" s="275">
        <f t="shared" si="32"/>
        <v>0.45993478806694377</v>
      </c>
      <c r="AH1716" s="391">
        <f t="shared" si="33"/>
        <v>0.56484339990575294</v>
      </c>
      <c r="AI1716" s="135">
        <f t="shared" si="34"/>
        <v>1.0247781879726967</v>
      </c>
    </row>
    <row r="1717" spans="1:35" ht="12.6">
      <c r="A1717" s="10" t="s">
        <v>58</v>
      </c>
      <c r="B1717" s="10">
        <v>256</v>
      </c>
      <c r="C1717" s="10" t="s">
        <v>1515</v>
      </c>
      <c r="D1717" s="388">
        <v>45182</v>
      </c>
      <c r="E1717" s="389">
        <v>45182</v>
      </c>
      <c r="F1717" s="390" t="str">
        <f t="shared" si="30"/>
        <v>Water heating</v>
      </c>
      <c r="G1717" s="135">
        <v>1.8023380941015198E-2</v>
      </c>
      <c r="H1717" s="135">
        <v>1.7437284884137001E-2</v>
      </c>
      <c r="I1717" s="135">
        <v>1.3924288831905701E-2</v>
      </c>
      <c r="J1717" s="135">
        <v>2.1911478334890599E-2</v>
      </c>
      <c r="K1717" s="135">
        <v>3.2170781734296799E-2</v>
      </c>
      <c r="L1717" s="135">
        <v>6.1466017438899602E-2</v>
      </c>
      <c r="M1717" s="135">
        <v>0.104371225719738</v>
      </c>
      <c r="N1717" s="135">
        <v>9.41452251778261E-2</v>
      </c>
      <c r="O1717" s="135">
        <v>6.2047694398215697E-2</v>
      </c>
      <c r="P1717" s="135">
        <v>4.6517399382564398E-2</v>
      </c>
      <c r="Q1717" s="135">
        <v>4.8076729267419002E-2</v>
      </c>
      <c r="R1717" s="135">
        <v>4.0992084102811403E-2</v>
      </c>
      <c r="S1717" s="135">
        <v>3.0024873217214799E-2</v>
      </c>
      <c r="T1717" s="135">
        <v>2.4597254598098701E-2</v>
      </c>
      <c r="U1717" s="135">
        <v>2.3269815809137999E-2</v>
      </c>
      <c r="V1717" s="135">
        <v>2.6430524453741298E-2</v>
      </c>
      <c r="W1717" s="135">
        <v>3.7758403562643698E-2</v>
      </c>
      <c r="X1717" s="135">
        <v>5.6154443526283397E-2</v>
      </c>
      <c r="Y1717" s="135">
        <v>6.1948692548018602E-2</v>
      </c>
      <c r="Z1717" s="135">
        <v>5.7517025778521101E-2</v>
      </c>
      <c r="AA1717" s="135">
        <v>5.3769129995412397E-2</v>
      </c>
      <c r="AB1717" s="135">
        <v>4.3674975728680898E-2</v>
      </c>
      <c r="AC1717" s="135">
        <v>2.8386202239524701E-2</v>
      </c>
      <c r="AD1717" s="135">
        <v>2.01632563016995E-2</v>
      </c>
      <c r="AF1717" s="243">
        <f t="shared" si="31"/>
        <v>0.23114968501106692</v>
      </c>
      <c r="AG1717" s="275">
        <f t="shared" si="32"/>
        <v>0.45993478806694377</v>
      </c>
      <c r="AH1717" s="391">
        <f t="shared" si="33"/>
        <v>0.56484339990575294</v>
      </c>
      <c r="AI1717" s="135">
        <f t="shared" si="34"/>
        <v>1.0247781879726967</v>
      </c>
    </row>
    <row r="1718" spans="1:35" ht="12.6">
      <c r="A1718" s="10" t="s">
        <v>58</v>
      </c>
      <c r="B1718" s="10">
        <v>257</v>
      </c>
      <c r="C1718" s="10" t="s">
        <v>1515</v>
      </c>
      <c r="D1718" s="388">
        <v>45183</v>
      </c>
      <c r="E1718" s="389">
        <v>45183</v>
      </c>
      <c r="F1718" s="390" t="str">
        <f t="shared" si="30"/>
        <v>Water heating</v>
      </c>
      <c r="G1718" s="135">
        <v>1.8023380941015198E-2</v>
      </c>
      <c r="H1718" s="135">
        <v>1.7437284884137001E-2</v>
      </c>
      <c r="I1718" s="135">
        <v>1.3924288831905701E-2</v>
      </c>
      <c r="J1718" s="135">
        <v>2.1911478334890599E-2</v>
      </c>
      <c r="K1718" s="135">
        <v>3.2170781734296799E-2</v>
      </c>
      <c r="L1718" s="135">
        <v>6.1466017438899602E-2</v>
      </c>
      <c r="M1718" s="135">
        <v>0.104371225719738</v>
      </c>
      <c r="N1718" s="135">
        <v>9.41452251778261E-2</v>
      </c>
      <c r="O1718" s="135">
        <v>6.2047694398215697E-2</v>
      </c>
      <c r="P1718" s="135">
        <v>4.6517399382564398E-2</v>
      </c>
      <c r="Q1718" s="135">
        <v>4.8076729267419002E-2</v>
      </c>
      <c r="R1718" s="135">
        <v>4.0992084102811403E-2</v>
      </c>
      <c r="S1718" s="135">
        <v>3.0024873217214799E-2</v>
      </c>
      <c r="T1718" s="135">
        <v>2.4597254598098701E-2</v>
      </c>
      <c r="U1718" s="135">
        <v>2.3269815809137999E-2</v>
      </c>
      <c r="V1718" s="135">
        <v>2.6430524453741298E-2</v>
      </c>
      <c r="W1718" s="135">
        <v>3.7758403562643698E-2</v>
      </c>
      <c r="X1718" s="135">
        <v>5.6154443526283397E-2</v>
      </c>
      <c r="Y1718" s="135">
        <v>6.1948692548018602E-2</v>
      </c>
      <c r="Z1718" s="135">
        <v>5.7517025778521101E-2</v>
      </c>
      <c r="AA1718" s="135">
        <v>5.3769129995412397E-2</v>
      </c>
      <c r="AB1718" s="135">
        <v>4.3674975728680898E-2</v>
      </c>
      <c r="AC1718" s="135">
        <v>2.8386202239524701E-2</v>
      </c>
      <c r="AD1718" s="135">
        <v>2.01632563016995E-2</v>
      </c>
      <c r="AF1718" s="243">
        <f t="shared" si="31"/>
        <v>0.23114968501106692</v>
      </c>
      <c r="AG1718" s="275">
        <f t="shared" si="32"/>
        <v>0.45993478806694377</v>
      </c>
      <c r="AH1718" s="391">
        <f t="shared" si="33"/>
        <v>0.56484339990575294</v>
      </c>
      <c r="AI1718" s="135">
        <f t="shared" si="34"/>
        <v>1.0247781879726967</v>
      </c>
    </row>
    <row r="1719" spans="1:35" ht="12.6">
      <c r="A1719" s="10" t="s">
        <v>58</v>
      </c>
      <c r="B1719" s="10">
        <v>258</v>
      </c>
      <c r="C1719" s="10" t="s">
        <v>1515</v>
      </c>
      <c r="D1719" s="388">
        <v>45184</v>
      </c>
      <c r="E1719" s="389">
        <v>45184</v>
      </c>
      <c r="F1719" s="390" t="str">
        <f t="shared" si="30"/>
        <v>Water heating</v>
      </c>
      <c r="G1719" s="135">
        <v>1.8023380941015198E-2</v>
      </c>
      <c r="H1719" s="135">
        <v>1.7437284884137001E-2</v>
      </c>
      <c r="I1719" s="135">
        <v>1.3924288831905701E-2</v>
      </c>
      <c r="J1719" s="135">
        <v>2.1911478334890599E-2</v>
      </c>
      <c r="K1719" s="135">
        <v>3.2170781734296799E-2</v>
      </c>
      <c r="L1719" s="135">
        <v>6.1466017438899602E-2</v>
      </c>
      <c r="M1719" s="135">
        <v>0.104371225719738</v>
      </c>
      <c r="N1719" s="135">
        <v>9.41452251778261E-2</v>
      </c>
      <c r="O1719" s="135">
        <v>6.2047694398215697E-2</v>
      </c>
      <c r="P1719" s="135">
        <v>4.6517399382564398E-2</v>
      </c>
      <c r="Q1719" s="135">
        <v>4.8076729267419002E-2</v>
      </c>
      <c r="R1719" s="135">
        <v>4.0992084102811403E-2</v>
      </c>
      <c r="S1719" s="135">
        <v>3.0024873217214799E-2</v>
      </c>
      <c r="T1719" s="135">
        <v>2.4597254598098701E-2</v>
      </c>
      <c r="U1719" s="135">
        <v>2.3269815809137999E-2</v>
      </c>
      <c r="V1719" s="135">
        <v>2.6430524453741298E-2</v>
      </c>
      <c r="W1719" s="135">
        <v>3.7758403562643698E-2</v>
      </c>
      <c r="X1719" s="135">
        <v>5.6154443526283397E-2</v>
      </c>
      <c r="Y1719" s="135">
        <v>6.1948692548018602E-2</v>
      </c>
      <c r="Z1719" s="135">
        <v>5.7517025778521101E-2</v>
      </c>
      <c r="AA1719" s="135">
        <v>5.3769129995412397E-2</v>
      </c>
      <c r="AB1719" s="135">
        <v>4.3674975728680898E-2</v>
      </c>
      <c r="AC1719" s="135">
        <v>2.8386202239524701E-2</v>
      </c>
      <c r="AD1719" s="135">
        <v>2.01632563016995E-2</v>
      </c>
      <c r="AF1719" s="243">
        <f t="shared" si="31"/>
        <v>0.23114968501106692</v>
      </c>
      <c r="AG1719" s="275">
        <f t="shared" si="32"/>
        <v>0.45993478806694377</v>
      </c>
      <c r="AH1719" s="391">
        <f t="shared" si="33"/>
        <v>0.56484339990575294</v>
      </c>
      <c r="AI1719" s="135">
        <f t="shared" si="34"/>
        <v>1.0247781879726967</v>
      </c>
    </row>
    <row r="1720" spans="1:35" ht="12.6">
      <c r="A1720" s="10" t="s">
        <v>58</v>
      </c>
      <c r="B1720" s="10">
        <v>259</v>
      </c>
      <c r="C1720" s="10" t="s">
        <v>1515</v>
      </c>
      <c r="D1720" s="388">
        <v>45185</v>
      </c>
      <c r="E1720" s="389">
        <v>45185</v>
      </c>
      <c r="F1720" s="390" t="str">
        <f t="shared" si="30"/>
        <v>Water heating</v>
      </c>
      <c r="G1720" s="135">
        <v>1.7183885350872501E-2</v>
      </c>
      <c r="H1720" s="135">
        <v>1.59011345186259E-2</v>
      </c>
      <c r="I1720" s="135">
        <v>1.4115632768602299E-2</v>
      </c>
      <c r="J1720" s="135">
        <v>2.01090464103275E-2</v>
      </c>
      <c r="K1720" s="135">
        <v>2.6215478372511501E-2</v>
      </c>
      <c r="L1720" s="135">
        <v>2.2009705581087599E-2</v>
      </c>
      <c r="M1720" s="135">
        <v>3.1615965839039403E-2</v>
      </c>
      <c r="N1720" s="135">
        <v>5.5257986517302897E-2</v>
      </c>
      <c r="O1720" s="135">
        <v>7.2045354380560006E-2</v>
      </c>
      <c r="P1720" s="135">
        <v>8.0777097351997798E-2</v>
      </c>
      <c r="Q1720" s="135">
        <v>7.8779942879803999E-2</v>
      </c>
      <c r="R1720" s="135">
        <v>6.7839090157574097E-2</v>
      </c>
      <c r="S1720" s="135">
        <v>5.2090622227560002E-2</v>
      </c>
      <c r="T1720" s="135">
        <v>4.3790795909337203E-2</v>
      </c>
      <c r="U1720" s="135">
        <v>4.2253902234682998E-2</v>
      </c>
      <c r="V1720" s="135">
        <v>4.3817062782733E-2</v>
      </c>
      <c r="W1720" s="135">
        <v>4.9882965506830301E-2</v>
      </c>
      <c r="X1720" s="135">
        <v>5.22139681915968E-2</v>
      </c>
      <c r="Y1720" s="135">
        <v>5.72865582831057E-2</v>
      </c>
      <c r="Z1720" s="135">
        <v>5.3143981166714503E-2</v>
      </c>
      <c r="AA1720" s="135">
        <v>4.6527009601664303E-2</v>
      </c>
      <c r="AB1720" s="135">
        <v>4.1565732763832797E-2</v>
      </c>
      <c r="AC1720" s="135">
        <v>2.81501184507593E-2</v>
      </c>
      <c r="AD1720" s="135">
        <v>1.9884657304084601E-2</v>
      </c>
      <c r="AF1720" s="243">
        <f t="shared" si="31"/>
        <v>0.37845438169852164</v>
      </c>
      <c r="AG1720" s="275">
        <f t="shared" si="32"/>
        <v>0.42702097325705379</v>
      </c>
      <c r="AH1720" s="391">
        <f t="shared" si="33"/>
        <v>0.60543672129415294</v>
      </c>
      <c r="AI1720" s="135">
        <f t="shared" si="34"/>
        <v>1.0324576945512067</v>
      </c>
    </row>
    <row r="1721" spans="1:35" ht="12.6">
      <c r="A1721" s="10" t="s">
        <v>58</v>
      </c>
      <c r="B1721" s="10">
        <v>260</v>
      </c>
      <c r="C1721" s="10" t="s">
        <v>1515</v>
      </c>
      <c r="D1721" s="388">
        <v>45186</v>
      </c>
      <c r="E1721" s="389">
        <v>45186</v>
      </c>
      <c r="F1721" s="390" t="str">
        <f t="shared" si="30"/>
        <v>Water heating</v>
      </c>
      <c r="G1721" s="135">
        <v>1.7183885350872501E-2</v>
      </c>
      <c r="H1721" s="135">
        <v>1.59011345186259E-2</v>
      </c>
      <c r="I1721" s="135">
        <v>1.4115632768602299E-2</v>
      </c>
      <c r="J1721" s="135">
        <v>2.01090464103275E-2</v>
      </c>
      <c r="K1721" s="135">
        <v>2.6215478372511501E-2</v>
      </c>
      <c r="L1721" s="135">
        <v>2.2009705581087599E-2</v>
      </c>
      <c r="M1721" s="135">
        <v>3.1615965839039403E-2</v>
      </c>
      <c r="N1721" s="135">
        <v>5.5257986517302897E-2</v>
      </c>
      <c r="O1721" s="135">
        <v>7.2045354380560006E-2</v>
      </c>
      <c r="P1721" s="135">
        <v>8.0777097351997798E-2</v>
      </c>
      <c r="Q1721" s="135">
        <v>7.8779942879803999E-2</v>
      </c>
      <c r="R1721" s="135">
        <v>6.7839090157574097E-2</v>
      </c>
      <c r="S1721" s="135">
        <v>5.2090622227560002E-2</v>
      </c>
      <c r="T1721" s="135">
        <v>4.3790795909337203E-2</v>
      </c>
      <c r="U1721" s="135">
        <v>4.2253902234682998E-2</v>
      </c>
      <c r="V1721" s="135">
        <v>4.3817062782733E-2</v>
      </c>
      <c r="W1721" s="135">
        <v>4.9882965506830301E-2</v>
      </c>
      <c r="X1721" s="135">
        <v>5.22139681915968E-2</v>
      </c>
      <c r="Y1721" s="135">
        <v>5.72865582831057E-2</v>
      </c>
      <c r="Z1721" s="135">
        <v>5.3143981166714503E-2</v>
      </c>
      <c r="AA1721" s="135">
        <v>4.6527009601664303E-2</v>
      </c>
      <c r="AB1721" s="135">
        <v>4.1565732763832797E-2</v>
      </c>
      <c r="AC1721" s="135">
        <v>2.81501184507593E-2</v>
      </c>
      <c r="AD1721" s="135">
        <v>1.9884657304084601E-2</v>
      </c>
      <c r="AF1721" s="243">
        <f t="shared" si="31"/>
        <v>0.37845438169852164</v>
      </c>
      <c r="AG1721" s="275">
        <f t="shared" si="32"/>
        <v>0.42702097325705379</v>
      </c>
      <c r="AH1721" s="391">
        <f t="shared" si="33"/>
        <v>0.60543672129415294</v>
      </c>
      <c r="AI1721" s="135">
        <f t="shared" si="34"/>
        <v>1.0324576945512067</v>
      </c>
    </row>
    <row r="1722" spans="1:35" ht="12.6">
      <c r="A1722" s="10" t="s">
        <v>58</v>
      </c>
      <c r="B1722" s="10">
        <v>261</v>
      </c>
      <c r="C1722" s="10" t="s">
        <v>1515</v>
      </c>
      <c r="D1722" s="388">
        <v>45187</v>
      </c>
      <c r="E1722" s="389">
        <v>45187</v>
      </c>
      <c r="F1722" s="390" t="str">
        <f t="shared" si="30"/>
        <v>Water heating</v>
      </c>
      <c r="G1722" s="135">
        <v>1.8023380941015198E-2</v>
      </c>
      <c r="H1722" s="135">
        <v>1.7437284884137001E-2</v>
      </c>
      <c r="I1722" s="135">
        <v>1.3924288831905701E-2</v>
      </c>
      <c r="J1722" s="135">
        <v>2.1911478334890599E-2</v>
      </c>
      <c r="K1722" s="135">
        <v>3.2170781734296799E-2</v>
      </c>
      <c r="L1722" s="135">
        <v>6.1466017438899602E-2</v>
      </c>
      <c r="M1722" s="135">
        <v>0.104371225719738</v>
      </c>
      <c r="N1722" s="135">
        <v>9.41452251778261E-2</v>
      </c>
      <c r="O1722" s="135">
        <v>6.2047694398215697E-2</v>
      </c>
      <c r="P1722" s="135">
        <v>4.6517399382564398E-2</v>
      </c>
      <c r="Q1722" s="135">
        <v>4.8076729267419002E-2</v>
      </c>
      <c r="R1722" s="135">
        <v>4.0992084102811403E-2</v>
      </c>
      <c r="S1722" s="135">
        <v>3.0024873217214799E-2</v>
      </c>
      <c r="T1722" s="135">
        <v>2.4597254598098701E-2</v>
      </c>
      <c r="U1722" s="135">
        <v>2.3269815809137999E-2</v>
      </c>
      <c r="V1722" s="135">
        <v>2.6430524453741298E-2</v>
      </c>
      <c r="W1722" s="135">
        <v>3.7758403562643698E-2</v>
      </c>
      <c r="X1722" s="135">
        <v>5.6154443526283397E-2</v>
      </c>
      <c r="Y1722" s="135">
        <v>6.1948692548018602E-2</v>
      </c>
      <c r="Z1722" s="135">
        <v>5.7517025778521101E-2</v>
      </c>
      <c r="AA1722" s="135">
        <v>5.3769129995412397E-2</v>
      </c>
      <c r="AB1722" s="135">
        <v>4.3674975728680898E-2</v>
      </c>
      <c r="AC1722" s="135">
        <v>2.8386202239524701E-2</v>
      </c>
      <c r="AD1722" s="135">
        <v>2.01632563016995E-2</v>
      </c>
      <c r="AF1722" s="243">
        <f t="shared" si="31"/>
        <v>0.23114968501106692</v>
      </c>
      <c r="AG1722" s="275">
        <f t="shared" si="32"/>
        <v>0.45993478806694377</v>
      </c>
      <c r="AH1722" s="391">
        <f t="shared" si="33"/>
        <v>0.56484339990575294</v>
      </c>
      <c r="AI1722" s="135">
        <f t="shared" si="34"/>
        <v>1.0247781879726967</v>
      </c>
    </row>
    <row r="1723" spans="1:35" ht="12.6">
      <c r="A1723" s="10" t="s">
        <v>58</v>
      </c>
      <c r="B1723" s="10">
        <v>262</v>
      </c>
      <c r="C1723" s="10" t="s">
        <v>1515</v>
      </c>
      <c r="D1723" s="388">
        <v>45188</v>
      </c>
      <c r="E1723" s="389">
        <v>45188</v>
      </c>
      <c r="F1723" s="390" t="str">
        <f t="shared" si="30"/>
        <v>Water heating</v>
      </c>
      <c r="G1723" s="135">
        <v>1.8023380941015198E-2</v>
      </c>
      <c r="H1723" s="135">
        <v>1.7437284884137001E-2</v>
      </c>
      <c r="I1723" s="135">
        <v>1.3924288831905701E-2</v>
      </c>
      <c r="J1723" s="135">
        <v>2.1911478334890599E-2</v>
      </c>
      <c r="K1723" s="135">
        <v>3.2170781734296799E-2</v>
      </c>
      <c r="L1723" s="135">
        <v>6.1466017438899602E-2</v>
      </c>
      <c r="M1723" s="135">
        <v>0.104371225719738</v>
      </c>
      <c r="N1723" s="135">
        <v>9.41452251778261E-2</v>
      </c>
      <c r="O1723" s="135">
        <v>6.2047694398215697E-2</v>
      </c>
      <c r="P1723" s="135">
        <v>4.6517399382564398E-2</v>
      </c>
      <c r="Q1723" s="135">
        <v>4.8076729267419002E-2</v>
      </c>
      <c r="R1723" s="135">
        <v>4.0992084102811403E-2</v>
      </c>
      <c r="S1723" s="135">
        <v>3.0024873217214799E-2</v>
      </c>
      <c r="T1723" s="135">
        <v>2.4597254598098701E-2</v>
      </c>
      <c r="U1723" s="135">
        <v>2.3269815809137999E-2</v>
      </c>
      <c r="V1723" s="135">
        <v>2.6430524453741298E-2</v>
      </c>
      <c r="W1723" s="135">
        <v>3.7758403562643698E-2</v>
      </c>
      <c r="X1723" s="135">
        <v>5.6154443526283397E-2</v>
      </c>
      <c r="Y1723" s="135">
        <v>6.1948692548018602E-2</v>
      </c>
      <c r="Z1723" s="135">
        <v>5.7517025778521101E-2</v>
      </c>
      <c r="AA1723" s="135">
        <v>5.3769129995412397E-2</v>
      </c>
      <c r="AB1723" s="135">
        <v>4.3674975728680898E-2</v>
      </c>
      <c r="AC1723" s="135">
        <v>2.8386202239524701E-2</v>
      </c>
      <c r="AD1723" s="135">
        <v>2.01632563016995E-2</v>
      </c>
      <c r="AF1723" s="243">
        <f t="shared" si="31"/>
        <v>0.23114968501106692</v>
      </c>
      <c r="AG1723" s="275">
        <f t="shared" si="32"/>
        <v>0.45993478806694377</v>
      </c>
      <c r="AH1723" s="391">
        <f t="shared" si="33"/>
        <v>0.56484339990575294</v>
      </c>
      <c r="AI1723" s="135">
        <f t="shared" si="34"/>
        <v>1.0247781879726967</v>
      </c>
    </row>
    <row r="1724" spans="1:35" ht="12.6">
      <c r="A1724" s="10" t="s">
        <v>58</v>
      </c>
      <c r="B1724" s="10">
        <v>263</v>
      </c>
      <c r="C1724" s="10" t="s">
        <v>1515</v>
      </c>
      <c r="D1724" s="388">
        <v>45189</v>
      </c>
      <c r="E1724" s="389">
        <v>45189</v>
      </c>
      <c r="F1724" s="390" t="str">
        <f t="shared" si="30"/>
        <v>Water heating</v>
      </c>
      <c r="G1724" s="135">
        <v>1.8023380941015198E-2</v>
      </c>
      <c r="H1724" s="135">
        <v>1.7437284884137001E-2</v>
      </c>
      <c r="I1724" s="135">
        <v>1.3924288831905701E-2</v>
      </c>
      <c r="J1724" s="135">
        <v>2.1911478334890599E-2</v>
      </c>
      <c r="K1724" s="135">
        <v>3.2170781734296799E-2</v>
      </c>
      <c r="L1724" s="135">
        <v>6.1466017438899602E-2</v>
      </c>
      <c r="M1724" s="135">
        <v>0.104371225719738</v>
      </c>
      <c r="N1724" s="135">
        <v>9.41452251778261E-2</v>
      </c>
      <c r="O1724" s="135">
        <v>6.2047694398215697E-2</v>
      </c>
      <c r="P1724" s="135">
        <v>4.6517399382564398E-2</v>
      </c>
      <c r="Q1724" s="135">
        <v>4.8076729267419002E-2</v>
      </c>
      <c r="R1724" s="135">
        <v>4.0992084102811403E-2</v>
      </c>
      <c r="S1724" s="135">
        <v>3.0024873217214799E-2</v>
      </c>
      <c r="T1724" s="135">
        <v>2.4597254598098701E-2</v>
      </c>
      <c r="U1724" s="135">
        <v>2.3269815809137999E-2</v>
      </c>
      <c r="V1724" s="135">
        <v>2.6430524453741298E-2</v>
      </c>
      <c r="W1724" s="135">
        <v>3.7758403562643698E-2</v>
      </c>
      <c r="X1724" s="135">
        <v>5.6154443526283397E-2</v>
      </c>
      <c r="Y1724" s="135">
        <v>6.1948692548018602E-2</v>
      </c>
      <c r="Z1724" s="135">
        <v>5.7517025778521101E-2</v>
      </c>
      <c r="AA1724" s="135">
        <v>5.3769129995412397E-2</v>
      </c>
      <c r="AB1724" s="135">
        <v>4.3674975728680898E-2</v>
      </c>
      <c r="AC1724" s="135">
        <v>2.8386202239524701E-2</v>
      </c>
      <c r="AD1724" s="135">
        <v>2.01632563016995E-2</v>
      </c>
      <c r="AF1724" s="243">
        <f t="shared" si="31"/>
        <v>0.23114968501106692</v>
      </c>
      <c r="AG1724" s="275">
        <f t="shared" si="32"/>
        <v>0.45993478806694377</v>
      </c>
      <c r="AH1724" s="391">
        <f t="shared" si="33"/>
        <v>0.56484339990575294</v>
      </c>
      <c r="AI1724" s="135">
        <f t="shared" si="34"/>
        <v>1.0247781879726967</v>
      </c>
    </row>
    <row r="1725" spans="1:35" ht="12.6">
      <c r="A1725" s="10" t="s">
        <v>58</v>
      </c>
      <c r="B1725" s="10">
        <v>264</v>
      </c>
      <c r="C1725" s="10" t="s">
        <v>1515</v>
      </c>
      <c r="D1725" s="388">
        <v>45190</v>
      </c>
      <c r="E1725" s="389">
        <v>45190</v>
      </c>
      <c r="F1725" s="390" t="str">
        <f t="shared" si="30"/>
        <v>Water heating</v>
      </c>
      <c r="G1725" s="135">
        <v>1.8023380941015198E-2</v>
      </c>
      <c r="H1725" s="135">
        <v>1.7437284884137001E-2</v>
      </c>
      <c r="I1725" s="135">
        <v>1.3924288831905701E-2</v>
      </c>
      <c r="J1725" s="135">
        <v>2.1911478334890599E-2</v>
      </c>
      <c r="K1725" s="135">
        <v>3.2170781734296799E-2</v>
      </c>
      <c r="L1725" s="135">
        <v>6.1466017438899602E-2</v>
      </c>
      <c r="M1725" s="135">
        <v>0.104371225719738</v>
      </c>
      <c r="N1725" s="135">
        <v>9.41452251778261E-2</v>
      </c>
      <c r="O1725" s="135">
        <v>6.2047694398215697E-2</v>
      </c>
      <c r="P1725" s="135">
        <v>4.6517399382564398E-2</v>
      </c>
      <c r="Q1725" s="135">
        <v>4.8076729267419002E-2</v>
      </c>
      <c r="R1725" s="135">
        <v>4.0992084102811403E-2</v>
      </c>
      <c r="S1725" s="135">
        <v>3.0024873217214799E-2</v>
      </c>
      <c r="T1725" s="135">
        <v>2.4597254598098701E-2</v>
      </c>
      <c r="U1725" s="135">
        <v>2.3269815809137999E-2</v>
      </c>
      <c r="V1725" s="135">
        <v>2.6430524453741298E-2</v>
      </c>
      <c r="W1725" s="135">
        <v>3.7758403562643698E-2</v>
      </c>
      <c r="X1725" s="135">
        <v>5.6154443526283397E-2</v>
      </c>
      <c r="Y1725" s="135">
        <v>6.1948692548018602E-2</v>
      </c>
      <c r="Z1725" s="135">
        <v>5.7517025778521101E-2</v>
      </c>
      <c r="AA1725" s="135">
        <v>5.3769129995412397E-2</v>
      </c>
      <c r="AB1725" s="135">
        <v>4.3674975728680898E-2</v>
      </c>
      <c r="AC1725" s="135">
        <v>2.8386202239524701E-2</v>
      </c>
      <c r="AD1725" s="135">
        <v>2.01632563016995E-2</v>
      </c>
      <c r="AF1725" s="243">
        <f t="shared" si="31"/>
        <v>0.23114968501106692</v>
      </c>
      <c r="AG1725" s="275">
        <f t="shared" si="32"/>
        <v>0.45993478806694377</v>
      </c>
      <c r="AH1725" s="391">
        <f t="shared" si="33"/>
        <v>0.56484339990575294</v>
      </c>
      <c r="AI1725" s="135">
        <f t="shared" si="34"/>
        <v>1.0247781879726967</v>
      </c>
    </row>
    <row r="1726" spans="1:35" ht="12.6">
      <c r="A1726" s="10" t="s">
        <v>58</v>
      </c>
      <c r="B1726" s="10">
        <v>265</v>
      </c>
      <c r="C1726" s="10" t="s">
        <v>1515</v>
      </c>
      <c r="D1726" s="388">
        <v>45191</v>
      </c>
      <c r="E1726" s="389">
        <v>45191</v>
      </c>
      <c r="F1726" s="390" t="str">
        <f t="shared" si="30"/>
        <v>Water heating</v>
      </c>
      <c r="G1726" s="135">
        <v>1.8023380941015198E-2</v>
      </c>
      <c r="H1726" s="135">
        <v>1.7437284884137001E-2</v>
      </c>
      <c r="I1726" s="135">
        <v>1.3924288831905701E-2</v>
      </c>
      <c r="J1726" s="135">
        <v>2.1911478334890599E-2</v>
      </c>
      <c r="K1726" s="135">
        <v>3.2170781734296799E-2</v>
      </c>
      <c r="L1726" s="135">
        <v>6.1466017438899602E-2</v>
      </c>
      <c r="M1726" s="135">
        <v>0.104371225719738</v>
      </c>
      <c r="N1726" s="135">
        <v>9.41452251778261E-2</v>
      </c>
      <c r="O1726" s="135">
        <v>6.2047694398215697E-2</v>
      </c>
      <c r="P1726" s="135">
        <v>4.6517399382564398E-2</v>
      </c>
      <c r="Q1726" s="135">
        <v>4.8076729267419002E-2</v>
      </c>
      <c r="R1726" s="135">
        <v>4.0992084102811403E-2</v>
      </c>
      <c r="S1726" s="135">
        <v>3.0024873217214799E-2</v>
      </c>
      <c r="T1726" s="135">
        <v>2.4597254598098701E-2</v>
      </c>
      <c r="U1726" s="135">
        <v>2.3269815809137999E-2</v>
      </c>
      <c r="V1726" s="135">
        <v>2.6430524453741298E-2</v>
      </c>
      <c r="W1726" s="135">
        <v>3.7758403562643698E-2</v>
      </c>
      <c r="X1726" s="135">
        <v>5.6154443526283397E-2</v>
      </c>
      <c r="Y1726" s="135">
        <v>6.1948692548018602E-2</v>
      </c>
      <c r="Z1726" s="135">
        <v>5.7517025778521101E-2</v>
      </c>
      <c r="AA1726" s="135">
        <v>5.3769129995412397E-2</v>
      </c>
      <c r="AB1726" s="135">
        <v>4.3674975728680898E-2</v>
      </c>
      <c r="AC1726" s="135">
        <v>2.8386202239524701E-2</v>
      </c>
      <c r="AD1726" s="135">
        <v>2.01632563016995E-2</v>
      </c>
      <c r="AF1726" s="243">
        <f t="shared" si="31"/>
        <v>0.23114968501106692</v>
      </c>
      <c r="AG1726" s="275">
        <f t="shared" si="32"/>
        <v>0.45993478806694377</v>
      </c>
      <c r="AH1726" s="391">
        <f t="shared" si="33"/>
        <v>0.56484339990575294</v>
      </c>
      <c r="AI1726" s="135">
        <f t="shared" si="34"/>
        <v>1.0247781879726967</v>
      </c>
    </row>
    <row r="1727" spans="1:35" ht="12.6">
      <c r="A1727" s="10" t="s">
        <v>58</v>
      </c>
      <c r="B1727" s="10">
        <v>266</v>
      </c>
      <c r="C1727" s="10" t="s">
        <v>1515</v>
      </c>
      <c r="D1727" s="388">
        <v>45192</v>
      </c>
      <c r="E1727" s="389">
        <v>45192</v>
      </c>
      <c r="F1727" s="390" t="str">
        <f t="shared" si="30"/>
        <v>Water heating</v>
      </c>
      <c r="G1727" s="135">
        <v>1.7183885350872501E-2</v>
      </c>
      <c r="H1727" s="135">
        <v>1.59011345186259E-2</v>
      </c>
      <c r="I1727" s="135">
        <v>1.4115632768602299E-2</v>
      </c>
      <c r="J1727" s="135">
        <v>2.01090464103275E-2</v>
      </c>
      <c r="K1727" s="135">
        <v>2.6215478372511501E-2</v>
      </c>
      <c r="L1727" s="135">
        <v>2.2009705581087599E-2</v>
      </c>
      <c r="M1727" s="135">
        <v>3.1615965839039403E-2</v>
      </c>
      <c r="N1727" s="135">
        <v>5.5257986517302897E-2</v>
      </c>
      <c r="O1727" s="135">
        <v>7.2045354380560006E-2</v>
      </c>
      <c r="P1727" s="135">
        <v>8.0777097351997798E-2</v>
      </c>
      <c r="Q1727" s="135">
        <v>7.8779942879803999E-2</v>
      </c>
      <c r="R1727" s="135">
        <v>6.7839090157574097E-2</v>
      </c>
      <c r="S1727" s="135">
        <v>5.2090622227560002E-2</v>
      </c>
      <c r="T1727" s="135">
        <v>4.3790795909337203E-2</v>
      </c>
      <c r="U1727" s="135">
        <v>4.2253902234682998E-2</v>
      </c>
      <c r="V1727" s="135">
        <v>4.3817062782733E-2</v>
      </c>
      <c r="W1727" s="135">
        <v>4.9882965506830301E-2</v>
      </c>
      <c r="X1727" s="135">
        <v>5.22139681915968E-2</v>
      </c>
      <c r="Y1727" s="135">
        <v>5.72865582831057E-2</v>
      </c>
      <c r="Z1727" s="135">
        <v>5.3143981166714503E-2</v>
      </c>
      <c r="AA1727" s="135">
        <v>4.6527009601664303E-2</v>
      </c>
      <c r="AB1727" s="135">
        <v>4.1565732763832797E-2</v>
      </c>
      <c r="AC1727" s="135">
        <v>2.81501184507593E-2</v>
      </c>
      <c r="AD1727" s="135">
        <v>1.9884657304084601E-2</v>
      </c>
      <c r="AF1727" s="243">
        <f t="shared" si="31"/>
        <v>0.37845438169852164</v>
      </c>
      <c r="AG1727" s="275">
        <f t="shared" si="32"/>
        <v>0.42702097325705379</v>
      </c>
      <c r="AH1727" s="391">
        <f t="shared" si="33"/>
        <v>0.60543672129415294</v>
      </c>
      <c r="AI1727" s="135">
        <f t="shared" si="34"/>
        <v>1.0324576945512067</v>
      </c>
    </row>
    <row r="1728" spans="1:35" ht="12.6">
      <c r="A1728" s="10" t="s">
        <v>58</v>
      </c>
      <c r="B1728" s="10">
        <v>267</v>
      </c>
      <c r="C1728" s="10" t="s">
        <v>1515</v>
      </c>
      <c r="D1728" s="388">
        <v>45193</v>
      </c>
      <c r="E1728" s="389">
        <v>45193</v>
      </c>
      <c r="F1728" s="390" t="str">
        <f t="shared" si="30"/>
        <v>Water heating</v>
      </c>
      <c r="G1728" s="135">
        <v>1.7183885350872501E-2</v>
      </c>
      <c r="H1728" s="135">
        <v>1.59011345186259E-2</v>
      </c>
      <c r="I1728" s="135">
        <v>1.4115632768602299E-2</v>
      </c>
      <c r="J1728" s="135">
        <v>2.01090464103275E-2</v>
      </c>
      <c r="K1728" s="135">
        <v>2.6215478372511501E-2</v>
      </c>
      <c r="L1728" s="135">
        <v>2.2009705581087599E-2</v>
      </c>
      <c r="M1728" s="135">
        <v>3.1615965839039403E-2</v>
      </c>
      <c r="N1728" s="135">
        <v>5.5257986517302897E-2</v>
      </c>
      <c r="O1728" s="135">
        <v>7.2045354380560006E-2</v>
      </c>
      <c r="P1728" s="135">
        <v>8.0777097351997798E-2</v>
      </c>
      <c r="Q1728" s="135">
        <v>7.8779942879803999E-2</v>
      </c>
      <c r="R1728" s="135">
        <v>6.7839090157574097E-2</v>
      </c>
      <c r="S1728" s="135">
        <v>5.2090622227560002E-2</v>
      </c>
      <c r="T1728" s="135">
        <v>4.3790795909337203E-2</v>
      </c>
      <c r="U1728" s="135">
        <v>4.2253902234682998E-2</v>
      </c>
      <c r="V1728" s="135">
        <v>4.3817062782733E-2</v>
      </c>
      <c r="W1728" s="135">
        <v>4.9882965506830301E-2</v>
      </c>
      <c r="X1728" s="135">
        <v>5.22139681915968E-2</v>
      </c>
      <c r="Y1728" s="135">
        <v>5.72865582831057E-2</v>
      </c>
      <c r="Z1728" s="135">
        <v>5.3143981166714503E-2</v>
      </c>
      <c r="AA1728" s="135">
        <v>4.6527009601664303E-2</v>
      </c>
      <c r="AB1728" s="135">
        <v>4.1565732763832797E-2</v>
      </c>
      <c r="AC1728" s="135">
        <v>2.81501184507593E-2</v>
      </c>
      <c r="AD1728" s="135">
        <v>1.9884657304084601E-2</v>
      </c>
      <c r="AF1728" s="243">
        <f t="shared" si="31"/>
        <v>0.37845438169852164</v>
      </c>
      <c r="AG1728" s="275">
        <f t="shared" si="32"/>
        <v>0.42702097325705379</v>
      </c>
      <c r="AH1728" s="391">
        <f t="shared" si="33"/>
        <v>0.60543672129415294</v>
      </c>
      <c r="AI1728" s="135">
        <f t="shared" si="34"/>
        <v>1.0324576945512067</v>
      </c>
    </row>
    <row r="1729" spans="1:35" ht="12.6">
      <c r="A1729" s="10" t="s">
        <v>58</v>
      </c>
      <c r="B1729" s="10">
        <v>268</v>
      </c>
      <c r="C1729" s="10" t="s">
        <v>1515</v>
      </c>
      <c r="D1729" s="388">
        <v>45194</v>
      </c>
      <c r="E1729" s="389">
        <v>45194</v>
      </c>
      <c r="F1729" s="390" t="str">
        <f t="shared" si="30"/>
        <v>Water heating</v>
      </c>
      <c r="G1729" s="135">
        <v>1.8023380941015198E-2</v>
      </c>
      <c r="H1729" s="135">
        <v>1.7437284884137001E-2</v>
      </c>
      <c r="I1729" s="135">
        <v>1.3924288831905701E-2</v>
      </c>
      <c r="J1729" s="135">
        <v>2.1911478334890599E-2</v>
      </c>
      <c r="K1729" s="135">
        <v>3.2170781734296799E-2</v>
      </c>
      <c r="L1729" s="135">
        <v>6.1466017438899602E-2</v>
      </c>
      <c r="M1729" s="135">
        <v>0.104371225719738</v>
      </c>
      <c r="N1729" s="135">
        <v>9.41452251778261E-2</v>
      </c>
      <c r="O1729" s="135">
        <v>6.2047694398215697E-2</v>
      </c>
      <c r="P1729" s="135">
        <v>4.6517399382564398E-2</v>
      </c>
      <c r="Q1729" s="135">
        <v>4.8076729267419002E-2</v>
      </c>
      <c r="R1729" s="135">
        <v>4.0992084102811403E-2</v>
      </c>
      <c r="S1729" s="135">
        <v>3.0024873217214799E-2</v>
      </c>
      <c r="T1729" s="135">
        <v>2.4597254598098701E-2</v>
      </c>
      <c r="U1729" s="135">
        <v>2.3269815809137999E-2</v>
      </c>
      <c r="V1729" s="135">
        <v>2.6430524453741298E-2</v>
      </c>
      <c r="W1729" s="135">
        <v>3.7758403562643698E-2</v>
      </c>
      <c r="X1729" s="135">
        <v>5.6154443526283397E-2</v>
      </c>
      <c r="Y1729" s="135">
        <v>6.1948692548018602E-2</v>
      </c>
      <c r="Z1729" s="135">
        <v>5.7517025778521101E-2</v>
      </c>
      <c r="AA1729" s="135">
        <v>5.3769129995412397E-2</v>
      </c>
      <c r="AB1729" s="135">
        <v>4.3674975728680898E-2</v>
      </c>
      <c r="AC1729" s="135">
        <v>2.8386202239524701E-2</v>
      </c>
      <c r="AD1729" s="135">
        <v>2.01632563016995E-2</v>
      </c>
      <c r="AF1729" s="243">
        <f t="shared" si="31"/>
        <v>0.23114968501106692</v>
      </c>
      <c r="AG1729" s="275">
        <f t="shared" si="32"/>
        <v>0.45993478806694377</v>
      </c>
      <c r="AH1729" s="391">
        <f t="shared" si="33"/>
        <v>0.56484339990575294</v>
      </c>
      <c r="AI1729" s="135">
        <f t="shared" si="34"/>
        <v>1.0247781879726967</v>
      </c>
    </row>
    <row r="1730" spans="1:35" ht="12.6">
      <c r="A1730" s="10" t="s">
        <v>58</v>
      </c>
      <c r="B1730" s="10">
        <v>269</v>
      </c>
      <c r="C1730" s="10" t="s">
        <v>1515</v>
      </c>
      <c r="D1730" s="388">
        <v>45195</v>
      </c>
      <c r="E1730" s="389">
        <v>45195</v>
      </c>
      <c r="F1730" s="390" t="str">
        <f t="shared" si="30"/>
        <v>Water heating</v>
      </c>
      <c r="G1730" s="135">
        <v>1.8023380941015198E-2</v>
      </c>
      <c r="H1730" s="135">
        <v>1.7437284884137001E-2</v>
      </c>
      <c r="I1730" s="135">
        <v>1.3924288831905701E-2</v>
      </c>
      <c r="J1730" s="135">
        <v>2.1911478334890599E-2</v>
      </c>
      <c r="K1730" s="135">
        <v>3.2170781734296799E-2</v>
      </c>
      <c r="L1730" s="135">
        <v>6.1466017438899602E-2</v>
      </c>
      <c r="M1730" s="135">
        <v>0.104371225719738</v>
      </c>
      <c r="N1730" s="135">
        <v>9.41452251778261E-2</v>
      </c>
      <c r="O1730" s="135">
        <v>6.2047694398215697E-2</v>
      </c>
      <c r="P1730" s="135">
        <v>4.6517399382564398E-2</v>
      </c>
      <c r="Q1730" s="135">
        <v>4.8076729267419002E-2</v>
      </c>
      <c r="R1730" s="135">
        <v>4.0992084102811403E-2</v>
      </c>
      <c r="S1730" s="135">
        <v>3.0024873217214799E-2</v>
      </c>
      <c r="T1730" s="135">
        <v>2.4597254598098701E-2</v>
      </c>
      <c r="U1730" s="135">
        <v>2.3269815809137999E-2</v>
      </c>
      <c r="V1730" s="135">
        <v>2.6430524453741298E-2</v>
      </c>
      <c r="W1730" s="135">
        <v>3.7758403562643698E-2</v>
      </c>
      <c r="X1730" s="135">
        <v>5.6154443526283397E-2</v>
      </c>
      <c r="Y1730" s="135">
        <v>6.1948692548018602E-2</v>
      </c>
      <c r="Z1730" s="135">
        <v>5.7517025778521101E-2</v>
      </c>
      <c r="AA1730" s="135">
        <v>5.3769129995412397E-2</v>
      </c>
      <c r="AB1730" s="135">
        <v>4.3674975728680898E-2</v>
      </c>
      <c r="AC1730" s="135">
        <v>2.8386202239524701E-2</v>
      </c>
      <c r="AD1730" s="135">
        <v>2.01632563016995E-2</v>
      </c>
      <c r="AF1730" s="243">
        <f t="shared" si="31"/>
        <v>0.23114968501106692</v>
      </c>
      <c r="AG1730" s="275">
        <f t="shared" si="32"/>
        <v>0.45993478806694377</v>
      </c>
      <c r="AH1730" s="391">
        <f t="shared" si="33"/>
        <v>0.56484339990575294</v>
      </c>
      <c r="AI1730" s="135">
        <f t="shared" si="34"/>
        <v>1.0247781879726967</v>
      </c>
    </row>
    <row r="1731" spans="1:35" ht="12.6">
      <c r="A1731" s="10" t="s">
        <v>58</v>
      </c>
      <c r="B1731" s="10">
        <v>270</v>
      </c>
      <c r="C1731" s="10" t="s">
        <v>1515</v>
      </c>
      <c r="D1731" s="388">
        <v>45196</v>
      </c>
      <c r="E1731" s="389">
        <v>45196</v>
      </c>
      <c r="F1731" s="390" t="str">
        <f t="shared" si="30"/>
        <v>Water heating</v>
      </c>
      <c r="G1731" s="135">
        <v>1.8023380941015198E-2</v>
      </c>
      <c r="H1731" s="135">
        <v>1.7437284884137001E-2</v>
      </c>
      <c r="I1731" s="135">
        <v>1.3924288831905701E-2</v>
      </c>
      <c r="J1731" s="135">
        <v>2.1911478334890599E-2</v>
      </c>
      <c r="K1731" s="135">
        <v>3.2170781734296799E-2</v>
      </c>
      <c r="L1731" s="135">
        <v>6.1466017438899602E-2</v>
      </c>
      <c r="M1731" s="135">
        <v>0.104371225719738</v>
      </c>
      <c r="N1731" s="135">
        <v>9.41452251778261E-2</v>
      </c>
      <c r="O1731" s="135">
        <v>6.2047694398215697E-2</v>
      </c>
      <c r="P1731" s="135">
        <v>4.6517399382564398E-2</v>
      </c>
      <c r="Q1731" s="135">
        <v>4.8076729267419002E-2</v>
      </c>
      <c r="R1731" s="135">
        <v>4.0992084102811403E-2</v>
      </c>
      <c r="S1731" s="135">
        <v>3.0024873217214799E-2</v>
      </c>
      <c r="T1731" s="135">
        <v>2.4597254598098701E-2</v>
      </c>
      <c r="U1731" s="135">
        <v>2.3269815809137999E-2</v>
      </c>
      <c r="V1731" s="135">
        <v>2.6430524453741298E-2</v>
      </c>
      <c r="W1731" s="135">
        <v>3.7758403562643698E-2</v>
      </c>
      <c r="X1731" s="135">
        <v>5.6154443526283397E-2</v>
      </c>
      <c r="Y1731" s="135">
        <v>6.1948692548018602E-2</v>
      </c>
      <c r="Z1731" s="135">
        <v>5.7517025778521101E-2</v>
      </c>
      <c r="AA1731" s="135">
        <v>5.3769129995412397E-2</v>
      </c>
      <c r="AB1731" s="135">
        <v>4.3674975728680898E-2</v>
      </c>
      <c r="AC1731" s="135">
        <v>2.8386202239524701E-2</v>
      </c>
      <c r="AD1731" s="135">
        <v>2.01632563016995E-2</v>
      </c>
      <c r="AF1731" s="243">
        <f t="shared" si="31"/>
        <v>0.23114968501106692</v>
      </c>
      <c r="AG1731" s="275">
        <f t="shared" si="32"/>
        <v>0.45993478806694377</v>
      </c>
      <c r="AH1731" s="391">
        <f t="shared" si="33"/>
        <v>0.56484339990575294</v>
      </c>
      <c r="AI1731" s="135">
        <f t="shared" si="34"/>
        <v>1.0247781879726967</v>
      </c>
    </row>
    <row r="1732" spans="1:35" ht="12.6">
      <c r="A1732" s="10" t="s">
        <v>58</v>
      </c>
      <c r="B1732" s="10">
        <v>271</v>
      </c>
      <c r="C1732" s="10" t="s">
        <v>1515</v>
      </c>
      <c r="D1732" s="388">
        <v>45197</v>
      </c>
      <c r="E1732" s="389">
        <v>45197</v>
      </c>
      <c r="F1732" s="390" t="str">
        <f t="shared" si="30"/>
        <v>Water heating</v>
      </c>
      <c r="G1732" s="135">
        <v>1.8023380941015198E-2</v>
      </c>
      <c r="H1732" s="135">
        <v>1.7437284884137001E-2</v>
      </c>
      <c r="I1732" s="135">
        <v>1.3924288831905701E-2</v>
      </c>
      <c r="J1732" s="135">
        <v>2.1911478334890599E-2</v>
      </c>
      <c r="K1732" s="135">
        <v>3.2170781734296799E-2</v>
      </c>
      <c r="L1732" s="135">
        <v>6.1466017438899602E-2</v>
      </c>
      <c r="M1732" s="135">
        <v>0.104371225719738</v>
      </c>
      <c r="N1732" s="135">
        <v>9.41452251778261E-2</v>
      </c>
      <c r="O1732" s="135">
        <v>6.2047694398215697E-2</v>
      </c>
      <c r="P1732" s="135">
        <v>4.6517399382564398E-2</v>
      </c>
      <c r="Q1732" s="135">
        <v>4.8076729267419002E-2</v>
      </c>
      <c r="R1732" s="135">
        <v>4.0992084102811403E-2</v>
      </c>
      <c r="S1732" s="135">
        <v>3.0024873217214799E-2</v>
      </c>
      <c r="T1732" s="135">
        <v>2.4597254598098701E-2</v>
      </c>
      <c r="U1732" s="135">
        <v>2.3269815809137999E-2</v>
      </c>
      <c r="V1732" s="135">
        <v>2.6430524453741298E-2</v>
      </c>
      <c r="W1732" s="135">
        <v>3.7758403562643698E-2</v>
      </c>
      <c r="X1732" s="135">
        <v>5.6154443526283397E-2</v>
      </c>
      <c r="Y1732" s="135">
        <v>6.1948692548018602E-2</v>
      </c>
      <c r="Z1732" s="135">
        <v>5.7517025778521101E-2</v>
      </c>
      <c r="AA1732" s="135">
        <v>5.3769129995412397E-2</v>
      </c>
      <c r="AB1732" s="135">
        <v>4.3674975728680898E-2</v>
      </c>
      <c r="AC1732" s="135">
        <v>2.8386202239524701E-2</v>
      </c>
      <c r="AD1732" s="135">
        <v>2.01632563016995E-2</v>
      </c>
      <c r="AF1732" s="243">
        <f t="shared" si="31"/>
        <v>0.23114968501106692</v>
      </c>
      <c r="AG1732" s="275">
        <f t="shared" si="32"/>
        <v>0.45993478806694377</v>
      </c>
      <c r="AH1732" s="391">
        <f t="shared" si="33"/>
        <v>0.56484339990575294</v>
      </c>
      <c r="AI1732" s="135">
        <f t="shared" si="34"/>
        <v>1.0247781879726967</v>
      </c>
    </row>
    <row r="1733" spans="1:35" ht="12.6">
      <c r="A1733" s="10" t="s">
        <v>58</v>
      </c>
      <c r="B1733" s="10">
        <v>272</v>
      </c>
      <c r="C1733" s="10" t="s">
        <v>1515</v>
      </c>
      <c r="D1733" s="388">
        <v>45198</v>
      </c>
      <c r="E1733" s="389">
        <v>45198</v>
      </c>
      <c r="F1733" s="390" t="str">
        <f t="shared" si="30"/>
        <v>Water heating</v>
      </c>
      <c r="G1733" s="135">
        <v>1.8023380941015198E-2</v>
      </c>
      <c r="H1733" s="135">
        <v>1.7437284884137001E-2</v>
      </c>
      <c r="I1733" s="135">
        <v>1.3924288831905701E-2</v>
      </c>
      <c r="J1733" s="135">
        <v>2.1911478334890599E-2</v>
      </c>
      <c r="K1733" s="135">
        <v>3.2170781734296799E-2</v>
      </c>
      <c r="L1733" s="135">
        <v>6.1466017438899602E-2</v>
      </c>
      <c r="M1733" s="135">
        <v>0.104371225719738</v>
      </c>
      <c r="N1733" s="135">
        <v>9.41452251778261E-2</v>
      </c>
      <c r="O1733" s="135">
        <v>6.2047694398215697E-2</v>
      </c>
      <c r="P1733" s="135">
        <v>4.6517399382564398E-2</v>
      </c>
      <c r="Q1733" s="135">
        <v>4.8076729267419002E-2</v>
      </c>
      <c r="R1733" s="135">
        <v>4.0992084102811403E-2</v>
      </c>
      <c r="S1733" s="135">
        <v>3.0024873217214799E-2</v>
      </c>
      <c r="T1733" s="135">
        <v>2.4597254598098701E-2</v>
      </c>
      <c r="U1733" s="135">
        <v>2.3269815809137999E-2</v>
      </c>
      <c r="V1733" s="135">
        <v>2.6430524453741298E-2</v>
      </c>
      <c r="W1733" s="135">
        <v>3.7758403562643698E-2</v>
      </c>
      <c r="X1733" s="135">
        <v>5.6154443526283397E-2</v>
      </c>
      <c r="Y1733" s="135">
        <v>6.1948692548018602E-2</v>
      </c>
      <c r="Z1733" s="135">
        <v>5.7517025778521101E-2</v>
      </c>
      <c r="AA1733" s="135">
        <v>5.3769129995412397E-2</v>
      </c>
      <c r="AB1733" s="135">
        <v>4.3674975728680898E-2</v>
      </c>
      <c r="AC1733" s="135">
        <v>2.8386202239524701E-2</v>
      </c>
      <c r="AD1733" s="135">
        <v>2.01632563016995E-2</v>
      </c>
      <c r="AF1733" s="243">
        <f t="shared" si="31"/>
        <v>0.23114968501106692</v>
      </c>
      <c r="AG1733" s="275">
        <f t="shared" si="32"/>
        <v>0.45993478806694377</v>
      </c>
      <c r="AH1733" s="391">
        <f t="shared" si="33"/>
        <v>0.56484339990575294</v>
      </c>
      <c r="AI1733" s="135">
        <f t="shared" si="34"/>
        <v>1.0247781879726967</v>
      </c>
    </row>
    <row r="1734" spans="1:35" ht="12.6">
      <c r="A1734" s="10" t="s">
        <v>58</v>
      </c>
      <c r="B1734" s="10">
        <v>273</v>
      </c>
      <c r="C1734" s="10" t="s">
        <v>1515</v>
      </c>
      <c r="D1734" s="388">
        <v>45199</v>
      </c>
      <c r="E1734" s="389">
        <v>45199</v>
      </c>
      <c r="F1734" s="390" t="str">
        <f t="shared" si="30"/>
        <v>Water heating</v>
      </c>
      <c r="G1734" s="135">
        <v>1.7183885350872501E-2</v>
      </c>
      <c r="H1734" s="135">
        <v>1.59011345186259E-2</v>
      </c>
      <c r="I1734" s="135">
        <v>1.4115632768602299E-2</v>
      </c>
      <c r="J1734" s="135">
        <v>2.01090464103275E-2</v>
      </c>
      <c r="K1734" s="135">
        <v>2.6215478372511501E-2</v>
      </c>
      <c r="L1734" s="135">
        <v>2.2009705581087599E-2</v>
      </c>
      <c r="M1734" s="135">
        <v>3.1615965839039403E-2</v>
      </c>
      <c r="N1734" s="135">
        <v>5.5257986517302897E-2</v>
      </c>
      <c r="O1734" s="135">
        <v>7.2045354380560006E-2</v>
      </c>
      <c r="P1734" s="135">
        <v>8.0777097351997798E-2</v>
      </c>
      <c r="Q1734" s="135">
        <v>7.8779942879803999E-2</v>
      </c>
      <c r="R1734" s="135">
        <v>6.7839090157574097E-2</v>
      </c>
      <c r="S1734" s="135">
        <v>5.2090622227560002E-2</v>
      </c>
      <c r="T1734" s="135">
        <v>4.3790795909337203E-2</v>
      </c>
      <c r="U1734" s="135">
        <v>4.2253902234682998E-2</v>
      </c>
      <c r="V1734" s="135">
        <v>4.3817062782733E-2</v>
      </c>
      <c r="W1734" s="135">
        <v>4.9882965506830301E-2</v>
      </c>
      <c r="X1734" s="135">
        <v>5.22139681915968E-2</v>
      </c>
      <c r="Y1734" s="135">
        <v>5.72865582831057E-2</v>
      </c>
      <c r="Z1734" s="135">
        <v>5.3143981166714503E-2</v>
      </c>
      <c r="AA1734" s="135">
        <v>4.6527009601664303E-2</v>
      </c>
      <c r="AB1734" s="135">
        <v>4.1565732763832797E-2</v>
      </c>
      <c r="AC1734" s="135">
        <v>2.81501184507593E-2</v>
      </c>
      <c r="AD1734" s="135">
        <v>1.9884657304084601E-2</v>
      </c>
      <c r="AF1734" s="243">
        <f t="shared" si="31"/>
        <v>0.37845438169852164</v>
      </c>
      <c r="AG1734" s="275">
        <f t="shared" si="32"/>
        <v>0.42702097325705379</v>
      </c>
      <c r="AH1734" s="391">
        <f t="shared" si="33"/>
        <v>0.60543672129415294</v>
      </c>
      <c r="AI1734" s="135">
        <f t="shared" si="34"/>
        <v>1.0324576945512067</v>
      </c>
    </row>
    <row r="1735" spans="1:35" ht="12.6">
      <c r="A1735" s="10" t="s">
        <v>58</v>
      </c>
      <c r="B1735" s="10">
        <v>274</v>
      </c>
      <c r="C1735" s="10" t="s">
        <v>1515</v>
      </c>
      <c r="D1735" s="388">
        <v>45200</v>
      </c>
      <c r="E1735" s="389">
        <v>45200</v>
      </c>
      <c r="F1735" s="390" t="str">
        <f t="shared" si="30"/>
        <v>Water heating</v>
      </c>
      <c r="G1735" s="135">
        <v>1.7183885350872501E-2</v>
      </c>
      <c r="H1735" s="135">
        <v>1.59011345186259E-2</v>
      </c>
      <c r="I1735" s="135">
        <v>1.4115632768602299E-2</v>
      </c>
      <c r="J1735" s="135">
        <v>2.01090464103275E-2</v>
      </c>
      <c r="K1735" s="135">
        <v>2.6215478372511501E-2</v>
      </c>
      <c r="L1735" s="135">
        <v>2.2009705581087599E-2</v>
      </c>
      <c r="M1735" s="135">
        <v>3.1615965839039403E-2</v>
      </c>
      <c r="N1735" s="135">
        <v>5.5257986517302897E-2</v>
      </c>
      <c r="O1735" s="135">
        <v>7.2045354380560006E-2</v>
      </c>
      <c r="P1735" s="135">
        <v>8.0777097351997798E-2</v>
      </c>
      <c r="Q1735" s="135">
        <v>7.8779942879803999E-2</v>
      </c>
      <c r="R1735" s="135">
        <v>6.7839090157574097E-2</v>
      </c>
      <c r="S1735" s="135">
        <v>5.2090622227560002E-2</v>
      </c>
      <c r="T1735" s="135">
        <v>4.3790795909337203E-2</v>
      </c>
      <c r="U1735" s="135">
        <v>4.2253902234682998E-2</v>
      </c>
      <c r="V1735" s="135">
        <v>4.3817062782733E-2</v>
      </c>
      <c r="W1735" s="135">
        <v>4.9882965506830301E-2</v>
      </c>
      <c r="X1735" s="135">
        <v>5.22139681915968E-2</v>
      </c>
      <c r="Y1735" s="135">
        <v>5.72865582831057E-2</v>
      </c>
      <c r="Z1735" s="135">
        <v>5.3143981166714503E-2</v>
      </c>
      <c r="AA1735" s="135">
        <v>4.6527009601664303E-2</v>
      </c>
      <c r="AB1735" s="135">
        <v>4.1565732763832797E-2</v>
      </c>
      <c r="AC1735" s="135">
        <v>2.81501184507593E-2</v>
      </c>
      <c r="AD1735" s="135">
        <v>1.9884657304084601E-2</v>
      </c>
      <c r="AF1735" s="243">
        <f t="shared" si="31"/>
        <v>0.37845438169852164</v>
      </c>
      <c r="AG1735" s="275">
        <f t="shared" si="32"/>
        <v>0.42702097325705379</v>
      </c>
      <c r="AH1735" s="391">
        <f t="shared" si="33"/>
        <v>0.60543672129415294</v>
      </c>
      <c r="AI1735" s="135">
        <f t="shared" si="34"/>
        <v>1.0324576945512067</v>
      </c>
    </row>
    <row r="1736" spans="1:35" ht="12.6">
      <c r="A1736" s="10" t="s">
        <v>58</v>
      </c>
      <c r="B1736" s="10">
        <v>275</v>
      </c>
      <c r="C1736" s="10" t="s">
        <v>1515</v>
      </c>
      <c r="D1736" s="388">
        <v>45201</v>
      </c>
      <c r="E1736" s="389">
        <v>45201</v>
      </c>
      <c r="F1736" s="390" t="str">
        <f t="shared" si="30"/>
        <v>Water heating</v>
      </c>
      <c r="G1736" s="135">
        <v>1.8023380941015198E-2</v>
      </c>
      <c r="H1736" s="135">
        <v>1.7437284884137001E-2</v>
      </c>
      <c r="I1736" s="135">
        <v>1.3924288831905701E-2</v>
      </c>
      <c r="J1736" s="135">
        <v>2.1911478334890599E-2</v>
      </c>
      <c r="K1736" s="135">
        <v>3.2170781734296799E-2</v>
      </c>
      <c r="L1736" s="135">
        <v>6.1466017438899602E-2</v>
      </c>
      <c r="M1736" s="135">
        <v>0.104371225719738</v>
      </c>
      <c r="N1736" s="135">
        <v>9.41452251778261E-2</v>
      </c>
      <c r="O1736" s="135">
        <v>6.2047694398215697E-2</v>
      </c>
      <c r="P1736" s="135">
        <v>4.6517399382564398E-2</v>
      </c>
      <c r="Q1736" s="135">
        <v>4.8076729267419002E-2</v>
      </c>
      <c r="R1736" s="135">
        <v>4.0992084102811403E-2</v>
      </c>
      <c r="S1736" s="135">
        <v>3.0024873217214799E-2</v>
      </c>
      <c r="T1736" s="135">
        <v>2.4597254598098701E-2</v>
      </c>
      <c r="U1736" s="135">
        <v>2.3269815809137999E-2</v>
      </c>
      <c r="V1736" s="135">
        <v>2.6430524453741298E-2</v>
      </c>
      <c r="W1736" s="135">
        <v>3.7758403562643698E-2</v>
      </c>
      <c r="X1736" s="135">
        <v>5.6154443526283397E-2</v>
      </c>
      <c r="Y1736" s="135">
        <v>6.1948692548018602E-2</v>
      </c>
      <c r="Z1736" s="135">
        <v>5.7517025778521101E-2</v>
      </c>
      <c r="AA1736" s="135">
        <v>5.3769129995412397E-2</v>
      </c>
      <c r="AB1736" s="135">
        <v>4.3674975728680898E-2</v>
      </c>
      <c r="AC1736" s="135">
        <v>2.8386202239524701E-2</v>
      </c>
      <c r="AD1736" s="135">
        <v>2.01632563016995E-2</v>
      </c>
      <c r="AF1736" s="243">
        <f t="shared" si="31"/>
        <v>0.23114968501106692</v>
      </c>
      <c r="AG1736" s="275">
        <f t="shared" si="32"/>
        <v>0.45993478806694377</v>
      </c>
      <c r="AH1736" s="391">
        <f t="shared" si="33"/>
        <v>0.56484339990575294</v>
      </c>
      <c r="AI1736" s="135">
        <f t="shared" si="34"/>
        <v>1.0247781879726967</v>
      </c>
    </row>
    <row r="1737" spans="1:35" ht="12.6">
      <c r="A1737" s="10" t="s">
        <v>58</v>
      </c>
      <c r="B1737" s="10">
        <v>276</v>
      </c>
      <c r="C1737" s="10" t="s">
        <v>1515</v>
      </c>
      <c r="D1737" s="388">
        <v>45202</v>
      </c>
      <c r="E1737" s="389">
        <v>45202</v>
      </c>
      <c r="F1737" s="390" t="str">
        <f t="shared" si="30"/>
        <v>Water heating</v>
      </c>
      <c r="G1737" s="135">
        <v>1.8023380941015198E-2</v>
      </c>
      <c r="H1737" s="135">
        <v>1.7437284884137001E-2</v>
      </c>
      <c r="I1737" s="135">
        <v>1.3924288831905701E-2</v>
      </c>
      <c r="J1737" s="135">
        <v>2.1911478334890599E-2</v>
      </c>
      <c r="K1737" s="135">
        <v>3.2170781734296799E-2</v>
      </c>
      <c r="L1737" s="135">
        <v>6.1466017438899602E-2</v>
      </c>
      <c r="M1737" s="135">
        <v>0.104371225719738</v>
      </c>
      <c r="N1737" s="135">
        <v>9.41452251778261E-2</v>
      </c>
      <c r="O1737" s="135">
        <v>6.2047694398215697E-2</v>
      </c>
      <c r="P1737" s="135">
        <v>4.6517399382564398E-2</v>
      </c>
      <c r="Q1737" s="135">
        <v>4.8076729267419002E-2</v>
      </c>
      <c r="R1737" s="135">
        <v>4.0992084102811403E-2</v>
      </c>
      <c r="S1737" s="135">
        <v>3.0024873217214799E-2</v>
      </c>
      <c r="T1737" s="135">
        <v>2.4597254598098701E-2</v>
      </c>
      <c r="U1737" s="135">
        <v>2.3269815809137999E-2</v>
      </c>
      <c r="V1737" s="135">
        <v>2.6430524453741298E-2</v>
      </c>
      <c r="W1737" s="135">
        <v>3.7758403562643698E-2</v>
      </c>
      <c r="X1737" s="135">
        <v>5.6154443526283397E-2</v>
      </c>
      <c r="Y1737" s="135">
        <v>6.1948692548018602E-2</v>
      </c>
      <c r="Z1737" s="135">
        <v>5.7517025778521101E-2</v>
      </c>
      <c r="AA1737" s="135">
        <v>5.3769129995412397E-2</v>
      </c>
      <c r="AB1737" s="135">
        <v>4.3674975728680898E-2</v>
      </c>
      <c r="AC1737" s="135">
        <v>2.8386202239524701E-2</v>
      </c>
      <c r="AD1737" s="135">
        <v>2.01632563016995E-2</v>
      </c>
      <c r="AF1737" s="243">
        <f t="shared" si="31"/>
        <v>0.23114968501106692</v>
      </c>
      <c r="AG1737" s="275">
        <f t="shared" si="32"/>
        <v>0.45993478806694377</v>
      </c>
      <c r="AH1737" s="391">
        <f t="shared" si="33"/>
        <v>0.56484339990575294</v>
      </c>
      <c r="AI1737" s="135">
        <f t="shared" si="34"/>
        <v>1.0247781879726967</v>
      </c>
    </row>
    <row r="1738" spans="1:35" ht="12.6">
      <c r="A1738" s="10" t="s">
        <v>58</v>
      </c>
      <c r="B1738" s="10">
        <v>277</v>
      </c>
      <c r="C1738" s="10" t="s">
        <v>1515</v>
      </c>
      <c r="D1738" s="388">
        <v>45203</v>
      </c>
      <c r="E1738" s="389">
        <v>45203</v>
      </c>
      <c r="F1738" s="390" t="str">
        <f t="shared" si="30"/>
        <v>Water heating</v>
      </c>
      <c r="G1738" s="135">
        <v>1.8023380941015198E-2</v>
      </c>
      <c r="H1738" s="135">
        <v>1.7437284884137001E-2</v>
      </c>
      <c r="I1738" s="135">
        <v>1.3924288831905701E-2</v>
      </c>
      <c r="J1738" s="135">
        <v>2.1911478334890599E-2</v>
      </c>
      <c r="K1738" s="135">
        <v>3.2170781734296799E-2</v>
      </c>
      <c r="L1738" s="135">
        <v>6.1466017438899602E-2</v>
      </c>
      <c r="M1738" s="135">
        <v>0.104371225719738</v>
      </c>
      <c r="N1738" s="135">
        <v>9.41452251778261E-2</v>
      </c>
      <c r="O1738" s="135">
        <v>6.2047694398215697E-2</v>
      </c>
      <c r="P1738" s="135">
        <v>4.6517399382564398E-2</v>
      </c>
      <c r="Q1738" s="135">
        <v>4.8076729267419002E-2</v>
      </c>
      <c r="R1738" s="135">
        <v>4.0992084102811403E-2</v>
      </c>
      <c r="S1738" s="135">
        <v>3.0024873217214799E-2</v>
      </c>
      <c r="T1738" s="135">
        <v>2.4597254598098701E-2</v>
      </c>
      <c r="U1738" s="135">
        <v>2.3269815809137999E-2</v>
      </c>
      <c r="V1738" s="135">
        <v>2.6430524453741298E-2</v>
      </c>
      <c r="W1738" s="135">
        <v>3.7758403562643698E-2</v>
      </c>
      <c r="X1738" s="135">
        <v>5.6154443526283397E-2</v>
      </c>
      <c r="Y1738" s="135">
        <v>6.1948692548018602E-2</v>
      </c>
      <c r="Z1738" s="135">
        <v>5.7517025778521101E-2</v>
      </c>
      <c r="AA1738" s="135">
        <v>5.3769129995412397E-2</v>
      </c>
      <c r="AB1738" s="135">
        <v>4.3674975728680898E-2</v>
      </c>
      <c r="AC1738" s="135">
        <v>2.8386202239524701E-2</v>
      </c>
      <c r="AD1738" s="135">
        <v>2.01632563016995E-2</v>
      </c>
      <c r="AF1738" s="243">
        <f t="shared" si="31"/>
        <v>0.23114968501106692</v>
      </c>
      <c r="AG1738" s="275">
        <f t="shared" si="32"/>
        <v>0.45993478806694377</v>
      </c>
      <c r="AH1738" s="391">
        <f t="shared" si="33"/>
        <v>0.56484339990575294</v>
      </c>
      <c r="AI1738" s="135">
        <f t="shared" si="34"/>
        <v>1.0247781879726967</v>
      </c>
    </row>
    <row r="1739" spans="1:35" ht="12.6">
      <c r="A1739" s="10" t="s">
        <v>58</v>
      </c>
      <c r="B1739" s="10">
        <v>278</v>
      </c>
      <c r="C1739" s="10" t="s">
        <v>1515</v>
      </c>
      <c r="D1739" s="388">
        <v>45204</v>
      </c>
      <c r="E1739" s="389">
        <v>45204</v>
      </c>
      <c r="F1739" s="390" t="str">
        <f t="shared" si="30"/>
        <v>Water heating</v>
      </c>
      <c r="G1739" s="135">
        <v>1.8023380941015198E-2</v>
      </c>
      <c r="H1739" s="135">
        <v>1.7437284884137001E-2</v>
      </c>
      <c r="I1739" s="135">
        <v>1.3924288831905701E-2</v>
      </c>
      <c r="J1739" s="135">
        <v>2.1911478334890599E-2</v>
      </c>
      <c r="K1739" s="135">
        <v>3.2170781734296799E-2</v>
      </c>
      <c r="L1739" s="135">
        <v>6.1466017438899602E-2</v>
      </c>
      <c r="M1739" s="135">
        <v>0.104371225719738</v>
      </c>
      <c r="N1739" s="135">
        <v>9.41452251778261E-2</v>
      </c>
      <c r="O1739" s="135">
        <v>6.2047694398215697E-2</v>
      </c>
      <c r="P1739" s="135">
        <v>4.6517399382564398E-2</v>
      </c>
      <c r="Q1739" s="135">
        <v>4.8076729267419002E-2</v>
      </c>
      <c r="R1739" s="135">
        <v>4.0992084102811403E-2</v>
      </c>
      <c r="S1739" s="135">
        <v>3.0024873217214799E-2</v>
      </c>
      <c r="T1739" s="135">
        <v>2.4597254598098701E-2</v>
      </c>
      <c r="U1739" s="135">
        <v>2.3269815809137999E-2</v>
      </c>
      <c r="V1739" s="135">
        <v>2.6430524453741298E-2</v>
      </c>
      <c r="W1739" s="135">
        <v>3.7758403562643698E-2</v>
      </c>
      <c r="X1739" s="135">
        <v>5.6154443526283397E-2</v>
      </c>
      <c r="Y1739" s="135">
        <v>6.1948692548018602E-2</v>
      </c>
      <c r="Z1739" s="135">
        <v>5.7517025778521101E-2</v>
      </c>
      <c r="AA1739" s="135">
        <v>5.3769129995412397E-2</v>
      </c>
      <c r="AB1739" s="135">
        <v>4.3674975728680898E-2</v>
      </c>
      <c r="AC1739" s="135">
        <v>2.8386202239524701E-2</v>
      </c>
      <c r="AD1739" s="135">
        <v>2.01632563016995E-2</v>
      </c>
      <c r="AF1739" s="243">
        <f t="shared" si="31"/>
        <v>0.23114968501106692</v>
      </c>
      <c r="AG1739" s="275">
        <f t="shared" si="32"/>
        <v>0.45993478806694377</v>
      </c>
      <c r="AH1739" s="391">
        <f t="shared" si="33"/>
        <v>0.56484339990575294</v>
      </c>
      <c r="AI1739" s="135">
        <f t="shared" si="34"/>
        <v>1.0247781879726967</v>
      </c>
    </row>
    <row r="1740" spans="1:35" ht="12.6">
      <c r="A1740" s="10" t="s">
        <v>58</v>
      </c>
      <c r="B1740" s="10">
        <v>279</v>
      </c>
      <c r="C1740" s="10" t="s">
        <v>1515</v>
      </c>
      <c r="D1740" s="388">
        <v>45205</v>
      </c>
      <c r="E1740" s="389">
        <v>45205</v>
      </c>
      <c r="F1740" s="390" t="str">
        <f t="shared" si="30"/>
        <v>Water heating</v>
      </c>
      <c r="G1740" s="135">
        <v>1.8023380941015198E-2</v>
      </c>
      <c r="H1740" s="135">
        <v>1.7437284884137001E-2</v>
      </c>
      <c r="I1740" s="135">
        <v>1.3924288831905701E-2</v>
      </c>
      <c r="J1740" s="135">
        <v>2.1911478334890599E-2</v>
      </c>
      <c r="K1740" s="135">
        <v>3.2170781734296799E-2</v>
      </c>
      <c r="L1740" s="135">
        <v>6.1466017438899602E-2</v>
      </c>
      <c r="M1740" s="135">
        <v>0.104371225719738</v>
      </c>
      <c r="N1740" s="135">
        <v>9.41452251778261E-2</v>
      </c>
      <c r="O1740" s="135">
        <v>6.2047694398215697E-2</v>
      </c>
      <c r="P1740" s="135">
        <v>4.6517399382564398E-2</v>
      </c>
      <c r="Q1740" s="135">
        <v>4.8076729267419002E-2</v>
      </c>
      <c r="R1740" s="135">
        <v>4.0992084102811403E-2</v>
      </c>
      <c r="S1740" s="135">
        <v>3.0024873217214799E-2</v>
      </c>
      <c r="T1740" s="135">
        <v>2.4597254598098701E-2</v>
      </c>
      <c r="U1740" s="135">
        <v>2.3269815809137999E-2</v>
      </c>
      <c r="V1740" s="135">
        <v>2.6430524453741298E-2</v>
      </c>
      <c r="W1740" s="135">
        <v>3.7758403562643698E-2</v>
      </c>
      <c r="X1740" s="135">
        <v>5.6154443526283397E-2</v>
      </c>
      <c r="Y1740" s="135">
        <v>6.1948692548018602E-2</v>
      </c>
      <c r="Z1740" s="135">
        <v>5.7517025778521101E-2</v>
      </c>
      <c r="AA1740" s="135">
        <v>5.3769129995412397E-2</v>
      </c>
      <c r="AB1740" s="135">
        <v>4.3674975728680898E-2</v>
      </c>
      <c r="AC1740" s="135">
        <v>2.8386202239524701E-2</v>
      </c>
      <c r="AD1740" s="135">
        <v>2.01632563016995E-2</v>
      </c>
      <c r="AF1740" s="243">
        <f t="shared" si="31"/>
        <v>0.23114968501106692</v>
      </c>
      <c r="AG1740" s="275">
        <f t="shared" si="32"/>
        <v>0.45993478806694377</v>
      </c>
      <c r="AH1740" s="391">
        <f t="shared" si="33"/>
        <v>0.56484339990575294</v>
      </c>
      <c r="AI1740" s="135">
        <f t="shared" si="34"/>
        <v>1.0247781879726967</v>
      </c>
    </row>
    <row r="1741" spans="1:35" ht="12.6">
      <c r="A1741" s="10" t="s">
        <v>58</v>
      </c>
      <c r="B1741" s="10">
        <v>280</v>
      </c>
      <c r="C1741" s="10" t="s">
        <v>1515</v>
      </c>
      <c r="D1741" s="388">
        <v>45206</v>
      </c>
      <c r="E1741" s="389">
        <v>45206</v>
      </c>
      <c r="F1741" s="390" t="str">
        <f t="shared" si="30"/>
        <v>Water heating</v>
      </c>
      <c r="G1741" s="135">
        <v>1.7183885350872501E-2</v>
      </c>
      <c r="H1741" s="135">
        <v>1.59011345186259E-2</v>
      </c>
      <c r="I1741" s="135">
        <v>1.4115632768602299E-2</v>
      </c>
      <c r="J1741" s="135">
        <v>2.01090464103275E-2</v>
      </c>
      <c r="K1741" s="135">
        <v>2.6215478372511501E-2</v>
      </c>
      <c r="L1741" s="135">
        <v>2.2009705581087599E-2</v>
      </c>
      <c r="M1741" s="135">
        <v>3.1615965839039403E-2</v>
      </c>
      <c r="N1741" s="135">
        <v>5.5257986517302897E-2</v>
      </c>
      <c r="O1741" s="135">
        <v>7.2045354380560006E-2</v>
      </c>
      <c r="P1741" s="135">
        <v>8.0777097351997798E-2</v>
      </c>
      <c r="Q1741" s="135">
        <v>7.8779942879803999E-2</v>
      </c>
      <c r="R1741" s="135">
        <v>6.7839090157574097E-2</v>
      </c>
      <c r="S1741" s="135">
        <v>5.2090622227560002E-2</v>
      </c>
      <c r="T1741" s="135">
        <v>4.3790795909337203E-2</v>
      </c>
      <c r="U1741" s="135">
        <v>4.2253902234682998E-2</v>
      </c>
      <c r="V1741" s="135">
        <v>4.3817062782733E-2</v>
      </c>
      <c r="W1741" s="135">
        <v>4.9882965506830301E-2</v>
      </c>
      <c r="X1741" s="135">
        <v>5.22139681915968E-2</v>
      </c>
      <c r="Y1741" s="135">
        <v>5.72865582831057E-2</v>
      </c>
      <c r="Z1741" s="135">
        <v>5.3143981166714503E-2</v>
      </c>
      <c r="AA1741" s="135">
        <v>4.6527009601664303E-2</v>
      </c>
      <c r="AB1741" s="135">
        <v>4.1565732763832797E-2</v>
      </c>
      <c r="AC1741" s="135">
        <v>2.81501184507593E-2</v>
      </c>
      <c r="AD1741" s="135">
        <v>1.9884657304084601E-2</v>
      </c>
      <c r="AF1741" s="243">
        <f t="shared" si="31"/>
        <v>0.37845438169852164</v>
      </c>
      <c r="AG1741" s="275">
        <f t="shared" si="32"/>
        <v>0.42702097325705379</v>
      </c>
      <c r="AH1741" s="391">
        <f t="shared" si="33"/>
        <v>0.60543672129415294</v>
      </c>
      <c r="AI1741" s="135">
        <f t="shared" si="34"/>
        <v>1.0324576945512067</v>
      </c>
    </row>
    <row r="1742" spans="1:35" ht="12.6">
      <c r="A1742" s="10" t="s">
        <v>58</v>
      </c>
      <c r="B1742" s="10">
        <v>281</v>
      </c>
      <c r="C1742" s="10" t="s">
        <v>1515</v>
      </c>
      <c r="D1742" s="388">
        <v>45207</v>
      </c>
      <c r="E1742" s="389">
        <v>45207</v>
      </c>
      <c r="F1742" s="390" t="str">
        <f t="shared" si="30"/>
        <v>Water heating</v>
      </c>
      <c r="G1742" s="135">
        <v>1.7183885350872501E-2</v>
      </c>
      <c r="H1742" s="135">
        <v>1.59011345186259E-2</v>
      </c>
      <c r="I1742" s="135">
        <v>1.4115632768602299E-2</v>
      </c>
      <c r="J1742" s="135">
        <v>2.01090464103275E-2</v>
      </c>
      <c r="K1742" s="135">
        <v>2.6215478372511501E-2</v>
      </c>
      <c r="L1742" s="135">
        <v>2.2009705581087599E-2</v>
      </c>
      <c r="M1742" s="135">
        <v>3.1615965839039403E-2</v>
      </c>
      <c r="N1742" s="135">
        <v>5.5257986517302897E-2</v>
      </c>
      <c r="O1742" s="135">
        <v>7.2045354380560006E-2</v>
      </c>
      <c r="P1742" s="135">
        <v>8.0777097351997798E-2</v>
      </c>
      <c r="Q1742" s="135">
        <v>7.8779942879803999E-2</v>
      </c>
      <c r="R1742" s="135">
        <v>6.7839090157574097E-2</v>
      </c>
      <c r="S1742" s="135">
        <v>5.2090622227560002E-2</v>
      </c>
      <c r="T1742" s="135">
        <v>4.3790795909337203E-2</v>
      </c>
      <c r="U1742" s="135">
        <v>4.2253902234682998E-2</v>
      </c>
      <c r="V1742" s="135">
        <v>4.3817062782733E-2</v>
      </c>
      <c r="W1742" s="135">
        <v>4.9882965506830301E-2</v>
      </c>
      <c r="X1742" s="135">
        <v>5.22139681915968E-2</v>
      </c>
      <c r="Y1742" s="135">
        <v>5.72865582831057E-2</v>
      </c>
      <c r="Z1742" s="135">
        <v>5.3143981166714503E-2</v>
      </c>
      <c r="AA1742" s="135">
        <v>4.6527009601664303E-2</v>
      </c>
      <c r="AB1742" s="135">
        <v>4.1565732763832797E-2</v>
      </c>
      <c r="AC1742" s="135">
        <v>2.81501184507593E-2</v>
      </c>
      <c r="AD1742" s="135">
        <v>1.9884657304084601E-2</v>
      </c>
      <c r="AF1742" s="243">
        <f t="shared" si="31"/>
        <v>0.37845438169852164</v>
      </c>
      <c r="AG1742" s="275">
        <f t="shared" si="32"/>
        <v>0.42702097325705379</v>
      </c>
      <c r="AH1742" s="391">
        <f t="shared" si="33"/>
        <v>0.60543672129415294</v>
      </c>
      <c r="AI1742" s="135">
        <f t="shared" si="34"/>
        <v>1.0324576945512067</v>
      </c>
    </row>
    <row r="1743" spans="1:35" ht="12.6">
      <c r="A1743" s="10" t="s">
        <v>58</v>
      </c>
      <c r="B1743" s="10">
        <v>282</v>
      </c>
      <c r="C1743" s="10" t="s">
        <v>1515</v>
      </c>
      <c r="D1743" s="388">
        <v>45208</v>
      </c>
      <c r="E1743" s="389">
        <v>45208</v>
      </c>
      <c r="F1743" s="390" t="str">
        <f t="shared" si="30"/>
        <v>Water heating</v>
      </c>
      <c r="G1743" s="135">
        <v>1.8023380941015198E-2</v>
      </c>
      <c r="H1743" s="135">
        <v>1.7437284884137001E-2</v>
      </c>
      <c r="I1743" s="135">
        <v>1.3924288831905701E-2</v>
      </c>
      <c r="J1743" s="135">
        <v>2.1911478334890599E-2</v>
      </c>
      <c r="K1743" s="135">
        <v>3.2170781734296799E-2</v>
      </c>
      <c r="L1743" s="135">
        <v>6.1466017438899602E-2</v>
      </c>
      <c r="M1743" s="135">
        <v>0.104371225719738</v>
      </c>
      <c r="N1743" s="135">
        <v>9.41452251778261E-2</v>
      </c>
      <c r="O1743" s="135">
        <v>6.2047694398215697E-2</v>
      </c>
      <c r="P1743" s="135">
        <v>4.6517399382564398E-2</v>
      </c>
      <c r="Q1743" s="135">
        <v>4.8076729267419002E-2</v>
      </c>
      <c r="R1743" s="135">
        <v>4.0992084102811403E-2</v>
      </c>
      <c r="S1743" s="135">
        <v>3.0024873217214799E-2</v>
      </c>
      <c r="T1743" s="135">
        <v>2.4597254598098701E-2</v>
      </c>
      <c r="U1743" s="135">
        <v>2.3269815809137999E-2</v>
      </c>
      <c r="V1743" s="135">
        <v>2.6430524453741298E-2</v>
      </c>
      <c r="W1743" s="135">
        <v>3.7758403562643698E-2</v>
      </c>
      <c r="X1743" s="135">
        <v>5.6154443526283397E-2</v>
      </c>
      <c r="Y1743" s="135">
        <v>6.1948692548018602E-2</v>
      </c>
      <c r="Z1743" s="135">
        <v>5.7517025778521101E-2</v>
      </c>
      <c r="AA1743" s="135">
        <v>5.3769129995412397E-2</v>
      </c>
      <c r="AB1743" s="135">
        <v>4.3674975728680898E-2</v>
      </c>
      <c r="AC1743" s="135">
        <v>2.8386202239524701E-2</v>
      </c>
      <c r="AD1743" s="135">
        <v>2.01632563016995E-2</v>
      </c>
      <c r="AF1743" s="243">
        <f t="shared" si="31"/>
        <v>0.23114968501106692</v>
      </c>
      <c r="AG1743" s="275">
        <f t="shared" si="32"/>
        <v>0.45993478806694377</v>
      </c>
      <c r="AH1743" s="391">
        <f t="shared" si="33"/>
        <v>0.56484339990575294</v>
      </c>
      <c r="AI1743" s="135">
        <f t="shared" si="34"/>
        <v>1.0247781879726967</v>
      </c>
    </row>
    <row r="1744" spans="1:35" ht="12.6">
      <c r="A1744" s="10" t="s">
        <v>58</v>
      </c>
      <c r="B1744" s="10">
        <v>283</v>
      </c>
      <c r="C1744" s="10" t="s">
        <v>1515</v>
      </c>
      <c r="D1744" s="388">
        <v>45209</v>
      </c>
      <c r="E1744" s="389">
        <v>45209</v>
      </c>
      <c r="F1744" s="390" t="str">
        <f t="shared" si="30"/>
        <v>Water heating</v>
      </c>
      <c r="G1744" s="135">
        <v>1.8023380941015198E-2</v>
      </c>
      <c r="H1744" s="135">
        <v>1.7437284884137001E-2</v>
      </c>
      <c r="I1744" s="135">
        <v>1.3924288831905701E-2</v>
      </c>
      <c r="J1744" s="135">
        <v>2.1911478334890599E-2</v>
      </c>
      <c r="K1744" s="135">
        <v>3.2170781734296799E-2</v>
      </c>
      <c r="L1744" s="135">
        <v>6.1466017438899602E-2</v>
      </c>
      <c r="M1744" s="135">
        <v>0.104371225719738</v>
      </c>
      <c r="N1744" s="135">
        <v>9.41452251778261E-2</v>
      </c>
      <c r="O1744" s="135">
        <v>6.2047694398215697E-2</v>
      </c>
      <c r="P1744" s="135">
        <v>4.6517399382564398E-2</v>
      </c>
      <c r="Q1744" s="135">
        <v>4.8076729267419002E-2</v>
      </c>
      <c r="R1744" s="135">
        <v>4.0992084102811403E-2</v>
      </c>
      <c r="S1744" s="135">
        <v>3.0024873217214799E-2</v>
      </c>
      <c r="T1744" s="135">
        <v>2.4597254598098701E-2</v>
      </c>
      <c r="U1744" s="135">
        <v>2.3269815809137999E-2</v>
      </c>
      <c r="V1744" s="135">
        <v>2.6430524453741298E-2</v>
      </c>
      <c r="W1744" s="135">
        <v>3.7758403562643698E-2</v>
      </c>
      <c r="X1744" s="135">
        <v>5.6154443526283397E-2</v>
      </c>
      <c r="Y1744" s="135">
        <v>6.1948692548018602E-2</v>
      </c>
      <c r="Z1744" s="135">
        <v>5.7517025778521101E-2</v>
      </c>
      <c r="AA1744" s="135">
        <v>5.3769129995412397E-2</v>
      </c>
      <c r="AB1744" s="135">
        <v>4.3674975728680898E-2</v>
      </c>
      <c r="AC1744" s="135">
        <v>2.8386202239524701E-2</v>
      </c>
      <c r="AD1744" s="135">
        <v>2.01632563016995E-2</v>
      </c>
      <c r="AF1744" s="243">
        <f t="shared" si="31"/>
        <v>0.23114968501106692</v>
      </c>
      <c r="AG1744" s="275">
        <f t="shared" si="32"/>
        <v>0.45993478806694377</v>
      </c>
      <c r="AH1744" s="391">
        <f t="shared" si="33"/>
        <v>0.56484339990575294</v>
      </c>
      <c r="AI1744" s="135">
        <f t="shared" si="34"/>
        <v>1.0247781879726967</v>
      </c>
    </row>
    <row r="1745" spans="1:35" ht="12.6">
      <c r="A1745" s="10" t="s">
        <v>58</v>
      </c>
      <c r="B1745" s="10">
        <v>284</v>
      </c>
      <c r="C1745" s="10" t="s">
        <v>1515</v>
      </c>
      <c r="D1745" s="388">
        <v>45210</v>
      </c>
      <c r="E1745" s="389">
        <v>45210</v>
      </c>
      <c r="F1745" s="390" t="str">
        <f t="shared" si="30"/>
        <v>Water heating</v>
      </c>
      <c r="G1745" s="135">
        <v>1.8023380941015198E-2</v>
      </c>
      <c r="H1745" s="135">
        <v>1.7437284884137001E-2</v>
      </c>
      <c r="I1745" s="135">
        <v>1.3924288831905701E-2</v>
      </c>
      <c r="J1745" s="135">
        <v>2.1911478334890599E-2</v>
      </c>
      <c r="K1745" s="135">
        <v>3.2170781734296799E-2</v>
      </c>
      <c r="L1745" s="135">
        <v>6.1466017438899602E-2</v>
      </c>
      <c r="M1745" s="135">
        <v>0.104371225719738</v>
      </c>
      <c r="N1745" s="135">
        <v>9.41452251778261E-2</v>
      </c>
      <c r="O1745" s="135">
        <v>6.2047694398215697E-2</v>
      </c>
      <c r="P1745" s="135">
        <v>4.6517399382564398E-2</v>
      </c>
      <c r="Q1745" s="135">
        <v>4.8076729267419002E-2</v>
      </c>
      <c r="R1745" s="135">
        <v>4.0992084102811403E-2</v>
      </c>
      <c r="S1745" s="135">
        <v>3.0024873217214799E-2</v>
      </c>
      <c r="T1745" s="135">
        <v>2.4597254598098701E-2</v>
      </c>
      <c r="U1745" s="135">
        <v>2.3269815809137999E-2</v>
      </c>
      <c r="V1745" s="135">
        <v>2.6430524453741298E-2</v>
      </c>
      <c r="W1745" s="135">
        <v>3.7758403562643698E-2</v>
      </c>
      <c r="X1745" s="135">
        <v>5.6154443526283397E-2</v>
      </c>
      <c r="Y1745" s="135">
        <v>6.1948692548018602E-2</v>
      </c>
      <c r="Z1745" s="135">
        <v>5.7517025778521101E-2</v>
      </c>
      <c r="AA1745" s="135">
        <v>5.3769129995412397E-2</v>
      </c>
      <c r="AB1745" s="135">
        <v>4.3674975728680898E-2</v>
      </c>
      <c r="AC1745" s="135">
        <v>2.8386202239524701E-2</v>
      </c>
      <c r="AD1745" s="135">
        <v>2.01632563016995E-2</v>
      </c>
      <c r="AF1745" s="243">
        <f t="shared" si="31"/>
        <v>0.23114968501106692</v>
      </c>
      <c r="AG1745" s="275">
        <f t="shared" si="32"/>
        <v>0.45993478806694377</v>
      </c>
      <c r="AH1745" s="391">
        <f t="shared" si="33"/>
        <v>0.56484339990575294</v>
      </c>
      <c r="AI1745" s="135">
        <f t="shared" si="34"/>
        <v>1.0247781879726967</v>
      </c>
    </row>
    <row r="1746" spans="1:35" ht="12.6">
      <c r="A1746" s="10" t="s">
        <v>58</v>
      </c>
      <c r="B1746" s="10">
        <v>285</v>
      </c>
      <c r="C1746" s="10" t="s">
        <v>1515</v>
      </c>
      <c r="D1746" s="388">
        <v>45211</v>
      </c>
      <c r="E1746" s="389">
        <v>45211</v>
      </c>
      <c r="F1746" s="390" t="str">
        <f t="shared" si="30"/>
        <v>Water heating</v>
      </c>
      <c r="G1746" s="135">
        <v>1.8023380941015198E-2</v>
      </c>
      <c r="H1746" s="135">
        <v>1.7437284884137001E-2</v>
      </c>
      <c r="I1746" s="135">
        <v>1.3924288831905701E-2</v>
      </c>
      <c r="J1746" s="135">
        <v>2.1911478334890599E-2</v>
      </c>
      <c r="K1746" s="135">
        <v>3.2170781734296799E-2</v>
      </c>
      <c r="L1746" s="135">
        <v>6.1466017438899602E-2</v>
      </c>
      <c r="M1746" s="135">
        <v>0.104371225719738</v>
      </c>
      <c r="N1746" s="135">
        <v>9.41452251778261E-2</v>
      </c>
      <c r="O1746" s="135">
        <v>6.2047694398215697E-2</v>
      </c>
      <c r="P1746" s="135">
        <v>4.6517399382564398E-2</v>
      </c>
      <c r="Q1746" s="135">
        <v>4.8076729267419002E-2</v>
      </c>
      <c r="R1746" s="135">
        <v>4.0992084102811403E-2</v>
      </c>
      <c r="S1746" s="135">
        <v>3.0024873217214799E-2</v>
      </c>
      <c r="T1746" s="135">
        <v>2.4597254598098701E-2</v>
      </c>
      <c r="U1746" s="135">
        <v>2.3269815809137999E-2</v>
      </c>
      <c r="V1746" s="135">
        <v>2.6430524453741298E-2</v>
      </c>
      <c r="W1746" s="135">
        <v>3.7758403562643698E-2</v>
      </c>
      <c r="X1746" s="135">
        <v>5.6154443526283397E-2</v>
      </c>
      <c r="Y1746" s="135">
        <v>6.1948692548018602E-2</v>
      </c>
      <c r="Z1746" s="135">
        <v>5.7517025778521101E-2</v>
      </c>
      <c r="AA1746" s="135">
        <v>5.3769129995412397E-2</v>
      </c>
      <c r="AB1746" s="135">
        <v>4.3674975728680898E-2</v>
      </c>
      <c r="AC1746" s="135">
        <v>2.8386202239524701E-2</v>
      </c>
      <c r="AD1746" s="135">
        <v>2.01632563016995E-2</v>
      </c>
      <c r="AF1746" s="243">
        <f t="shared" si="31"/>
        <v>0.23114968501106692</v>
      </c>
      <c r="AG1746" s="275">
        <f t="shared" si="32"/>
        <v>0.45993478806694377</v>
      </c>
      <c r="AH1746" s="391">
        <f t="shared" si="33"/>
        <v>0.56484339990575294</v>
      </c>
      <c r="AI1746" s="135">
        <f t="shared" si="34"/>
        <v>1.0247781879726967</v>
      </c>
    </row>
    <row r="1747" spans="1:35" ht="12.6">
      <c r="A1747" s="10" t="s">
        <v>58</v>
      </c>
      <c r="B1747" s="10">
        <v>286</v>
      </c>
      <c r="C1747" s="10" t="s">
        <v>1515</v>
      </c>
      <c r="D1747" s="388">
        <v>45212</v>
      </c>
      <c r="E1747" s="389">
        <v>45212</v>
      </c>
      <c r="F1747" s="390" t="str">
        <f t="shared" si="30"/>
        <v>Water heating</v>
      </c>
      <c r="G1747" s="135">
        <v>1.8023380941015198E-2</v>
      </c>
      <c r="H1747" s="135">
        <v>1.7437284884137001E-2</v>
      </c>
      <c r="I1747" s="135">
        <v>1.3924288831905701E-2</v>
      </c>
      <c r="J1747" s="135">
        <v>2.1911478334890599E-2</v>
      </c>
      <c r="K1747" s="135">
        <v>3.2170781734296799E-2</v>
      </c>
      <c r="L1747" s="135">
        <v>6.1466017438899602E-2</v>
      </c>
      <c r="M1747" s="135">
        <v>0.104371225719738</v>
      </c>
      <c r="N1747" s="135">
        <v>9.41452251778261E-2</v>
      </c>
      <c r="O1747" s="135">
        <v>6.2047694398215697E-2</v>
      </c>
      <c r="P1747" s="135">
        <v>4.6517399382564398E-2</v>
      </c>
      <c r="Q1747" s="135">
        <v>4.8076729267419002E-2</v>
      </c>
      <c r="R1747" s="135">
        <v>4.0992084102811403E-2</v>
      </c>
      <c r="S1747" s="135">
        <v>3.0024873217214799E-2</v>
      </c>
      <c r="T1747" s="135">
        <v>2.4597254598098701E-2</v>
      </c>
      <c r="U1747" s="135">
        <v>2.3269815809137999E-2</v>
      </c>
      <c r="V1747" s="135">
        <v>2.6430524453741298E-2</v>
      </c>
      <c r="W1747" s="135">
        <v>3.7758403562643698E-2</v>
      </c>
      <c r="X1747" s="135">
        <v>5.6154443526283397E-2</v>
      </c>
      <c r="Y1747" s="135">
        <v>6.1948692548018602E-2</v>
      </c>
      <c r="Z1747" s="135">
        <v>5.7517025778521101E-2</v>
      </c>
      <c r="AA1747" s="135">
        <v>5.3769129995412397E-2</v>
      </c>
      <c r="AB1747" s="135">
        <v>4.3674975728680898E-2</v>
      </c>
      <c r="AC1747" s="135">
        <v>2.8386202239524701E-2</v>
      </c>
      <c r="AD1747" s="135">
        <v>2.01632563016995E-2</v>
      </c>
      <c r="AF1747" s="243">
        <f t="shared" si="31"/>
        <v>0.23114968501106692</v>
      </c>
      <c r="AG1747" s="275">
        <f t="shared" si="32"/>
        <v>0.45993478806694377</v>
      </c>
      <c r="AH1747" s="391">
        <f t="shared" si="33"/>
        <v>0.56484339990575294</v>
      </c>
      <c r="AI1747" s="135">
        <f t="shared" si="34"/>
        <v>1.0247781879726967</v>
      </c>
    </row>
    <row r="1748" spans="1:35" ht="12.6">
      <c r="A1748" s="10" t="s">
        <v>58</v>
      </c>
      <c r="B1748" s="10">
        <v>287</v>
      </c>
      <c r="C1748" s="10" t="s">
        <v>1515</v>
      </c>
      <c r="D1748" s="388">
        <v>45213</v>
      </c>
      <c r="E1748" s="389">
        <v>45213</v>
      </c>
      <c r="F1748" s="390" t="str">
        <f t="shared" si="30"/>
        <v>Water heating</v>
      </c>
      <c r="G1748" s="135">
        <v>1.7183885350872501E-2</v>
      </c>
      <c r="H1748" s="135">
        <v>1.59011345186259E-2</v>
      </c>
      <c r="I1748" s="135">
        <v>1.4115632768602299E-2</v>
      </c>
      <c r="J1748" s="135">
        <v>2.01090464103275E-2</v>
      </c>
      <c r="K1748" s="135">
        <v>2.6215478372511501E-2</v>
      </c>
      <c r="L1748" s="135">
        <v>2.2009705581087599E-2</v>
      </c>
      <c r="M1748" s="135">
        <v>3.1615965839039403E-2</v>
      </c>
      <c r="N1748" s="135">
        <v>5.5257986517302897E-2</v>
      </c>
      <c r="O1748" s="135">
        <v>7.2045354380560006E-2</v>
      </c>
      <c r="P1748" s="135">
        <v>8.0777097351997798E-2</v>
      </c>
      <c r="Q1748" s="135">
        <v>7.8779942879803999E-2</v>
      </c>
      <c r="R1748" s="135">
        <v>6.7839090157574097E-2</v>
      </c>
      <c r="S1748" s="135">
        <v>5.2090622227560002E-2</v>
      </c>
      <c r="T1748" s="135">
        <v>4.3790795909337203E-2</v>
      </c>
      <c r="U1748" s="135">
        <v>4.2253902234682998E-2</v>
      </c>
      <c r="V1748" s="135">
        <v>4.3817062782733E-2</v>
      </c>
      <c r="W1748" s="135">
        <v>4.9882965506830301E-2</v>
      </c>
      <c r="X1748" s="135">
        <v>5.22139681915968E-2</v>
      </c>
      <c r="Y1748" s="135">
        <v>5.72865582831057E-2</v>
      </c>
      <c r="Z1748" s="135">
        <v>5.3143981166714503E-2</v>
      </c>
      <c r="AA1748" s="135">
        <v>4.6527009601664303E-2</v>
      </c>
      <c r="AB1748" s="135">
        <v>4.1565732763832797E-2</v>
      </c>
      <c r="AC1748" s="135">
        <v>2.81501184507593E-2</v>
      </c>
      <c r="AD1748" s="135">
        <v>1.9884657304084601E-2</v>
      </c>
      <c r="AF1748" s="243">
        <f t="shared" si="31"/>
        <v>0.37845438169852164</v>
      </c>
      <c r="AG1748" s="275">
        <f t="shared" si="32"/>
        <v>0.42702097325705379</v>
      </c>
      <c r="AH1748" s="391">
        <f t="shared" si="33"/>
        <v>0.60543672129415294</v>
      </c>
      <c r="AI1748" s="135">
        <f t="shared" si="34"/>
        <v>1.0324576945512067</v>
      </c>
    </row>
    <row r="1749" spans="1:35" ht="12.6">
      <c r="A1749" s="10" t="s">
        <v>58</v>
      </c>
      <c r="B1749" s="10">
        <v>288</v>
      </c>
      <c r="C1749" s="10" t="s">
        <v>1515</v>
      </c>
      <c r="D1749" s="388">
        <v>45214</v>
      </c>
      <c r="E1749" s="389">
        <v>45214</v>
      </c>
      <c r="F1749" s="390" t="str">
        <f t="shared" si="30"/>
        <v>Water heating</v>
      </c>
      <c r="G1749" s="135">
        <v>1.7183885350872501E-2</v>
      </c>
      <c r="H1749" s="135">
        <v>1.59011345186259E-2</v>
      </c>
      <c r="I1749" s="135">
        <v>1.4115632768602299E-2</v>
      </c>
      <c r="J1749" s="135">
        <v>2.01090464103275E-2</v>
      </c>
      <c r="K1749" s="135">
        <v>2.6215478372511501E-2</v>
      </c>
      <c r="L1749" s="135">
        <v>2.2009705581087599E-2</v>
      </c>
      <c r="M1749" s="135">
        <v>3.1615965839039403E-2</v>
      </c>
      <c r="N1749" s="135">
        <v>5.5257986517302897E-2</v>
      </c>
      <c r="O1749" s="135">
        <v>7.2045354380560006E-2</v>
      </c>
      <c r="P1749" s="135">
        <v>8.0777097351997798E-2</v>
      </c>
      <c r="Q1749" s="135">
        <v>7.8779942879803999E-2</v>
      </c>
      <c r="R1749" s="135">
        <v>6.7839090157574097E-2</v>
      </c>
      <c r="S1749" s="135">
        <v>5.2090622227560002E-2</v>
      </c>
      <c r="T1749" s="135">
        <v>4.3790795909337203E-2</v>
      </c>
      <c r="U1749" s="135">
        <v>4.2253902234682998E-2</v>
      </c>
      <c r="V1749" s="135">
        <v>4.3817062782733E-2</v>
      </c>
      <c r="W1749" s="135">
        <v>4.9882965506830301E-2</v>
      </c>
      <c r="X1749" s="135">
        <v>5.22139681915968E-2</v>
      </c>
      <c r="Y1749" s="135">
        <v>5.72865582831057E-2</v>
      </c>
      <c r="Z1749" s="135">
        <v>5.3143981166714503E-2</v>
      </c>
      <c r="AA1749" s="135">
        <v>4.6527009601664303E-2</v>
      </c>
      <c r="AB1749" s="135">
        <v>4.1565732763832797E-2</v>
      </c>
      <c r="AC1749" s="135">
        <v>2.81501184507593E-2</v>
      </c>
      <c r="AD1749" s="135">
        <v>1.9884657304084601E-2</v>
      </c>
      <c r="AF1749" s="243">
        <f t="shared" si="31"/>
        <v>0.37845438169852164</v>
      </c>
      <c r="AG1749" s="275">
        <f t="shared" si="32"/>
        <v>0.42702097325705379</v>
      </c>
      <c r="AH1749" s="391">
        <f t="shared" si="33"/>
        <v>0.60543672129415294</v>
      </c>
      <c r="AI1749" s="135">
        <f t="shared" si="34"/>
        <v>1.0324576945512067</v>
      </c>
    </row>
    <row r="1750" spans="1:35" ht="12.6">
      <c r="A1750" s="10" t="s">
        <v>58</v>
      </c>
      <c r="B1750" s="10">
        <v>289</v>
      </c>
      <c r="C1750" s="10" t="s">
        <v>1515</v>
      </c>
      <c r="D1750" s="388">
        <v>45215</v>
      </c>
      <c r="E1750" s="389">
        <v>45215</v>
      </c>
      <c r="F1750" s="390" t="str">
        <f t="shared" si="30"/>
        <v>Water heating</v>
      </c>
      <c r="G1750" s="135">
        <v>1.8023380941015198E-2</v>
      </c>
      <c r="H1750" s="135">
        <v>1.7437284884137001E-2</v>
      </c>
      <c r="I1750" s="135">
        <v>1.3924288831905701E-2</v>
      </c>
      <c r="J1750" s="135">
        <v>2.1911478334890599E-2</v>
      </c>
      <c r="K1750" s="135">
        <v>3.2170781734296799E-2</v>
      </c>
      <c r="L1750" s="135">
        <v>6.1466017438899602E-2</v>
      </c>
      <c r="M1750" s="135">
        <v>0.104371225719738</v>
      </c>
      <c r="N1750" s="135">
        <v>9.41452251778261E-2</v>
      </c>
      <c r="O1750" s="135">
        <v>6.2047694398215697E-2</v>
      </c>
      <c r="P1750" s="135">
        <v>4.6517399382564398E-2</v>
      </c>
      <c r="Q1750" s="135">
        <v>4.8076729267419002E-2</v>
      </c>
      <c r="R1750" s="135">
        <v>4.0992084102811403E-2</v>
      </c>
      <c r="S1750" s="135">
        <v>3.0024873217214799E-2</v>
      </c>
      <c r="T1750" s="135">
        <v>2.4597254598098701E-2</v>
      </c>
      <c r="U1750" s="135">
        <v>2.3269815809137999E-2</v>
      </c>
      <c r="V1750" s="135">
        <v>2.6430524453741298E-2</v>
      </c>
      <c r="W1750" s="135">
        <v>3.7758403562643698E-2</v>
      </c>
      <c r="X1750" s="135">
        <v>5.6154443526283397E-2</v>
      </c>
      <c r="Y1750" s="135">
        <v>6.1948692548018602E-2</v>
      </c>
      <c r="Z1750" s="135">
        <v>5.7517025778521101E-2</v>
      </c>
      <c r="AA1750" s="135">
        <v>5.3769129995412397E-2</v>
      </c>
      <c r="AB1750" s="135">
        <v>4.3674975728680898E-2</v>
      </c>
      <c r="AC1750" s="135">
        <v>2.8386202239524701E-2</v>
      </c>
      <c r="AD1750" s="135">
        <v>2.01632563016995E-2</v>
      </c>
      <c r="AF1750" s="243">
        <f t="shared" si="31"/>
        <v>0.23114968501106692</v>
      </c>
      <c r="AG1750" s="275">
        <f t="shared" si="32"/>
        <v>0.45993478806694377</v>
      </c>
      <c r="AH1750" s="391">
        <f t="shared" si="33"/>
        <v>0.56484339990575294</v>
      </c>
      <c r="AI1750" s="135">
        <f t="shared" si="34"/>
        <v>1.0247781879726967</v>
      </c>
    </row>
    <row r="1751" spans="1:35" ht="12.6">
      <c r="A1751" s="10" t="s">
        <v>58</v>
      </c>
      <c r="B1751" s="10">
        <v>290</v>
      </c>
      <c r="C1751" s="10" t="s">
        <v>1515</v>
      </c>
      <c r="D1751" s="388">
        <v>45216</v>
      </c>
      <c r="E1751" s="389">
        <v>45216</v>
      </c>
      <c r="F1751" s="390" t="str">
        <f t="shared" si="30"/>
        <v>Water heating</v>
      </c>
      <c r="G1751" s="135">
        <v>1.8023380941015198E-2</v>
      </c>
      <c r="H1751" s="135">
        <v>1.7437284884137001E-2</v>
      </c>
      <c r="I1751" s="135">
        <v>1.3924288831905701E-2</v>
      </c>
      <c r="J1751" s="135">
        <v>2.1911478334890599E-2</v>
      </c>
      <c r="K1751" s="135">
        <v>3.2170781734296799E-2</v>
      </c>
      <c r="L1751" s="135">
        <v>6.1466017438899602E-2</v>
      </c>
      <c r="M1751" s="135">
        <v>0.104371225719738</v>
      </c>
      <c r="N1751" s="135">
        <v>9.41452251778261E-2</v>
      </c>
      <c r="O1751" s="135">
        <v>6.2047694398215697E-2</v>
      </c>
      <c r="P1751" s="135">
        <v>4.6517399382564398E-2</v>
      </c>
      <c r="Q1751" s="135">
        <v>4.8076729267419002E-2</v>
      </c>
      <c r="R1751" s="135">
        <v>4.0992084102811403E-2</v>
      </c>
      <c r="S1751" s="135">
        <v>3.0024873217214799E-2</v>
      </c>
      <c r="T1751" s="135">
        <v>2.4597254598098701E-2</v>
      </c>
      <c r="U1751" s="135">
        <v>2.3269815809137999E-2</v>
      </c>
      <c r="V1751" s="135">
        <v>2.6430524453741298E-2</v>
      </c>
      <c r="W1751" s="135">
        <v>3.7758403562643698E-2</v>
      </c>
      <c r="X1751" s="135">
        <v>5.6154443526283397E-2</v>
      </c>
      <c r="Y1751" s="135">
        <v>6.1948692548018602E-2</v>
      </c>
      <c r="Z1751" s="135">
        <v>5.7517025778521101E-2</v>
      </c>
      <c r="AA1751" s="135">
        <v>5.3769129995412397E-2</v>
      </c>
      <c r="AB1751" s="135">
        <v>4.3674975728680898E-2</v>
      </c>
      <c r="AC1751" s="135">
        <v>2.8386202239524701E-2</v>
      </c>
      <c r="AD1751" s="135">
        <v>2.01632563016995E-2</v>
      </c>
      <c r="AF1751" s="243">
        <f t="shared" si="31"/>
        <v>0.23114968501106692</v>
      </c>
      <c r="AG1751" s="275">
        <f t="shared" si="32"/>
        <v>0.45993478806694377</v>
      </c>
      <c r="AH1751" s="391">
        <f t="shared" si="33"/>
        <v>0.56484339990575294</v>
      </c>
      <c r="AI1751" s="135">
        <f t="shared" si="34"/>
        <v>1.0247781879726967</v>
      </c>
    </row>
    <row r="1752" spans="1:35" ht="12.6">
      <c r="A1752" s="10" t="s">
        <v>58</v>
      </c>
      <c r="B1752" s="10">
        <v>291</v>
      </c>
      <c r="C1752" s="10" t="s">
        <v>1515</v>
      </c>
      <c r="D1752" s="388">
        <v>45217</v>
      </c>
      <c r="E1752" s="389">
        <v>45217</v>
      </c>
      <c r="F1752" s="390" t="str">
        <f t="shared" si="30"/>
        <v>Water heating</v>
      </c>
      <c r="G1752" s="135">
        <v>1.8023380941015198E-2</v>
      </c>
      <c r="H1752" s="135">
        <v>1.7437284884137001E-2</v>
      </c>
      <c r="I1752" s="135">
        <v>1.3924288831905701E-2</v>
      </c>
      <c r="J1752" s="135">
        <v>2.1911478334890599E-2</v>
      </c>
      <c r="K1752" s="135">
        <v>3.2170781734296799E-2</v>
      </c>
      <c r="L1752" s="135">
        <v>6.1466017438899602E-2</v>
      </c>
      <c r="M1752" s="135">
        <v>0.104371225719738</v>
      </c>
      <c r="N1752" s="135">
        <v>9.41452251778261E-2</v>
      </c>
      <c r="O1752" s="135">
        <v>6.2047694398215697E-2</v>
      </c>
      <c r="P1752" s="135">
        <v>4.6517399382564398E-2</v>
      </c>
      <c r="Q1752" s="135">
        <v>4.8076729267419002E-2</v>
      </c>
      <c r="R1752" s="135">
        <v>4.0992084102811403E-2</v>
      </c>
      <c r="S1752" s="135">
        <v>3.0024873217214799E-2</v>
      </c>
      <c r="T1752" s="135">
        <v>2.4597254598098701E-2</v>
      </c>
      <c r="U1752" s="135">
        <v>2.3269815809137999E-2</v>
      </c>
      <c r="V1752" s="135">
        <v>2.6430524453741298E-2</v>
      </c>
      <c r="W1752" s="135">
        <v>3.7758403562643698E-2</v>
      </c>
      <c r="X1752" s="135">
        <v>5.6154443526283397E-2</v>
      </c>
      <c r="Y1752" s="135">
        <v>6.1948692548018602E-2</v>
      </c>
      <c r="Z1752" s="135">
        <v>5.7517025778521101E-2</v>
      </c>
      <c r="AA1752" s="135">
        <v>5.3769129995412397E-2</v>
      </c>
      <c r="AB1752" s="135">
        <v>4.3674975728680898E-2</v>
      </c>
      <c r="AC1752" s="135">
        <v>2.8386202239524701E-2</v>
      </c>
      <c r="AD1752" s="135">
        <v>2.01632563016995E-2</v>
      </c>
      <c r="AF1752" s="243">
        <f t="shared" si="31"/>
        <v>0.23114968501106692</v>
      </c>
      <c r="AG1752" s="275">
        <f t="shared" si="32"/>
        <v>0.45993478806694377</v>
      </c>
      <c r="AH1752" s="391">
        <f t="shared" si="33"/>
        <v>0.56484339990575294</v>
      </c>
      <c r="AI1752" s="135">
        <f t="shared" si="34"/>
        <v>1.0247781879726967</v>
      </c>
    </row>
    <row r="1753" spans="1:35" ht="12.6">
      <c r="A1753" s="10" t="s">
        <v>58</v>
      </c>
      <c r="B1753" s="10">
        <v>292</v>
      </c>
      <c r="C1753" s="10" t="s">
        <v>1515</v>
      </c>
      <c r="D1753" s="388">
        <v>45218</v>
      </c>
      <c r="E1753" s="389">
        <v>45218</v>
      </c>
      <c r="F1753" s="390" t="str">
        <f t="shared" si="30"/>
        <v>Water heating</v>
      </c>
      <c r="G1753" s="135">
        <v>1.8023380941015198E-2</v>
      </c>
      <c r="H1753" s="135">
        <v>1.7437284884137001E-2</v>
      </c>
      <c r="I1753" s="135">
        <v>1.3924288831905701E-2</v>
      </c>
      <c r="J1753" s="135">
        <v>2.1911478334890599E-2</v>
      </c>
      <c r="K1753" s="135">
        <v>3.2170781734296799E-2</v>
      </c>
      <c r="L1753" s="135">
        <v>6.1466017438899602E-2</v>
      </c>
      <c r="M1753" s="135">
        <v>0.104371225719738</v>
      </c>
      <c r="N1753" s="135">
        <v>9.41452251778261E-2</v>
      </c>
      <c r="O1753" s="135">
        <v>6.2047694398215697E-2</v>
      </c>
      <c r="P1753" s="135">
        <v>4.6517399382564398E-2</v>
      </c>
      <c r="Q1753" s="135">
        <v>4.8076729267419002E-2</v>
      </c>
      <c r="R1753" s="135">
        <v>4.0992084102811403E-2</v>
      </c>
      <c r="S1753" s="135">
        <v>3.0024873217214799E-2</v>
      </c>
      <c r="T1753" s="135">
        <v>2.4597254598098701E-2</v>
      </c>
      <c r="U1753" s="135">
        <v>2.3269815809137999E-2</v>
      </c>
      <c r="V1753" s="135">
        <v>2.6430524453741298E-2</v>
      </c>
      <c r="W1753" s="135">
        <v>3.7758403562643698E-2</v>
      </c>
      <c r="X1753" s="135">
        <v>5.6154443526283397E-2</v>
      </c>
      <c r="Y1753" s="135">
        <v>6.1948692548018602E-2</v>
      </c>
      <c r="Z1753" s="135">
        <v>5.7517025778521101E-2</v>
      </c>
      <c r="AA1753" s="135">
        <v>5.3769129995412397E-2</v>
      </c>
      <c r="AB1753" s="135">
        <v>4.3674975728680898E-2</v>
      </c>
      <c r="AC1753" s="135">
        <v>2.8386202239524701E-2</v>
      </c>
      <c r="AD1753" s="135">
        <v>2.01632563016995E-2</v>
      </c>
      <c r="AF1753" s="243">
        <f t="shared" si="31"/>
        <v>0.23114968501106692</v>
      </c>
      <c r="AG1753" s="275">
        <f t="shared" si="32"/>
        <v>0.45993478806694377</v>
      </c>
      <c r="AH1753" s="391">
        <f t="shared" si="33"/>
        <v>0.56484339990575294</v>
      </c>
      <c r="AI1753" s="135">
        <f t="shared" si="34"/>
        <v>1.0247781879726967</v>
      </c>
    </row>
    <row r="1754" spans="1:35" ht="12.6">
      <c r="A1754" s="10" t="s">
        <v>58</v>
      </c>
      <c r="B1754" s="10">
        <v>293</v>
      </c>
      <c r="C1754" s="10" t="s">
        <v>1515</v>
      </c>
      <c r="D1754" s="388">
        <v>45219</v>
      </c>
      <c r="E1754" s="389">
        <v>45219</v>
      </c>
      <c r="F1754" s="390" t="str">
        <f t="shared" si="30"/>
        <v>Water heating</v>
      </c>
      <c r="G1754" s="135">
        <v>1.8023380941015198E-2</v>
      </c>
      <c r="H1754" s="135">
        <v>1.7437284884137001E-2</v>
      </c>
      <c r="I1754" s="135">
        <v>1.3924288831905701E-2</v>
      </c>
      <c r="J1754" s="135">
        <v>2.1911478334890599E-2</v>
      </c>
      <c r="K1754" s="135">
        <v>3.2170781734296799E-2</v>
      </c>
      <c r="L1754" s="135">
        <v>6.1466017438899602E-2</v>
      </c>
      <c r="M1754" s="135">
        <v>0.104371225719738</v>
      </c>
      <c r="N1754" s="135">
        <v>9.41452251778261E-2</v>
      </c>
      <c r="O1754" s="135">
        <v>6.2047694398215697E-2</v>
      </c>
      <c r="P1754" s="135">
        <v>4.6517399382564398E-2</v>
      </c>
      <c r="Q1754" s="135">
        <v>4.8076729267419002E-2</v>
      </c>
      <c r="R1754" s="135">
        <v>4.0992084102811403E-2</v>
      </c>
      <c r="S1754" s="135">
        <v>3.0024873217214799E-2</v>
      </c>
      <c r="T1754" s="135">
        <v>2.4597254598098701E-2</v>
      </c>
      <c r="U1754" s="135">
        <v>2.3269815809137999E-2</v>
      </c>
      <c r="V1754" s="135">
        <v>2.6430524453741298E-2</v>
      </c>
      <c r="W1754" s="135">
        <v>3.7758403562643698E-2</v>
      </c>
      <c r="X1754" s="135">
        <v>5.6154443526283397E-2</v>
      </c>
      <c r="Y1754" s="135">
        <v>6.1948692548018602E-2</v>
      </c>
      <c r="Z1754" s="135">
        <v>5.7517025778521101E-2</v>
      </c>
      <c r="AA1754" s="135">
        <v>5.3769129995412397E-2</v>
      </c>
      <c r="AB1754" s="135">
        <v>4.3674975728680898E-2</v>
      </c>
      <c r="AC1754" s="135">
        <v>2.8386202239524701E-2</v>
      </c>
      <c r="AD1754" s="135">
        <v>2.01632563016995E-2</v>
      </c>
      <c r="AF1754" s="243">
        <f t="shared" si="31"/>
        <v>0.23114968501106692</v>
      </c>
      <c r="AG1754" s="275">
        <f t="shared" si="32"/>
        <v>0.45993478806694377</v>
      </c>
      <c r="AH1754" s="391">
        <f t="shared" si="33"/>
        <v>0.56484339990575294</v>
      </c>
      <c r="AI1754" s="135">
        <f t="shared" si="34"/>
        <v>1.0247781879726967</v>
      </c>
    </row>
    <row r="1755" spans="1:35" ht="12.6">
      <c r="A1755" s="10" t="s">
        <v>58</v>
      </c>
      <c r="B1755" s="10">
        <v>294</v>
      </c>
      <c r="C1755" s="10" t="s">
        <v>1515</v>
      </c>
      <c r="D1755" s="388">
        <v>45220</v>
      </c>
      <c r="E1755" s="389">
        <v>45220</v>
      </c>
      <c r="F1755" s="390" t="str">
        <f t="shared" si="30"/>
        <v>Water heating</v>
      </c>
      <c r="G1755" s="135">
        <v>1.7183885350872501E-2</v>
      </c>
      <c r="H1755" s="135">
        <v>1.59011345186259E-2</v>
      </c>
      <c r="I1755" s="135">
        <v>1.4115632768602299E-2</v>
      </c>
      <c r="J1755" s="135">
        <v>2.01090464103275E-2</v>
      </c>
      <c r="K1755" s="135">
        <v>2.6215478372511501E-2</v>
      </c>
      <c r="L1755" s="135">
        <v>2.2009705581087599E-2</v>
      </c>
      <c r="M1755" s="135">
        <v>3.1615965839039403E-2</v>
      </c>
      <c r="N1755" s="135">
        <v>5.5257986517302897E-2</v>
      </c>
      <c r="O1755" s="135">
        <v>7.2045354380560006E-2</v>
      </c>
      <c r="P1755" s="135">
        <v>8.0777097351997798E-2</v>
      </c>
      <c r="Q1755" s="135">
        <v>7.8779942879803999E-2</v>
      </c>
      <c r="R1755" s="135">
        <v>6.7839090157574097E-2</v>
      </c>
      <c r="S1755" s="135">
        <v>5.2090622227560002E-2</v>
      </c>
      <c r="T1755" s="135">
        <v>4.3790795909337203E-2</v>
      </c>
      <c r="U1755" s="135">
        <v>4.2253902234682998E-2</v>
      </c>
      <c r="V1755" s="135">
        <v>4.3817062782733E-2</v>
      </c>
      <c r="W1755" s="135">
        <v>4.9882965506830301E-2</v>
      </c>
      <c r="X1755" s="135">
        <v>5.22139681915968E-2</v>
      </c>
      <c r="Y1755" s="135">
        <v>5.72865582831057E-2</v>
      </c>
      <c r="Z1755" s="135">
        <v>5.3143981166714503E-2</v>
      </c>
      <c r="AA1755" s="135">
        <v>4.6527009601664303E-2</v>
      </c>
      <c r="AB1755" s="135">
        <v>4.1565732763832797E-2</v>
      </c>
      <c r="AC1755" s="135">
        <v>2.81501184507593E-2</v>
      </c>
      <c r="AD1755" s="135">
        <v>1.9884657304084601E-2</v>
      </c>
      <c r="AF1755" s="243">
        <f t="shared" si="31"/>
        <v>0.37845438169852164</v>
      </c>
      <c r="AG1755" s="275">
        <f t="shared" si="32"/>
        <v>0.42702097325705379</v>
      </c>
      <c r="AH1755" s="391">
        <f t="shared" si="33"/>
        <v>0.60543672129415294</v>
      </c>
      <c r="AI1755" s="135">
        <f t="shared" si="34"/>
        <v>1.0324576945512067</v>
      </c>
    </row>
    <row r="1756" spans="1:35" ht="12.6">
      <c r="A1756" s="10" t="s">
        <v>58</v>
      </c>
      <c r="B1756" s="10">
        <v>295</v>
      </c>
      <c r="C1756" s="10" t="s">
        <v>1515</v>
      </c>
      <c r="D1756" s="388">
        <v>45221</v>
      </c>
      <c r="E1756" s="389">
        <v>45221</v>
      </c>
      <c r="F1756" s="390" t="str">
        <f t="shared" si="30"/>
        <v>Water heating</v>
      </c>
      <c r="G1756" s="135">
        <v>1.7183885350872501E-2</v>
      </c>
      <c r="H1756" s="135">
        <v>1.59011345186259E-2</v>
      </c>
      <c r="I1756" s="135">
        <v>1.4115632768602299E-2</v>
      </c>
      <c r="J1756" s="135">
        <v>2.01090464103275E-2</v>
      </c>
      <c r="K1756" s="135">
        <v>2.6215478372511501E-2</v>
      </c>
      <c r="L1756" s="135">
        <v>2.2009705581087599E-2</v>
      </c>
      <c r="M1756" s="135">
        <v>3.1615965839039403E-2</v>
      </c>
      <c r="N1756" s="135">
        <v>5.5257986517302897E-2</v>
      </c>
      <c r="O1756" s="135">
        <v>7.2045354380560006E-2</v>
      </c>
      <c r="P1756" s="135">
        <v>8.0777097351997798E-2</v>
      </c>
      <c r="Q1756" s="135">
        <v>7.8779942879803999E-2</v>
      </c>
      <c r="R1756" s="135">
        <v>6.7839090157574097E-2</v>
      </c>
      <c r="S1756" s="135">
        <v>5.2090622227560002E-2</v>
      </c>
      <c r="T1756" s="135">
        <v>4.3790795909337203E-2</v>
      </c>
      <c r="U1756" s="135">
        <v>4.2253902234682998E-2</v>
      </c>
      <c r="V1756" s="135">
        <v>4.3817062782733E-2</v>
      </c>
      <c r="W1756" s="135">
        <v>4.9882965506830301E-2</v>
      </c>
      <c r="X1756" s="135">
        <v>5.22139681915968E-2</v>
      </c>
      <c r="Y1756" s="135">
        <v>5.72865582831057E-2</v>
      </c>
      <c r="Z1756" s="135">
        <v>5.3143981166714503E-2</v>
      </c>
      <c r="AA1756" s="135">
        <v>4.6527009601664303E-2</v>
      </c>
      <c r="AB1756" s="135">
        <v>4.1565732763832797E-2</v>
      </c>
      <c r="AC1756" s="135">
        <v>2.81501184507593E-2</v>
      </c>
      <c r="AD1756" s="135">
        <v>1.9884657304084601E-2</v>
      </c>
      <c r="AF1756" s="243">
        <f t="shared" si="31"/>
        <v>0.37845438169852164</v>
      </c>
      <c r="AG1756" s="275">
        <f t="shared" si="32"/>
        <v>0.42702097325705379</v>
      </c>
      <c r="AH1756" s="391">
        <f t="shared" si="33"/>
        <v>0.60543672129415294</v>
      </c>
      <c r="AI1756" s="135">
        <f t="shared" si="34"/>
        <v>1.0324576945512067</v>
      </c>
    </row>
    <row r="1757" spans="1:35" ht="12.6">
      <c r="A1757" s="10" t="s">
        <v>58</v>
      </c>
      <c r="B1757" s="10">
        <v>296</v>
      </c>
      <c r="C1757" s="10" t="s">
        <v>1515</v>
      </c>
      <c r="D1757" s="388">
        <v>45222</v>
      </c>
      <c r="E1757" s="389">
        <v>45222</v>
      </c>
      <c r="F1757" s="390" t="str">
        <f t="shared" si="30"/>
        <v>Water heating</v>
      </c>
      <c r="G1757" s="135">
        <v>1.8023380941015198E-2</v>
      </c>
      <c r="H1757" s="135">
        <v>1.7437284884137001E-2</v>
      </c>
      <c r="I1757" s="135">
        <v>1.3924288831905701E-2</v>
      </c>
      <c r="J1757" s="135">
        <v>2.1911478334890599E-2</v>
      </c>
      <c r="K1757" s="135">
        <v>3.2170781734296799E-2</v>
      </c>
      <c r="L1757" s="135">
        <v>6.1466017438899602E-2</v>
      </c>
      <c r="M1757" s="135">
        <v>0.104371225719738</v>
      </c>
      <c r="N1757" s="135">
        <v>9.41452251778261E-2</v>
      </c>
      <c r="O1757" s="135">
        <v>6.2047694398215697E-2</v>
      </c>
      <c r="P1757" s="135">
        <v>4.6517399382564398E-2</v>
      </c>
      <c r="Q1757" s="135">
        <v>4.8076729267419002E-2</v>
      </c>
      <c r="R1757" s="135">
        <v>4.0992084102811403E-2</v>
      </c>
      <c r="S1757" s="135">
        <v>3.0024873217214799E-2</v>
      </c>
      <c r="T1757" s="135">
        <v>2.4597254598098701E-2</v>
      </c>
      <c r="U1757" s="135">
        <v>2.3269815809137999E-2</v>
      </c>
      <c r="V1757" s="135">
        <v>2.6430524453741298E-2</v>
      </c>
      <c r="W1757" s="135">
        <v>3.7758403562643698E-2</v>
      </c>
      <c r="X1757" s="135">
        <v>5.6154443526283397E-2</v>
      </c>
      <c r="Y1757" s="135">
        <v>6.1948692548018602E-2</v>
      </c>
      <c r="Z1757" s="135">
        <v>5.7517025778521101E-2</v>
      </c>
      <c r="AA1757" s="135">
        <v>5.3769129995412397E-2</v>
      </c>
      <c r="AB1757" s="135">
        <v>4.3674975728680898E-2</v>
      </c>
      <c r="AC1757" s="135">
        <v>2.8386202239524701E-2</v>
      </c>
      <c r="AD1757" s="135">
        <v>2.01632563016995E-2</v>
      </c>
      <c r="AF1757" s="243">
        <f t="shared" si="31"/>
        <v>0.23114968501106692</v>
      </c>
      <c r="AG1757" s="275">
        <f t="shared" si="32"/>
        <v>0.45993478806694377</v>
      </c>
      <c r="AH1757" s="391">
        <f t="shared" si="33"/>
        <v>0.56484339990575294</v>
      </c>
      <c r="AI1757" s="135">
        <f t="shared" si="34"/>
        <v>1.0247781879726967</v>
      </c>
    </row>
    <row r="1758" spans="1:35" ht="12.6">
      <c r="A1758" s="10" t="s">
        <v>58</v>
      </c>
      <c r="B1758" s="10">
        <v>297</v>
      </c>
      <c r="C1758" s="10" t="s">
        <v>1515</v>
      </c>
      <c r="D1758" s="388">
        <v>45223</v>
      </c>
      <c r="E1758" s="389">
        <v>45223</v>
      </c>
      <c r="F1758" s="390" t="str">
        <f t="shared" si="30"/>
        <v>Water heating</v>
      </c>
      <c r="G1758" s="135">
        <v>1.8023380941015198E-2</v>
      </c>
      <c r="H1758" s="135">
        <v>1.7437284884137001E-2</v>
      </c>
      <c r="I1758" s="135">
        <v>1.3924288831905701E-2</v>
      </c>
      <c r="J1758" s="135">
        <v>2.1911478334890599E-2</v>
      </c>
      <c r="K1758" s="135">
        <v>3.2170781734296799E-2</v>
      </c>
      <c r="L1758" s="135">
        <v>6.1466017438899602E-2</v>
      </c>
      <c r="M1758" s="135">
        <v>0.104371225719738</v>
      </c>
      <c r="N1758" s="135">
        <v>9.41452251778261E-2</v>
      </c>
      <c r="O1758" s="135">
        <v>6.2047694398215697E-2</v>
      </c>
      <c r="P1758" s="135">
        <v>4.6517399382564398E-2</v>
      </c>
      <c r="Q1758" s="135">
        <v>4.8076729267419002E-2</v>
      </c>
      <c r="R1758" s="135">
        <v>4.0992084102811403E-2</v>
      </c>
      <c r="S1758" s="135">
        <v>3.0024873217214799E-2</v>
      </c>
      <c r="T1758" s="135">
        <v>2.4597254598098701E-2</v>
      </c>
      <c r="U1758" s="135">
        <v>2.3269815809137999E-2</v>
      </c>
      <c r="V1758" s="135">
        <v>2.6430524453741298E-2</v>
      </c>
      <c r="W1758" s="135">
        <v>3.7758403562643698E-2</v>
      </c>
      <c r="X1758" s="135">
        <v>5.6154443526283397E-2</v>
      </c>
      <c r="Y1758" s="135">
        <v>6.1948692548018602E-2</v>
      </c>
      <c r="Z1758" s="135">
        <v>5.7517025778521101E-2</v>
      </c>
      <c r="AA1758" s="135">
        <v>5.3769129995412397E-2</v>
      </c>
      <c r="AB1758" s="135">
        <v>4.3674975728680898E-2</v>
      </c>
      <c r="AC1758" s="135">
        <v>2.8386202239524701E-2</v>
      </c>
      <c r="AD1758" s="135">
        <v>2.01632563016995E-2</v>
      </c>
      <c r="AF1758" s="243">
        <f t="shared" si="31"/>
        <v>0.23114968501106692</v>
      </c>
      <c r="AG1758" s="275">
        <f t="shared" si="32"/>
        <v>0.45993478806694377</v>
      </c>
      <c r="AH1758" s="391">
        <f t="shared" si="33"/>
        <v>0.56484339990575294</v>
      </c>
      <c r="AI1758" s="135">
        <f t="shared" si="34"/>
        <v>1.0247781879726967</v>
      </c>
    </row>
    <row r="1759" spans="1:35" ht="12.6">
      <c r="A1759" s="10" t="s">
        <v>58</v>
      </c>
      <c r="B1759" s="10">
        <v>298</v>
      </c>
      <c r="C1759" s="10" t="s">
        <v>1515</v>
      </c>
      <c r="D1759" s="388">
        <v>45224</v>
      </c>
      <c r="E1759" s="389">
        <v>45224</v>
      </c>
      <c r="F1759" s="390" t="str">
        <f t="shared" si="30"/>
        <v>Water heating</v>
      </c>
      <c r="G1759" s="135">
        <v>1.8023380941015198E-2</v>
      </c>
      <c r="H1759" s="135">
        <v>1.7437284884137001E-2</v>
      </c>
      <c r="I1759" s="135">
        <v>1.3924288831905701E-2</v>
      </c>
      <c r="J1759" s="135">
        <v>2.1911478334890599E-2</v>
      </c>
      <c r="K1759" s="135">
        <v>3.2170781734296799E-2</v>
      </c>
      <c r="L1759" s="135">
        <v>6.1466017438899602E-2</v>
      </c>
      <c r="M1759" s="135">
        <v>0.104371225719738</v>
      </c>
      <c r="N1759" s="135">
        <v>9.41452251778261E-2</v>
      </c>
      <c r="O1759" s="135">
        <v>6.2047694398215697E-2</v>
      </c>
      <c r="P1759" s="135">
        <v>4.6517399382564398E-2</v>
      </c>
      <c r="Q1759" s="135">
        <v>4.8076729267419002E-2</v>
      </c>
      <c r="R1759" s="135">
        <v>4.0992084102811403E-2</v>
      </c>
      <c r="S1759" s="135">
        <v>3.0024873217214799E-2</v>
      </c>
      <c r="T1759" s="135">
        <v>2.4597254598098701E-2</v>
      </c>
      <c r="U1759" s="135">
        <v>2.3269815809137999E-2</v>
      </c>
      <c r="V1759" s="135">
        <v>2.6430524453741298E-2</v>
      </c>
      <c r="W1759" s="135">
        <v>3.7758403562643698E-2</v>
      </c>
      <c r="X1759" s="135">
        <v>5.6154443526283397E-2</v>
      </c>
      <c r="Y1759" s="135">
        <v>6.1948692548018602E-2</v>
      </c>
      <c r="Z1759" s="135">
        <v>5.7517025778521101E-2</v>
      </c>
      <c r="AA1759" s="135">
        <v>5.3769129995412397E-2</v>
      </c>
      <c r="AB1759" s="135">
        <v>4.3674975728680898E-2</v>
      </c>
      <c r="AC1759" s="135">
        <v>2.8386202239524701E-2</v>
      </c>
      <c r="AD1759" s="135">
        <v>2.01632563016995E-2</v>
      </c>
      <c r="AF1759" s="243">
        <f t="shared" si="31"/>
        <v>0.23114968501106692</v>
      </c>
      <c r="AG1759" s="275">
        <f t="shared" si="32"/>
        <v>0.45993478806694377</v>
      </c>
      <c r="AH1759" s="391">
        <f t="shared" si="33"/>
        <v>0.56484339990575294</v>
      </c>
      <c r="AI1759" s="135">
        <f t="shared" si="34"/>
        <v>1.0247781879726967</v>
      </c>
    </row>
    <row r="1760" spans="1:35" ht="12.6">
      <c r="A1760" s="10" t="s">
        <v>58</v>
      </c>
      <c r="B1760" s="10">
        <v>299</v>
      </c>
      <c r="C1760" s="10" t="s">
        <v>1515</v>
      </c>
      <c r="D1760" s="388">
        <v>45225</v>
      </c>
      <c r="E1760" s="389">
        <v>45225</v>
      </c>
      <c r="F1760" s="390" t="str">
        <f t="shared" si="30"/>
        <v>Water heating</v>
      </c>
      <c r="G1760" s="135">
        <v>1.8023380941015198E-2</v>
      </c>
      <c r="H1760" s="135">
        <v>1.7437284884137001E-2</v>
      </c>
      <c r="I1760" s="135">
        <v>1.3924288831905701E-2</v>
      </c>
      <c r="J1760" s="135">
        <v>2.1911478334890599E-2</v>
      </c>
      <c r="K1760" s="135">
        <v>3.2170781734296799E-2</v>
      </c>
      <c r="L1760" s="135">
        <v>6.1466017438899602E-2</v>
      </c>
      <c r="M1760" s="135">
        <v>0.104371225719738</v>
      </c>
      <c r="N1760" s="135">
        <v>9.41452251778261E-2</v>
      </c>
      <c r="O1760" s="135">
        <v>6.2047694398215697E-2</v>
      </c>
      <c r="P1760" s="135">
        <v>4.6517399382564398E-2</v>
      </c>
      <c r="Q1760" s="135">
        <v>4.8076729267419002E-2</v>
      </c>
      <c r="R1760" s="135">
        <v>4.0992084102811403E-2</v>
      </c>
      <c r="S1760" s="135">
        <v>3.0024873217214799E-2</v>
      </c>
      <c r="T1760" s="135">
        <v>2.4597254598098701E-2</v>
      </c>
      <c r="U1760" s="135">
        <v>2.3269815809137999E-2</v>
      </c>
      <c r="V1760" s="135">
        <v>2.6430524453741298E-2</v>
      </c>
      <c r="W1760" s="135">
        <v>3.7758403562643698E-2</v>
      </c>
      <c r="X1760" s="135">
        <v>5.6154443526283397E-2</v>
      </c>
      <c r="Y1760" s="135">
        <v>6.1948692548018602E-2</v>
      </c>
      <c r="Z1760" s="135">
        <v>5.7517025778521101E-2</v>
      </c>
      <c r="AA1760" s="135">
        <v>5.3769129995412397E-2</v>
      </c>
      <c r="AB1760" s="135">
        <v>4.3674975728680898E-2</v>
      </c>
      <c r="AC1760" s="135">
        <v>2.8386202239524701E-2</v>
      </c>
      <c r="AD1760" s="135">
        <v>2.01632563016995E-2</v>
      </c>
      <c r="AF1760" s="243">
        <f t="shared" si="31"/>
        <v>0.23114968501106692</v>
      </c>
      <c r="AG1760" s="275">
        <f t="shared" si="32"/>
        <v>0.45993478806694377</v>
      </c>
      <c r="AH1760" s="391">
        <f t="shared" si="33"/>
        <v>0.56484339990575294</v>
      </c>
      <c r="AI1760" s="135">
        <f t="shared" si="34"/>
        <v>1.0247781879726967</v>
      </c>
    </row>
    <row r="1761" spans="1:35" ht="12.6">
      <c r="A1761" s="10" t="s">
        <v>58</v>
      </c>
      <c r="B1761" s="10">
        <v>300</v>
      </c>
      <c r="C1761" s="10" t="s">
        <v>1515</v>
      </c>
      <c r="D1761" s="388">
        <v>45226</v>
      </c>
      <c r="E1761" s="389">
        <v>45226</v>
      </c>
      <c r="F1761" s="390" t="str">
        <f t="shared" si="30"/>
        <v>Water heating</v>
      </c>
      <c r="G1761" s="135">
        <v>1.8023380941015198E-2</v>
      </c>
      <c r="H1761" s="135">
        <v>1.7437284884137001E-2</v>
      </c>
      <c r="I1761" s="135">
        <v>1.3924288831905701E-2</v>
      </c>
      <c r="J1761" s="135">
        <v>2.1911478334890599E-2</v>
      </c>
      <c r="K1761" s="135">
        <v>3.2170781734296799E-2</v>
      </c>
      <c r="L1761" s="135">
        <v>6.1466017438899602E-2</v>
      </c>
      <c r="M1761" s="135">
        <v>0.104371225719738</v>
      </c>
      <c r="N1761" s="135">
        <v>9.41452251778261E-2</v>
      </c>
      <c r="O1761" s="135">
        <v>6.2047694398215697E-2</v>
      </c>
      <c r="P1761" s="135">
        <v>4.6517399382564398E-2</v>
      </c>
      <c r="Q1761" s="135">
        <v>4.8076729267419002E-2</v>
      </c>
      <c r="R1761" s="135">
        <v>4.0992084102811403E-2</v>
      </c>
      <c r="S1761" s="135">
        <v>3.0024873217214799E-2</v>
      </c>
      <c r="T1761" s="135">
        <v>2.4597254598098701E-2</v>
      </c>
      <c r="U1761" s="135">
        <v>2.3269815809137999E-2</v>
      </c>
      <c r="V1761" s="135">
        <v>2.6430524453741298E-2</v>
      </c>
      <c r="W1761" s="135">
        <v>3.7758403562643698E-2</v>
      </c>
      <c r="X1761" s="135">
        <v>5.6154443526283397E-2</v>
      </c>
      <c r="Y1761" s="135">
        <v>6.1948692548018602E-2</v>
      </c>
      <c r="Z1761" s="135">
        <v>5.7517025778521101E-2</v>
      </c>
      <c r="AA1761" s="135">
        <v>5.3769129995412397E-2</v>
      </c>
      <c r="AB1761" s="135">
        <v>4.3674975728680898E-2</v>
      </c>
      <c r="AC1761" s="135">
        <v>2.8386202239524701E-2</v>
      </c>
      <c r="AD1761" s="135">
        <v>2.01632563016995E-2</v>
      </c>
      <c r="AF1761" s="243">
        <f t="shared" si="31"/>
        <v>0.23114968501106692</v>
      </c>
      <c r="AG1761" s="275">
        <f t="shared" si="32"/>
        <v>0.45993478806694377</v>
      </c>
      <c r="AH1761" s="391">
        <f t="shared" si="33"/>
        <v>0.56484339990575294</v>
      </c>
      <c r="AI1761" s="135">
        <f t="shared" si="34"/>
        <v>1.0247781879726967</v>
      </c>
    </row>
    <row r="1762" spans="1:35" ht="12.6">
      <c r="A1762" s="10" t="s">
        <v>58</v>
      </c>
      <c r="B1762" s="10">
        <v>301</v>
      </c>
      <c r="C1762" s="10" t="s">
        <v>1515</v>
      </c>
      <c r="D1762" s="388">
        <v>45227</v>
      </c>
      <c r="E1762" s="389">
        <v>45227</v>
      </c>
      <c r="F1762" s="390" t="str">
        <f t="shared" si="30"/>
        <v>Water heating</v>
      </c>
      <c r="G1762" s="135">
        <v>1.7183885350872501E-2</v>
      </c>
      <c r="H1762" s="135">
        <v>1.59011345186259E-2</v>
      </c>
      <c r="I1762" s="135">
        <v>1.4115632768602299E-2</v>
      </c>
      <c r="J1762" s="135">
        <v>2.01090464103275E-2</v>
      </c>
      <c r="K1762" s="135">
        <v>2.6215478372511501E-2</v>
      </c>
      <c r="L1762" s="135">
        <v>2.2009705581087599E-2</v>
      </c>
      <c r="M1762" s="135">
        <v>3.1615965839039403E-2</v>
      </c>
      <c r="N1762" s="135">
        <v>5.5257986517302897E-2</v>
      </c>
      <c r="O1762" s="135">
        <v>7.2045354380560006E-2</v>
      </c>
      <c r="P1762" s="135">
        <v>8.0777097351997798E-2</v>
      </c>
      <c r="Q1762" s="135">
        <v>7.8779942879803999E-2</v>
      </c>
      <c r="R1762" s="135">
        <v>6.7839090157574097E-2</v>
      </c>
      <c r="S1762" s="135">
        <v>5.2090622227560002E-2</v>
      </c>
      <c r="T1762" s="135">
        <v>4.3790795909337203E-2</v>
      </c>
      <c r="U1762" s="135">
        <v>4.2253902234682998E-2</v>
      </c>
      <c r="V1762" s="135">
        <v>4.3817062782733E-2</v>
      </c>
      <c r="W1762" s="135">
        <v>4.9882965506830301E-2</v>
      </c>
      <c r="X1762" s="135">
        <v>5.22139681915968E-2</v>
      </c>
      <c r="Y1762" s="135">
        <v>5.72865582831057E-2</v>
      </c>
      <c r="Z1762" s="135">
        <v>5.3143981166714503E-2</v>
      </c>
      <c r="AA1762" s="135">
        <v>4.6527009601664303E-2</v>
      </c>
      <c r="AB1762" s="135">
        <v>4.1565732763832797E-2</v>
      </c>
      <c r="AC1762" s="135">
        <v>2.81501184507593E-2</v>
      </c>
      <c r="AD1762" s="135">
        <v>1.9884657304084601E-2</v>
      </c>
      <c r="AF1762" s="243">
        <f t="shared" si="31"/>
        <v>0.37845438169852164</v>
      </c>
      <c r="AG1762" s="275">
        <f t="shared" si="32"/>
        <v>0.42702097325705379</v>
      </c>
      <c r="AH1762" s="391">
        <f t="shared" si="33"/>
        <v>0.60543672129415294</v>
      </c>
      <c r="AI1762" s="135">
        <f t="shared" si="34"/>
        <v>1.0324576945512067</v>
      </c>
    </row>
    <row r="1763" spans="1:35" ht="12.6">
      <c r="A1763" s="10" t="s">
        <v>58</v>
      </c>
      <c r="B1763" s="10">
        <v>302</v>
      </c>
      <c r="C1763" s="10" t="s">
        <v>1515</v>
      </c>
      <c r="D1763" s="388">
        <v>45228</v>
      </c>
      <c r="E1763" s="389">
        <v>45228</v>
      </c>
      <c r="F1763" s="390" t="str">
        <f t="shared" si="30"/>
        <v>Water heating</v>
      </c>
      <c r="G1763" s="135">
        <v>1.7183885350872501E-2</v>
      </c>
      <c r="H1763" s="135">
        <v>1.59011345186259E-2</v>
      </c>
      <c r="I1763" s="135">
        <v>1.4115632768602299E-2</v>
      </c>
      <c r="J1763" s="135">
        <v>2.01090464103275E-2</v>
      </c>
      <c r="K1763" s="135">
        <v>2.6215478372511501E-2</v>
      </c>
      <c r="L1763" s="135">
        <v>2.2009705581087599E-2</v>
      </c>
      <c r="M1763" s="135">
        <v>3.1615965839039403E-2</v>
      </c>
      <c r="N1763" s="135">
        <v>5.5257986517302897E-2</v>
      </c>
      <c r="O1763" s="135">
        <v>7.2045354380560006E-2</v>
      </c>
      <c r="P1763" s="135">
        <v>8.0777097351997798E-2</v>
      </c>
      <c r="Q1763" s="135">
        <v>7.8779942879803999E-2</v>
      </c>
      <c r="R1763" s="135">
        <v>6.7839090157574097E-2</v>
      </c>
      <c r="S1763" s="135">
        <v>5.2090622227560002E-2</v>
      </c>
      <c r="T1763" s="135">
        <v>4.3790795909337203E-2</v>
      </c>
      <c r="U1763" s="135">
        <v>4.2253902234682998E-2</v>
      </c>
      <c r="V1763" s="135">
        <v>4.3817062782733E-2</v>
      </c>
      <c r="W1763" s="135">
        <v>4.9882965506830301E-2</v>
      </c>
      <c r="X1763" s="135">
        <v>5.22139681915968E-2</v>
      </c>
      <c r="Y1763" s="135">
        <v>5.72865582831057E-2</v>
      </c>
      <c r="Z1763" s="135">
        <v>5.3143981166714503E-2</v>
      </c>
      <c r="AA1763" s="135">
        <v>4.6527009601664303E-2</v>
      </c>
      <c r="AB1763" s="135">
        <v>4.1565732763832797E-2</v>
      </c>
      <c r="AC1763" s="135">
        <v>2.81501184507593E-2</v>
      </c>
      <c r="AD1763" s="135">
        <v>1.9884657304084601E-2</v>
      </c>
      <c r="AF1763" s="243">
        <f t="shared" si="31"/>
        <v>0.37845438169852164</v>
      </c>
      <c r="AG1763" s="275">
        <f t="shared" si="32"/>
        <v>0.42702097325705379</v>
      </c>
      <c r="AH1763" s="391">
        <f t="shared" si="33"/>
        <v>0.60543672129415294</v>
      </c>
      <c r="AI1763" s="135">
        <f t="shared" si="34"/>
        <v>1.0324576945512067</v>
      </c>
    </row>
    <row r="1764" spans="1:35" ht="12.6">
      <c r="A1764" s="10" t="s">
        <v>58</v>
      </c>
      <c r="B1764" s="10">
        <v>303</v>
      </c>
      <c r="C1764" s="10" t="s">
        <v>1515</v>
      </c>
      <c r="D1764" s="388">
        <v>45229</v>
      </c>
      <c r="E1764" s="389">
        <v>45229</v>
      </c>
      <c r="F1764" s="390" t="str">
        <f t="shared" si="30"/>
        <v>Water heating</v>
      </c>
      <c r="G1764" s="135">
        <v>1.8023380941015198E-2</v>
      </c>
      <c r="H1764" s="135">
        <v>1.7437284884137001E-2</v>
      </c>
      <c r="I1764" s="135">
        <v>1.3924288831905701E-2</v>
      </c>
      <c r="J1764" s="135">
        <v>2.1911478334890599E-2</v>
      </c>
      <c r="K1764" s="135">
        <v>3.2170781734296799E-2</v>
      </c>
      <c r="L1764" s="135">
        <v>6.1466017438899602E-2</v>
      </c>
      <c r="M1764" s="135">
        <v>0.104371225719738</v>
      </c>
      <c r="N1764" s="135">
        <v>9.41452251778261E-2</v>
      </c>
      <c r="O1764" s="135">
        <v>6.2047694398215697E-2</v>
      </c>
      <c r="P1764" s="135">
        <v>4.6517399382564398E-2</v>
      </c>
      <c r="Q1764" s="135">
        <v>4.8076729267419002E-2</v>
      </c>
      <c r="R1764" s="135">
        <v>4.0992084102811403E-2</v>
      </c>
      <c r="S1764" s="135">
        <v>3.0024873217214799E-2</v>
      </c>
      <c r="T1764" s="135">
        <v>2.4597254598098701E-2</v>
      </c>
      <c r="U1764" s="135">
        <v>2.3269815809137999E-2</v>
      </c>
      <c r="V1764" s="135">
        <v>2.6430524453741298E-2</v>
      </c>
      <c r="W1764" s="135">
        <v>3.7758403562643698E-2</v>
      </c>
      <c r="X1764" s="135">
        <v>5.6154443526283397E-2</v>
      </c>
      <c r="Y1764" s="135">
        <v>6.1948692548018602E-2</v>
      </c>
      <c r="Z1764" s="135">
        <v>5.7517025778521101E-2</v>
      </c>
      <c r="AA1764" s="135">
        <v>5.3769129995412397E-2</v>
      </c>
      <c r="AB1764" s="135">
        <v>4.3674975728680898E-2</v>
      </c>
      <c r="AC1764" s="135">
        <v>2.8386202239524701E-2</v>
      </c>
      <c r="AD1764" s="135">
        <v>2.01632563016995E-2</v>
      </c>
      <c r="AF1764" s="243">
        <f t="shared" si="31"/>
        <v>0.23114968501106692</v>
      </c>
      <c r="AG1764" s="275">
        <f t="shared" si="32"/>
        <v>0.45993478806694377</v>
      </c>
      <c r="AH1764" s="391">
        <f t="shared" si="33"/>
        <v>0.56484339990575294</v>
      </c>
      <c r="AI1764" s="135">
        <f t="shared" si="34"/>
        <v>1.0247781879726967</v>
      </c>
    </row>
    <row r="1765" spans="1:35" ht="12.6">
      <c r="A1765" s="10" t="s">
        <v>58</v>
      </c>
      <c r="B1765" s="10">
        <v>304</v>
      </c>
      <c r="C1765" s="10" t="s">
        <v>1515</v>
      </c>
      <c r="D1765" s="388">
        <v>45230</v>
      </c>
      <c r="E1765" s="389">
        <v>45230</v>
      </c>
      <c r="F1765" s="390" t="str">
        <f t="shared" si="30"/>
        <v>Water heating</v>
      </c>
      <c r="G1765" s="135">
        <v>1.8023380941015198E-2</v>
      </c>
      <c r="H1765" s="135">
        <v>1.7437284884137001E-2</v>
      </c>
      <c r="I1765" s="135">
        <v>1.3924288831905701E-2</v>
      </c>
      <c r="J1765" s="135">
        <v>2.1911478334890599E-2</v>
      </c>
      <c r="K1765" s="135">
        <v>3.2170781734296799E-2</v>
      </c>
      <c r="L1765" s="135">
        <v>6.1466017438899602E-2</v>
      </c>
      <c r="M1765" s="135">
        <v>0.104371225719738</v>
      </c>
      <c r="N1765" s="135">
        <v>9.41452251778261E-2</v>
      </c>
      <c r="O1765" s="135">
        <v>6.2047694398215697E-2</v>
      </c>
      <c r="P1765" s="135">
        <v>4.6517399382564398E-2</v>
      </c>
      <c r="Q1765" s="135">
        <v>4.8076729267419002E-2</v>
      </c>
      <c r="R1765" s="135">
        <v>4.0992084102811403E-2</v>
      </c>
      <c r="S1765" s="135">
        <v>3.0024873217214799E-2</v>
      </c>
      <c r="T1765" s="135">
        <v>2.4597254598098701E-2</v>
      </c>
      <c r="U1765" s="135">
        <v>2.3269815809137999E-2</v>
      </c>
      <c r="V1765" s="135">
        <v>2.6430524453741298E-2</v>
      </c>
      <c r="W1765" s="135">
        <v>3.7758403562643698E-2</v>
      </c>
      <c r="X1765" s="135">
        <v>5.6154443526283397E-2</v>
      </c>
      <c r="Y1765" s="135">
        <v>6.1948692548018602E-2</v>
      </c>
      <c r="Z1765" s="135">
        <v>5.7517025778521101E-2</v>
      </c>
      <c r="AA1765" s="135">
        <v>5.3769129995412397E-2</v>
      </c>
      <c r="AB1765" s="135">
        <v>4.3674975728680898E-2</v>
      </c>
      <c r="AC1765" s="135">
        <v>2.8386202239524701E-2</v>
      </c>
      <c r="AD1765" s="135">
        <v>2.01632563016995E-2</v>
      </c>
      <c r="AF1765" s="243">
        <f t="shared" si="31"/>
        <v>0.23114968501106692</v>
      </c>
      <c r="AG1765" s="275">
        <f t="shared" si="32"/>
        <v>0.45993478806694377</v>
      </c>
      <c r="AH1765" s="391">
        <f t="shared" si="33"/>
        <v>0.56484339990575294</v>
      </c>
      <c r="AI1765" s="135">
        <f t="shared" si="34"/>
        <v>1.0247781879726967</v>
      </c>
    </row>
    <row r="1766" spans="1:35" ht="12.6">
      <c r="A1766" s="10" t="s">
        <v>58</v>
      </c>
      <c r="B1766" s="10">
        <v>305</v>
      </c>
      <c r="C1766" s="10" t="s">
        <v>1515</v>
      </c>
      <c r="D1766" s="388">
        <v>45231</v>
      </c>
      <c r="E1766" s="389">
        <v>45231</v>
      </c>
      <c r="F1766" s="390" t="str">
        <f t="shared" si="30"/>
        <v>Water heating</v>
      </c>
      <c r="G1766" s="135">
        <v>1.8023380941015198E-2</v>
      </c>
      <c r="H1766" s="135">
        <v>1.7437284884137001E-2</v>
      </c>
      <c r="I1766" s="135">
        <v>1.3924288831905701E-2</v>
      </c>
      <c r="J1766" s="135">
        <v>2.1911478334890599E-2</v>
      </c>
      <c r="K1766" s="135">
        <v>3.2170781734296799E-2</v>
      </c>
      <c r="L1766" s="135">
        <v>6.1466017438899602E-2</v>
      </c>
      <c r="M1766" s="135">
        <v>0.104371225719738</v>
      </c>
      <c r="N1766" s="135">
        <v>9.41452251778261E-2</v>
      </c>
      <c r="O1766" s="135">
        <v>6.2047694398215697E-2</v>
      </c>
      <c r="P1766" s="135">
        <v>4.6517399382564398E-2</v>
      </c>
      <c r="Q1766" s="135">
        <v>4.8076729267419002E-2</v>
      </c>
      <c r="R1766" s="135">
        <v>4.0992084102811403E-2</v>
      </c>
      <c r="S1766" s="135">
        <v>3.0024873217214799E-2</v>
      </c>
      <c r="T1766" s="135">
        <v>2.4597254598098701E-2</v>
      </c>
      <c r="U1766" s="135">
        <v>2.3269815809137999E-2</v>
      </c>
      <c r="V1766" s="135">
        <v>2.6430524453741298E-2</v>
      </c>
      <c r="W1766" s="135">
        <v>3.7758403562643698E-2</v>
      </c>
      <c r="X1766" s="135">
        <v>5.6154443526283397E-2</v>
      </c>
      <c r="Y1766" s="135">
        <v>6.1948692548018602E-2</v>
      </c>
      <c r="Z1766" s="135">
        <v>5.7517025778521101E-2</v>
      </c>
      <c r="AA1766" s="135">
        <v>5.3769129995412397E-2</v>
      </c>
      <c r="AB1766" s="135">
        <v>4.3674975728680898E-2</v>
      </c>
      <c r="AC1766" s="135">
        <v>2.8386202239524701E-2</v>
      </c>
      <c r="AD1766" s="135">
        <v>2.01632563016995E-2</v>
      </c>
      <c r="AF1766" s="243">
        <f t="shared" si="31"/>
        <v>0.23114968501106692</v>
      </c>
      <c r="AG1766" s="275">
        <f t="shared" si="32"/>
        <v>0.45993478806694377</v>
      </c>
      <c r="AH1766" s="391">
        <f t="shared" si="33"/>
        <v>0.56484339990575294</v>
      </c>
      <c r="AI1766" s="135">
        <f t="shared" si="34"/>
        <v>1.0247781879726967</v>
      </c>
    </row>
    <row r="1767" spans="1:35" ht="12.6">
      <c r="A1767" s="10" t="s">
        <v>58</v>
      </c>
      <c r="B1767" s="10">
        <v>306</v>
      </c>
      <c r="C1767" s="10" t="s">
        <v>1515</v>
      </c>
      <c r="D1767" s="388">
        <v>45232</v>
      </c>
      <c r="E1767" s="389">
        <v>45232</v>
      </c>
      <c r="F1767" s="390" t="str">
        <f t="shared" si="30"/>
        <v>Water heating</v>
      </c>
      <c r="G1767" s="135">
        <v>1.8023380941015198E-2</v>
      </c>
      <c r="H1767" s="135">
        <v>1.7437284884137001E-2</v>
      </c>
      <c r="I1767" s="135">
        <v>1.3924288831905701E-2</v>
      </c>
      <c r="J1767" s="135">
        <v>2.1911478334890599E-2</v>
      </c>
      <c r="K1767" s="135">
        <v>3.2170781734296799E-2</v>
      </c>
      <c r="L1767" s="135">
        <v>6.1466017438899602E-2</v>
      </c>
      <c r="M1767" s="135">
        <v>0.104371225719738</v>
      </c>
      <c r="N1767" s="135">
        <v>9.41452251778261E-2</v>
      </c>
      <c r="O1767" s="135">
        <v>6.2047694398215697E-2</v>
      </c>
      <c r="P1767" s="135">
        <v>4.6517399382564398E-2</v>
      </c>
      <c r="Q1767" s="135">
        <v>4.8076729267419002E-2</v>
      </c>
      <c r="R1767" s="135">
        <v>4.0992084102811403E-2</v>
      </c>
      <c r="S1767" s="135">
        <v>3.0024873217214799E-2</v>
      </c>
      <c r="T1767" s="135">
        <v>2.4597254598098701E-2</v>
      </c>
      <c r="U1767" s="135">
        <v>2.3269815809137999E-2</v>
      </c>
      <c r="V1767" s="135">
        <v>2.6430524453741298E-2</v>
      </c>
      <c r="W1767" s="135">
        <v>3.7758403562643698E-2</v>
      </c>
      <c r="X1767" s="135">
        <v>5.6154443526283397E-2</v>
      </c>
      <c r="Y1767" s="135">
        <v>6.1948692548018602E-2</v>
      </c>
      <c r="Z1767" s="135">
        <v>5.7517025778521101E-2</v>
      </c>
      <c r="AA1767" s="135">
        <v>5.3769129995412397E-2</v>
      </c>
      <c r="AB1767" s="135">
        <v>4.3674975728680898E-2</v>
      </c>
      <c r="AC1767" s="135">
        <v>2.8386202239524701E-2</v>
      </c>
      <c r="AD1767" s="135">
        <v>2.01632563016995E-2</v>
      </c>
      <c r="AF1767" s="243">
        <f t="shared" si="31"/>
        <v>0.23114968501106692</v>
      </c>
      <c r="AG1767" s="275">
        <f t="shared" si="32"/>
        <v>0.45993478806694377</v>
      </c>
      <c r="AH1767" s="391">
        <f t="shared" si="33"/>
        <v>0.56484339990575294</v>
      </c>
      <c r="AI1767" s="135">
        <f t="shared" si="34"/>
        <v>1.0247781879726967</v>
      </c>
    </row>
    <row r="1768" spans="1:35" ht="12.6">
      <c r="A1768" s="10" t="s">
        <v>58</v>
      </c>
      <c r="B1768" s="10">
        <v>307</v>
      </c>
      <c r="C1768" s="10" t="s">
        <v>1515</v>
      </c>
      <c r="D1768" s="388">
        <v>45233</v>
      </c>
      <c r="E1768" s="389">
        <v>45233</v>
      </c>
      <c r="F1768" s="390" t="str">
        <f t="shared" si="30"/>
        <v>Water heating</v>
      </c>
      <c r="G1768" s="135">
        <v>1.8023380941015198E-2</v>
      </c>
      <c r="H1768" s="135">
        <v>1.7437284884137001E-2</v>
      </c>
      <c r="I1768" s="135">
        <v>1.3924288831905701E-2</v>
      </c>
      <c r="J1768" s="135">
        <v>2.1911478334890599E-2</v>
      </c>
      <c r="K1768" s="135">
        <v>3.2170781734296799E-2</v>
      </c>
      <c r="L1768" s="135">
        <v>6.1466017438899602E-2</v>
      </c>
      <c r="M1768" s="135">
        <v>0.104371225719738</v>
      </c>
      <c r="N1768" s="135">
        <v>9.41452251778261E-2</v>
      </c>
      <c r="O1768" s="135">
        <v>6.2047694398215697E-2</v>
      </c>
      <c r="P1768" s="135">
        <v>4.6517399382564398E-2</v>
      </c>
      <c r="Q1768" s="135">
        <v>4.8076729267419002E-2</v>
      </c>
      <c r="R1768" s="135">
        <v>4.0992084102811403E-2</v>
      </c>
      <c r="S1768" s="135">
        <v>3.0024873217214799E-2</v>
      </c>
      <c r="T1768" s="135">
        <v>2.4597254598098701E-2</v>
      </c>
      <c r="U1768" s="135">
        <v>2.3269815809137999E-2</v>
      </c>
      <c r="V1768" s="135">
        <v>2.6430524453741298E-2</v>
      </c>
      <c r="W1768" s="135">
        <v>3.7758403562643698E-2</v>
      </c>
      <c r="X1768" s="135">
        <v>5.6154443526283397E-2</v>
      </c>
      <c r="Y1768" s="135">
        <v>6.1948692548018602E-2</v>
      </c>
      <c r="Z1768" s="135">
        <v>5.7517025778521101E-2</v>
      </c>
      <c r="AA1768" s="135">
        <v>5.3769129995412397E-2</v>
      </c>
      <c r="AB1768" s="135">
        <v>4.3674975728680898E-2</v>
      </c>
      <c r="AC1768" s="135">
        <v>2.8386202239524701E-2</v>
      </c>
      <c r="AD1768" s="135">
        <v>2.01632563016995E-2</v>
      </c>
      <c r="AF1768" s="243">
        <f t="shared" si="31"/>
        <v>0.23114968501106692</v>
      </c>
      <c r="AG1768" s="275">
        <f t="shared" si="32"/>
        <v>0.45993478806694377</v>
      </c>
      <c r="AH1768" s="391">
        <f t="shared" si="33"/>
        <v>0.56484339990575294</v>
      </c>
      <c r="AI1768" s="135">
        <f t="shared" si="34"/>
        <v>1.0247781879726967</v>
      </c>
    </row>
    <row r="1769" spans="1:35" ht="12.6">
      <c r="A1769" s="10" t="s">
        <v>58</v>
      </c>
      <c r="B1769" s="10">
        <v>308</v>
      </c>
      <c r="C1769" s="10" t="s">
        <v>1515</v>
      </c>
      <c r="D1769" s="388">
        <v>45234</v>
      </c>
      <c r="E1769" s="389">
        <v>45234</v>
      </c>
      <c r="F1769" s="390" t="str">
        <f t="shared" si="30"/>
        <v>Water heating</v>
      </c>
      <c r="G1769" s="135">
        <v>1.7183885350872501E-2</v>
      </c>
      <c r="H1769" s="135">
        <v>1.59011345186259E-2</v>
      </c>
      <c r="I1769" s="135">
        <v>1.4115632768602299E-2</v>
      </c>
      <c r="J1769" s="135">
        <v>2.01090464103275E-2</v>
      </c>
      <c r="K1769" s="135">
        <v>2.6215478372511501E-2</v>
      </c>
      <c r="L1769" s="135">
        <v>2.2009705581087599E-2</v>
      </c>
      <c r="M1769" s="135">
        <v>3.1615965839039403E-2</v>
      </c>
      <c r="N1769" s="135">
        <v>5.5257986517302897E-2</v>
      </c>
      <c r="O1769" s="135">
        <v>7.2045354380560006E-2</v>
      </c>
      <c r="P1769" s="135">
        <v>8.0777097351997798E-2</v>
      </c>
      <c r="Q1769" s="135">
        <v>7.8779942879803999E-2</v>
      </c>
      <c r="R1769" s="135">
        <v>6.7839090157574097E-2</v>
      </c>
      <c r="S1769" s="135">
        <v>5.2090622227560002E-2</v>
      </c>
      <c r="T1769" s="135">
        <v>4.3790795909337203E-2</v>
      </c>
      <c r="U1769" s="135">
        <v>4.2253902234682998E-2</v>
      </c>
      <c r="V1769" s="135">
        <v>4.3817062782733E-2</v>
      </c>
      <c r="W1769" s="135">
        <v>4.9882965506830301E-2</v>
      </c>
      <c r="X1769" s="135">
        <v>5.22139681915968E-2</v>
      </c>
      <c r="Y1769" s="135">
        <v>5.72865582831057E-2</v>
      </c>
      <c r="Z1769" s="135">
        <v>5.3143981166714503E-2</v>
      </c>
      <c r="AA1769" s="135">
        <v>4.6527009601664303E-2</v>
      </c>
      <c r="AB1769" s="135">
        <v>4.1565732763832797E-2</v>
      </c>
      <c r="AC1769" s="135">
        <v>2.81501184507593E-2</v>
      </c>
      <c r="AD1769" s="135">
        <v>1.9884657304084601E-2</v>
      </c>
      <c r="AF1769" s="243">
        <f t="shared" si="31"/>
        <v>0.37845438169852164</v>
      </c>
      <c r="AG1769" s="275">
        <f t="shared" si="32"/>
        <v>0.42702097325705379</v>
      </c>
      <c r="AH1769" s="391">
        <f t="shared" si="33"/>
        <v>0.60543672129415294</v>
      </c>
      <c r="AI1769" s="135">
        <f t="shared" si="34"/>
        <v>1.0324576945512067</v>
      </c>
    </row>
    <row r="1770" spans="1:35" ht="12.6">
      <c r="A1770" s="10" t="s">
        <v>58</v>
      </c>
      <c r="B1770" s="10">
        <v>309</v>
      </c>
      <c r="C1770" s="10" t="s">
        <v>1515</v>
      </c>
      <c r="D1770" s="388">
        <v>45235</v>
      </c>
      <c r="E1770" s="389">
        <v>45235</v>
      </c>
      <c r="F1770" s="390" t="str">
        <f t="shared" si="30"/>
        <v>Water heating</v>
      </c>
      <c r="G1770" s="135">
        <v>1.7183885350872501E-2</v>
      </c>
      <c r="H1770" s="135">
        <v>1.59011345186259E-2</v>
      </c>
      <c r="I1770" s="135">
        <v>1.4115632768602299E-2</v>
      </c>
      <c r="J1770" s="135">
        <v>2.01090464103275E-2</v>
      </c>
      <c r="K1770" s="135">
        <v>2.6215478372511501E-2</v>
      </c>
      <c r="L1770" s="135">
        <v>2.2009705581087599E-2</v>
      </c>
      <c r="M1770" s="135">
        <v>3.1615965839039403E-2</v>
      </c>
      <c r="N1770" s="135">
        <v>5.5257986517302897E-2</v>
      </c>
      <c r="O1770" s="135">
        <v>7.2045354380560006E-2</v>
      </c>
      <c r="P1770" s="135">
        <v>8.0777097351997798E-2</v>
      </c>
      <c r="Q1770" s="135">
        <v>7.8779942879803999E-2</v>
      </c>
      <c r="R1770" s="135">
        <v>6.7839090157574097E-2</v>
      </c>
      <c r="S1770" s="135">
        <v>5.2090622227560002E-2</v>
      </c>
      <c r="T1770" s="135">
        <v>4.3790795909337203E-2</v>
      </c>
      <c r="U1770" s="135">
        <v>4.2253902234682998E-2</v>
      </c>
      <c r="V1770" s="135">
        <v>4.3817062782733E-2</v>
      </c>
      <c r="W1770" s="135">
        <v>4.9882965506830301E-2</v>
      </c>
      <c r="X1770" s="135">
        <v>5.22139681915968E-2</v>
      </c>
      <c r="Y1770" s="135">
        <v>5.72865582831057E-2</v>
      </c>
      <c r="Z1770" s="135">
        <v>5.3143981166714503E-2</v>
      </c>
      <c r="AA1770" s="135">
        <v>4.6527009601664303E-2</v>
      </c>
      <c r="AB1770" s="135">
        <v>4.1565732763832797E-2</v>
      </c>
      <c r="AC1770" s="135">
        <v>2.81501184507593E-2</v>
      </c>
      <c r="AD1770" s="135">
        <v>1.9884657304084601E-2</v>
      </c>
      <c r="AF1770" s="243">
        <f t="shared" si="31"/>
        <v>0.37845438169852164</v>
      </c>
      <c r="AG1770" s="275">
        <f t="shared" si="32"/>
        <v>0.42702097325705379</v>
      </c>
      <c r="AH1770" s="391">
        <f t="shared" si="33"/>
        <v>0.60543672129415294</v>
      </c>
      <c r="AI1770" s="135">
        <f t="shared" si="34"/>
        <v>1.0324576945512067</v>
      </c>
    </row>
    <row r="1771" spans="1:35" ht="12.6">
      <c r="A1771" s="10" t="s">
        <v>58</v>
      </c>
      <c r="B1771" s="10">
        <v>310</v>
      </c>
      <c r="C1771" s="10" t="s">
        <v>1515</v>
      </c>
      <c r="D1771" s="388">
        <v>45236</v>
      </c>
      <c r="E1771" s="389">
        <v>45236</v>
      </c>
      <c r="F1771" s="390" t="str">
        <f t="shared" si="30"/>
        <v>Water heating</v>
      </c>
      <c r="G1771" s="135">
        <v>1.8023380941015198E-2</v>
      </c>
      <c r="H1771" s="135">
        <v>1.7437284884137001E-2</v>
      </c>
      <c r="I1771" s="135">
        <v>1.3924288831905701E-2</v>
      </c>
      <c r="J1771" s="135">
        <v>2.1911478334890599E-2</v>
      </c>
      <c r="K1771" s="135">
        <v>3.2170781734296799E-2</v>
      </c>
      <c r="L1771" s="135">
        <v>6.1466017438899602E-2</v>
      </c>
      <c r="M1771" s="135">
        <v>0.104371225719738</v>
      </c>
      <c r="N1771" s="135">
        <v>9.41452251778261E-2</v>
      </c>
      <c r="O1771" s="135">
        <v>6.2047694398215697E-2</v>
      </c>
      <c r="P1771" s="135">
        <v>4.6517399382564398E-2</v>
      </c>
      <c r="Q1771" s="135">
        <v>4.8076729267419002E-2</v>
      </c>
      <c r="R1771" s="135">
        <v>4.0992084102811403E-2</v>
      </c>
      <c r="S1771" s="135">
        <v>3.0024873217214799E-2</v>
      </c>
      <c r="T1771" s="135">
        <v>2.4597254598098701E-2</v>
      </c>
      <c r="U1771" s="135">
        <v>2.3269815809137999E-2</v>
      </c>
      <c r="V1771" s="135">
        <v>2.6430524453741298E-2</v>
      </c>
      <c r="W1771" s="135">
        <v>3.7758403562643698E-2</v>
      </c>
      <c r="X1771" s="135">
        <v>5.6154443526283397E-2</v>
      </c>
      <c r="Y1771" s="135">
        <v>6.1948692548018602E-2</v>
      </c>
      <c r="Z1771" s="135">
        <v>5.7517025778521101E-2</v>
      </c>
      <c r="AA1771" s="135">
        <v>5.3769129995412397E-2</v>
      </c>
      <c r="AB1771" s="135">
        <v>4.3674975728680898E-2</v>
      </c>
      <c r="AC1771" s="135">
        <v>2.8386202239524701E-2</v>
      </c>
      <c r="AD1771" s="135">
        <v>2.01632563016995E-2</v>
      </c>
      <c r="AF1771" s="243">
        <f t="shared" si="31"/>
        <v>0.23114968501106692</v>
      </c>
      <c r="AG1771" s="275">
        <f t="shared" si="32"/>
        <v>0.45993478806694377</v>
      </c>
      <c r="AH1771" s="391">
        <f t="shared" si="33"/>
        <v>0.56484339990575294</v>
      </c>
      <c r="AI1771" s="135">
        <f t="shared" si="34"/>
        <v>1.0247781879726967</v>
      </c>
    </row>
    <row r="1772" spans="1:35" ht="12.6">
      <c r="A1772" s="10" t="s">
        <v>58</v>
      </c>
      <c r="B1772" s="10">
        <v>311</v>
      </c>
      <c r="C1772" s="10" t="s">
        <v>1515</v>
      </c>
      <c r="D1772" s="388">
        <v>45237</v>
      </c>
      <c r="E1772" s="389">
        <v>45237</v>
      </c>
      <c r="F1772" s="390" t="str">
        <f t="shared" si="30"/>
        <v>Water heating</v>
      </c>
      <c r="G1772" s="135">
        <v>1.8023380941015198E-2</v>
      </c>
      <c r="H1772" s="135">
        <v>1.7437284884137001E-2</v>
      </c>
      <c r="I1772" s="135">
        <v>1.3924288831905701E-2</v>
      </c>
      <c r="J1772" s="135">
        <v>2.1911478334890599E-2</v>
      </c>
      <c r="K1772" s="135">
        <v>3.2170781734296799E-2</v>
      </c>
      <c r="L1772" s="135">
        <v>6.1466017438899602E-2</v>
      </c>
      <c r="M1772" s="135">
        <v>0.104371225719738</v>
      </c>
      <c r="N1772" s="135">
        <v>9.41452251778261E-2</v>
      </c>
      <c r="O1772" s="135">
        <v>6.2047694398215697E-2</v>
      </c>
      <c r="P1772" s="135">
        <v>4.6517399382564398E-2</v>
      </c>
      <c r="Q1772" s="135">
        <v>4.8076729267419002E-2</v>
      </c>
      <c r="R1772" s="135">
        <v>4.0992084102811403E-2</v>
      </c>
      <c r="S1772" s="135">
        <v>3.0024873217214799E-2</v>
      </c>
      <c r="T1772" s="135">
        <v>2.4597254598098701E-2</v>
      </c>
      <c r="U1772" s="135">
        <v>2.3269815809137999E-2</v>
      </c>
      <c r="V1772" s="135">
        <v>2.6430524453741298E-2</v>
      </c>
      <c r="W1772" s="135">
        <v>3.7758403562643698E-2</v>
      </c>
      <c r="X1772" s="135">
        <v>5.6154443526283397E-2</v>
      </c>
      <c r="Y1772" s="135">
        <v>6.1948692548018602E-2</v>
      </c>
      <c r="Z1772" s="135">
        <v>5.7517025778521101E-2</v>
      </c>
      <c r="AA1772" s="135">
        <v>5.3769129995412397E-2</v>
      </c>
      <c r="AB1772" s="135">
        <v>4.3674975728680898E-2</v>
      </c>
      <c r="AC1772" s="135">
        <v>2.8386202239524701E-2</v>
      </c>
      <c r="AD1772" s="135">
        <v>2.01632563016995E-2</v>
      </c>
      <c r="AF1772" s="243">
        <f t="shared" si="31"/>
        <v>0.23114968501106692</v>
      </c>
      <c r="AG1772" s="275">
        <f t="shared" si="32"/>
        <v>0.45993478806694377</v>
      </c>
      <c r="AH1772" s="391">
        <f t="shared" si="33"/>
        <v>0.56484339990575294</v>
      </c>
      <c r="AI1772" s="135">
        <f t="shared" si="34"/>
        <v>1.0247781879726967</v>
      </c>
    </row>
    <row r="1773" spans="1:35" ht="12.6">
      <c r="A1773" s="10" t="s">
        <v>58</v>
      </c>
      <c r="B1773" s="10">
        <v>312</v>
      </c>
      <c r="C1773" s="10" t="s">
        <v>1515</v>
      </c>
      <c r="D1773" s="388">
        <v>45238</v>
      </c>
      <c r="E1773" s="389">
        <v>45238</v>
      </c>
      <c r="F1773" s="390" t="str">
        <f t="shared" si="30"/>
        <v>Water heating</v>
      </c>
      <c r="G1773" s="135">
        <v>1.8023380941015198E-2</v>
      </c>
      <c r="H1773" s="135">
        <v>1.7437284884137001E-2</v>
      </c>
      <c r="I1773" s="135">
        <v>1.3924288831905701E-2</v>
      </c>
      <c r="J1773" s="135">
        <v>2.1911478334890599E-2</v>
      </c>
      <c r="K1773" s="135">
        <v>3.2170781734296799E-2</v>
      </c>
      <c r="L1773" s="135">
        <v>6.1466017438899602E-2</v>
      </c>
      <c r="M1773" s="135">
        <v>0.104371225719738</v>
      </c>
      <c r="N1773" s="135">
        <v>9.41452251778261E-2</v>
      </c>
      <c r="O1773" s="135">
        <v>6.2047694398215697E-2</v>
      </c>
      <c r="P1773" s="135">
        <v>4.6517399382564398E-2</v>
      </c>
      <c r="Q1773" s="135">
        <v>4.8076729267419002E-2</v>
      </c>
      <c r="R1773" s="135">
        <v>4.0992084102811403E-2</v>
      </c>
      <c r="S1773" s="135">
        <v>3.0024873217214799E-2</v>
      </c>
      <c r="T1773" s="135">
        <v>2.4597254598098701E-2</v>
      </c>
      <c r="U1773" s="135">
        <v>2.3269815809137999E-2</v>
      </c>
      <c r="V1773" s="135">
        <v>2.6430524453741298E-2</v>
      </c>
      <c r="W1773" s="135">
        <v>3.7758403562643698E-2</v>
      </c>
      <c r="X1773" s="135">
        <v>5.6154443526283397E-2</v>
      </c>
      <c r="Y1773" s="135">
        <v>6.1948692548018602E-2</v>
      </c>
      <c r="Z1773" s="135">
        <v>5.7517025778521101E-2</v>
      </c>
      <c r="AA1773" s="135">
        <v>5.3769129995412397E-2</v>
      </c>
      <c r="AB1773" s="135">
        <v>4.3674975728680898E-2</v>
      </c>
      <c r="AC1773" s="135">
        <v>2.8386202239524701E-2</v>
      </c>
      <c r="AD1773" s="135">
        <v>2.01632563016995E-2</v>
      </c>
      <c r="AF1773" s="243">
        <f t="shared" si="31"/>
        <v>0.23114968501106692</v>
      </c>
      <c r="AG1773" s="275">
        <f t="shared" si="32"/>
        <v>0.45993478806694377</v>
      </c>
      <c r="AH1773" s="391">
        <f t="shared" si="33"/>
        <v>0.56484339990575294</v>
      </c>
      <c r="AI1773" s="135">
        <f t="shared" si="34"/>
        <v>1.0247781879726967</v>
      </c>
    </row>
    <row r="1774" spans="1:35" ht="12.6">
      <c r="A1774" s="10" t="s">
        <v>58</v>
      </c>
      <c r="B1774" s="10">
        <v>313</v>
      </c>
      <c r="C1774" s="10" t="s">
        <v>1515</v>
      </c>
      <c r="D1774" s="388">
        <v>45239</v>
      </c>
      <c r="E1774" s="389">
        <v>45239</v>
      </c>
      <c r="F1774" s="390" t="str">
        <f t="shared" si="30"/>
        <v>Water heating</v>
      </c>
      <c r="G1774" s="135">
        <v>1.8023380941015198E-2</v>
      </c>
      <c r="H1774" s="135">
        <v>1.7437284884137001E-2</v>
      </c>
      <c r="I1774" s="135">
        <v>1.3924288831905701E-2</v>
      </c>
      <c r="J1774" s="135">
        <v>2.1911478334890599E-2</v>
      </c>
      <c r="K1774" s="135">
        <v>3.2170781734296799E-2</v>
      </c>
      <c r="L1774" s="135">
        <v>6.1466017438899602E-2</v>
      </c>
      <c r="M1774" s="135">
        <v>0.104371225719738</v>
      </c>
      <c r="N1774" s="135">
        <v>9.41452251778261E-2</v>
      </c>
      <c r="O1774" s="135">
        <v>6.2047694398215697E-2</v>
      </c>
      <c r="P1774" s="135">
        <v>4.6517399382564398E-2</v>
      </c>
      <c r="Q1774" s="135">
        <v>4.8076729267419002E-2</v>
      </c>
      <c r="R1774" s="135">
        <v>4.0992084102811403E-2</v>
      </c>
      <c r="S1774" s="135">
        <v>3.0024873217214799E-2</v>
      </c>
      <c r="T1774" s="135">
        <v>2.4597254598098701E-2</v>
      </c>
      <c r="U1774" s="135">
        <v>2.3269815809137999E-2</v>
      </c>
      <c r="V1774" s="135">
        <v>2.6430524453741298E-2</v>
      </c>
      <c r="W1774" s="135">
        <v>3.7758403562643698E-2</v>
      </c>
      <c r="X1774" s="135">
        <v>5.6154443526283397E-2</v>
      </c>
      <c r="Y1774" s="135">
        <v>6.1948692548018602E-2</v>
      </c>
      <c r="Z1774" s="135">
        <v>5.7517025778521101E-2</v>
      </c>
      <c r="AA1774" s="135">
        <v>5.3769129995412397E-2</v>
      </c>
      <c r="AB1774" s="135">
        <v>4.3674975728680898E-2</v>
      </c>
      <c r="AC1774" s="135">
        <v>2.8386202239524701E-2</v>
      </c>
      <c r="AD1774" s="135">
        <v>2.01632563016995E-2</v>
      </c>
      <c r="AF1774" s="243">
        <f t="shared" si="31"/>
        <v>0.23114968501106692</v>
      </c>
      <c r="AG1774" s="275">
        <f t="shared" si="32"/>
        <v>0.45993478806694377</v>
      </c>
      <c r="AH1774" s="391">
        <f t="shared" si="33"/>
        <v>0.56484339990575294</v>
      </c>
      <c r="AI1774" s="135">
        <f t="shared" si="34"/>
        <v>1.0247781879726967</v>
      </c>
    </row>
    <row r="1775" spans="1:35" ht="12.6">
      <c r="A1775" s="10" t="s">
        <v>58</v>
      </c>
      <c r="B1775" s="10">
        <v>314</v>
      </c>
      <c r="C1775" s="10" t="s">
        <v>1515</v>
      </c>
      <c r="D1775" s="388">
        <v>45240</v>
      </c>
      <c r="E1775" s="389">
        <v>45240</v>
      </c>
      <c r="F1775" s="390" t="str">
        <f t="shared" si="30"/>
        <v>Water heating</v>
      </c>
      <c r="G1775" s="135">
        <v>1.8023380941015198E-2</v>
      </c>
      <c r="H1775" s="135">
        <v>1.7437284884137001E-2</v>
      </c>
      <c r="I1775" s="135">
        <v>1.3924288831905701E-2</v>
      </c>
      <c r="J1775" s="135">
        <v>2.1911478334890599E-2</v>
      </c>
      <c r="K1775" s="135">
        <v>3.2170781734296799E-2</v>
      </c>
      <c r="L1775" s="135">
        <v>6.1466017438899602E-2</v>
      </c>
      <c r="M1775" s="135">
        <v>0.104371225719738</v>
      </c>
      <c r="N1775" s="135">
        <v>9.41452251778261E-2</v>
      </c>
      <c r="O1775" s="135">
        <v>6.2047694398215697E-2</v>
      </c>
      <c r="P1775" s="135">
        <v>4.6517399382564398E-2</v>
      </c>
      <c r="Q1775" s="135">
        <v>4.8076729267419002E-2</v>
      </c>
      <c r="R1775" s="135">
        <v>4.0992084102811403E-2</v>
      </c>
      <c r="S1775" s="135">
        <v>3.0024873217214799E-2</v>
      </c>
      <c r="T1775" s="135">
        <v>2.4597254598098701E-2</v>
      </c>
      <c r="U1775" s="135">
        <v>2.3269815809137999E-2</v>
      </c>
      <c r="V1775" s="135">
        <v>2.6430524453741298E-2</v>
      </c>
      <c r="W1775" s="135">
        <v>3.7758403562643698E-2</v>
      </c>
      <c r="X1775" s="135">
        <v>5.6154443526283397E-2</v>
      </c>
      <c r="Y1775" s="135">
        <v>6.1948692548018602E-2</v>
      </c>
      <c r="Z1775" s="135">
        <v>5.7517025778521101E-2</v>
      </c>
      <c r="AA1775" s="135">
        <v>5.3769129995412397E-2</v>
      </c>
      <c r="AB1775" s="135">
        <v>4.3674975728680898E-2</v>
      </c>
      <c r="AC1775" s="135">
        <v>2.8386202239524701E-2</v>
      </c>
      <c r="AD1775" s="135">
        <v>2.01632563016995E-2</v>
      </c>
      <c r="AF1775" s="243">
        <f t="shared" si="31"/>
        <v>0.23114968501106692</v>
      </c>
      <c r="AG1775" s="275">
        <f t="shared" si="32"/>
        <v>0.45993478806694377</v>
      </c>
      <c r="AH1775" s="391">
        <f t="shared" si="33"/>
        <v>0.56484339990575294</v>
      </c>
      <c r="AI1775" s="135">
        <f t="shared" si="34"/>
        <v>1.0247781879726967</v>
      </c>
    </row>
    <row r="1776" spans="1:35" ht="12.6">
      <c r="A1776" s="10" t="s">
        <v>58</v>
      </c>
      <c r="B1776" s="10">
        <v>315</v>
      </c>
      <c r="C1776" s="10" t="s">
        <v>1515</v>
      </c>
      <c r="D1776" s="388">
        <v>45241</v>
      </c>
      <c r="E1776" s="389">
        <v>45241</v>
      </c>
      <c r="F1776" s="390" t="str">
        <f t="shared" si="30"/>
        <v>Water heating</v>
      </c>
      <c r="G1776" s="135">
        <v>1.7183885350872501E-2</v>
      </c>
      <c r="H1776" s="135">
        <v>1.59011345186259E-2</v>
      </c>
      <c r="I1776" s="135">
        <v>1.4115632768602299E-2</v>
      </c>
      <c r="J1776" s="135">
        <v>2.01090464103275E-2</v>
      </c>
      <c r="K1776" s="135">
        <v>2.6215478372511501E-2</v>
      </c>
      <c r="L1776" s="135">
        <v>2.2009705581087599E-2</v>
      </c>
      <c r="M1776" s="135">
        <v>3.1615965839039403E-2</v>
      </c>
      <c r="N1776" s="135">
        <v>5.5257986517302897E-2</v>
      </c>
      <c r="O1776" s="135">
        <v>7.2045354380560006E-2</v>
      </c>
      <c r="P1776" s="135">
        <v>8.0777097351997798E-2</v>
      </c>
      <c r="Q1776" s="135">
        <v>7.8779942879803999E-2</v>
      </c>
      <c r="R1776" s="135">
        <v>6.7839090157574097E-2</v>
      </c>
      <c r="S1776" s="135">
        <v>5.2090622227560002E-2</v>
      </c>
      <c r="T1776" s="135">
        <v>4.3790795909337203E-2</v>
      </c>
      <c r="U1776" s="135">
        <v>4.2253902234682998E-2</v>
      </c>
      <c r="V1776" s="135">
        <v>4.3817062782733E-2</v>
      </c>
      <c r="W1776" s="135">
        <v>4.9882965506830301E-2</v>
      </c>
      <c r="X1776" s="135">
        <v>5.22139681915968E-2</v>
      </c>
      <c r="Y1776" s="135">
        <v>5.72865582831057E-2</v>
      </c>
      <c r="Z1776" s="135">
        <v>5.3143981166714503E-2</v>
      </c>
      <c r="AA1776" s="135">
        <v>4.6527009601664303E-2</v>
      </c>
      <c r="AB1776" s="135">
        <v>4.1565732763832797E-2</v>
      </c>
      <c r="AC1776" s="135">
        <v>2.81501184507593E-2</v>
      </c>
      <c r="AD1776" s="135">
        <v>1.9884657304084601E-2</v>
      </c>
      <c r="AF1776" s="243">
        <f t="shared" si="31"/>
        <v>0.37845438169852164</v>
      </c>
      <c r="AG1776" s="275">
        <f t="shared" si="32"/>
        <v>0.42702097325705379</v>
      </c>
      <c r="AH1776" s="391">
        <f t="shared" si="33"/>
        <v>0.60543672129415294</v>
      </c>
      <c r="AI1776" s="135">
        <f t="shared" si="34"/>
        <v>1.0324576945512067</v>
      </c>
    </row>
    <row r="1777" spans="1:35" ht="12.6">
      <c r="A1777" s="10" t="s">
        <v>58</v>
      </c>
      <c r="B1777" s="10">
        <v>316</v>
      </c>
      <c r="C1777" s="10" t="s">
        <v>1515</v>
      </c>
      <c r="D1777" s="388">
        <v>45242</v>
      </c>
      <c r="E1777" s="389">
        <v>45242</v>
      </c>
      <c r="F1777" s="390" t="str">
        <f t="shared" si="30"/>
        <v>Water heating</v>
      </c>
      <c r="G1777" s="135">
        <v>1.7183885350872501E-2</v>
      </c>
      <c r="H1777" s="135">
        <v>1.59011345186259E-2</v>
      </c>
      <c r="I1777" s="135">
        <v>1.4115632768602299E-2</v>
      </c>
      <c r="J1777" s="135">
        <v>2.01090464103275E-2</v>
      </c>
      <c r="K1777" s="135">
        <v>2.6215478372511501E-2</v>
      </c>
      <c r="L1777" s="135">
        <v>2.2009705581087599E-2</v>
      </c>
      <c r="M1777" s="135">
        <v>3.1615965839039403E-2</v>
      </c>
      <c r="N1777" s="135">
        <v>5.5257986517302897E-2</v>
      </c>
      <c r="O1777" s="135">
        <v>7.2045354380560006E-2</v>
      </c>
      <c r="P1777" s="135">
        <v>8.0777097351997798E-2</v>
      </c>
      <c r="Q1777" s="135">
        <v>7.8779942879803999E-2</v>
      </c>
      <c r="R1777" s="135">
        <v>6.7839090157574097E-2</v>
      </c>
      <c r="S1777" s="135">
        <v>5.2090622227560002E-2</v>
      </c>
      <c r="T1777" s="135">
        <v>4.3790795909337203E-2</v>
      </c>
      <c r="U1777" s="135">
        <v>4.2253902234682998E-2</v>
      </c>
      <c r="V1777" s="135">
        <v>4.3817062782733E-2</v>
      </c>
      <c r="W1777" s="135">
        <v>4.9882965506830301E-2</v>
      </c>
      <c r="X1777" s="135">
        <v>5.22139681915968E-2</v>
      </c>
      <c r="Y1777" s="135">
        <v>5.72865582831057E-2</v>
      </c>
      <c r="Z1777" s="135">
        <v>5.3143981166714503E-2</v>
      </c>
      <c r="AA1777" s="135">
        <v>4.6527009601664303E-2</v>
      </c>
      <c r="AB1777" s="135">
        <v>4.1565732763832797E-2</v>
      </c>
      <c r="AC1777" s="135">
        <v>2.81501184507593E-2</v>
      </c>
      <c r="AD1777" s="135">
        <v>1.9884657304084601E-2</v>
      </c>
      <c r="AF1777" s="243">
        <f t="shared" si="31"/>
        <v>0.37845438169852164</v>
      </c>
      <c r="AG1777" s="275">
        <f t="shared" si="32"/>
        <v>0.42702097325705379</v>
      </c>
      <c r="AH1777" s="391">
        <f t="shared" si="33"/>
        <v>0.60543672129415294</v>
      </c>
      <c r="AI1777" s="135">
        <f t="shared" si="34"/>
        <v>1.0324576945512067</v>
      </c>
    </row>
    <row r="1778" spans="1:35" ht="12.6">
      <c r="A1778" s="10" t="s">
        <v>58</v>
      </c>
      <c r="B1778" s="10">
        <v>317</v>
      </c>
      <c r="C1778" s="10" t="s">
        <v>1515</v>
      </c>
      <c r="D1778" s="388">
        <v>45243</v>
      </c>
      <c r="E1778" s="389">
        <v>45243</v>
      </c>
      <c r="F1778" s="390" t="str">
        <f t="shared" si="30"/>
        <v>Water heating</v>
      </c>
      <c r="G1778" s="135">
        <v>1.8023380941015198E-2</v>
      </c>
      <c r="H1778" s="135">
        <v>1.7437284884137001E-2</v>
      </c>
      <c r="I1778" s="135">
        <v>1.3924288831905701E-2</v>
      </c>
      <c r="J1778" s="135">
        <v>2.1911478334890599E-2</v>
      </c>
      <c r="K1778" s="135">
        <v>3.2170781734296799E-2</v>
      </c>
      <c r="L1778" s="135">
        <v>6.1466017438899602E-2</v>
      </c>
      <c r="M1778" s="135">
        <v>0.104371225719738</v>
      </c>
      <c r="N1778" s="135">
        <v>9.41452251778261E-2</v>
      </c>
      <c r="O1778" s="135">
        <v>6.2047694398215697E-2</v>
      </c>
      <c r="P1778" s="135">
        <v>4.6517399382564398E-2</v>
      </c>
      <c r="Q1778" s="135">
        <v>4.8076729267419002E-2</v>
      </c>
      <c r="R1778" s="135">
        <v>4.0992084102811403E-2</v>
      </c>
      <c r="S1778" s="135">
        <v>3.0024873217214799E-2</v>
      </c>
      <c r="T1778" s="135">
        <v>2.4597254598098701E-2</v>
      </c>
      <c r="U1778" s="135">
        <v>2.3269815809137999E-2</v>
      </c>
      <c r="V1778" s="135">
        <v>2.6430524453741298E-2</v>
      </c>
      <c r="W1778" s="135">
        <v>3.7758403562643698E-2</v>
      </c>
      <c r="X1778" s="135">
        <v>5.6154443526283397E-2</v>
      </c>
      <c r="Y1778" s="135">
        <v>6.1948692548018602E-2</v>
      </c>
      <c r="Z1778" s="135">
        <v>5.7517025778521101E-2</v>
      </c>
      <c r="AA1778" s="135">
        <v>5.3769129995412397E-2</v>
      </c>
      <c r="AB1778" s="135">
        <v>4.3674975728680898E-2</v>
      </c>
      <c r="AC1778" s="135">
        <v>2.8386202239524701E-2</v>
      </c>
      <c r="AD1778" s="135">
        <v>2.01632563016995E-2</v>
      </c>
      <c r="AF1778" s="243">
        <f t="shared" si="31"/>
        <v>0.23114968501106692</v>
      </c>
      <c r="AG1778" s="275">
        <f t="shared" si="32"/>
        <v>0.45993478806694377</v>
      </c>
      <c r="AH1778" s="391">
        <f t="shared" si="33"/>
        <v>0.56484339990575294</v>
      </c>
      <c r="AI1778" s="135">
        <f t="shared" si="34"/>
        <v>1.0247781879726967</v>
      </c>
    </row>
    <row r="1779" spans="1:35" ht="12.6">
      <c r="A1779" s="10" t="s">
        <v>58</v>
      </c>
      <c r="B1779" s="10">
        <v>318</v>
      </c>
      <c r="C1779" s="10" t="s">
        <v>1515</v>
      </c>
      <c r="D1779" s="388">
        <v>45244</v>
      </c>
      <c r="E1779" s="389">
        <v>45244</v>
      </c>
      <c r="F1779" s="390" t="str">
        <f t="shared" si="30"/>
        <v>Water heating</v>
      </c>
      <c r="G1779" s="135">
        <v>1.8023380941015198E-2</v>
      </c>
      <c r="H1779" s="135">
        <v>1.7437284884137001E-2</v>
      </c>
      <c r="I1779" s="135">
        <v>1.3924288831905701E-2</v>
      </c>
      <c r="J1779" s="135">
        <v>2.1911478334890599E-2</v>
      </c>
      <c r="K1779" s="135">
        <v>3.2170781734296799E-2</v>
      </c>
      <c r="L1779" s="135">
        <v>6.1466017438899602E-2</v>
      </c>
      <c r="M1779" s="135">
        <v>0.104371225719738</v>
      </c>
      <c r="N1779" s="135">
        <v>9.41452251778261E-2</v>
      </c>
      <c r="O1779" s="135">
        <v>6.2047694398215697E-2</v>
      </c>
      <c r="P1779" s="135">
        <v>4.6517399382564398E-2</v>
      </c>
      <c r="Q1779" s="135">
        <v>4.8076729267419002E-2</v>
      </c>
      <c r="R1779" s="135">
        <v>4.0992084102811403E-2</v>
      </c>
      <c r="S1779" s="135">
        <v>3.0024873217214799E-2</v>
      </c>
      <c r="T1779" s="135">
        <v>2.4597254598098701E-2</v>
      </c>
      <c r="U1779" s="135">
        <v>2.3269815809137999E-2</v>
      </c>
      <c r="V1779" s="135">
        <v>2.6430524453741298E-2</v>
      </c>
      <c r="W1779" s="135">
        <v>3.7758403562643698E-2</v>
      </c>
      <c r="X1779" s="135">
        <v>5.6154443526283397E-2</v>
      </c>
      <c r="Y1779" s="135">
        <v>6.1948692548018602E-2</v>
      </c>
      <c r="Z1779" s="135">
        <v>5.7517025778521101E-2</v>
      </c>
      <c r="AA1779" s="135">
        <v>5.3769129995412397E-2</v>
      </c>
      <c r="AB1779" s="135">
        <v>4.3674975728680898E-2</v>
      </c>
      <c r="AC1779" s="135">
        <v>2.8386202239524701E-2</v>
      </c>
      <c r="AD1779" s="135">
        <v>2.01632563016995E-2</v>
      </c>
      <c r="AF1779" s="243">
        <f t="shared" si="31"/>
        <v>0.23114968501106692</v>
      </c>
      <c r="AG1779" s="275">
        <f t="shared" si="32"/>
        <v>0.45993478806694377</v>
      </c>
      <c r="AH1779" s="391">
        <f t="shared" si="33"/>
        <v>0.56484339990575294</v>
      </c>
      <c r="AI1779" s="135">
        <f t="shared" si="34"/>
        <v>1.0247781879726967</v>
      </c>
    </row>
    <row r="1780" spans="1:35" ht="12.6">
      <c r="A1780" s="10" t="s">
        <v>58</v>
      </c>
      <c r="B1780" s="10">
        <v>319</v>
      </c>
      <c r="C1780" s="10" t="s">
        <v>1515</v>
      </c>
      <c r="D1780" s="388">
        <v>45245</v>
      </c>
      <c r="E1780" s="389">
        <v>45245</v>
      </c>
      <c r="F1780" s="390" t="str">
        <f t="shared" si="30"/>
        <v>Water heating</v>
      </c>
      <c r="G1780" s="135">
        <v>1.8023380941015198E-2</v>
      </c>
      <c r="H1780" s="135">
        <v>1.7437284884137001E-2</v>
      </c>
      <c r="I1780" s="135">
        <v>1.3924288831905701E-2</v>
      </c>
      <c r="J1780" s="135">
        <v>2.1911478334890599E-2</v>
      </c>
      <c r="K1780" s="135">
        <v>3.2170781734296799E-2</v>
      </c>
      <c r="L1780" s="135">
        <v>6.1466017438899602E-2</v>
      </c>
      <c r="M1780" s="135">
        <v>0.104371225719738</v>
      </c>
      <c r="N1780" s="135">
        <v>9.41452251778261E-2</v>
      </c>
      <c r="O1780" s="135">
        <v>6.2047694398215697E-2</v>
      </c>
      <c r="P1780" s="135">
        <v>4.6517399382564398E-2</v>
      </c>
      <c r="Q1780" s="135">
        <v>4.8076729267419002E-2</v>
      </c>
      <c r="R1780" s="135">
        <v>4.0992084102811403E-2</v>
      </c>
      <c r="S1780" s="135">
        <v>3.0024873217214799E-2</v>
      </c>
      <c r="T1780" s="135">
        <v>2.4597254598098701E-2</v>
      </c>
      <c r="U1780" s="135">
        <v>2.3269815809137999E-2</v>
      </c>
      <c r="V1780" s="135">
        <v>2.6430524453741298E-2</v>
      </c>
      <c r="W1780" s="135">
        <v>3.7758403562643698E-2</v>
      </c>
      <c r="X1780" s="135">
        <v>5.6154443526283397E-2</v>
      </c>
      <c r="Y1780" s="135">
        <v>6.1948692548018602E-2</v>
      </c>
      <c r="Z1780" s="135">
        <v>5.7517025778521101E-2</v>
      </c>
      <c r="AA1780" s="135">
        <v>5.3769129995412397E-2</v>
      </c>
      <c r="AB1780" s="135">
        <v>4.3674975728680898E-2</v>
      </c>
      <c r="AC1780" s="135">
        <v>2.8386202239524701E-2</v>
      </c>
      <c r="AD1780" s="135">
        <v>2.01632563016995E-2</v>
      </c>
      <c r="AF1780" s="243">
        <f t="shared" si="31"/>
        <v>0.23114968501106692</v>
      </c>
      <c r="AG1780" s="275">
        <f t="shared" si="32"/>
        <v>0.45993478806694377</v>
      </c>
      <c r="AH1780" s="391">
        <f t="shared" si="33"/>
        <v>0.56484339990575294</v>
      </c>
      <c r="AI1780" s="135">
        <f t="shared" si="34"/>
        <v>1.0247781879726967</v>
      </c>
    </row>
    <row r="1781" spans="1:35" ht="12.6">
      <c r="A1781" s="10" t="s">
        <v>58</v>
      </c>
      <c r="B1781" s="10">
        <v>320</v>
      </c>
      <c r="C1781" s="10" t="s">
        <v>1515</v>
      </c>
      <c r="D1781" s="388">
        <v>45246</v>
      </c>
      <c r="E1781" s="389">
        <v>45246</v>
      </c>
      <c r="F1781" s="390" t="str">
        <f t="shared" si="30"/>
        <v>Water heating</v>
      </c>
      <c r="G1781" s="135">
        <v>1.8023380941015198E-2</v>
      </c>
      <c r="H1781" s="135">
        <v>1.7437284884137001E-2</v>
      </c>
      <c r="I1781" s="135">
        <v>1.3924288831905701E-2</v>
      </c>
      <c r="J1781" s="135">
        <v>2.1911478334890599E-2</v>
      </c>
      <c r="K1781" s="135">
        <v>3.2170781734296799E-2</v>
      </c>
      <c r="L1781" s="135">
        <v>6.1466017438899602E-2</v>
      </c>
      <c r="M1781" s="135">
        <v>0.104371225719738</v>
      </c>
      <c r="N1781" s="135">
        <v>9.41452251778261E-2</v>
      </c>
      <c r="O1781" s="135">
        <v>6.2047694398215697E-2</v>
      </c>
      <c r="P1781" s="135">
        <v>4.6517399382564398E-2</v>
      </c>
      <c r="Q1781" s="135">
        <v>4.8076729267419002E-2</v>
      </c>
      <c r="R1781" s="135">
        <v>4.0992084102811403E-2</v>
      </c>
      <c r="S1781" s="135">
        <v>3.0024873217214799E-2</v>
      </c>
      <c r="T1781" s="135">
        <v>2.4597254598098701E-2</v>
      </c>
      <c r="U1781" s="135">
        <v>2.3269815809137999E-2</v>
      </c>
      <c r="V1781" s="135">
        <v>2.6430524453741298E-2</v>
      </c>
      <c r="W1781" s="135">
        <v>3.7758403562643698E-2</v>
      </c>
      <c r="X1781" s="135">
        <v>5.6154443526283397E-2</v>
      </c>
      <c r="Y1781" s="135">
        <v>6.1948692548018602E-2</v>
      </c>
      <c r="Z1781" s="135">
        <v>5.7517025778521101E-2</v>
      </c>
      <c r="AA1781" s="135">
        <v>5.3769129995412397E-2</v>
      </c>
      <c r="AB1781" s="135">
        <v>4.3674975728680898E-2</v>
      </c>
      <c r="AC1781" s="135">
        <v>2.8386202239524701E-2</v>
      </c>
      <c r="AD1781" s="135">
        <v>2.01632563016995E-2</v>
      </c>
      <c r="AF1781" s="243">
        <f t="shared" si="31"/>
        <v>0.23114968501106692</v>
      </c>
      <c r="AG1781" s="275">
        <f t="shared" si="32"/>
        <v>0.45993478806694377</v>
      </c>
      <c r="AH1781" s="391">
        <f t="shared" si="33"/>
        <v>0.56484339990575294</v>
      </c>
      <c r="AI1781" s="135">
        <f t="shared" si="34"/>
        <v>1.0247781879726967</v>
      </c>
    </row>
    <row r="1782" spans="1:35" ht="12.6">
      <c r="A1782" s="10" t="s">
        <v>58</v>
      </c>
      <c r="B1782" s="10">
        <v>321</v>
      </c>
      <c r="C1782" s="10" t="s">
        <v>1515</v>
      </c>
      <c r="D1782" s="388">
        <v>45247</v>
      </c>
      <c r="E1782" s="389">
        <v>45247</v>
      </c>
      <c r="F1782" s="390" t="str">
        <f t="shared" si="30"/>
        <v>Water heating</v>
      </c>
      <c r="G1782" s="135">
        <v>1.8023380941015198E-2</v>
      </c>
      <c r="H1782" s="135">
        <v>1.7437284884137001E-2</v>
      </c>
      <c r="I1782" s="135">
        <v>1.3924288831905701E-2</v>
      </c>
      <c r="J1782" s="135">
        <v>2.1911478334890599E-2</v>
      </c>
      <c r="K1782" s="135">
        <v>3.2170781734296799E-2</v>
      </c>
      <c r="L1782" s="135">
        <v>6.1466017438899602E-2</v>
      </c>
      <c r="M1782" s="135">
        <v>0.104371225719738</v>
      </c>
      <c r="N1782" s="135">
        <v>9.41452251778261E-2</v>
      </c>
      <c r="O1782" s="135">
        <v>6.2047694398215697E-2</v>
      </c>
      <c r="P1782" s="135">
        <v>4.6517399382564398E-2</v>
      </c>
      <c r="Q1782" s="135">
        <v>4.8076729267419002E-2</v>
      </c>
      <c r="R1782" s="135">
        <v>4.0992084102811403E-2</v>
      </c>
      <c r="S1782" s="135">
        <v>3.0024873217214799E-2</v>
      </c>
      <c r="T1782" s="135">
        <v>2.4597254598098701E-2</v>
      </c>
      <c r="U1782" s="135">
        <v>2.3269815809137999E-2</v>
      </c>
      <c r="V1782" s="135">
        <v>2.6430524453741298E-2</v>
      </c>
      <c r="W1782" s="135">
        <v>3.7758403562643698E-2</v>
      </c>
      <c r="X1782" s="135">
        <v>5.6154443526283397E-2</v>
      </c>
      <c r="Y1782" s="135">
        <v>6.1948692548018602E-2</v>
      </c>
      <c r="Z1782" s="135">
        <v>5.7517025778521101E-2</v>
      </c>
      <c r="AA1782" s="135">
        <v>5.3769129995412397E-2</v>
      </c>
      <c r="AB1782" s="135">
        <v>4.3674975728680898E-2</v>
      </c>
      <c r="AC1782" s="135">
        <v>2.8386202239524701E-2</v>
      </c>
      <c r="AD1782" s="135">
        <v>2.01632563016995E-2</v>
      </c>
      <c r="AF1782" s="243">
        <f t="shared" si="31"/>
        <v>0.23114968501106692</v>
      </c>
      <c r="AG1782" s="275">
        <f t="shared" si="32"/>
        <v>0.45993478806694377</v>
      </c>
      <c r="AH1782" s="391">
        <f t="shared" si="33"/>
        <v>0.56484339990575294</v>
      </c>
      <c r="AI1782" s="135">
        <f t="shared" si="34"/>
        <v>1.0247781879726967</v>
      </c>
    </row>
    <row r="1783" spans="1:35" ht="12.6">
      <c r="A1783" s="10" t="s">
        <v>58</v>
      </c>
      <c r="B1783" s="10">
        <v>322</v>
      </c>
      <c r="C1783" s="10" t="s">
        <v>1515</v>
      </c>
      <c r="D1783" s="388">
        <v>45248</v>
      </c>
      <c r="E1783" s="389">
        <v>45248</v>
      </c>
      <c r="F1783" s="390" t="str">
        <f t="shared" si="30"/>
        <v>Water heating</v>
      </c>
      <c r="G1783" s="135">
        <v>1.7183885350872501E-2</v>
      </c>
      <c r="H1783" s="135">
        <v>1.59011345186259E-2</v>
      </c>
      <c r="I1783" s="135">
        <v>1.4115632768602299E-2</v>
      </c>
      <c r="J1783" s="135">
        <v>2.01090464103275E-2</v>
      </c>
      <c r="K1783" s="135">
        <v>2.6215478372511501E-2</v>
      </c>
      <c r="L1783" s="135">
        <v>2.2009705581087599E-2</v>
      </c>
      <c r="M1783" s="135">
        <v>3.1615965839039403E-2</v>
      </c>
      <c r="N1783" s="135">
        <v>5.5257986517302897E-2</v>
      </c>
      <c r="O1783" s="135">
        <v>7.2045354380560006E-2</v>
      </c>
      <c r="P1783" s="135">
        <v>8.0777097351997798E-2</v>
      </c>
      <c r="Q1783" s="135">
        <v>7.8779942879803999E-2</v>
      </c>
      <c r="R1783" s="135">
        <v>6.7839090157574097E-2</v>
      </c>
      <c r="S1783" s="135">
        <v>5.2090622227560002E-2</v>
      </c>
      <c r="T1783" s="135">
        <v>4.3790795909337203E-2</v>
      </c>
      <c r="U1783" s="135">
        <v>4.2253902234682998E-2</v>
      </c>
      <c r="V1783" s="135">
        <v>4.3817062782733E-2</v>
      </c>
      <c r="W1783" s="135">
        <v>4.9882965506830301E-2</v>
      </c>
      <c r="X1783" s="135">
        <v>5.22139681915968E-2</v>
      </c>
      <c r="Y1783" s="135">
        <v>5.72865582831057E-2</v>
      </c>
      <c r="Z1783" s="135">
        <v>5.3143981166714503E-2</v>
      </c>
      <c r="AA1783" s="135">
        <v>4.6527009601664303E-2</v>
      </c>
      <c r="AB1783" s="135">
        <v>4.1565732763832797E-2</v>
      </c>
      <c r="AC1783" s="135">
        <v>2.81501184507593E-2</v>
      </c>
      <c r="AD1783" s="135">
        <v>1.9884657304084601E-2</v>
      </c>
      <c r="AF1783" s="243">
        <f t="shared" si="31"/>
        <v>0.37845438169852164</v>
      </c>
      <c r="AG1783" s="275">
        <f t="shared" si="32"/>
        <v>0.42702097325705379</v>
      </c>
      <c r="AH1783" s="391">
        <f t="shared" si="33"/>
        <v>0.60543672129415294</v>
      </c>
      <c r="AI1783" s="135">
        <f t="shared" si="34"/>
        <v>1.0324576945512067</v>
      </c>
    </row>
    <row r="1784" spans="1:35" ht="12.6">
      <c r="A1784" s="10" t="s">
        <v>58</v>
      </c>
      <c r="B1784" s="10">
        <v>323</v>
      </c>
      <c r="C1784" s="10" t="s">
        <v>1515</v>
      </c>
      <c r="D1784" s="388">
        <v>45249</v>
      </c>
      <c r="E1784" s="389">
        <v>45249</v>
      </c>
      <c r="F1784" s="390" t="str">
        <f t="shared" si="30"/>
        <v>Water heating</v>
      </c>
      <c r="G1784" s="135">
        <v>1.7183885350872501E-2</v>
      </c>
      <c r="H1784" s="135">
        <v>1.59011345186259E-2</v>
      </c>
      <c r="I1784" s="135">
        <v>1.4115632768602299E-2</v>
      </c>
      <c r="J1784" s="135">
        <v>2.01090464103275E-2</v>
      </c>
      <c r="K1784" s="135">
        <v>2.6215478372511501E-2</v>
      </c>
      <c r="L1784" s="135">
        <v>2.2009705581087599E-2</v>
      </c>
      <c r="M1784" s="135">
        <v>3.1615965839039403E-2</v>
      </c>
      <c r="N1784" s="135">
        <v>5.5257986517302897E-2</v>
      </c>
      <c r="O1784" s="135">
        <v>7.2045354380560006E-2</v>
      </c>
      <c r="P1784" s="135">
        <v>8.0777097351997798E-2</v>
      </c>
      <c r="Q1784" s="135">
        <v>7.8779942879803999E-2</v>
      </c>
      <c r="R1784" s="135">
        <v>6.7839090157574097E-2</v>
      </c>
      <c r="S1784" s="135">
        <v>5.2090622227560002E-2</v>
      </c>
      <c r="T1784" s="135">
        <v>4.3790795909337203E-2</v>
      </c>
      <c r="U1784" s="135">
        <v>4.2253902234682998E-2</v>
      </c>
      <c r="V1784" s="135">
        <v>4.3817062782733E-2</v>
      </c>
      <c r="W1784" s="135">
        <v>4.9882965506830301E-2</v>
      </c>
      <c r="X1784" s="135">
        <v>5.22139681915968E-2</v>
      </c>
      <c r="Y1784" s="135">
        <v>5.72865582831057E-2</v>
      </c>
      <c r="Z1784" s="135">
        <v>5.3143981166714503E-2</v>
      </c>
      <c r="AA1784" s="135">
        <v>4.6527009601664303E-2</v>
      </c>
      <c r="AB1784" s="135">
        <v>4.1565732763832797E-2</v>
      </c>
      <c r="AC1784" s="135">
        <v>2.81501184507593E-2</v>
      </c>
      <c r="AD1784" s="135">
        <v>1.9884657304084601E-2</v>
      </c>
      <c r="AF1784" s="243">
        <f t="shared" si="31"/>
        <v>0.37845438169852164</v>
      </c>
      <c r="AG1784" s="275">
        <f t="shared" si="32"/>
        <v>0.42702097325705379</v>
      </c>
      <c r="AH1784" s="391">
        <f t="shared" si="33"/>
        <v>0.60543672129415294</v>
      </c>
      <c r="AI1784" s="135">
        <f t="shared" si="34"/>
        <v>1.0324576945512067</v>
      </c>
    </row>
    <row r="1785" spans="1:35" ht="12.6">
      <c r="A1785" s="10" t="s">
        <v>58</v>
      </c>
      <c r="B1785" s="10">
        <v>324</v>
      </c>
      <c r="C1785" s="10" t="s">
        <v>1515</v>
      </c>
      <c r="D1785" s="388">
        <v>45250</v>
      </c>
      <c r="E1785" s="389">
        <v>45250</v>
      </c>
      <c r="F1785" s="390" t="str">
        <f t="shared" si="30"/>
        <v>Water heating</v>
      </c>
      <c r="G1785" s="135">
        <v>1.8023380941015198E-2</v>
      </c>
      <c r="H1785" s="135">
        <v>1.7437284884137001E-2</v>
      </c>
      <c r="I1785" s="135">
        <v>1.3924288831905701E-2</v>
      </c>
      <c r="J1785" s="135">
        <v>2.1911478334890599E-2</v>
      </c>
      <c r="K1785" s="135">
        <v>3.2170781734296799E-2</v>
      </c>
      <c r="L1785" s="135">
        <v>6.1466017438899602E-2</v>
      </c>
      <c r="M1785" s="135">
        <v>0.104371225719738</v>
      </c>
      <c r="N1785" s="135">
        <v>9.41452251778261E-2</v>
      </c>
      <c r="O1785" s="135">
        <v>6.2047694398215697E-2</v>
      </c>
      <c r="P1785" s="135">
        <v>4.6517399382564398E-2</v>
      </c>
      <c r="Q1785" s="135">
        <v>4.8076729267419002E-2</v>
      </c>
      <c r="R1785" s="135">
        <v>4.0992084102811403E-2</v>
      </c>
      <c r="S1785" s="135">
        <v>3.0024873217214799E-2</v>
      </c>
      <c r="T1785" s="135">
        <v>2.4597254598098701E-2</v>
      </c>
      <c r="U1785" s="135">
        <v>2.3269815809137999E-2</v>
      </c>
      <c r="V1785" s="135">
        <v>2.6430524453741298E-2</v>
      </c>
      <c r="W1785" s="135">
        <v>3.7758403562643698E-2</v>
      </c>
      <c r="X1785" s="135">
        <v>5.6154443526283397E-2</v>
      </c>
      <c r="Y1785" s="135">
        <v>6.1948692548018602E-2</v>
      </c>
      <c r="Z1785" s="135">
        <v>5.7517025778521101E-2</v>
      </c>
      <c r="AA1785" s="135">
        <v>5.3769129995412397E-2</v>
      </c>
      <c r="AB1785" s="135">
        <v>4.3674975728680898E-2</v>
      </c>
      <c r="AC1785" s="135">
        <v>2.8386202239524701E-2</v>
      </c>
      <c r="AD1785" s="135">
        <v>2.01632563016995E-2</v>
      </c>
      <c r="AF1785" s="243">
        <f t="shared" si="31"/>
        <v>0.23114968501106692</v>
      </c>
      <c r="AG1785" s="275">
        <f t="shared" si="32"/>
        <v>0.45993478806694377</v>
      </c>
      <c r="AH1785" s="391">
        <f t="shared" si="33"/>
        <v>0.56484339990575294</v>
      </c>
      <c r="AI1785" s="135">
        <f t="shared" si="34"/>
        <v>1.0247781879726967</v>
      </c>
    </row>
    <row r="1786" spans="1:35" ht="12.6">
      <c r="A1786" s="10" t="s">
        <v>58</v>
      </c>
      <c r="B1786" s="10">
        <v>325</v>
      </c>
      <c r="C1786" s="10" t="s">
        <v>1515</v>
      </c>
      <c r="D1786" s="388">
        <v>45251</v>
      </c>
      <c r="E1786" s="389">
        <v>45251</v>
      </c>
      <c r="F1786" s="390" t="str">
        <f t="shared" ref="F1786:F2040" si="35">A1786</f>
        <v>Water heating</v>
      </c>
      <c r="G1786" s="135">
        <v>1.8023380941015198E-2</v>
      </c>
      <c r="H1786" s="135">
        <v>1.7437284884137001E-2</v>
      </c>
      <c r="I1786" s="135">
        <v>1.3924288831905701E-2</v>
      </c>
      <c r="J1786" s="135">
        <v>2.1911478334890599E-2</v>
      </c>
      <c r="K1786" s="135">
        <v>3.2170781734296799E-2</v>
      </c>
      <c r="L1786" s="135">
        <v>6.1466017438899602E-2</v>
      </c>
      <c r="M1786" s="135">
        <v>0.104371225719738</v>
      </c>
      <c r="N1786" s="135">
        <v>9.41452251778261E-2</v>
      </c>
      <c r="O1786" s="135">
        <v>6.2047694398215697E-2</v>
      </c>
      <c r="P1786" s="135">
        <v>4.6517399382564398E-2</v>
      </c>
      <c r="Q1786" s="135">
        <v>4.8076729267419002E-2</v>
      </c>
      <c r="R1786" s="135">
        <v>4.0992084102811403E-2</v>
      </c>
      <c r="S1786" s="135">
        <v>3.0024873217214799E-2</v>
      </c>
      <c r="T1786" s="135">
        <v>2.4597254598098701E-2</v>
      </c>
      <c r="U1786" s="135">
        <v>2.3269815809137999E-2</v>
      </c>
      <c r="V1786" s="135">
        <v>2.6430524453741298E-2</v>
      </c>
      <c r="W1786" s="135">
        <v>3.7758403562643698E-2</v>
      </c>
      <c r="X1786" s="135">
        <v>5.6154443526283397E-2</v>
      </c>
      <c r="Y1786" s="135">
        <v>6.1948692548018602E-2</v>
      </c>
      <c r="Z1786" s="135">
        <v>5.7517025778521101E-2</v>
      </c>
      <c r="AA1786" s="135">
        <v>5.3769129995412397E-2</v>
      </c>
      <c r="AB1786" s="135">
        <v>4.3674975728680898E-2</v>
      </c>
      <c r="AC1786" s="135">
        <v>2.8386202239524701E-2</v>
      </c>
      <c r="AD1786" s="135">
        <v>2.01632563016995E-2</v>
      </c>
      <c r="AF1786" s="243">
        <f t="shared" si="31"/>
        <v>0.23114968501106692</v>
      </c>
      <c r="AG1786" s="275">
        <f t="shared" si="32"/>
        <v>0.45993478806694377</v>
      </c>
      <c r="AH1786" s="391">
        <f t="shared" si="33"/>
        <v>0.56484339990575294</v>
      </c>
      <c r="AI1786" s="135">
        <f t="shared" si="34"/>
        <v>1.0247781879726967</v>
      </c>
    </row>
    <row r="1787" spans="1:35" ht="12.6">
      <c r="A1787" s="10" t="s">
        <v>58</v>
      </c>
      <c r="B1787" s="10">
        <v>326</v>
      </c>
      <c r="C1787" s="10" t="s">
        <v>1515</v>
      </c>
      <c r="D1787" s="388">
        <v>45252</v>
      </c>
      <c r="E1787" s="389">
        <v>45252</v>
      </c>
      <c r="F1787" s="390" t="str">
        <f t="shared" si="35"/>
        <v>Water heating</v>
      </c>
      <c r="G1787" s="135">
        <v>1.8023380941015198E-2</v>
      </c>
      <c r="H1787" s="135">
        <v>1.7437284884137001E-2</v>
      </c>
      <c r="I1787" s="135">
        <v>1.3924288831905701E-2</v>
      </c>
      <c r="J1787" s="135">
        <v>2.1911478334890599E-2</v>
      </c>
      <c r="K1787" s="135">
        <v>3.2170781734296799E-2</v>
      </c>
      <c r="L1787" s="135">
        <v>6.1466017438899602E-2</v>
      </c>
      <c r="M1787" s="135">
        <v>0.104371225719738</v>
      </c>
      <c r="N1787" s="135">
        <v>9.41452251778261E-2</v>
      </c>
      <c r="O1787" s="135">
        <v>6.2047694398215697E-2</v>
      </c>
      <c r="P1787" s="135">
        <v>4.6517399382564398E-2</v>
      </c>
      <c r="Q1787" s="135">
        <v>4.8076729267419002E-2</v>
      </c>
      <c r="R1787" s="135">
        <v>4.0992084102811403E-2</v>
      </c>
      <c r="S1787" s="135">
        <v>3.0024873217214799E-2</v>
      </c>
      <c r="T1787" s="135">
        <v>2.4597254598098701E-2</v>
      </c>
      <c r="U1787" s="135">
        <v>2.3269815809137999E-2</v>
      </c>
      <c r="V1787" s="135">
        <v>2.6430524453741298E-2</v>
      </c>
      <c r="W1787" s="135">
        <v>3.7758403562643698E-2</v>
      </c>
      <c r="X1787" s="135">
        <v>5.6154443526283397E-2</v>
      </c>
      <c r="Y1787" s="135">
        <v>6.1948692548018602E-2</v>
      </c>
      <c r="Z1787" s="135">
        <v>5.7517025778521101E-2</v>
      </c>
      <c r="AA1787" s="135">
        <v>5.3769129995412397E-2</v>
      </c>
      <c r="AB1787" s="135">
        <v>4.3674975728680898E-2</v>
      </c>
      <c r="AC1787" s="135">
        <v>2.8386202239524701E-2</v>
      </c>
      <c r="AD1787" s="135">
        <v>2.01632563016995E-2</v>
      </c>
      <c r="AF1787" s="243">
        <f t="shared" ref="AF1787:AF2041" si="36">SUM(Q1787:W1787)</f>
        <v>0.23114968501106692</v>
      </c>
      <c r="AG1787" s="275">
        <f t="shared" ref="AG1787:AG2041" si="37">SUM(G1787:AD1787)-AH1787</f>
        <v>0.45993478806694377</v>
      </c>
      <c r="AH1787" s="391">
        <f t="shared" ref="AH1787:AH2041" si="38">SUM(N1787:R1787,X1787:AB1787)</f>
        <v>0.56484339990575294</v>
      </c>
      <c r="AI1787" s="135">
        <f t="shared" ref="AI1787:AI2041" si="39">SUM(G1787:AD1787)</f>
        <v>1.0247781879726967</v>
      </c>
    </row>
    <row r="1788" spans="1:35" ht="12.6">
      <c r="A1788" s="10" t="s">
        <v>58</v>
      </c>
      <c r="B1788" s="10">
        <v>327</v>
      </c>
      <c r="C1788" s="10" t="s">
        <v>1515</v>
      </c>
      <c r="D1788" s="388">
        <v>45253</v>
      </c>
      <c r="E1788" s="389">
        <v>45253</v>
      </c>
      <c r="F1788" s="390" t="str">
        <f t="shared" si="35"/>
        <v>Water heating</v>
      </c>
      <c r="G1788" s="135">
        <v>1.8023380941015198E-2</v>
      </c>
      <c r="H1788" s="135">
        <v>1.7437284884137001E-2</v>
      </c>
      <c r="I1788" s="135">
        <v>1.3924288831905701E-2</v>
      </c>
      <c r="J1788" s="135">
        <v>2.1911478334890599E-2</v>
      </c>
      <c r="K1788" s="135">
        <v>3.2170781734296799E-2</v>
      </c>
      <c r="L1788" s="135">
        <v>6.1466017438899602E-2</v>
      </c>
      <c r="M1788" s="135">
        <v>0.104371225719738</v>
      </c>
      <c r="N1788" s="135">
        <v>9.41452251778261E-2</v>
      </c>
      <c r="O1788" s="135">
        <v>6.2047694398215697E-2</v>
      </c>
      <c r="P1788" s="135">
        <v>4.6517399382564398E-2</v>
      </c>
      <c r="Q1788" s="135">
        <v>4.8076729267419002E-2</v>
      </c>
      <c r="R1788" s="135">
        <v>4.0992084102811403E-2</v>
      </c>
      <c r="S1788" s="135">
        <v>3.0024873217214799E-2</v>
      </c>
      <c r="T1788" s="135">
        <v>2.4597254598098701E-2</v>
      </c>
      <c r="U1788" s="135">
        <v>2.3269815809137999E-2</v>
      </c>
      <c r="V1788" s="135">
        <v>2.6430524453741298E-2</v>
      </c>
      <c r="W1788" s="135">
        <v>3.7758403562643698E-2</v>
      </c>
      <c r="X1788" s="135">
        <v>5.6154443526283397E-2</v>
      </c>
      <c r="Y1788" s="135">
        <v>6.1948692548018602E-2</v>
      </c>
      <c r="Z1788" s="135">
        <v>5.7517025778521101E-2</v>
      </c>
      <c r="AA1788" s="135">
        <v>5.3769129995412397E-2</v>
      </c>
      <c r="AB1788" s="135">
        <v>4.3674975728680898E-2</v>
      </c>
      <c r="AC1788" s="135">
        <v>2.8386202239524701E-2</v>
      </c>
      <c r="AD1788" s="135">
        <v>2.01632563016995E-2</v>
      </c>
      <c r="AF1788" s="243">
        <f t="shared" si="36"/>
        <v>0.23114968501106692</v>
      </c>
      <c r="AG1788" s="275">
        <f t="shared" si="37"/>
        <v>0.45993478806694377</v>
      </c>
      <c r="AH1788" s="391">
        <f t="shared" si="38"/>
        <v>0.56484339990575294</v>
      </c>
      <c r="AI1788" s="135">
        <f t="shared" si="39"/>
        <v>1.0247781879726967</v>
      </c>
    </row>
    <row r="1789" spans="1:35" ht="12.6">
      <c r="A1789" s="10" t="s">
        <v>58</v>
      </c>
      <c r="B1789" s="10">
        <v>328</v>
      </c>
      <c r="C1789" s="10" t="s">
        <v>1515</v>
      </c>
      <c r="D1789" s="388">
        <v>45254</v>
      </c>
      <c r="E1789" s="389">
        <v>45254</v>
      </c>
      <c r="F1789" s="390" t="str">
        <f t="shared" si="35"/>
        <v>Water heating</v>
      </c>
      <c r="G1789" s="135">
        <v>1.8023380941015198E-2</v>
      </c>
      <c r="H1789" s="135">
        <v>1.7437284884137001E-2</v>
      </c>
      <c r="I1789" s="135">
        <v>1.3924288831905701E-2</v>
      </c>
      <c r="J1789" s="135">
        <v>2.1911478334890599E-2</v>
      </c>
      <c r="K1789" s="135">
        <v>3.2170781734296799E-2</v>
      </c>
      <c r="L1789" s="135">
        <v>6.1466017438899602E-2</v>
      </c>
      <c r="M1789" s="135">
        <v>0.104371225719738</v>
      </c>
      <c r="N1789" s="135">
        <v>9.41452251778261E-2</v>
      </c>
      <c r="O1789" s="135">
        <v>6.2047694398215697E-2</v>
      </c>
      <c r="P1789" s="135">
        <v>4.6517399382564398E-2</v>
      </c>
      <c r="Q1789" s="135">
        <v>4.8076729267419002E-2</v>
      </c>
      <c r="R1789" s="135">
        <v>4.0992084102811403E-2</v>
      </c>
      <c r="S1789" s="135">
        <v>3.0024873217214799E-2</v>
      </c>
      <c r="T1789" s="135">
        <v>2.4597254598098701E-2</v>
      </c>
      <c r="U1789" s="135">
        <v>2.3269815809137999E-2</v>
      </c>
      <c r="V1789" s="135">
        <v>2.6430524453741298E-2</v>
      </c>
      <c r="W1789" s="135">
        <v>3.7758403562643698E-2</v>
      </c>
      <c r="X1789" s="135">
        <v>5.6154443526283397E-2</v>
      </c>
      <c r="Y1789" s="135">
        <v>6.1948692548018602E-2</v>
      </c>
      <c r="Z1789" s="135">
        <v>5.7517025778521101E-2</v>
      </c>
      <c r="AA1789" s="135">
        <v>5.3769129995412397E-2</v>
      </c>
      <c r="AB1789" s="135">
        <v>4.3674975728680898E-2</v>
      </c>
      <c r="AC1789" s="135">
        <v>2.8386202239524701E-2</v>
      </c>
      <c r="AD1789" s="135">
        <v>2.01632563016995E-2</v>
      </c>
      <c r="AF1789" s="243">
        <f t="shared" si="36"/>
        <v>0.23114968501106692</v>
      </c>
      <c r="AG1789" s="275">
        <f t="shared" si="37"/>
        <v>0.45993478806694377</v>
      </c>
      <c r="AH1789" s="391">
        <f t="shared" si="38"/>
        <v>0.56484339990575294</v>
      </c>
      <c r="AI1789" s="135">
        <f t="shared" si="39"/>
        <v>1.0247781879726967</v>
      </c>
    </row>
    <row r="1790" spans="1:35" ht="12.6">
      <c r="A1790" s="10" t="s">
        <v>58</v>
      </c>
      <c r="B1790" s="10">
        <v>329</v>
      </c>
      <c r="C1790" s="10" t="s">
        <v>1515</v>
      </c>
      <c r="D1790" s="388">
        <v>45255</v>
      </c>
      <c r="E1790" s="389">
        <v>45255</v>
      </c>
      <c r="F1790" s="390" t="str">
        <f t="shared" si="35"/>
        <v>Water heating</v>
      </c>
      <c r="G1790" s="135">
        <v>1.7183885350872501E-2</v>
      </c>
      <c r="H1790" s="135">
        <v>1.59011345186259E-2</v>
      </c>
      <c r="I1790" s="135">
        <v>1.4115632768602299E-2</v>
      </c>
      <c r="J1790" s="135">
        <v>2.01090464103275E-2</v>
      </c>
      <c r="K1790" s="135">
        <v>2.6215478372511501E-2</v>
      </c>
      <c r="L1790" s="135">
        <v>2.2009705581087599E-2</v>
      </c>
      <c r="M1790" s="135">
        <v>3.1615965839039403E-2</v>
      </c>
      <c r="N1790" s="135">
        <v>5.5257986517302897E-2</v>
      </c>
      <c r="O1790" s="135">
        <v>7.2045354380560006E-2</v>
      </c>
      <c r="P1790" s="135">
        <v>8.0777097351997798E-2</v>
      </c>
      <c r="Q1790" s="135">
        <v>7.8779942879803999E-2</v>
      </c>
      <c r="R1790" s="135">
        <v>6.7839090157574097E-2</v>
      </c>
      <c r="S1790" s="135">
        <v>5.2090622227560002E-2</v>
      </c>
      <c r="T1790" s="135">
        <v>4.3790795909337203E-2</v>
      </c>
      <c r="U1790" s="135">
        <v>4.2253902234682998E-2</v>
      </c>
      <c r="V1790" s="135">
        <v>4.3817062782733E-2</v>
      </c>
      <c r="W1790" s="135">
        <v>4.9882965506830301E-2</v>
      </c>
      <c r="X1790" s="135">
        <v>5.22139681915968E-2</v>
      </c>
      <c r="Y1790" s="135">
        <v>5.72865582831057E-2</v>
      </c>
      <c r="Z1790" s="135">
        <v>5.3143981166714503E-2</v>
      </c>
      <c r="AA1790" s="135">
        <v>4.6527009601664303E-2</v>
      </c>
      <c r="AB1790" s="135">
        <v>4.1565732763832797E-2</v>
      </c>
      <c r="AC1790" s="135">
        <v>2.81501184507593E-2</v>
      </c>
      <c r="AD1790" s="135">
        <v>1.9884657304084601E-2</v>
      </c>
      <c r="AF1790" s="243">
        <f t="shared" si="36"/>
        <v>0.37845438169852164</v>
      </c>
      <c r="AG1790" s="275">
        <f t="shared" si="37"/>
        <v>0.42702097325705379</v>
      </c>
      <c r="AH1790" s="391">
        <f t="shared" si="38"/>
        <v>0.60543672129415294</v>
      </c>
      <c r="AI1790" s="135">
        <f t="shared" si="39"/>
        <v>1.0324576945512067</v>
      </c>
    </row>
    <row r="1791" spans="1:35" ht="12.6">
      <c r="A1791" s="10" t="s">
        <v>58</v>
      </c>
      <c r="B1791" s="10">
        <v>330</v>
      </c>
      <c r="C1791" s="10" t="s">
        <v>1515</v>
      </c>
      <c r="D1791" s="388">
        <v>45256</v>
      </c>
      <c r="E1791" s="389">
        <v>45256</v>
      </c>
      <c r="F1791" s="390" t="str">
        <f t="shared" si="35"/>
        <v>Water heating</v>
      </c>
      <c r="G1791" s="135">
        <v>1.7183885350872501E-2</v>
      </c>
      <c r="H1791" s="135">
        <v>1.59011345186259E-2</v>
      </c>
      <c r="I1791" s="135">
        <v>1.4115632768602299E-2</v>
      </c>
      <c r="J1791" s="135">
        <v>2.01090464103275E-2</v>
      </c>
      <c r="K1791" s="135">
        <v>2.6215478372511501E-2</v>
      </c>
      <c r="L1791" s="135">
        <v>2.2009705581087599E-2</v>
      </c>
      <c r="M1791" s="135">
        <v>3.1615965839039403E-2</v>
      </c>
      <c r="N1791" s="135">
        <v>5.5257986517302897E-2</v>
      </c>
      <c r="O1791" s="135">
        <v>7.2045354380560006E-2</v>
      </c>
      <c r="P1791" s="135">
        <v>8.0777097351997798E-2</v>
      </c>
      <c r="Q1791" s="135">
        <v>7.8779942879803999E-2</v>
      </c>
      <c r="R1791" s="135">
        <v>6.7839090157574097E-2</v>
      </c>
      <c r="S1791" s="135">
        <v>5.2090622227560002E-2</v>
      </c>
      <c r="T1791" s="135">
        <v>4.3790795909337203E-2</v>
      </c>
      <c r="U1791" s="135">
        <v>4.2253902234682998E-2</v>
      </c>
      <c r="V1791" s="135">
        <v>4.3817062782733E-2</v>
      </c>
      <c r="W1791" s="135">
        <v>4.9882965506830301E-2</v>
      </c>
      <c r="X1791" s="135">
        <v>5.22139681915968E-2</v>
      </c>
      <c r="Y1791" s="135">
        <v>5.72865582831057E-2</v>
      </c>
      <c r="Z1791" s="135">
        <v>5.3143981166714503E-2</v>
      </c>
      <c r="AA1791" s="135">
        <v>4.6527009601664303E-2</v>
      </c>
      <c r="AB1791" s="135">
        <v>4.1565732763832797E-2</v>
      </c>
      <c r="AC1791" s="135">
        <v>2.81501184507593E-2</v>
      </c>
      <c r="AD1791" s="135">
        <v>1.9884657304084601E-2</v>
      </c>
      <c r="AF1791" s="243">
        <f t="shared" si="36"/>
        <v>0.37845438169852164</v>
      </c>
      <c r="AG1791" s="275">
        <f t="shared" si="37"/>
        <v>0.42702097325705379</v>
      </c>
      <c r="AH1791" s="391">
        <f t="shared" si="38"/>
        <v>0.60543672129415294</v>
      </c>
      <c r="AI1791" s="135">
        <f t="shared" si="39"/>
        <v>1.0324576945512067</v>
      </c>
    </row>
    <row r="1792" spans="1:35" ht="12.6">
      <c r="A1792" s="10" t="s">
        <v>58</v>
      </c>
      <c r="B1792" s="10">
        <v>331</v>
      </c>
      <c r="C1792" s="10" t="s">
        <v>1515</v>
      </c>
      <c r="D1792" s="388">
        <v>45257</v>
      </c>
      <c r="E1792" s="389">
        <v>45257</v>
      </c>
      <c r="F1792" s="390" t="str">
        <f t="shared" si="35"/>
        <v>Water heating</v>
      </c>
      <c r="G1792" s="135">
        <v>1.8023380941015198E-2</v>
      </c>
      <c r="H1792" s="135">
        <v>1.7437284884137001E-2</v>
      </c>
      <c r="I1792" s="135">
        <v>1.3924288831905701E-2</v>
      </c>
      <c r="J1792" s="135">
        <v>2.1911478334890599E-2</v>
      </c>
      <c r="K1792" s="135">
        <v>3.2170781734296799E-2</v>
      </c>
      <c r="L1792" s="135">
        <v>6.1466017438899602E-2</v>
      </c>
      <c r="M1792" s="135">
        <v>0.104371225719738</v>
      </c>
      <c r="N1792" s="135">
        <v>9.41452251778261E-2</v>
      </c>
      <c r="O1792" s="135">
        <v>6.2047694398215697E-2</v>
      </c>
      <c r="P1792" s="135">
        <v>4.6517399382564398E-2</v>
      </c>
      <c r="Q1792" s="135">
        <v>4.8076729267419002E-2</v>
      </c>
      <c r="R1792" s="135">
        <v>4.0992084102811403E-2</v>
      </c>
      <c r="S1792" s="135">
        <v>3.0024873217214799E-2</v>
      </c>
      <c r="T1792" s="135">
        <v>2.4597254598098701E-2</v>
      </c>
      <c r="U1792" s="135">
        <v>2.3269815809137999E-2</v>
      </c>
      <c r="V1792" s="135">
        <v>2.6430524453741298E-2</v>
      </c>
      <c r="W1792" s="135">
        <v>3.7758403562643698E-2</v>
      </c>
      <c r="X1792" s="135">
        <v>5.6154443526283397E-2</v>
      </c>
      <c r="Y1792" s="135">
        <v>6.1948692548018602E-2</v>
      </c>
      <c r="Z1792" s="135">
        <v>5.7517025778521101E-2</v>
      </c>
      <c r="AA1792" s="135">
        <v>5.3769129995412397E-2</v>
      </c>
      <c r="AB1792" s="135">
        <v>4.3674975728680898E-2</v>
      </c>
      <c r="AC1792" s="135">
        <v>2.8386202239524701E-2</v>
      </c>
      <c r="AD1792" s="135">
        <v>2.01632563016995E-2</v>
      </c>
      <c r="AF1792" s="243">
        <f t="shared" si="36"/>
        <v>0.23114968501106692</v>
      </c>
      <c r="AG1792" s="275">
        <f t="shared" si="37"/>
        <v>0.45993478806694377</v>
      </c>
      <c r="AH1792" s="391">
        <f t="shared" si="38"/>
        <v>0.56484339990575294</v>
      </c>
      <c r="AI1792" s="135">
        <f t="shared" si="39"/>
        <v>1.0247781879726967</v>
      </c>
    </row>
    <row r="1793" spans="1:35" ht="12.6">
      <c r="A1793" s="10" t="s">
        <v>58</v>
      </c>
      <c r="B1793" s="10">
        <v>332</v>
      </c>
      <c r="C1793" s="10" t="s">
        <v>1515</v>
      </c>
      <c r="D1793" s="388">
        <v>45258</v>
      </c>
      <c r="E1793" s="389">
        <v>45258</v>
      </c>
      <c r="F1793" s="390" t="str">
        <f t="shared" si="35"/>
        <v>Water heating</v>
      </c>
      <c r="G1793" s="135">
        <v>1.8023380941015198E-2</v>
      </c>
      <c r="H1793" s="135">
        <v>1.7437284884137001E-2</v>
      </c>
      <c r="I1793" s="135">
        <v>1.3924288831905701E-2</v>
      </c>
      <c r="J1793" s="135">
        <v>2.1911478334890599E-2</v>
      </c>
      <c r="K1793" s="135">
        <v>3.2170781734296799E-2</v>
      </c>
      <c r="L1793" s="135">
        <v>6.1466017438899602E-2</v>
      </c>
      <c r="M1793" s="135">
        <v>0.104371225719738</v>
      </c>
      <c r="N1793" s="135">
        <v>9.41452251778261E-2</v>
      </c>
      <c r="O1793" s="135">
        <v>6.2047694398215697E-2</v>
      </c>
      <c r="P1793" s="135">
        <v>4.6517399382564398E-2</v>
      </c>
      <c r="Q1793" s="135">
        <v>4.8076729267419002E-2</v>
      </c>
      <c r="R1793" s="135">
        <v>4.0992084102811403E-2</v>
      </c>
      <c r="S1793" s="135">
        <v>3.0024873217214799E-2</v>
      </c>
      <c r="T1793" s="135">
        <v>2.4597254598098701E-2</v>
      </c>
      <c r="U1793" s="135">
        <v>2.3269815809137999E-2</v>
      </c>
      <c r="V1793" s="135">
        <v>2.6430524453741298E-2</v>
      </c>
      <c r="W1793" s="135">
        <v>3.7758403562643698E-2</v>
      </c>
      <c r="X1793" s="135">
        <v>5.6154443526283397E-2</v>
      </c>
      <c r="Y1793" s="135">
        <v>6.1948692548018602E-2</v>
      </c>
      <c r="Z1793" s="135">
        <v>5.7517025778521101E-2</v>
      </c>
      <c r="AA1793" s="135">
        <v>5.3769129995412397E-2</v>
      </c>
      <c r="AB1793" s="135">
        <v>4.3674975728680898E-2</v>
      </c>
      <c r="AC1793" s="135">
        <v>2.8386202239524701E-2</v>
      </c>
      <c r="AD1793" s="135">
        <v>2.01632563016995E-2</v>
      </c>
      <c r="AF1793" s="243">
        <f t="shared" si="36"/>
        <v>0.23114968501106692</v>
      </c>
      <c r="AG1793" s="275">
        <f t="shared" si="37"/>
        <v>0.45993478806694377</v>
      </c>
      <c r="AH1793" s="391">
        <f t="shared" si="38"/>
        <v>0.56484339990575294</v>
      </c>
      <c r="AI1793" s="135">
        <f t="shared" si="39"/>
        <v>1.0247781879726967</v>
      </c>
    </row>
    <row r="1794" spans="1:35" ht="12.6">
      <c r="A1794" s="10" t="s">
        <v>58</v>
      </c>
      <c r="B1794" s="10">
        <v>333</v>
      </c>
      <c r="C1794" s="10" t="s">
        <v>1515</v>
      </c>
      <c r="D1794" s="388">
        <v>45259</v>
      </c>
      <c r="E1794" s="389">
        <v>45259</v>
      </c>
      <c r="F1794" s="390" t="str">
        <f t="shared" si="35"/>
        <v>Water heating</v>
      </c>
      <c r="G1794" s="135">
        <v>1.8023380941015198E-2</v>
      </c>
      <c r="H1794" s="135">
        <v>1.7437284884137001E-2</v>
      </c>
      <c r="I1794" s="135">
        <v>1.3924288831905701E-2</v>
      </c>
      <c r="J1794" s="135">
        <v>2.1911478334890599E-2</v>
      </c>
      <c r="K1794" s="135">
        <v>3.2170781734296799E-2</v>
      </c>
      <c r="L1794" s="135">
        <v>6.1466017438899602E-2</v>
      </c>
      <c r="M1794" s="135">
        <v>0.104371225719738</v>
      </c>
      <c r="N1794" s="135">
        <v>9.41452251778261E-2</v>
      </c>
      <c r="O1794" s="135">
        <v>6.2047694398215697E-2</v>
      </c>
      <c r="P1794" s="135">
        <v>4.6517399382564398E-2</v>
      </c>
      <c r="Q1794" s="135">
        <v>4.8076729267419002E-2</v>
      </c>
      <c r="R1794" s="135">
        <v>4.0992084102811403E-2</v>
      </c>
      <c r="S1794" s="135">
        <v>3.0024873217214799E-2</v>
      </c>
      <c r="T1794" s="135">
        <v>2.4597254598098701E-2</v>
      </c>
      <c r="U1794" s="135">
        <v>2.3269815809137999E-2</v>
      </c>
      <c r="V1794" s="135">
        <v>2.6430524453741298E-2</v>
      </c>
      <c r="W1794" s="135">
        <v>3.7758403562643698E-2</v>
      </c>
      <c r="X1794" s="135">
        <v>5.6154443526283397E-2</v>
      </c>
      <c r="Y1794" s="135">
        <v>6.1948692548018602E-2</v>
      </c>
      <c r="Z1794" s="135">
        <v>5.7517025778521101E-2</v>
      </c>
      <c r="AA1794" s="135">
        <v>5.3769129995412397E-2</v>
      </c>
      <c r="AB1794" s="135">
        <v>4.3674975728680898E-2</v>
      </c>
      <c r="AC1794" s="135">
        <v>2.8386202239524701E-2</v>
      </c>
      <c r="AD1794" s="135">
        <v>2.01632563016995E-2</v>
      </c>
      <c r="AF1794" s="243">
        <f t="shared" si="36"/>
        <v>0.23114968501106692</v>
      </c>
      <c r="AG1794" s="275">
        <f t="shared" si="37"/>
        <v>0.45993478806694377</v>
      </c>
      <c r="AH1794" s="391">
        <f t="shared" si="38"/>
        <v>0.56484339990575294</v>
      </c>
      <c r="AI1794" s="135">
        <f t="shared" si="39"/>
        <v>1.0247781879726967</v>
      </c>
    </row>
    <row r="1795" spans="1:35" ht="12.6">
      <c r="A1795" s="10" t="s">
        <v>58</v>
      </c>
      <c r="B1795" s="10">
        <v>334</v>
      </c>
      <c r="C1795" s="10" t="s">
        <v>1515</v>
      </c>
      <c r="D1795" s="388">
        <v>45260</v>
      </c>
      <c r="E1795" s="389">
        <v>45260</v>
      </c>
      <c r="F1795" s="390" t="str">
        <f t="shared" si="35"/>
        <v>Water heating</v>
      </c>
      <c r="G1795" s="135">
        <v>1.8023380941015198E-2</v>
      </c>
      <c r="H1795" s="135">
        <v>1.7437284884137001E-2</v>
      </c>
      <c r="I1795" s="135">
        <v>1.3924288831905701E-2</v>
      </c>
      <c r="J1795" s="135">
        <v>2.1911478334890599E-2</v>
      </c>
      <c r="K1795" s="135">
        <v>3.2170781734296799E-2</v>
      </c>
      <c r="L1795" s="135">
        <v>6.1466017438899602E-2</v>
      </c>
      <c r="M1795" s="135">
        <v>0.104371225719738</v>
      </c>
      <c r="N1795" s="135">
        <v>9.41452251778261E-2</v>
      </c>
      <c r="O1795" s="135">
        <v>6.2047694398215697E-2</v>
      </c>
      <c r="P1795" s="135">
        <v>4.6517399382564398E-2</v>
      </c>
      <c r="Q1795" s="135">
        <v>4.8076729267419002E-2</v>
      </c>
      <c r="R1795" s="135">
        <v>4.0992084102811403E-2</v>
      </c>
      <c r="S1795" s="135">
        <v>3.0024873217214799E-2</v>
      </c>
      <c r="T1795" s="135">
        <v>2.4597254598098701E-2</v>
      </c>
      <c r="U1795" s="135">
        <v>2.3269815809137999E-2</v>
      </c>
      <c r="V1795" s="135">
        <v>2.6430524453741298E-2</v>
      </c>
      <c r="W1795" s="135">
        <v>3.7758403562643698E-2</v>
      </c>
      <c r="X1795" s="135">
        <v>5.6154443526283397E-2</v>
      </c>
      <c r="Y1795" s="135">
        <v>6.1948692548018602E-2</v>
      </c>
      <c r="Z1795" s="135">
        <v>5.7517025778521101E-2</v>
      </c>
      <c r="AA1795" s="135">
        <v>5.3769129995412397E-2</v>
      </c>
      <c r="AB1795" s="135">
        <v>4.3674975728680898E-2</v>
      </c>
      <c r="AC1795" s="135">
        <v>2.8386202239524701E-2</v>
      </c>
      <c r="AD1795" s="135">
        <v>2.01632563016995E-2</v>
      </c>
      <c r="AF1795" s="243">
        <f t="shared" si="36"/>
        <v>0.23114968501106692</v>
      </c>
      <c r="AG1795" s="275">
        <f t="shared" si="37"/>
        <v>0.45993478806694377</v>
      </c>
      <c r="AH1795" s="391">
        <f t="shared" si="38"/>
        <v>0.56484339990575294</v>
      </c>
      <c r="AI1795" s="135">
        <f t="shared" si="39"/>
        <v>1.0247781879726967</v>
      </c>
    </row>
    <row r="1796" spans="1:35" ht="12.6">
      <c r="A1796" s="10" t="s">
        <v>58</v>
      </c>
      <c r="B1796" s="10">
        <v>335</v>
      </c>
      <c r="C1796" s="10" t="s">
        <v>1512</v>
      </c>
      <c r="D1796" s="388">
        <v>45261</v>
      </c>
      <c r="E1796" s="389">
        <v>45261</v>
      </c>
      <c r="F1796" s="390" t="str">
        <f t="shared" si="35"/>
        <v>Water heating</v>
      </c>
      <c r="G1796" s="135">
        <v>1.5290893441557801E-2</v>
      </c>
      <c r="H1796" s="135">
        <v>1.32263342863906E-2</v>
      </c>
      <c r="I1796" s="135">
        <v>1.30000935110582E-2</v>
      </c>
      <c r="J1796" s="135">
        <v>2.4830167929257699E-2</v>
      </c>
      <c r="K1796" s="135">
        <v>2.9859242664659499E-2</v>
      </c>
      <c r="L1796" s="135">
        <v>4.55896593242196E-2</v>
      </c>
      <c r="M1796" s="135">
        <v>8.2967846317717003E-2</v>
      </c>
      <c r="N1796" s="135">
        <v>6.4131388567432293E-2</v>
      </c>
      <c r="O1796" s="135">
        <v>4.0091954260129799E-2</v>
      </c>
      <c r="P1796" s="135">
        <v>4.5536797125460597E-2</v>
      </c>
      <c r="Q1796" s="135">
        <v>4.51589913472598E-2</v>
      </c>
      <c r="R1796" s="135">
        <v>3.3097581465197798E-2</v>
      </c>
      <c r="S1796" s="135">
        <v>2.6686336580521702E-2</v>
      </c>
      <c r="T1796" s="135">
        <v>2.2993216443812099E-2</v>
      </c>
      <c r="U1796" s="135">
        <v>2.4504916112011901E-2</v>
      </c>
      <c r="V1796" s="135">
        <v>2.6107546601569699E-2</v>
      </c>
      <c r="W1796" s="135">
        <v>3.1549530243412602E-2</v>
      </c>
      <c r="X1796" s="135">
        <v>4.3709661298243101E-2</v>
      </c>
      <c r="Y1796" s="135">
        <v>4.3444733521360197E-2</v>
      </c>
      <c r="Z1796" s="135">
        <v>4.2809475962730499E-2</v>
      </c>
      <c r="AA1796" s="135">
        <v>3.9741311901719603E-2</v>
      </c>
      <c r="AB1796" s="135">
        <v>3.28856203452823E-2</v>
      </c>
      <c r="AC1796" s="135">
        <v>2.29838001729794E-2</v>
      </c>
      <c r="AD1796" s="135">
        <v>1.54474575522471E-2</v>
      </c>
      <c r="AF1796" s="243">
        <f t="shared" si="36"/>
        <v>0.21009811879378559</v>
      </c>
      <c r="AG1796" s="275">
        <f t="shared" si="37"/>
        <v>0.39503704118141486</v>
      </c>
      <c r="AH1796" s="391">
        <f t="shared" si="38"/>
        <v>0.43060751579481599</v>
      </c>
      <c r="AI1796" s="135">
        <f t="shared" si="39"/>
        <v>0.82564455697623085</v>
      </c>
    </row>
    <row r="1797" spans="1:35" ht="12.6">
      <c r="A1797" s="10" t="s">
        <v>58</v>
      </c>
      <c r="B1797" s="10">
        <v>336</v>
      </c>
      <c r="C1797" s="10" t="s">
        <v>1512</v>
      </c>
      <c r="D1797" s="388">
        <v>45262</v>
      </c>
      <c r="E1797" s="389">
        <v>45262</v>
      </c>
      <c r="F1797" s="390" t="str">
        <f t="shared" si="35"/>
        <v>Water heating</v>
      </c>
      <c r="G1797" s="135">
        <v>1.3082508954344801E-2</v>
      </c>
      <c r="H1797" s="135">
        <v>1.30811024928857E-2</v>
      </c>
      <c r="I1797" s="135">
        <v>1.3969953325436499E-2</v>
      </c>
      <c r="J1797" s="135">
        <v>2.3270448127445501E-2</v>
      </c>
      <c r="K1797" s="135">
        <v>2.3431258737808699E-2</v>
      </c>
      <c r="L1797" s="135">
        <v>1.5268551845299501E-2</v>
      </c>
      <c r="M1797" s="135">
        <v>2.5537282166894298E-2</v>
      </c>
      <c r="N1797" s="135">
        <v>4.44994470182054E-2</v>
      </c>
      <c r="O1797" s="135">
        <v>5.6016654668283199E-2</v>
      </c>
      <c r="P1797" s="135">
        <v>6.1019297108309799E-2</v>
      </c>
      <c r="Q1797" s="135">
        <v>5.9123118977511199E-2</v>
      </c>
      <c r="R1797" s="135">
        <v>4.9855023254526801E-2</v>
      </c>
      <c r="S1797" s="135">
        <v>4.0995148354533398E-2</v>
      </c>
      <c r="T1797" s="135">
        <v>3.4706222089425399E-2</v>
      </c>
      <c r="U1797" s="135">
        <v>3.35569285310768E-2</v>
      </c>
      <c r="V1797" s="135">
        <v>3.2753972728766199E-2</v>
      </c>
      <c r="W1797" s="135">
        <v>3.72649469581691E-2</v>
      </c>
      <c r="X1797" s="135">
        <v>4.2264625569504499E-2</v>
      </c>
      <c r="Y1797" s="135">
        <v>4.5599815132900297E-2</v>
      </c>
      <c r="Z1797" s="135">
        <v>3.7239510258981701E-2</v>
      </c>
      <c r="AA1797" s="135">
        <v>3.4788289899310598E-2</v>
      </c>
      <c r="AB1797" s="135">
        <v>3.0151795852275801E-2</v>
      </c>
      <c r="AC1797" s="135">
        <v>2.1868440841799001E-2</v>
      </c>
      <c r="AD1797" s="135">
        <v>1.6419778304740999E-2</v>
      </c>
      <c r="AF1797" s="243">
        <f t="shared" si="36"/>
        <v>0.28825536089400888</v>
      </c>
      <c r="AG1797" s="275">
        <f t="shared" si="37"/>
        <v>0.34520654345862584</v>
      </c>
      <c r="AH1797" s="391">
        <f t="shared" si="38"/>
        <v>0.46055757773980927</v>
      </c>
      <c r="AI1797" s="135">
        <f t="shared" si="39"/>
        <v>0.8057641211984351</v>
      </c>
    </row>
    <row r="1798" spans="1:35" ht="12.6">
      <c r="A1798" s="10" t="s">
        <v>58</v>
      </c>
      <c r="B1798" s="10">
        <v>337</v>
      </c>
      <c r="C1798" s="10" t="s">
        <v>1512</v>
      </c>
      <c r="D1798" s="388">
        <v>45263</v>
      </c>
      <c r="E1798" s="389">
        <v>45263</v>
      </c>
      <c r="F1798" s="390" t="str">
        <f t="shared" si="35"/>
        <v>Water heating</v>
      </c>
      <c r="G1798" s="135">
        <v>1.3082508954344801E-2</v>
      </c>
      <c r="H1798" s="135">
        <v>1.30811024928857E-2</v>
      </c>
      <c r="I1798" s="135">
        <v>1.3969953325436499E-2</v>
      </c>
      <c r="J1798" s="135">
        <v>2.3270448127445501E-2</v>
      </c>
      <c r="K1798" s="135">
        <v>2.3431258737808699E-2</v>
      </c>
      <c r="L1798" s="135">
        <v>1.5268551845299501E-2</v>
      </c>
      <c r="M1798" s="135">
        <v>2.5537282166894298E-2</v>
      </c>
      <c r="N1798" s="135">
        <v>4.44994470182054E-2</v>
      </c>
      <c r="O1798" s="135">
        <v>5.6016654668283199E-2</v>
      </c>
      <c r="P1798" s="135">
        <v>6.1019297108309799E-2</v>
      </c>
      <c r="Q1798" s="135">
        <v>5.9123118977511199E-2</v>
      </c>
      <c r="R1798" s="135">
        <v>4.9855023254526801E-2</v>
      </c>
      <c r="S1798" s="135">
        <v>4.0995148354533398E-2</v>
      </c>
      <c r="T1798" s="135">
        <v>3.4706222089425399E-2</v>
      </c>
      <c r="U1798" s="135">
        <v>3.35569285310768E-2</v>
      </c>
      <c r="V1798" s="135">
        <v>3.2753972728766199E-2</v>
      </c>
      <c r="W1798" s="135">
        <v>3.72649469581691E-2</v>
      </c>
      <c r="X1798" s="135">
        <v>4.2264625569504499E-2</v>
      </c>
      <c r="Y1798" s="135">
        <v>4.5599815132900297E-2</v>
      </c>
      <c r="Z1798" s="135">
        <v>3.7239510258981701E-2</v>
      </c>
      <c r="AA1798" s="135">
        <v>3.4788289899310598E-2</v>
      </c>
      <c r="AB1798" s="135">
        <v>3.0151795852275801E-2</v>
      </c>
      <c r="AC1798" s="135">
        <v>2.1868440841799001E-2</v>
      </c>
      <c r="AD1798" s="135">
        <v>1.6419778304740999E-2</v>
      </c>
      <c r="AF1798" s="243">
        <f t="shared" si="36"/>
        <v>0.28825536089400888</v>
      </c>
      <c r="AG1798" s="275">
        <f t="shared" si="37"/>
        <v>0.34520654345862584</v>
      </c>
      <c r="AH1798" s="391">
        <f t="shared" si="38"/>
        <v>0.46055757773980927</v>
      </c>
      <c r="AI1798" s="135">
        <f t="shared" si="39"/>
        <v>0.8057641211984351</v>
      </c>
    </row>
    <row r="1799" spans="1:35" ht="12.6">
      <c r="A1799" s="10" t="s">
        <v>58</v>
      </c>
      <c r="B1799" s="10">
        <v>338</v>
      </c>
      <c r="C1799" s="10" t="s">
        <v>1512</v>
      </c>
      <c r="D1799" s="388">
        <v>45264</v>
      </c>
      <c r="E1799" s="389">
        <v>45264</v>
      </c>
      <c r="F1799" s="390" t="str">
        <f t="shared" si="35"/>
        <v>Water heating</v>
      </c>
      <c r="G1799" s="135">
        <v>1.5290893441557801E-2</v>
      </c>
      <c r="H1799" s="135">
        <v>1.32263342863906E-2</v>
      </c>
      <c r="I1799" s="135">
        <v>1.30000935110582E-2</v>
      </c>
      <c r="J1799" s="135">
        <v>2.4830167929257699E-2</v>
      </c>
      <c r="K1799" s="135">
        <v>2.9859242664659499E-2</v>
      </c>
      <c r="L1799" s="135">
        <v>4.55896593242196E-2</v>
      </c>
      <c r="M1799" s="135">
        <v>8.2967846317717003E-2</v>
      </c>
      <c r="N1799" s="135">
        <v>6.4131388567432293E-2</v>
      </c>
      <c r="O1799" s="135">
        <v>4.0091954260129799E-2</v>
      </c>
      <c r="P1799" s="135">
        <v>4.5536797125460597E-2</v>
      </c>
      <c r="Q1799" s="135">
        <v>4.51589913472598E-2</v>
      </c>
      <c r="R1799" s="135">
        <v>3.3097581465197798E-2</v>
      </c>
      <c r="S1799" s="135">
        <v>2.6686336580521702E-2</v>
      </c>
      <c r="T1799" s="135">
        <v>2.2993216443812099E-2</v>
      </c>
      <c r="U1799" s="135">
        <v>2.4504916112011901E-2</v>
      </c>
      <c r="V1799" s="135">
        <v>2.6107546601569699E-2</v>
      </c>
      <c r="W1799" s="135">
        <v>3.1549530243412602E-2</v>
      </c>
      <c r="X1799" s="135">
        <v>4.3709661298243101E-2</v>
      </c>
      <c r="Y1799" s="135">
        <v>4.3444733521360197E-2</v>
      </c>
      <c r="Z1799" s="135">
        <v>4.2809475962730499E-2</v>
      </c>
      <c r="AA1799" s="135">
        <v>3.9741311901719603E-2</v>
      </c>
      <c r="AB1799" s="135">
        <v>3.28856203452823E-2</v>
      </c>
      <c r="AC1799" s="135">
        <v>2.29838001729794E-2</v>
      </c>
      <c r="AD1799" s="135">
        <v>1.54474575522471E-2</v>
      </c>
      <c r="AF1799" s="243">
        <f t="shared" si="36"/>
        <v>0.21009811879378559</v>
      </c>
      <c r="AG1799" s="275">
        <f t="shared" si="37"/>
        <v>0.39503704118141486</v>
      </c>
      <c r="AH1799" s="391">
        <f t="shared" si="38"/>
        <v>0.43060751579481599</v>
      </c>
      <c r="AI1799" s="135">
        <f t="shared" si="39"/>
        <v>0.82564455697623085</v>
      </c>
    </row>
    <row r="1800" spans="1:35" ht="12.6">
      <c r="A1800" s="10" t="s">
        <v>58</v>
      </c>
      <c r="B1800" s="10">
        <v>339</v>
      </c>
      <c r="C1800" s="10" t="s">
        <v>1512</v>
      </c>
      <c r="D1800" s="388">
        <v>45265</v>
      </c>
      <c r="E1800" s="389">
        <v>45265</v>
      </c>
      <c r="F1800" s="390" t="str">
        <f t="shared" si="35"/>
        <v>Water heating</v>
      </c>
      <c r="G1800" s="135">
        <v>1.5290893441557801E-2</v>
      </c>
      <c r="H1800" s="135">
        <v>1.32263342863906E-2</v>
      </c>
      <c r="I1800" s="135">
        <v>1.30000935110582E-2</v>
      </c>
      <c r="J1800" s="135">
        <v>2.4830167929257699E-2</v>
      </c>
      <c r="K1800" s="135">
        <v>2.9859242664659499E-2</v>
      </c>
      <c r="L1800" s="135">
        <v>4.55896593242196E-2</v>
      </c>
      <c r="M1800" s="135">
        <v>8.2967846317717003E-2</v>
      </c>
      <c r="N1800" s="135">
        <v>6.4131388567432293E-2</v>
      </c>
      <c r="O1800" s="135">
        <v>4.0091954260129799E-2</v>
      </c>
      <c r="P1800" s="135">
        <v>4.5536797125460597E-2</v>
      </c>
      <c r="Q1800" s="135">
        <v>4.51589913472598E-2</v>
      </c>
      <c r="R1800" s="135">
        <v>3.3097581465197798E-2</v>
      </c>
      <c r="S1800" s="135">
        <v>2.6686336580521702E-2</v>
      </c>
      <c r="T1800" s="135">
        <v>2.2993216443812099E-2</v>
      </c>
      <c r="U1800" s="135">
        <v>2.4504916112011901E-2</v>
      </c>
      <c r="V1800" s="135">
        <v>2.6107546601569699E-2</v>
      </c>
      <c r="W1800" s="135">
        <v>3.1549530243412602E-2</v>
      </c>
      <c r="X1800" s="135">
        <v>4.3709661298243101E-2</v>
      </c>
      <c r="Y1800" s="135">
        <v>4.3444733521360197E-2</v>
      </c>
      <c r="Z1800" s="135">
        <v>4.2809475962730499E-2</v>
      </c>
      <c r="AA1800" s="135">
        <v>3.9741311901719603E-2</v>
      </c>
      <c r="AB1800" s="135">
        <v>3.28856203452823E-2</v>
      </c>
      <c r="AC1800" s="135">
        <v>2.29838001729794E-2</v>
      </c>
      <c r="AD1800" s="135">
        <v>1.54474575522471E-2</v>
      </c>
      <c r="AF1800" s="243">
        <f t="shared" si="36"/>
        <v>0.21009811879378559</v>
      </c>
      <c r="AG1800" s="275">
        <f t="shared" si="37"/>
        <v>0.39503704118141486</v>
      </c>
      <c r="AH1800" s="391">
        <f t="shared" si="38"/>
        <v>0.43060751579481599</v>
      </c>
      <c r="AI1800" s="135">
        <f t="shared" si="39"/>
        <v>0.82564455697623085</v>
      </c>
    </row>
    <row r="1801" spans="1:35" ht="12.6">
      <c r="A1801" s="10" t="s">
        <v>58</v>
      </c>
      <c r="B1801" s="10">
        <v>340</v>
      </c>
      <c r="C1801" s="10" t="s">
        <v>1512</v>
      </c>
      <c r="D1801" s="388">
        <v>45266</v>
      </c>
      <c r="E1801" s="389">
        <v>45266</v>
      </c>
      <c r="F1801" s="390" t="str">
        <f t="shared" si="35"/>
        <v>Water heating</v>
      </c>
      <c r="G1801" s="135">
        <v>1.5290893441557801E-2</v>
      </c>
      <c r="H1801" s="135">
        <v>1.32263342863906E-2</v>
      </c>
      <c r="I1801" s="135">
        <v>1.30000935110582E-2</v>
      </c>
      <c r="J1801" s="135">
        <v>2.4830167929257699E-2</v>
      </c>
      <c r="K1801" s="135">
        <v>2.9859242664659499E-2</v>
      </c>
      <c r="L1801" s="135">
        <v>4.55896593242196E-2</v>
      </c>
      <c r="M1801" s="135">
        <v>8.2967846317717003E-2</v>
      </c>
      <c r="N1801" s="135">
        <v>6.4131388567432293E-2</v>
      </c>
      <c r="O1801" s="135">
        <v>4.0091954260129799E-2</v>
      </c>
      <c r="P1801" s="135">
        <v>4.5536797125460597E-2</v>
      </c>
      <c r="Q1801" s="135">
        <v>4.51589913472598E-2</v>
      </c>
      <c r="R1801" s="135">
        <v>3.3097581465197798E-2</v>
      </c>
      <c r="S1801" s="135">
        <v>2.6686336580521702E-2</v>
      </c>
      <c r="T1801" s="135">
        <v>2.2993216443812099E-2</v>
      </c>
      <c r="U1801" s="135">
        <v>2.4504916112011901E-2</v>
      </c>
      <c r="V1801" s="135">
        <v>2.6107546601569699E-2</v>
      </c>
      <c r="W1801" s="135">
        <v>3.1549530243412602E-2</v>
      </c>
      <c r="X1801" s="135">
        <v>4.3709661298243101E-2</v>
      </c>
      <c r="Y1801" s="135">
        <v>4.3444733521360197E-2</v>
      </c>
      <c r="Z1801" s="135">
        <v>4.2809475962730499E-2</v>
      </c>
      <c r="AA1801" s="135">
        <v>3.9741311901719603E-2</v>
      </c>
      <c r="AB1801" s="135">
        <v>3.28856203452823E-2</v>
      </c>
      <c r="AC1801" s="135">
        <v>2.29838001729794E-2</v>
      </c>
      <c r="AD1801" s="135">
        <v>1.54474575522471E-2</v>
      </c>
      <c r="AF1801" s="243">
        <f t="shared" si="36"/>
        <v>0.21009811879378559</v>
      </c>
      <c r="AG1801" s="275">
        <f t="shared" si="37"/>
        <v>0.39503704118141486</v>
      </c>
      <c r="AH1801" s="391">
        <f t="shared" si="38"/>
        <v>0.43060751579481599</v>
      </c>
      <c r="AI1801" s="135">
        <f t="shared" si="39"/>
        <v>0.82564455697623085</v>
      </c>
    </row>
    <row r="1802" spans="1:35" ht="12.6">
      <c r="A1802" s="10" t="s">
        <v>58</v>
      </c>
      <c r="B1802" s="10">
        <v>341</v>
      </c>
      <c r="C1802" s="10" t="s">
        <v>1512</v>
      </c>
      <c r="D1802" s="388">
        <v>45267</v>
      </c>
      <c r="E1802" s="389">
        <v>45267</v>
      </c>
      <c r="F1802" s="390" t="str">
        <f t="shared" si="35"/>
        <v>Water heating</v>
      </c>
      <c r="G1802" s="135">
        <v>1.5290893441557801E-2</v>
      </c>
      <c r="H1802" s="135">
        <v>1.32263342863906E-2</v>
      </c>
      <c r="I1802" s="135">
        <v>1.30000935110582E-2</v>
      </c>
      <c r="J1802" s="135">
        <v>2.4830167929257699E-2</v>
      </c>
      <c r="K1802" s="135">
        <v>2.9859242664659499E-2</v>
      </c>
      <c r="L1802" s="135">
        <v>4.55896593242196E-2</v>
      </c>
      <c r="M1802" s="135">
        <v>8.2967846317717003E-2</v>
      </c>
      <c r="N1802" s="135">
        <v>6.4131388567432293E-2</v>
      </c>
      <c r="O1802" s="135">
        <v>4.0091954260129799E-2</v>
      </c>
      <c r="P1802" s="135">
        <v>4.5536797125460597E-2</v>
      </c>
      <c r="Q1802" s="135">
        <v>4.51589913472598E-2</v>
      </c>
      <c r="R1802" s="135">
        <v>3.3097581465197798E-2</v>
      </c>
      <c r="S1802" s="135">
        <v>2.6686336580521702E-2</v>
      </c>
      <c r="T1802" s="135">
        <v>2.2993216443812099E-2</v>
      </c>
      <c r="U1802" s="135">
        <v>2.4504916112011901E-2</v>
      </c>
      <c r="V1802" s="135">
        <v>2.6107546601569699E-2</v>
      </c>
      <c r="W1802" s="135">
        <v>3.1549530243412602E-2</v>
      </c>
      <c r="X1802" s="135">
        <v>4.3709661298243101E-2</v>
      </c>
      <c r="Y1802" s="135">
        <v>4.3444733521360197E-2</v>
      </c>
      <c r="Z1802" s="135">
        <v>4.2809475962730499E-2</v>
      </c>
      <c r="AA1802" s="135">
        <v>3.9741311901719603E-2</v>
      </c>
      <c r="AB1802" s="135">
        <v>3.28856203452823E-2</v>
      </c>
      <c r="AC1802" s="135">
        <v>2.29838001729794E-2</v>
      </c>
      <c r="AD1802" s="135">
        <v>1.54474575522471E-2</v>
      </c>
      <c r="AF1802" s="243">
        <f t="shared" si="36"/>
        <v>0.21009811879378559</v>
      </c>
      <c r="AG1802" s="275">
        <f t="shared" si="37"/>
        <v>0.39503704118141486</v>
      </c>
      <c r="AH1802" s="391">
        <f t="shared" si="38"/>
        <v>0.43060751579481599</v>
      </c>
      <c r="AI1802" s="135">
        <f t="shared" si="39"/>
        <v>0.82564455697623085</v>
      </c>
    </row>
    <row r="1803" spans="1:35" ht="12.6">
      <c r="A1803" s="10" t="s">
        <v>58</v>
      </c>
      <c r="B1803" s="10">
        <v>342</v>
      </c>
      <c r="C1803" s="10" t="s">
        <v>1512</v>
      </c>
      <c r="D1803" s="388">
        <v>45268</v>
      </c>
      <c r="E1803" s="389">
        <v>45268</v>
      </c>
      <c r="F1803" s="390" t="str">
        <f t="shared" si="35"/>
        <v>Water heating</v>
      </c>
      <c r="G1803" s="135">
        <v>1.5290893441557801E-2</v>
      </c>
      <c r="H1803" s="135">
        <v>1.32263342863906E-2</v>
      </c>
      <c r="I1803" s="135">
        <v>1.30000935110582E-2</v>
      </c>
      <c r="J1803" s="135">
        <v>2.4830167929257699E-2</v>
      </c>
      <c r="K1803" s="135">
        <v>2.9859242664659499E-2</v>
      </c>
      <c r="L1803" s="135">
        <v>4.55896593242196E-2</v>
      </c>
      <c r="M1803" s="135">
        <v>8.2967846317717003E-2</v>
      </c>
      <c r="N1803" s="135">
        <v>6.4131388567432293E-2</v>
      </c>
      <c r="O1803" s="135">
        <v>4.0091954260129799E-2</v>
      </c>
      <c r="P1803" s="135">
        <v>4.5536797125460597E-2</v>
      </c>
      <c r="Q1803" s="135">
        <v>4.51589913472598E-2</v>
      </c>
      <c r="R1803" s="135">
        <v>3.3097581465197798E-2</v>
      </c>
      <c r="S1803" s="135">
        <v>2.6686336580521702E-2</v>
      </c>
      <c r="T1803" s="135">
        <v>2.2993216443812099E-2</v>
      </c>
      <c r="U1803" s="135">
        <v>2.4504916112011901E-2</v>
      </c>
      <c r="V1803" s="135">
        <v>2.6107546601569699E-2</v>
      </c>
      <c r="W1803" s="135">
        <v>3.1549530243412602E-2</v>
      </c>
      <c r="X1803" s="135">
        <v>4.3709661298243101E-2</v>
      </c>
      <c r="Y1803" s="135">
        <v>4.3444733521360197E-2</v>
      </c>
      <c r="Z1803" s="135">
        <v>4.2809475962730499E-2</v>
      </c>
      <c r="AA1803" s="135">
        <v>3.9741311901719603E-2</v>
      </c>
      <c r="AB1803" s="135">
        <v>3.28856203452823E-2</v>
      </c>
      <c r="AC1803" s="135">
        <v>2.29838001729794E-2</v>
      </c>
      <c r="AD1803" s="135">
        <v>1.54474575522471E-2</v>
      </c>
      <c r="AF1803" s="243">
        <f t="shared" si="36"/>
        <v>0.21009811879378559</v>
      </c>
      <c r="AG1803" s="275">
        <f t="shared" si="37"/>
        <v>0.39503704118141486</v>
      </c>
      <c r="AH1803" s="391">
        <f t="shared" si="38"/>
        <v>0.43060751579481599</v>
      </c>
      <c r="AI1803" s="135">
        <f t="shared" si="39"/>
        <v>0.82564455697623085</v>
      </c>
    </row>
    <row r="1804" spans="1:35" ht="12.6">
      <c r="A1804" s="10" t="s">
        <v>58</v>
      </c>
      <c r="B1804" s="10">
        <v>343</v>
      </c>
      <c r="C1804" s="10" t="s">
        <v>1512</v>
      </c>
      <c r="D1804" s="388">
        <v>45269</v>
      </c>
      <c r="E1804" s="389">
        <v>45269</v>
      </c>
      <c r="F1804" s="390" t="str">
        <f t="shared" si="35"/>
        <v>Water heating</v>
      </c>
      <c r="G1804" s="135">
        <v>1.3082508954344801E-2</v>
      </c>
      <c r="H1804" s="135">
        <v>1.30811024928857E-2</v>
      </c>
      <c r="I1804" s="135">
        <v>1.3969953325436499E-2</v>
      </c>
      <c r="J1804" s="135">
        <v>2.3270448127445501E-2</v>
      </c>
      <c r="K1804" s="135">
        <v>2.3431258737808699E-2</v>
      </c>
      <c r="L1804" s="135">
        <v>1.5268551845299501E-2</v>
      </c>
      <c r="M1804" s="135">
        <v>2.5537282166894298E-2</v>
      </c>
      <c r="N1804" s="135">
        <v>4.44994470182054E-2</v>
      </c>
      <c r="O1804" s="135">
        <v>5.6016654668283199E-2</v>
      </c>
      <c r="P1804" s="135">
        <v>6.1019297108309799E-2</v>
      </c>
      <c r="Q1804" s="135">
        <v>5.9123118977511199E-2</v>
      </c>
      <c r="R1804" s="135">
        <v>4.9855023254526801E-2</v>
      </c>
      <c r="S1804" s="135">
        <v>4.0995148354533398E-2</v>
      </c>
      <c r="T1804" s="135">
        <v>3.4706222089425399E-2</v>
      </c>
      <c r="U1804" s="135">
        <v>3.35569285310768E-2</v>
      </c>
      <c r="V1804" s="135">
        <v>3.2753972728766199E-2</v>
      </c>
      <c r="W1804" s="135">
        <v>3.72649469581691E-2</v>
      </c>
      <c r="X1804" s="135">
        <v>4.2264625569504499E-2</v>
      </c>
      <c r="Y1804" s="135">
        <v>4.5599815132900297E-2</v>
      </c>
      <c r="Z1804" s="135">
        <v>3.7239510258981701E-2</v>
      </c>
      <c r="AA1804" s="135">
        <v>3.4788289899310598E-2</v>
      </c>
      <c r="AB1804" s="135">
        <v>3.0151795852275801E-2</v>
      </c>
      <c r="AC1804" s="135">
        <v>2.1868440841799001E-2</v>
      </c>
      <c r="AD1804" s="135">
        <v>1.6419778304740999E-2</v>
      </c>
      <c r="AF1804" s="243">
        <f t="shared" si="36"/>
        <v>0.28825536089400888</v>
      </c>
      <c r="AG1804" s="275">
        <f t="shared" si="37"/>
        <v>0.34520654345862584</v>
      </c>
      <c r="AH1804" s="391">
        <f t="shared" si="38"/>
        <v>0.46055757773980927</v>
      </c>
      <c r="AI1804" s="135">
        <f t="shared" si="39"/>
        <v>0.8057641211984351</v>
      </c>
    </row>
    <row r="1805" spans="1:35" ht="12.6">
      <c r="A1805" s="10" t="s">
        <v>58</v>
      </c>
      <c r="B1805" s="10">
        <v>344</v>
      </c>
      <c r="C1805" s="10" t="s">
        <v>1512</v>
      </c>
      <c r="D1805" s="388">
        <v>45270</v>
      </c>
      <c r="E1805" s="389">
        <v>45270</v>
      </c>
      <c r="F1805" s="390" t="str">
        <f t="shared" si="35"/>
        <v>Water heating</v>
      </c>
      <c r="G1805" s="135">
        <v>1.3082508954344801E-2</v>
      </c>
      <c r="H1805" s="135">
        <v>1.30811024928857E-2</v>
      </c>
      <c r="I1805" s="135">
        <v>1.3969953325436499E-2</v>
      </c>
      <c r="J1805" s="135">
        <v>2.3270448127445501E-2</v>
      </c>
      <c r="K1805" s="135">
        <v>2.3431258737808699E-2</v>
      </c>
      <c r="L1805" s="135">
        <v>1.5268551845299501E-2</v>
      </c>
      <c r="M1805" s="135">
        <v>2.5537282166894298E-2</v>
      </c>
      <c r="N1805" s="135">
        <v>4.44994470182054E-2</v>
      </c>
      <c r="O1805" s="135">
        <v>5.6016654668283199E-2</v>
      </c>
      <c r="P1805" s="135">
        <v>6.1019297108309799E-2</v>
      </c>
      <c r="Q1805" s="135">
        <v>5.9123118977511199E-2</v>
      </c>
      <c r="R1805" s="135">
        <v>4.9855023254526801E-2</v>
      </c>
      <c r="S1805" s="135">
        <v>4.0995148354533398E-2</v>
      </c>
      <c r="T1805" s="135">
        <v>3.4706222089425399E-2</v>
      </c>
      <c r="U1805" s="135">
        <v>3.35569285310768E-2</v>
      </c>
      <c r="V1805" s="135">
        <v>3.2753972728766199E-2</v>
      </c>
      <c r="W1805" s="135">
        <v>3.72649469581691E-2</v>
      </c>
      <c r="X1805" s="135">
        <v>4.2264625569504499E-2</v>
      </c>
      <c r="Y1805" s="135">
        <v>4.5599815132900297E-2</v>
      </c>
      <c r="Z1805" s="135">
        <v>3.7239510258981701E-2</v>
      </c>
      <c r="AA1805" s="135">
        <v>3.4788289899310598E-2</v>
      </c>
      <c r="AB1805" s="135">
        <v>3.0151795852275801E-2</v>
      </c>
      <c r="AC1805" s="135">
        <v>2.1868440841799001E-2</v>
      </c>
      <c r="AD1805" s="135">
        <v>1.6419778304740999E-2</v>
      </c>
      <c r="AF1805" s="243">
        <f t="shared" si="36"/>
        <v>0.28825536089400888</v>
      </c>
      <c r="AG1805" s="275">
        <f t="shared" si="37"/>
        <v>0.34520654345862584</v>
      </c>
      <c r="AH1805" s="391">
        <f t="shared" si="38"/>
        <v>0.46055757773980927</v>
      </c>
      <c r="AI1805" s="135">
        <f t="shared" si="39"/>
        <v>0.8057641211984351</v>
      </c>
    </row>
    <row r="1806" spans="1:35" ht="12.6">
      <c r="A1806" s="10" t="s">
        <v>58</v>
      </c>
      <c r="B1806" s="10">
        <v>345</v>
      </c>
      <c r="C1806" s="10" t="s">
        <v>1512</v>
      </c>
      <c r="D1806" s="388">
        <v>45271</v>
      </c>
      <c r="E1806" s="389">
        <v>45271</v>
      </c>
      <c r="F1806" s="390" t="str">
        <f t="shared" si="35"/>
        <v>Water heating</v>
      </c>
      <c r="G1806" s="135">
        <v>1.5290893441557801E-2</v>
      </c>
      <c r="H1806" s="135">
        <v>1.32263342863906E-2</v>
      </c>
      <c r="I1806" s="135">
        <v>1.30000935110582E-2</v>
      </c>
      <c r="J1806" s="135">
        <v>2.4830167929257699E-2</v>
      </c>
      <c r="K1806" s="135">
        <v>2.9859242664659499E-2</v>
      </c>
      <c r="L1806" s="135">
        <v>4.55896593242196E-2</v>
      </c>
      <c r="M1806" s="135">
        <v>8.2967846317717003E-2</v>
      </c>
      <c r="N1806" s="135">
        <v>6.4131388567432293E-2</v>
      </c>
      <c r="O1806" s="135">
        <v>4.0091954260129799E-2</v>
      </c>
      <c r="P1806" s="135">
        <v>4.5536797125460597E-2</v>
      </c>
      <c r="Q1806" s="135">
        <v>4.51589913472598E-2</v>
      </c>
      <c r="R1806" s="135">
        <v>3.3097581465197798E-2</v>
      </c>
      <c r="S1806" s="135">
        <v>2.6686336580521702E-2</v>
      </c>
      <c r="T1806" s="135">
        <v>2.2993216443812099E-2</v>
      </c>
      <c r="U1806" s="135">
        <v>2.4504916112011901E-2</v>
      </c>
      <c r="V1806" s="135">
        <v>2.6107546601569699E-2</v>
      </c>
      <c r="W1806" s="135">
        <v>3.1549530243412602E-2</v>
      </c>
      <c r="X1806" s="135">
        <v>4.3709661298243101E-2</v>
      </c>
      <c r="Y1806" s="135">
        <v>4.3444733521360197E-2</v>
      </c>
      <c r="Z1806" s="135">
        <v>4.2809475962730499E-2</v>
      </c>
      <c r="AA1806" s="135">
        <v>3.9741311901719603E-2</v>
      </c>
      <c r="AB1806" s="135">
        <v>3.28856203452823E-2</v>
      </c>
      <c r="AC1806" s="135">
        <v>2.29838001729794E-2</v>
      </c>
      <c r="AD1806" s="135">
        <v>1.54474575522471E-2</v>
      </c>
      <c r="AF1806" s="243">
        <f t="shared" si="36"/>
        <v>0.21009811879378559</v>
      </c>
      <c r="AG1806" s="275">
        <f t="shared" si="37"/>
        <v>0.39503704118141486</v>
      </c>
      <c r="AH1806" s="391">
        <f t="shared" si="38"/>
        <v>0.43060751579481599</v>
      </c>
      <c r="AI1806" s="135">
        <f t="shared" si="39"/>
        <v>0.82564455697623085</v>
      </c>
    </row>
    <row r="1807" spans="1:35" ht="12.6">
      <c r="A1807" s="10" t="s">
        <v>58</v>
      </c>
      <c r="B1807" s="10">
        <v>346</v>
      </c>
      <c r="C1807" s="10" t="s">
        <v>1512</v>
      </c>
      <c r="D1807" s="388">
        <v>45272</v>
      </c>
      <c r="E1807" s="389">
        <v>45272</v>
      </c>
      <c r="F1807" s="390" t="str">
        <f t="shared" si="35"/>
        <v>Water heating</v>
      </c>
      <c r="G1807" s="135">
        <v>1.5290893441557801E-2</v>
      </c>
      <c r="H1807" s="135">
        <v>1.32263342863906E-2</v>
      </c>
      <c r="I1807" s="135">
        <v>1.30000935110582E-2</v>
      </c>
      <c r="J1807" s="135">
        <v>2.4830167929257699E-2</v>
      </c>
      <c r="K1807" s="135">
        <v>2.9859242664659499E-2</v>
      </c>
      <c r="L1807" s="135">
        <v>4.55896593242196E-2</v>
      </c>
      <c r="M1807" s="135">
        <v>8.2967846317717003E-2</v>
      </c>
      <c r="N1807" s="135">
        <v>6.4131388567432293E-2</v>
      </c>
      <c r="O1807" s="135">
        <v>4.0091954260129799E-2</v>
      </c>
      <c r="P1807" s="135">
        <v>4.5536797125460597E-2</v>
      </c>
      <c r="Q1807" s="135">
        <v>4.51589913472598E-2</v>
      </c>
      <c r="R1807" s="135">
        <v>3.3097581465197798E-2</v>
      </c>
      <c r="S1807" s="135">
        <v>2.6686336580521702E-2</v>
      </c>
      <c r="T1807" s="135">
        <v>2.2993216443812099E-2</v>
      </c>
      <c r="U1807" s="135">
        <v>2.4504916112011901E-2</v>
      </c>
      <c r="V1807" s="135">
        <v>2.6107546601569699E-2</v>
      </c>
      <c r="W1807" s="135">
        <v>3.1549530243412602E-2</v>
      </c>
      <c r="X1807" s="135">
        <v>4.3709661298243101E-2</v>
      </c>
      <c r="Y1807" s="135">
        <v>4.3444733521360197E-2</v>
      </c>
      <c r="Z1807" s="135">
        <v>4.2809475962730499E-2</v>
      </c>
      <c r="AA1807" s="135">
        <v>3.9741311901719603E-2</v>
      </c>
      <c r="AB1807" s="135">
        <v>3.28856203452823E-2</v>
      </c>
      <c r="AC1807" s="135">
        <v>2.29838001729794E-2</v>
      </c>
      <c r="AD1807" s="135">
        <v>1.54474575522471E-2</v>
      </c>
      <c r="AF1807" s="243">
        <f t="shared" si="36"/>
        <v>0.21009811879378559</v>
      </c>
      <c r="AG1807" s="275">
        <f t="shared" si="37"/>
        <v>0.39503704118141486</v>
      </c>
      <c r="AH1807" s="391">
        <f t="shared" si="38"/>
        <v>0.43060751579481599</v>
      </c>
      <c r="AI1807" s="135">
        <f t="shared" si="39"/>
        <v>0.82564455697623085</v>
      </c>
    </row>
    <row r="1808" spans="1:35" ht="12.6">
      <c r="A1808" s="10" t="s">
        <v>58</v>
      </c>
      <c r="B1808" s="10">
        <v>347</v>
      </c>
      <c r="C1808" s="10" t="s">
        <v>1512</v>
      </c>
      <c r="D1808" s="388">
        <v>45273</v>
      </c>
      <c r="E1808" s="389">
        <v>45273</v>
      </c>
      <c r="F1808" s="390" t="str">
        <f t="shared" si="35"/>
        <v>Water heating</v>
      </c>
      <c r="G1808" s="135">
        <v>1.5290893441557801E-2</v>
      </c>
      <c r="H1808" s="135">
        <v>1.32263342863906E-2</v>
      </c>
      <c r="I1808" s="135">
        <v>1.30000935110582E-2</v>
      </c>
      <c r="J1808" s="135">
        <v>2.4830167929257699E-2</v>
      </c>
      <c r="K1808" s="135">
        <v>2.9859242664659499E-2</v>
      </c>
      <c r="L1808" s="135">
        <v>4.55896593242196E-2</v>
      </c>
      <c r="M1808" s="135">
        <v>8.2967846317717003E-2</v>
      </c>
      <c r="N1808" s="135">
        <v>6.4131388567432293E-2</v>
      </c>
      <c r="O1808" s="135">
        <v>4.0091954260129799E-2</v>
      </c>
      <c r="P1808" s="135">
        <v>4.5536797125460597E-2</v>
      </c>
      <c r="Q1808" s="135">
        <v>4.51589913472598E-2</v>
      </c>
      <c r="R1808" s="135">
        <v>3.3097581465197798E-2</v>
      </c>
      <c r="S1808" s="135">
        <v>2.6686336580521702E-2</v>
      </c>
      <c r="T1808" s="135">
        <v>2.2993216443812099E-2</v>
      </c>
      <c r="U1808" s="135">
        <v>2.4504916112011901E-2</v>
      </c>
      <c r="V1808" s="135">
        <v>2.6107546601569699E-2</v>
      </c>
      <c r="W1808" s="135">
        <v>3.1549530243412602E-2</v>
      </c>
      <c r="X1808" s="135">
        <v>4.3709661298243101E-2</v>
      </c>
      <c r="Y1808" s="135">
        <v>4.3444733521360197E-2</v>
      </c>
      <c r="Z1808" s="135">
        <v>4.2809475962730499E-2</v>
      </c>
      <c r="AA1808" s="135">
        <v>3.9741311901719603E-2</v>
      </c>
      <c r="AB1808" s="135">
        <v>3.28856203452823E-2</v>
      </c>
      <c r="AC1808" s="135">
        <v>2.29838001729794E-2</v>
      </c>
      <c r="AD1808" s="135">
        <v>1.54474575522471E-2</v>
      </c>
      <c r="AF1808" s="243">
        <f t="shared" si="36"/>
        <v>0.21009811879378559</v>
      </c>
      <c r="AG1808" s="275">
        <f t="shared" si="37"/>
        <v>0.39503704118141486</v>
      </c>
      <c r="AH1808" s="391">
        <f t="shared" si="38"/>
        <v>0.43060751579481599</v>
      </c>
      <c r="AI1808" s="135">
        <f t="shared" si="39"/>
        <v>0.82564455697623085</v>
      </c>
    </row>
    <row r="1809" spans="1:35" ht="12.6">
      <c r="A1809" s="10" t="s">
        <v>58</v>
      </c>
      <c r="B1809" s="10">
        <v>348</v>
      </c>
      <c r="C1809" s="10" t="s">
        <v>1512</v>
      </c>
      <c r="D1809" s="388">
        <v>45274</v>
      </c>
      <c r="E1809" s="389">
        <v>45274</v>
      </c>
      <c r="F1809" s="390" t="str">
        <f t="shared" si="35"/>
        <v>Water heating</v>
      </c>
      <c r="G1809" s="135">
        <v>1.5290893441557801E-2</v>
      </c>
      <c r="H1809" s="135">
        <v>1.32263342863906E-2</v>
      </c>
      <c r="I1809" s="135">
        <v>1.30000935110582E-2</v>
      </c>
      <c r="J1809" s="135">
        <v>2.4830167929257699E-2</v>
      </c>
      <c r="K1809" s="135">
        <v>2.9859242664659499E-2</v>
      </c>
      <c r="L1809" s="135">
        <v>4.55896593242196E-2</v>
      </c>
      <c r="M1809" s="135">
        <v>8.2967846317717003E-2</v>
      </c>
      <c r="N1809" s="135">
        <v>6.4131388567432293E-2</v>
      </c>
      <c r="O1809" s="135">
        <v>4.0091954260129799E-2</v>
      </c>
      <c r="P1809" s="135">
        <v>4.5536797125460597E-2</v>
      </c>
      <c r="Q1809" s="135">
        <v>4.51589913472598E-2</v>
      </c>
      <c r="R1809" s="135">
        <v>3.3097581465197798E-2</v>
      </c>
      <c r="S1809" s="135">
        <v>2.6686336580521702E-2</v>
      </c>
      <c r="T1809" s="135">
        <v>2.2993216443812099E-2</v>
      </c>
      <c r="U1809" s="135">
        <v>2.4504916112011901E-2</v>
      </c>
      <c r="V1809" s="135">
        <v>2.6107546601569699E-2</v>
      </c>
      <c r="W1809" s="135">
        <v>3.1549530243412602E-2</v>
      </c>
      <c r="X1809" s="135">
        <v>4.3709661298243101E-2</v>
      </c>
      <c r="Y1809" s="135">
        <v>4.3444733521360197E-2</v>
      </c>
      <c r="Z1809" s="135">
        <v>4.2809475962730499E-2</v>
      </c>
      <c r="AA1809" s="135">
        <v>3.9741311901719603E-2</v>
      </c>
      <c r="AB1809" s="135">
        <v>3.28856203452823E-2</v>
      </c>
      <c r="AC1809" s="135">
        <v>2.29838001729794E-2</v>
      </c>
      <c r="AD1809" s="135">
        <v>1.54474575522471E-2</v>
      </c>
      <c r="AF1809" s="243">
        <f t="shared" si="36"/>
        <v>0.21009811879378559</v>
      </c>
      <c r="AG1809" s="275">
        <f t="shared" si="37"/>
        <v>0.39503704118141486</v>
      </c>
      <c r="AH1809" s="391">
        <f t="shared" si="38"/>
        <v>0.43060751579481599</v>
      </c>
      <c r="AI1809" s="135">
        <f t="shared" si="39"/>
        <v>0.82564455697623085</v>
      </c>
    </row>
    <row r="1810" spans="1:35" ht="12.6">
      <c r="A1810" s="10" t="s">
        <v>58</v>
      </c>
      <c r="B1810" s="10">
        <v>349</v>
      </c>
      <c r="C1810" s="10" t="s">
        <v>1512</v>
      </c>
      <c r="D1810" s="388">
        <v>45275</v>
      </c>
      <c r="E1810" s="389">
        <v>45275</v>
      </c>
      <c r="F1810" s="390" t="str">
        <f t="shared" si="35"/>
        <v>Water heating</v>
      </c>
      <c r="G1810" s="135">
        <v>1.5290893441557801E-2</v>
      </c>
      <c r="H1810" s="135">
        <v>1.32263342863906E-2</v>
      </c>
      <c r="I1810" s="135">
        <v>1.30000935110582E-2</v>
      </c>
      <c r="J1810" s="135">
        <v>2.4830167929257699E-2</v>
      </c>
      <c r="K1810" s="135">
        <v>2.9859242664659499E-2</v>
      </c>
      <c r="L1810" s="135">
        <v>4.55896593242196E-2</v>
      </c>
      <c r="M1810" s="135">
        <v>8.2967846317717003E-2</v>
      </c>
      <c r="N1810" s="135">
        <v>6.4131388567432293E-2</v>
      </c>
      <c r="O1810" s="135">
        <v>4.0091954260129799E-2</v>
      </c>
      <c r="P1810" s="135">
        <v>4.5536797125460597E-2</v>
      </c>
      <c r="Q1810" s="135">
        <v>4.51589913472598E-2</v>
      </c>
      <c r="R1810" s="135">
        <v>3.3097581465197798E-2</v>
      </c>
      <c r="S1810" s="135">
        <v>2.6686336580521702E-2</v>
      </c>
      <c r="T1810" s="135">
        <v>2.2993216443812099E-2</v>
      </c>
      <c r="U1810" s="135">
        <v>2.4504916112011901E-2</v>
      </c>
      <c r="V1810" s="135">
        <v>2.6107546601569699E-2</v>
      </c>
      <c r="W1810" s="135">
        <v>3.1549530243412602E-2</v>
      </c>
      <c r="X1810" s="135">
        <v>4.3709661298243101E-2</v>
      </c>
      <c r="Y1810" s="135">
        <v>4.3444733521360197E-2</v>
      </c>
      <c r="Z1810" s="135">
        <v>4.2809475962730499E-2</v>
      </c>
      <c r="AA1810" s="135">
        <v>3.9741311901719603E-2</v>
      </c>
      <c r="AB1810" s="135">
        <v>3.28856203452823E-2</v>
      </c>
      <c r="AC1810" s="135">
        <v>2.29838001729794E-2</v>
      </c>
      <c r="AD1810" s="135">
        <v>1.54474575522471E-2</v>
      </c>
      <c r="AF1810" s="243">
        <f t="shared" si="36"/>
        <v>0.21009811879378559</v>
      </c>
      <c r="AG1810" s="275">
        <f t="shared" si="37"/>
        <v>0.39503704118141486</v>
      </c>
      <c r="AH1810" s="391">
        <f t="shared" si="38"/>
        <v>0.43060751579481599</v>
      </c>
      <c r="AI1810" s="135">
        <f t="shared" si="39"/>
        <v>0.82564455697623085</v>
      </c>
    </row>
    <row r="1811" spans="1:35" ht="12.6">
      <c r="A1811" s="10" t="s">
        <v>58</v>
      </c>
      <c r="B1811" s="10">
        <v>350</v>
      </c>
      <c r="C1811" s="10" t="s">
        <v>1512</v>
      </c>
      <c r="D1811" s="388">
        <v>45276</v>
      </c>
      <c r="E1811" s="389">
        <v>45276</v>
      </c>
      <c r="F1811" s="390" t="str">
        <f t="shared" si="35"/>
        <v>Water heating</v>
      </c>
      <c r="G1811" s="135">
        <v>1.3082508954344801E-2</v>
      </c>
      <c r="H1811" s="135">
        <v>1.30811024928857E-2</v>
      </c>
      <c r="I1811" s="135">
        <v>1.3969953325436499E-2</v>
      </c>
      <c r="J1811" s="135">
        <v>2.3270448127445501E-2</v>
      </c>
      <c r="K1811" s="135">
        <v>2.3431258737808699E-2</v>
      </c>
      <c r="L1811" s="135">
        <v>1.5268551845299501E-2</v>
      </c>
      <c r="M1811" s="135">
        <v>2.5537282166894298E-2</v>
      </c>
      <c r="N1811" s="135">
        <v>4.44994470182054E-2</v>
      </c>
      <c r="O1811" s="135">
        <v>5.6016654668283199E-2</v>
      </c>
      <c r="P1811" s="135">
        <v>6.1019297108309799E-2</v>
      </c>
      <c r="Q1811" s="135">
        <v>5.9123118977511199E-2</v>
      </c>
      <c r="R1811" s="135">
        <v>4.9855023254526801E-2</v>
      </c>
      <c r="S1811" s="135">
        <v>4.0995148354533398E-2</v>
      </c>
      <c r="T1811" s="135">
        <v>3.4706222089425399E-2</v>
      </c>
      <c r="U1811" s="135">
        <v>3.35569285310768E-2</v>
      </c>
      <c r="V1811" s="135">
        <v>3.2753972728766199E-2</v>
      </c>
      <c r="W1811" s="135">
        <v>3.72649469581691E-2</v>
      </c>
      <c r="X1811" s="135">
        <v>4.2264625569504499E-2</v>
      </c>
      <c r="Y1811" s="135">
        <v>4.5599815132900297E-2</v>
      </c>
      <c r="Z1811" s="135">
        <v>3.7239510258981701E-2</v>
      </c>
      <c r="AA1811" s="135">
        <v>3.4788289899310598E-2</v>
      </c>
      <c r="AB1811" s="135">
        <v>3.0151795852275801E-2</v>
      </c>
      <c r="AC1811" s="135">
        <v>2.1868440841799001E-2</v>
      </c>
      <c r="AD1811" s="135">
        <v>1.6419778304740999E-2</v>
      </c>
      <c r="AF1811" s="243">
        <f t="shared" si="36"/>
        <v>0.28825536089400888</v>
      </c>
      <c r="AG1811" s="275">
        <f t="shared" si="37"/>
        <v>0.34520654345862584</v>
      </c>
      <c r="AH1811" s="391">
        <f t="shared" si="38"/>
        <v>0.46055757773980927</v>
      </c>
      <c r="AI1811" s="135">
        <f t="shared" si="39"/>
        <v>0.8057641211984351</v>
      </c>
    </row>
    <row r="1812" spans="1:35" ht="12.6">
      <c r="A1812" s="10" t="s">
        <v>58</v>
      </c>
      <c r="B1812" s="10">
        <v>351</v>
      </c>
      <c r="C1812" s="10" t="s">
        <v>1512</v>
      </c>
      <c r="D1812" s="388">
        <v>45277</v>
      </c>
      <c r="E1812" s="389">
        <v>45277</v>
      </c>
      <c r="F1812" s="390" t="str">
        <f t="shared" si="35"/>
        <v>Water heating</v>
      </c>
      <c r="G1812" s="135">
        <v>1.3082508954344801E-2</v>
      </c>
      <c r="H1812" s="135">
        <v>1.30811024928857E-2</v>
      </c>
      <c r="I1812" s="135">
        <v>1.3969953325436499E-2</v>
      </c>
      <c r="J1812" s="135">
        <v>2.3270448127445501E-2</v>
      </c>
      <c r="K1812" s="135">
        <v>2.3431258737808699E-2</v>
      </c>
      <c r="L1812" s="135">
        <v>1.5268551845299501E-2</v>
      </c>
      <c r="M1812" s="135">
        <v>2.5537282166894298E-2</v>
      </c>
      <c r="N1812" s="135">
        <v>4.44994470182054E-2</v>
      </c>
      <c r="O1812" s="135">
        <v>5.6016654668283199E-2</v>
      </c>
      <c r="P1812" s="135">
        <v>6.1019297108309799E-2</v>
      </c>
      <c r="Q1812" s="135">
        <v>5.9123118977511199E-2</v>
      </c>
      <c r="R1812" s="135">
        <v>4.9855023254526801E-2</v>
      </c>
      <c r="S1812" s="135">
        <v>4.0995148354533398E-2</v>
      </c>
      <c r="T1812" s="135">
        <v>3.4706222089425399E-2</v>
      </c>
      <c r="U1812" s="135">
        <v>3.35569285310768E-2</v>
      </c>
      <c r="V1812" s="135">
        <v>3.2753972728766199E-2</v>
      </c>
      <c r="W1812" s="135">
        <v>3.72649469581691E-2</v>
      </c>
      <c r="X1812" s="135">
        <v>4.2264625569504499E-2</v>
      </c>
      <c r="Y1812" s="135">
        <v>4.5599815132900297E-2</v>
      </c>
      <c r="Z1812" s="135">
        <v>3.7239510258981701E-2</v>
      </c>
      <c r="AA1812" s="135">
        <v>3.4788289899310598E-2</v>
      </c>
      <c r="AB1812" s="135">
        <v>3.0151795852275801E-2</v>
      </c>
      <c r="AC1812" s="135">
        <v>2.1868440841799001E-2</v>
      </c>
      <c r="AD1812" s="135">
        <v>1.6419778304740999E-2</v>
      </c>
      <c r="AF1812" s="243">
        <f t="shared" si="36"/>
        <v>0.28825536089400888</v>
      </c>
      <c r="AG1812" s="275">
        <f t="shared" si="37"/>
        <v>0.34520654345862584</v>
      </c>
      <c r="AH1812" s="391">
        <f t="shared" si="38"/>
        <v>0.46055757773980927</v>
      </c>
      <c r="AI1812" s="135">
        <f t="shared" si="39"/>
        <v>0.8057641211984351</v>
      </c>
    </row>
    <row r="1813" spans="1:35" ht="12.6">
      <c r="A1813" s="10" t="s">
        <v>58</v>
      </c>
      <c r="B1813" s="10">
        <v>352</v>
      </c>
      <c r="C1813" s="10" t="s">
        <v>1512</v>
      </c>
      <c r="D1813" s="388">
        <v>45278</v>
      </c>
      <c r="E1813" s="389">
        <v>45278</v>
      </c>
      <c r="F1813" s="390" t="str">
        <f t="shared" si="35"/>
        <v>Water heating</v>
      </c>
      <c r="G1813" s="135">
        <v>1.5290893441557801E-2</v>
      </c>
      <c r="H1813" s="135">
        <v>1.32263342863906E-2</v>
      </c>
      <c r="I1813" s="135">
        <v>1.30000935110582E-2</v>
      </c>
      <c r="J1813" s="135">
        <v>2.4830167929257699E-2</v>
      </c>
      <c r="K1813" s="135">
        <v>2.9859242664659499E-2</v>
      </c>
      <c r="L1813" s="135">
        <v>4.55896593242196E-2</v>
      </c>
      <c r="M1813" s="135">
        <v>8.2967846317717003E-2</v>
      </c>
      <c r="N1813" s="135">
        <v>6.4131388567432293E-2</v>
      </c>
      <c r="O1813" s="135">
        <v>4.0091954260129799E-2</v>
      </c>
      <c r="P1813" s="135">
        <v>4.5536797125460597E-2</v>
      </c>
      <c r="Q1813" s="135">
        <v>4.51589913472598E-2</v>
      </c>
      <c r="R1813" s="135">
        <v>3.3097581465197798E-2</v>
      </c>
      <c r="S1813" s="135">
        <v>2.6686336580521702E-2</v>
      </c>
      <c r="T1813" s="135">
        <v>2.2993216443812099E-2</v>
      </c>
      <c r="U1813" s="135">
        <v>2.4504916112011901E-2</v>
      </c>
      <c r="V1813" s="135">
        <v>2.6107546601569699E-2</v>
      </c>
      <c r="W1813" s="135">
        <v>3.1549530243412602E-2</v>
      </c>
      <c r="X1813" s="135">
        <v>4.3709661298243101E-2</v>
      </c>
      <c r="Y1813" s="135">
        <v>4.3444733521360197E-2</v>
      </c>
      <c r="Z1813" s="135">
        <v>4.2809475962730499E-2</v>
      </c>
      <c r="AA1813" s="135">
        <v>3.9741311901719603E-2</v>
      </c>
      <c r="AB1813" s="135">
        <v>3.28856203452823E-2</v>
      </c>
      <c r="AC1813" s="135">
        <v>2.29838001729794E-2</v>
      </c>
      <c r="AD1813" s="135">
        <v>1.54474575522471E-2</v>
      </c>
      <c r="AF1813" s="243">
        <f t="shared" si="36"/>
        <v>0.21009811879378559</v>
      </c>
      <c r="AG1813" s="275">
        <f t="shared" si="37"/>
        <v>0.39503704118141486</v>
      </c>
      <c r="AH1813" s="391">
        <f t="shared" si="38"/>
        <v>0.43060751579481599</v>
      </c>
      <c r="AI1813" s="135">
        <f t="shared" si="39"/>
        <v>0.82564455697623085</v>
      </c>
    </row>
    <row r="1814" spans="1:35" ht="12.6">
      <c r="A1814" s="10" t="s">
        <v>58</v>
      </c>
      <c r="B1814" s="10">
        <v>353</v>
      </c>
      <c r="C1814" s="10" t="s">
        <v>1512</v>
      </c>
      <c r="D1814" s="388">
        <v>45279</v>
      </c>
      <c r="E1814" s="389">
        <v>45279</v>
      </c>
      <c r="F1814" s="390" t="str">
        <f t="shared" si="35"/>
        <v>Water heating</v>
      </c>
      <c r="G1814" s="135">
        <v>1.5290893441557801E-2</v>
      </c>
      <c r="H1814" s="135">
        <v>1.32263342863906E-2</v>
      </c>
      <c r="I1814" s="135">
        <v>1.30000935110582E-2</v>
      </c>
      <c r="J1814" s="135">
        <v>2.4830167929257699E-2</v>
      </c>
      <c r="K1814" s="135">
        <v>2.9859242664659499E-2</v>
      </c>
      <c r="L1814" s="135">
        <v>4.55896593242196E-2</v>
      </c>
      <c r="M1814" s="135">
        <v>8.2967846317717003E-2</v>
      </c>
      <c r="N1814" s="135">
        <v>6.4131388567432293E-2</v>
      </c>
      <c r="O1814" s="135">
        <v>4.0091954260129799E-2</v>
      </c>
      <c r="P1814" s="135">
        <v>4.5536797125460597E-2</v>
      </c>
      <c r="Q1814" s="135">
        <v>4.51589913472598E-2</v>
      </c>
      <c r="R1814" s="135">
        <v>3.3097581465197798E-2</v>
      </c>
      <c r="S1814" s="135">
        <v>2.6686336580521702E-2</v>
      </c>
      <c r="T1814" s="135">
        <v>2.2993216443812099E-2</v>
      </c>
      <c r="U1814" s="135">
        <v>2.4504916112011901E-2</v>
      </c>
      <c r="V1814" s="135">
        <v>2.6107546601569699E-2</v>
      </c>
      <c r="W1814" s="135">
        <v>3.1549530243412602E-2</v>
      </c>
      <c r="X1814" s="135">
        <v>4.3709661298243101E-2</v>
      </c>
      <c r="Y1814" s="135">
        <v>4.3444733521360197E-2</v>
      </c>
      <c r="Z1814" s="135">
        <v>4.2809475962730499E-2</v>
      </c>
      <c r="AA1814" s="135">
        <v>3.9741311901719603E-2</v>
      </c>
      <c r="AB1814" s="135">
        <v>3.28856203452823E-2</v>
      </c>
      <c r="AC1814" s="135">
        <v>2.29838001729794E-2</v>
      </c>
      <c r="AD1814" s="135">
        <v>1.54474575522471E-2</v>
      </c>
      <c r="AF1814" s="243">
        <f t="shared" si="36"/>
        <v>0.21009811879378559</v>
      </c>
      <c r="AG1814" s="275">
        <f t="shared" si="37"/>
        <v>0.39503704118141486</v>
      </c>
      <c r="AH1814" s="391">
        <f t="shared" si="38"/>
        <v>0.43060751579481599</v>
      </c>
      <c r="AI1814" s="135">
        <f t="shared" si="39"/>
        <v>0.82564455697623085</v>
      </c>
    </row>
    <row r="1815" spans="1:35" ht="12.6">
      <c r="A1815" s="10" t="s">
        <v>58</v>
      </c>
      <c r="B1815" s="10">
        <v>354</v>
      </c>
      <c r="C1815" s="10" t="s">
        <v>1512</v>
      </c>
      <c r="D1815" s="388">
        <v>45280</v>
      </c>
      <c r="E1815" s="389">
        <v>45280</v>
      </c>
      <c r="F1815" s="390" t="str">
        <f t="shared" si="35"/>
        <v>Water heating</v>
      </c>
      <c r="G1815" s="135">
        <v>1.5290893441557801E-2</v>
      </c>
      <c r="H1815" s="135">
        <v>1.32263342863906E-2</v>
      </c>
      <c r="I1815" s="135">
        <v>1.30000935110582E-2</v>
      </c>
      <c r="J1815" s="135">
        <v>2.4830167929257699E-2</v>
      </c>
      <c r="K1815" s="135">
        <v>2.9859242664659499E-2</v>
      </c>
      <c r="L1815" s="135">
        <v>4.55896593242196E-2</v>
      </c>
      <c r="M1815" s="135">
        <v>8.2967846317717003E-2</v>
      </c>
      <c r="N1815" s="135">
        <v>6.4131388567432293E-2</v>
      </c>
      <c r="O1815" s="135">
        <v>4.0091954260129799E-2</v>
      </c>
      <c r="P1815" s="135">
        <v>4.5536797125460597E-2</v>
      </c>
      <c r="Q1815" s="135">
        <v>4.51589913472598E-2</v>
      </c>
      <c r="R1815" s="135">
        <v>3.3097581465197798E-2</v>
      </c>
      <c r="S1815" s="135">
        <v>2.6686336580521702E-2</v>
      </c>
      <c r="T1815" s="135">
        <v>2.2993216443812099E-2</v>
      </c>
      <c r="U1815" s="135">
        <v>2.4504916112011901E-2</v>
      </c>
      <c r="V1815" s="135">
        <v>2.6107546601569699E-2</v>
      </c>
      <c r="W1815" s="135">
        <v>3.1549530243412602E-2</v>
      </c>
      <c r="X1815" s="135">
        <v>4.3709661298243101E-2</v>
      </c>
      <c r="Y1815" s="135">
        <v>4.3444733521360197E-2</v>
      </c>
      <c r="Z1815" s="135">
        <v>4.2809475962730499E-2</v>
      </c>
      <c r="AA1815" s="135">
        <v>3.9741311901719603E-2</v>
      </c>
      <c r="AB1815" s="135">
        <v>3.28856203452823E-2</v>
      </c>
      <c r="AC1815" s="135">
        <v>2.29838001729794E-2</v>
      </c>
      <c r="AD1815" s="135">
        <v>1.54474575522471E-2</v>
      </c>
      <c r="AF1815" s="243">
        <f t="shared" si="36"/>
        <v>0.21009811879378559</v>
      </c>
      <c r="AG1815" s="275">
        <f t="shared" si="37"/>
        <v>0.39503704118141486</v>
      </c>
      <c r="AH1815" s="391">
        <f t="shared" si="38"/>
        <v>0.43060751579481599</v>
      </c>
      <c r="AI1815" s="135">
        <f t="shared" si="39"/>
        <v>0.82564455697623085</v>
      </c>
    </row>
    <row r="1816" spans="1:35" ht="12.6">
      <c r="A1816" s="10" t="s">
        <v>58</v>
      </c>
      <c r="B1816" s="10">
        <v>355</v>
      </c>
      <c r="C1816" s="10" t="s">
        <v>1512</v>
      </c>
      <c r="D1816" s="388">
        <v>45281</v>
      </c>
      <c r="E1816" s="389">
        <v>45281</v>
      </c>
      <c r="F1816" s="390" t="str">
        <f t="shared" si="35"/>
        <v>Water heating</v>
      </c>
      <c r="G1816" s="135">
        <v>1.5290893441557801E-2</v>
      </c>
      <c r="H1816" s="135">
        <v>1.32263342863906E-2</v>
      </c>
      <c r="I1816" s="135">
        <v>1.30000935110582E-2</v>
      </c>
      <c r="J1816" s="135">
        <v>2.4830167929257699E-2</v>
      </c>
      <c r="K1816" s="135">
        <v>2.9859242664659499E-2</v>
      </c>
      <c r="L1816" s="135">
        <v>4.55896593242196E-2</v>
      </c>
      <c r="M1816" s="135">
        <v>8.2967846317717003E-2</v>
      </c>
      <c r="N1816" s="135">
        <v>6.4131388567432293E-2</v>
      </c>
      <c r="O1816" s="135">
        <v>4.0091954260129799E-2</v>
      </c>
      <c r="P1816" s="135">
        <v>4.5536797125460597E-2</v>
      </c>
      <c r="Q1816" s="135">
        <v>4.51589913472598E-2</v>
      </c>
      <c r="R1816" s="135">
        <v>3.3097581465197798E-2</v>
      </c>
      <c r="S1816" s="135">
        <v>2.6686336580521702E-2</v>
      </c>
      <c r="T1816" s="135">
        <v>2.2993216443812099E-2</v>
      </c>
      <c r="U1816" s="135">
        <v>2.4504916112011901E-2</v>
      </c>
      <c r="V1816" s="135">
        <v>2.6107546601569699E-2</v>
      </c>
      <c r="W1816" s="135">
        <v>3.1549530243412602E-2</v>
      </c>
      <c r="X1816" s="135">
        <v>4.3709661298243101E-2</v>
      </c>
      <c r="Y1816" s="135">
        <v>4.3444733521360197E-2</v>
      </c>
      <c r="Z1816" s="135">
        <v>4.2809475962730499E-2</v>
      </c>
      <c r="AA1816" s="135">
        <v>3.9741311901719603E-2</v>
      </c>
      <c r="AB1816" s="135">
        <v>3.28856203452823E-2</v>
      </c>
      <c r="AC1816" s="135">
        <v>2.29838001729794E-2</v>
      </c>
      <c r="AD1816" s="135">
        <v>1.54474575522471E-2</v>
      </c>
      <c r="AF1816" s="243">
        <f t="shared" si="36"/>
        <v>0.21009811879378559</v>
      </c>
      <c r="AG1816" s="275">
        <f t="shared" si="37"/>
        <v>0.39503704118141486</v>
      </c>
      <c r="AH1816" s="391">
        <f t="shared" si="38"/>
        <v>0.43060751579481599</v>
      </c>
      <c r="AI1816" s="135">
        <f t="shared" si="39"/>
        <v>0.82564455697623085</v>
      </c>
    </row>
    <row r="1817" spans="1:35" ht="12.6">
      <c r="A1817" s="10" t="s">
        <v>58</v>
      </c>
      <c r="B1817" s="10">
        <v>356</v>
      </c>
      <c r="C1817" s="10" t="s">
        <v>1512</v>
      </c>
      <c r="D1817" s="388">
        <v>45282</v>
      </c>
      <c r="E1817" s="389">
        <v>45282</v>
      </c>
      <c r="F1817" s="390" t="str">
        <f t="shared" si="35"/>
        <v>Water heating</v>
      </c>
      <c r="G1817" s="135">
        <v>1.5290893441557801E-2</v>
      </c>
      <c r="H1817" s="135">
        <v>1.32263342863906E-2</v>
      </c>
      <c r="I1817" s="135">
        <v>1.30000935110582E-2</v>
      </c>
      <c r="J1817" s="135">
        <v>2.4830167929257699E-2</v>
      </c>
      <c r="K1817" s="135">
        <v>2.9859242664659499E-2</v>
      </c>
      <c r="L1817" s="135">
        <v>4.55896593242196E-2</v>
      </c>
      <c r="M1817" s="135">
        <v>8.2967846317717003E-2</v>
      </c>
      <c r="N1817" s="135">
        <v>6.4131388567432293E-2</v>
      </c>
      <c r="O1817" s="135">
        <v>4.0091954260129799E-2</v>
      </c>
      <c r="P1817" s="135">
        <v>4.5536797125460597E-2</v>
      </c>
      <c r="Q1817" s="135">
        <v>4.51589913472598E-2</v>
      </c>
      <c r="R1817" s="135">
        <v>3.3097581465197798E-2</v>
      </c>
      <c r="S1817" s="135">
        <v>2.6686336580521702E-2</v>
      </c>
      <c r="T1817" s="135">
        <v>2.2993216443812099E-2</v>
      </c>
      <c r="U1817" s="135">
        <v>2.4504916112011901E-2</v>
      </c>
      <c r="V1817" s="135">
        <v>2.6107546601569699E-2</v>
      </c>
      <c r="W1817" s="135">
        <v>3.1549530243412602E-2</v>
      </c>
      <c r="X1817" s="135">
        <v>4.3709661298243101E-2</v>
      </c>
      <c r="Y1817" s="135">
        <v>4.3444733521360197E-2</v>
      </c>
      <c r="Z1817" s="135">
        <v>4.2809475962730499E-2</v>
      </c>
      <c r="AA1817" s="135">
        <v>3.9741311901719603E-2</v>
      </c>
      <c r="AB1817" s="135">
        <v>3.28856203452823E-2</v>
      </c>
      <c r="AC1817" s="135">
        <v>2.29838001729794E-2</v>
      </c>
      <c r="AD1817" s="135">
        <v>1.54474575522471E-2</v>
      </c>
      <c r="AF1817" s="243">
        <f t="shared" si="36"/>
        <v>0.21009811879378559</v>
      </c>
      <c r="AG1817" s="275">
        <f t="shared" si="37"/>
        <v>0.39503704118141486</v>
      </c>
      <c r="AH1817" s="391">
        <f t="shared" si="38"/>
        <v>0.43060751579481599</v>
      </c>
      <c r="AI1817" s="135">
        <f t="shared" si="39"/>
        <v>0.82564455697623085</v>
      </c>
    </row>
    <row r="1818" spans="1:35" ht="12.6">
      <c r="A1818" s="10" t="s">
        <v>58</v>
      </c>
      <c r="B1818" s="10">
        <v>357</v>
      </c>
      <c r="C1818" s="10" t="s">
        <v>1512</v>
      </c>
      <c r="D1818" s="388">
        <v>45283</v>
      </c>
      <c r="E1818" s="389">
        <v>45283</v>
      </c>
      <c r="F1818" s="390" t="str">
        <f t="shared" si="35"/>
        <v>Water heating</v>
      </c>
      <c r="G1818" s="135">
        <v>1.3082508954344801E-2</v>
      </c>
      <c r="H1818" s="135">
        <v>1.30811024928857E-2</v>
      </c>
      <c r="I1818" s="135">
        <v>1.3969953325436499E-2</v>
      </c>
      <c r="J1818" s="135">
        <v>2.3270448127445501E-2</v>
      </c>
      <c r="K1818" s="135">
        <v>2.3431258737808699E-2</v>
      </c>
      <c r="L1818" s="135">
        <v>1.5268551845299501E-2</v>
      </c>
      <c r="M1818" s="135">
        <v>2.5537282166894298E-2</v>
      </c>
      <c r="N1818" s="135">
        <v>4.44994470182054E-2</v>
      </c>
      <c r="O1818" s="135">
        <v>5.6016654668283199E-2</v>
      </c>
      <c r="P1818" s="135">
        <v>6.1019297108309799E-2</v>
      </c>
      <c r="Q1818" s="135">
        <v>5.9123118977511199E-2</v>
      </c>
      <c r="R1818" s="135">
        <v>4.9855023254526801E-2</v>
      </c>
      <c r="S1818" s="135">
        <v>4.0995148354533398E-2</v>
      </c>
      <c r="T1818" s="135">
        <v>3.4706222089425399E-2</v>
      </c>
      <c r="U1818" s="135">
        <v>3.35569285310768E-2</v>
      </c>
      <c r="V1818" s="135">
        <v>3.2753972728766199E-2</v>
      </c>
      <c r="W1818" s="135">
        <v>3.72649469581691E-2</v>
      </c>
      <c r="X1818" s="135">
        <v>4.2264625569504499E-2</v>
      </c>
      <c r="Y1818" s="135">
        <v>4.5599815132900297E-2</v>
      </c>
      <c r="Z1818" s="135">
        <v>3.7239510258981701E-2</v>
      </c>
      <c r="AA1818" s="135">
        <v>3.4788289899310598E-2</v>
      </c>
      <c r="AB1818" s="135">
        <v>3.0151795852275801E-2</v>
      </c>
      <c r="AC1818" s="135">
        <v>2.1868440841799001E-2</v>
      </c>
      <c r="AD1818" s="135">
        <v>1.6419778304740999E-2</v>
      </c>
      <c r="AF1818" s="243">
        <f t="shared" si="36"/>
        <v>0.28825536089400888</v>
      </c>
      <c r="AG1818" s="275">
        <f t="shared" si="37"/>
        <v>0.34520654345862584</v>
      </c>
      <c r="AH1818" s="391">
        <f t="shared" si="38"/>
        <v>0.46055757773980927</v>
      </c>
      <c r="AI1818" s="135">
        <f t="shared" si="39"/>
        <v>0.8057641211984351</v>
      </c>
    </row>
    <row r="1819" spans="1:35" ht="12.6">
      <c r="A1819" s="10" t="s">
        <v>58</v>
      </c>
      <c r="B1819" s="10">
        <v>358</v>
      </c>
      <c r="C1819" s="10" t="s">
        <v>1512</v>
      </c>
      <c r="D1819" s="388">
        <v>45284</v>
      </c>
      <c r="E1819" s="389">
        <v>45284</v>
      </c>
      <c r="F1819" s="390" t="str">
        <f t="shared" si="35"/>
        <v>Water heating</v>
      </c>
      <c r="G1819" s="135">
        <v>1.3082508954344801E-2</v>
      </c>
      <c r="H1819" s="135">
        <v>1.30811024928857E-2</v>
      </c>
      <c r="I1819" s="135">
        <v>1.3969953325436499E-2</v>
      </c>
      <c r="J1819" s="135">
        <v>2.3270448127445501E-2</v>
      </c>
      <c r="K1819" s="135">
        <v>2.3431258737808699E-2</v>
      </c>
      <c r="L1819" s="135">
        <v>1.5268551845299501E-2</v>
      </c>
      <c r="M1819" s="135">
        <v>2.5537282166894298E-2</v>
      </c>
      <c r="N1819" s="135">
        <v>4.44994470182054E-2</v>
      </c>
      <c r="O1819" s="135">
        <v>5.6016654668283199E-2</v>
      </c>
      <c r="P1819" s="135">
        <v>6.1019297108309799E-2</v>
      </c>
      <c r="Q1819" s="135">
        <v>5.9123118977511199E-2</v>
      </c>
      <c r="R1819" s="135">
        <v>4.9855023254526801E-2</v>
      </c>
      <c r="S1819" s="135">
        <v>4.0995148354533398E-2</v>
      </c>
      <c r="T1819" s="135">
        <v>3.4706222089425399E-2</v>
      </c>
      <c r="U1819" s="135">
        <v>3.35569285310768E-2</v>
      </c>
      <c r="V1819" s="135">
        <v>3.2753972728766199E-2</v>
      </c>
      <c r="W1819" s="135">
        <v>3.72649469581691E-2</v>
      </c>
      <c r="X1819" s="135">
        <v>4.2264625569504499E-2</v>
      </c>
      <c r="Y1819" s="135">
        <v>4.5599815132900297E-2</v>
      </c>
      <c r="Z1819" s="135">
        <v>3.7239510258981701E-2</v>
      </c>
      <c r="AA1819" s="135">
        <v>3.4788289899310598E-2</v>
      </c>
      <c r="AB1819" s="135">
        <v>3.0151795852275801E-2</v>
      </c>
      <c r="AC1819" s="135">
        <v>2.1868440841799001E-2</v>
      </c>
      <c r="AD1819" s="135">
        <v>1.6419778304740999E-2</v>
      </c>
      <c r="AF1819" s="243">
        <f t="shared" si="36"/>
        <v>0.28825536089400888</v>
      </c>
      <c r="AG1819" s="275">
        <f t="shared" si="37"/>
        <v>0.34520654345862584</v>
      </c>
      <c r="AH1819" s="391">
        <f t="shared" si="38"/>
        <v>0.46055757773980927</v>
      </c>
      <c r="AI1819" s="135">
        <f t="shared" si="39"/>
        <v>0.8057641211984351</v>
      </c>
    </row>
    <row r="1820" spans="1:35" ht="12.6">
      <c r="A1820" s="10" t="s">
        <v>58</v>
      </c>
      <c r="B1820" s="10">
        <v>359</v>
      </c>
      <c r="C1820" s="10" t="s">
        <v>1512</v>
      </c>
      <c r="D1820" s="388">
        <v>45285</v>
      </c>
      <c r="E1820" s="389">
        <v>45285</v>
      </c>
      <c r="F1820" s="390" t="str">
        <f t="shared" si="35"/>
        <v>Water heating</v>
      </c>
      <c r="G1820" s="135">
        <v>1.5290893441557801E-2</v>
      </c>
      <c r="H1820" s="135">
        <v>1.32263342863906E-2</v>
      </c>
      <c r="I1820" s="135">
        <v>1.30000935110582E-2</v>
      </c>
      <c r="J1820" s="135">
        <v>2.4830167929257699E-2</v>
      </c>
      <c r="K1820" s="135">
        <v>2.9859242664659499E-2</v>
      </c>
      <c r="L1820" s="135">
        <v>4.55896593242196E-2</v>
      </c>
      <c r="M1820" s="135">
        <v>8.2967846317717003E-2</v>
      </c>
      <c r="N1820" s="135">
        <v>6.4131388567432293E-2</v>
      </c>
      <c r="O1820" s="135">
        <v>4.0091954260129799E-2</v>
      </c>
      <c r="P1820" s="135">
        <v>4.5536797125460597E-2</v>
      </c>
      <c r="Q1820" s="135">
        <v>4.51589913472598E-2</v>
      </c>
      <c r="R1820" s="135">
        <v>3.3097581465197798E-2</v>
      </c>
      <c r="S1820" s="135">
        <v>2.6686336580521702E-2</v>
      </c>
      <c r="T1820" s="135">
        <v>2.2993216443812099E-2</v>
      </c>
      <c r="U1820" s="135">
        <v>2.4504916112011901E-2</v>
      </c>
      <c r="V1820" s="135">
        <v>2.6107546601569699E-2</v>
      </c>
      <c r="W1820" s="135">
        <v>3.1549530243412602E-2</v>
      </c>
      <c r="X1820" s="135">
        <v>4.3709661298243101E-2</v>
      </c>
      <c r="Y1820" s="135">
        <v>4.3444733521360197E-2</v>
      </c>
      <c r="Z1820" s="135">
        <v>4.2809475962730499E-2</v>
      </c>
      <c r="AA1820" s="135">
        <v>3.9741311901719603E-2</v>
      </c>
      <c r="AB1820" s="135">
        <v>3.28856203452823E-2</v>
      </c>
      <c r="AC1820" s="135">
        <v>2.29838001729794E-2</v>
      </c>
      <c r="AD1820" s="135">
        <v>1.54474575522471E-2</v>
      </c>
      <c r="AF1820" s="243">
        <f t="shared" si="36"/>
        <v>0.21009811879378559</v>
      </c>
      <c r="AG1820" s="275">
        <f t="shared" si="37"/>
        <v>0.39503704118141486</v>
      </c>
      <c r="AH1820" s="391">
        <f t="shared" si="38"/>
        <v>0.43060751579481599</v>
      </c>
      <c r="AI1820" s="135">
        <f t="shared" si="39"/>
        <v>0.82564455697623085</v>
      </c>
    </row>
    <row r="1821" spans="1:35" ht="12.6">
      <c r="A1821" s="10" t="s">
        <v>58</v>
      </c>
      <c r="B1821" s="10">
        <v>360</v>
      </c>
      <c r="C1821" s="10" t="s">
        <v>1512</v>
      </c>
      <c r="D1821" s="388">
        <v>45286</v>
      </c>
      <c r="E1821" s="389">
        <v>45286</v>
      </c>
      <c r="F1821" s="390" t="str">
        <f t="shared" si="35"/>
        <v>Water heating</v>
      </c>
      <c r="G1821" s="135">
        <v>1.5290893441557801E-2</v>
      </c>
      <c r="H1821" s="135">
        <v>1.32263342863906E-2</v>
      </c>
      <c r="I1821" s="135">
        <v>1.30000935110582E-2</v>
      </c>
      <c r="J1821" s="135">
        <v>2.4830167929257699E-2</v>
      </c>
      <c r="K1821" s="135">
        <v>2.9859242664659499E-2</v>
      </c>
      <c r="L1821" s="135">
        <v>4.55896593242196E-2</v>
      </c>
      <c r="M1821" s="135">
        <v>8.2967846317717003E-2</v>
      </c>
      <c r="N1821" s="135">
        <v>6.4131388567432293E-2</v>
      </c>
      <c r="O1821" s="135">
        <v>4.0091954260129799E-2</v>
      </c>
      <c r="P1821" s="135">
        <v>4.5536797125460597E-2</v>
      </c>
      <c r="Q1821" s="135">
        <v>4.51589913472598E-2</v>
      </c>
      <c r="R1821" s="135">
        <v>3.3097581465197798E-2</v>
      </c>
      <c r="S1821" s="135">
        <v>2.6686336580521702E-2</v>
      </c>
      <c r="T1821" s="135">
        <v>2.2993216443812099E-2</v>
      </c>
      <c r="U1821" s="135">
        <v>2.4504916112011901E-2</v>
      </c>
      <c r="V1821" s="135">
        <v>2.6107546601569699E-2</v>
      </c>
      <c r="W1821" s="135">
        <v>3.1549530243412602E-2</v>
      </c>
      <c r="X1821" s="135">
        <v>4.3709661298243101E-2</v>
      </c>
      <c r="Y1821" s="135">
        <v>4.3444733521360197E-2</v>
      </c>
      <c r="Z1821" s="135">
        <v>4.2809475962730499E-2</v>
      </c>
      <c r="AA1821" s="135">
        <v>3.9741311901719603E-2</v>
      </c>
      <c r="AB1821" s="135">
        <v>3.28856203452823E-2</v>
      </c>
      <c r="AC1821" s="135">
        <v>2.29838001729794E-2</v>
      </c>
      <c r="AD1821" s="135">
        <v>1.54474575522471E-2</v>
      </c>
      <c r="AF1821" s="243">
        <f t="shared" si="36"/>
        <v>0.21009811879378559</v>
      </c>
      <c r="AG1821" s="275">
        <f t="shared" si="37"/>
        <v>0.39503704118141486</v>
      </c>
      <c r="AH1821" s="391">
        <f t="shared" si="38"/>
        <v>0.43060751579481599</v>
      </c>
      <c r="AI1821" s="135">
        <f t="shared" si="39"/>
        <v>0.82564455697623085</v>
      </c>
    </row>
    <row r="1822" spans="1:35" ht="12.6">
      <c r="A1822" s="10" t="s">
        <v>58</v>
      </c>
      <c r="B1822" s="10">
        <v>361</v>
      </c>
      <c r="C1822" s="10" t="s">
        <v>1512</v>
      </c>
      <c r="D1822" s="388">
        <v>45287</v>
      </c>
      <c r="E1822" s="389">
        <v>45287</v>
      </c>
      <c r="F1822" s="390" t="str">
        <f t="shared" si="35"/>
        <v>Water heating</v>
      </c>
      <c r="G1822" s="135">
        <v>1.5290893441557801E-2</v>
      </c>
      <c r="H1822" s="135">
        <v>1.32263342863906E-2</v>
      </c>
      <c r="I1822" s="135">
        <v>1.30000935110582E-2</v>
      </c>
      <c r="J1822" s="135">
        <v>2.4830167929257699E-2</v>
      </c>
      <c r="K1822" s="135">
        <v>2.9859242664659499E-2</v>
      </c>
      <c r="L1822" s="135">
        <v>4.55896593242196E-2</v>
      </c>
      <c r="M1822" s="135">
        <v>8.2967846317717003E-2</v>
      </c>
      <c r="N1822" s="135">
        <v>6.4131388567432293E-2</v>
      </c>
      <c r="O1822" s="135">
        <v>4.0091954260129799E-2</v>
      </c>
      <c r="P1822" s="135">
        <v>4.5536797125460597E-2</v>
      </c>
      <c r="Q1822" s="135">
        <v>4.51589913472598E-2</v>
      </c>
      <c r="R1822" s="135">
        <v>3.3097581465197798E-2</v>
      </c>
      <c r="S1822" s="135">
        <v>2.6686336580521702E-2</v>
      </c>
      <c r="T1822" s="135">
        <v>2.2993216443812099E-2</v>
      </c>
      <c r="U1822" s="135">
        <v>2.4504916112011901E-2</v>
      </c>
      <c r="V1822" s="135">
        <v>2.6107546601569699E-2</v>
      </c>
      <c r="W1822" s="135">
        <v>3.1549530243412602E-2</v>
      </c>
      <c r="X1822" s="135">
        <v>4.3709661298243101E-2</v>
      </c>
      <c r="Y1822" s="135">
        <v>4.3444733521360197E-2</v>
      </c>
      <c r="Z1822" s="135">
        <v>4.2809475962730499E-2</v>
      </c>
      <c r="AA1822" s="135">
        <v>3.9741311901719603E-2</v>
      </c>
      <c r="AB1822" s="135">
        <v>3.28856203452823E-2</v>
      </c>
      <c r="AC1822" s="135">
        <v>2.29838001729794E-2</v>
      </c>
      <c r="AD1822" s="135">
        <v>1.54474575522471E-2</v>
      </c>
      <c r="AF1822" s="243">
        <f t="shared" si="36"/>
        <v>0.21009811879378559</v>
      </c>
      <c r="AG1822" s="275">
        <f t="shared" si="37"/>
        <v>0.39503704118141486</v>
      </c>
      <c r="AH1822" s="391">
        <f t="shared" si="38"/>
        <v>0.43060751579481599</v>
      </c>
      <c r="AI1822" s="135">
        <f t="shared" si="39"/>
        <v>0.82564455697623085</v>
      </c>
    </row>
    <row r="1823" spans="1:35" ht="12.6">
      <c r="A1823" s="10" t="s">
        <v>58</v>
      </c>
      <c r="B1823" s="10">
        <v>362</v>
      </c>
      <c r="C1823" s="10" t="s">
        <v>1512</v>
      </c>
      <c r="D1823" s="388">
        <v>45288</v>
      </c>
      <c r="E1823" s="389">
        <v>45288</v>
      </c>
      <c r="F1823" s="390" t="str">
        <f t="shared" si="35"/>
        <v>Water heating</v>
      </c>
      <c r="G1823" s="135">
        <v>1.5290893441557801E-2</v>
      </c>
      <c r="H1823" s="135">
        <v>1.32263342863906E-2</v>
      </c>
      <c r="I1823" s="135">
        <v>1.30000935110582E-2</v>
      </c>
      <c r="J1823" s="135">
        <v>2.4830167929257699E-2</v>
      </c>
      <c r="K1823" s="135">
        <v>2.9859242664659499E-2</v>
      </c>
      <c r="L1823" s="135">
        <v>4.55896593242196E-2</v>
      </c>
      <c r="M1823" s="135">
        <v>8.2967846317717003E-2</v>
      </c>
      <c r="N1823" s="135">
        <v>6.4131388567432293E-2</v>
      </c>
      <c r="O1823" s="135">
        <v>4.0091954260129799E-2</v>
      </c>
      <c r="P1823" s="135">
        <v>4.5536797125460597E-2</v>
      </c>
      <c r="Q1823" s="135">
        <v>4.51589913472598E-2</v>
      </c>
      <c r="R1823" s="135">
        <v>3.3097581465197798E-2</v>
      </c>
      <c r="S1823" s="135">
        <v>2.6686336580521702E-2</v>
      </c>
      <c r="T1823" s="135">
        <v>2.2993216443812099E-2</v>
      </c>
      <c r="U1823" s="135">
        <v>2.4504916112011901E-2</v>
      </c>
      <c r="V1823" s="135">
        <v>2.6107546601569699E-2</v>
      </c>
      <c r="W1823" s="135">
        <v>3.1549530243412602E-2</v>
      </c>
      <c r="X1823" s="135">
        <v>4.3709661298243101E-2</v>
      </c>
      <c r="Y1823" s="135">
        <v>4.3444733521360197E-2</v>
      </c>
      <c r="Z1823" s="135">
        <v>4.2809475962730499E-2</v>
      </c>
      <c r="AA1823" s="135">
        <v>3.9741311901719603E-2</v>
      </c>
      <c r="AB1823" s="135">
        <v>3.28856203452823E-2</v>
      </c>
      <c r="AC1823" s="135">
        <v>2.29838001729794E-2</v>
      </c>
      <c r="AD1823" s="135">
        <v>1.54474575522471E-2</v>
      </c>
      <c r="AF1823" s="243">
        <f t="shared" si="36"/>
        <v>0.21009811879378559</v>
      </c>
      <c r="AG1823" s="275">
        <f t="shared" si="37"/>
        <v>0.39503704118141486</v>
      </c>
      <c r="AH1823" s="391">
        <f t="shared" si="38"/>
        <v>0.43060751579481599</v>
      </c>
      <c r="AI1823" s="135">
        <f t="shared" si="39"/>
        <v>0.82564455697623085</v>
      </c>
    </row>
    <row r="1824" spans="1:35" ht="12.6">
      <c r="A1824" s="10" t="s">
        <v>58</v>
      </c>
      <c r="B1824" s="10">
        <v>363</v>
      </c>
      <c r="C1824" s="10" t="s">
        <v>1512</v>
      </c>
      <c r="D1824" s="388">
        <v>45289</v>
      </c>
      <c r="E1824" s="389">
        <v>45289</v>
      </c>
      <c r="F1824" s="390" t="str">
        <f t="shared" si="35"/>
        <v>Water heating</v>
      </c>
      <c r="G1824" s="135">
        <v>1.5290893441557801E-2</v>
      </c>
      <c r="H1824" s="135">
        <v>1.32263342863906E-2</v>
      </c>
      <c r="I1824" s="135">
        <v>1.30000935110582E-2</v>
      </c>
      <c r="J1824" s="135">
        <v>2.4830167929257699E-2</v>
      </c>
      <c r="K1824" s="135">
        <v>2.9859242664659499E-2</v>
      </c>
      <c r="L1824" s="135">
        <v>4.55896593242196E-2</v>
      </c>
      <c r="M1824" s="135">
        <v>8.2967846317717003E-2</v>
      </c>
      <c r="N1824" s="135">
        <v>6.4131388567432293E-2</v>
      </c>
      <c r="O1824" s="135">
        <v>4.0091954260129799E-2</v>
      </c>
      <c r="P1824" s="135">
        <v>4.5536797125460597E-2</v>
      </c>
      <c r="Q1824" s="135">
        <v>4.51589913472598E-2</v>
      </c>
      <c r="R1824" s="135">
        <v>3.3097581465197798E-2</v>
      </c>
      <c r="S1824" s="135">
        <v>2.6686336580521702E-2</v>
      </c>
      <c r="T1824" s="135">
        <v>2.2993216443812099E-2</v>
      </c>
      <c r="U1824" s="135">
        <v>2.4504916112011901E-2</v>
      </c>
      <c r="V1824" s="135">
        <v>2.6107546601569699E-2</v>
      </c>
      <c r="W1824" s="135">
        <v>3.1549530243412602E-2</v>
      </c>
      <c r="X1824" s="135">
        <v>4.3709661298243101E-2</v>
      </c>
      <c r="Y1824" s="135">
        <v>4.3444733521360197E-2</v>
      </c>
      <c r="Z1824" s="135">
        <v>4.2809475962730499E-2</v>
      </c>
      <c r="AA1824" s="135">
        <v>3.9741311901719603E-2</v>
      </c>
      <c r="AB1824" s="135">
        <v>3.28856203452823E-2</v>
      </c>
      <c r="AC1824" s="135">
        <v>2.29838001729794E-2</v>
      </c>
      <c r="AD1824" s="135">
        <v>1.54474575522471E-2</v>
      </c>
      <c r="AF1824" s="243">
        <f t="shared" si="36"/>
        <v>0.21009811879378559</v>
      </c>
      <c r="AG1824" s="275">
        <f t="shared" si="37"/>
        <v>0.39503704118141486</v>
      </c>
      <c r="AH1824" s="391">
        <f t="shared" si="38"/>
        <v>0.43060751579481599</v>
      </c>
      <c r="AI1824" s="135">
        <f t="shared" si="39"/>
        <v>0.82564455697623085</v>
      </c>
    </row>
    <row r="1825" spans="1:35" ht="12.6">
      <c r="A1825" s="10" t="s">
        <v>58</v>
      </c>
      <c r="B1825" s="10">
        <v>364</v>
      </c>
      <c r="C1825" s="10" t="s">
        <v>1512</v>
      </c>
      <c r="D1825" s="388">
        <v>45290</v>
      </c>
      <c r="E1825" s="389">
        <v>45290</v>
      </c>
      <c r="F1825" s="390" t="str">
        <f t="shared" si="35"/>
        <v>Water heating</v>
      </c>
      <c r="G1825" s="135">
        <v>1.3082508954344801E-2</v>
      </c>
      <c r="H1825" s="135">
        <v>1.30811024928857E-2</v>
      </c>
      <c r="I1825" s="135">
        <v>1.3969953325436499E-2</v>
      </c>
      <c r="J1825" s="135">
        <v>2.3270448127445501E-2</v>
      </c>
      <c r="K1825" s="135">
        <v>2.3431258737808699E-2</v>
      </c>
      <c r="L1825" s="135">
        <v>1.5268551845299501E-2</v>
      </c>
      <c r="M1825" s="135">
        <v>2.5537282166894298E-2</v>
      </c>
      <c r="N1825" s="135">
        <v>4.44994470182054E-2</v>
      </c>
      <c r="O1825" s="135">
        <v>5.6016654668283199E-2</v>
      </c>
      <c r="P1825" s="135">
        <v>6.1019297108309799E-2</v>
      </c>
      <c r="Q1825" s="135">
        <v>5.9123118977511199E-2</v>
      </c>
      <c r="R1825" s="135">
        <v>4.9855023254526801E-2</v>
      </c>
      <c r="S1825" s="135">
        <v>4.0995148354533398E-2</v>
      </c>
      <c r="T1825" s="135">
        <v>3.4706222089425399E-2</v>
      </c>
      <c r="U1825" s="135">
        <v>3.35569285310768E-2</v>
      </c>
      <c r="V1825" s="135">
        <v>3.2753972728766199E-2</v>
      </c>
      <c r="W1825" s="135">
        <v>3.72649469581691E-2</v>
      </c>
      <c r="X1825" s="135">
        <v>4.2264625569504499E-2</v>
      </c>
      <c r="Y1825" s="135">
        <v>4.5599815132900297E-2</v>
      </c>
      <c r="Z1825" s="135">
        <v>3.7239510258981701E-2</v>
      </c>
      <c r="AA1825" s="135">
        <v>3.4788289899310598E-2</v>
      </c>
      <c r="AB1825" s="135">
        <v>3.0151795852275801E-2</v>
      </c>
      <c r="AC1825" s="135">
        <v>2.1868440841799001E-2</v>
      </c>
      <c r="AD1825" s="135">
        <v>1.6419778304740999E-2</v>
      </c>
      <c r="AF1825" s="243">
        <f t="shared" si="36"/>
        <v>0.28825536089400888</v>
      </c>
      <c r="AG1825" s="275">
        <f t="shared" si="37"/>
        <v>0.34520654345862584</v>
      </c>
      <c r="AH1825" s="391">
        <f t="shared" si="38"/>
        <v>0.46055757773980927</v>
      </c>
      <c r="AI1825" s="135">
        <f t="shared" si="39"/>
        <v>0.8057641211984351</v>
      </c>
    </row>
    <row r="1826" spans="1:35" ht="12.6">
      <c r="A1826" s="10" t="s">
        <v>58</v>
      </c>
      <c r="B1826" s="10">
        <v>365</v>
      </c>
      <c r="C1826" s="10" t="s">
        <v>1512</v>
      </c>
      <c r="D1826" s="388">
        <v>45291</v>
      </c>
      <c r="E1826" s="389">
        <v>45291</v>
      </c>
      <c r="F1826" s="390" t="str">
        <f t="shared" si="35"/>
        <v>Water heating</v>
      </c>
      <c r="G1826" s="135">
        <v>1.3082508954344801E-2</v>
      </c>
      <c r="H1826" s="135">
        <v>1.30811024928857E-2</v>
      </c>
      <c r="I1826" s="135">
        <v>1.3969953325436499E-2</v>
      </c>
      <c r="J1826" s="135">
        <v>2.3270448127445501E-2</v>
      </c>
      <c r="K1826" s="135">
        <v>2.3431258737808699E-2</v>
      </c>
      <c r="L1826" s="135">
        <v>1.5268551845299501E-2</v>
      </c>
      <c r="M1826" s="135">
        <v>2.5537282166894298E-2</v>
      </c>
      <c r="N1826" s="135">
        <v>4.44994470182054E-2</v>
      </c>
      <c r="O1826" s="135">
        <v>5.6016654668283199E-2</v>
      </c>
      <c r="P1826" s="135">
        <v>6.1019297108309799E-2</v>
      </c>
      <c r="Q1826" s="135">
        <v>5.9123118977511199E-2</v>
      </c>
      <c r="R1826" s="135">
        <v>4.9855023254526801E-2</v>
      </c>
      <c r="S1826" s="135">
        <v>4.0995148354533398E-2</v>
      </c>
      <c r="T1826" s="135">
        <v>3.4706222089425399E-2</v>
      </c>
      <c r="U1826" s="135">
        <v>3.35569285310768E-2</v>
      </c>
      <c r="V1826" s="135">
        <v>3.2753972728766199E-2</v>
      </c>
      <c r="W1826" s="135">
        <v>3.72649469581691E-2</v>
      </c>
      <c r="X1826" s="135">
        <v>4.2264625569504499E-2</v>
      </c>
      <c r="Y1826" s="135">
        <v>4.5599815132900297E-2</v>
      </c>
      <c r="Z1826" s="135">
        <v>3.7239510258981701E-2</v>
      </c>
      <c r="AA1826" s="135">
        <v>3.4788289899310598E-2</v>
      </c>
      <c r="AB1826" s="135">
        <v>3.0151795852275801E-2</v>
      </c>
      <c r="AC1826" s="135">
        <v>2.1868440841799001E-2</v>
      </c>
      <c r="AD1826" s="135">
        <v>1.6419778304740999E-2</v>
      </c>
      <c r="AF1826" s="243">
        <f t="shared" si="36"/>
        <v>0.28825536089400888</v>
      </c>
      <c r="AG1826" s="275">
        <f t="shared" si="37"/>
        <v>0.34520654345862584</v>
      </c>
      <c r="AH1826" s="391">
        <f t="shared" si="38"/>
        <v>0.46055757773980927</v>
      </c>
      <c r="AI1826" s="135">
        <f t="shared" si="39"/>
        <v>0.8057641211984351</v>
      </c>
    </row>
    <row r="1827" spans="1:35" ht="12.6">
      <c r="A1827" s="10" t="s">
        <v>865</v>
      </c>
      <c r="B1827" s="10">
        <v>1</v>
      </c>
      <c r="C1827" s="10" t="s">
        <v>1512</v>
      </c>
      <c r="D1827" s="388">
        <v>44927</v>
      </c>
      <c r="E1827" s="389">
        <v>44927</v>
      </c>
      <c r="F1827" s="390" t="str">
        <f t="shared" si="35"/>
        <v>Whitegoods</v>
      </c>
      <c r="G1827" s="135">
        <v>3.7889413047341003E-2</v>
      </c>
      <c r="H1827" s="135">
        <v>3.5059366920746501E-2</v>
      </c>
      <c r="I1827" s="135">
        <v>3.2931863982889498E-2</v>
      </c>
      <c r="J1827" s="135">
        <v>3.2800456879470898E-2</v>
      </c>
      <c r="K1827" s="135">
        <v>3.3091056003752201E-2</v>
      </c>
      <c r="L1827" s="135">
        <v>3.2529790038360498E-2</v>
      </c>
      <c r="M1827" s="135">
        <v>3.54826268753183E-2</v>
      </c>
      <c r="N1827" s="135">
        <v>3.7107458651134698E-2</v>
      </c>
      <c r="O1827" s="135">
        <v>4.5537381765117499E-2</v>
      </c>
      <c r="P1827" s="135">
        <v>5.5534078772594399E-2</v>
      </c>
      <c r="Q1827" s="135">
        <v>6.0194987509722298E-2</v>
      </c>
      <c r="R1827" s="135">
        <v>5.5596362438183798E-2</v>
      </c>
      <c r="S1827" s="135">
        <v>5.2733772108295503E-2</v>
      </c>
      <c r="T1827" s="135">
        <v>5.1057154865542097E-2</v>
      </c>
      <c r="U1827" s="135">
        <v>4.6325531279428102E-2</v>
      </c>
      <c r="V1827" s="135">
        <v>4.6030075708210397E-2</v>
      </c>
      <c r="W1827" s="135">
        <v>4.5149399628007097E-2</v>
      </c>
      <c r="X1827" s="135">
        <v>4.4229959554115399E-2</v>
      </c>
      <c r="Y1827" s="135">
        <v>4.45303989671939E-2</v>
      </c>
      <c r="Z1827" s="135">
        <v>4.4016348074234699E-2</v>
      </c>
      <c r="AA1827" s="135">
        <v>4.6479606756783698E-2</v>
      </c>
      <c r="AB1827" s="135">
        <v>4.7609625395948103E-2</v>
      </c>
      <c r="AC1827" s="135">
        <v>4.2891469502281003E-2</v>
      </c>
      <c r="AD1827" s="135">
        <v>4.1169725251619001E-2</v>
      </c>
      <c r="AF1827" s="243">
        <f t="shared" si="36"/>
        <v>0.35708728353738928</v>
      </c>
      <c r="AG1827" s="275">
        <f t="shared" si="37"/>
        <v>0.56514170209126213</v>
      </c>
      <c r="AH1827" s="391">
        <f t="shared" si="38"/>
        <v>0.48083620788502851</v>
      </c>
      <c r="AI1827" s="135">
        <f t="shared" si="39"/>
        <v>1.0459779099762907</v>
      </c>
    </row>
    <row r="1828" spans="1:35" ht="12.6">
      <c r="A1828" s="10" t="s">
        <v>865</v>
      </c>
      <c r="B1828" s="10">
        <v>2</v>
      </c>
      <c r="C1828" s="10" t="s">
        <v>1512</v>
      </c>
      <c r="D1828" s="388">
        <v>44928</v>
      </c>
      <c r="E1828" s="389">
        <v>44928</v>
      </c>
      <c r="F1828" s="390" t="str">
        <f t="shared" si="35"/>
        <v>Whitegoods</v>
      </c>
      <c r="G1828" s="135">
        <v>3.8479305232398599E-2</v>
      </c>
      <c r="H1828" s="135">
        <v>3.4109101835927302E-2</v>
      </c>
      <c r="I1828" s="135">
        <v>3.2716724379374097E-2</v>
      </c>
      <c r="J1828" s="135">
        <v>3.2755788519262002E-2</v>
      </c>
      <c r="K1828" s="135">
        <v>3.2529372836290302E-2</v>
      </c>
      <c r="L1828" s="135">
        <v>3.3121973643746597E-2</v>
      </c>
      <c r="M1828" s="135">
        <v>3.6222705350671597E-2</v>
      </c>
      <c r="N1828" s="135">
        <v>4.3115434307554101E-2</v>
      </c>
      <c r="O1828" s="135">
        <v>4.5395973778856902E-2</v>
      </c>
      <c r="P1828" s="135">
        <v>4.3368864167013903E-2</v>
      </c>
      <c r="Q1828" s="135">
        <v>4.1119590293710699E-2</v>
      </c>
      <c r="R1828" s="135">
        <v>3.8910998036731502E-2</v>
      </c>
      <c r="S1828" s="135">
        <v>3.8920598006107497E-2</v>
      </c>
      <c r="T1828" s="135">
        <v>3.79499174309013E-2</v>
      </c>
      <c r="U1828" s="135">
        <v>3.88709902713682E-2</v>
      </c>
      <c r="V1828" s="135">
        <v>3.8263637944057502E-2</v>
      </c>
      <c r="W1828" s="135">
        <v>3.7620463052809597E-2</v>
      </c>
      <c r="X1828" s="135">
        <v>3.8411028317790599E-2</v>
      </c>
      <c r="Y1828" s="135">
        <v>4.0478448495668597E-2</v>
      </c>
      <c r="Z1828" s="135">
        <v>4.1570550137197598E-2</v>
      </c>
      <c r="AA1828" s="135">
        <v>4.6435464451008102E-2</v>
      </c>
      <c r="AB1828" s="135">
        <v>4.47686182865107E-2</v>
      </c>
      <c r="AC1828" s="135">
        <v>4.29455512955692E-2</v>
      </c>
      <c r="AD1828" s="135">
        <v>4.2460832816605398E-2</v>
      </c>
      <c r="AF1828" s="243">
        <f t="shared" si="36"/>
        <v>0.27165619503568628</v>
      </c>
      <c r="AG1828" s="275">
        <f t="shared" si="37"/>
        <v>0.51696696261508923</v>
      </c>
      <c r="AH1828" s="391">
        <f t="shared" si="38"/>
        <v>0.42357497027204272</v>
      </c>
      <c r="AI1828" s="135">
        <f t="shared" si="39"/>
        <v>0.94054193288713195</v>
      </c>
    </row>
    <row r="1829" spans="1:35" ht="12.6">
      <c r="A1829" s="10" t="s">
        <v>865</v>
      </c>
      <c r="B1829" s="10">
        <v>3</v>
      </c>
      <c r="C1829" s="10" t="s">
        <v>1512</v>
      </c>
      <c r="D1829" s="388">
        <v>44929</v>
      </c>
      <c r="E1829" s="389">
        <v>44929</v>
      </c>
      <c r="F1829" s="390" t="str">
        <f t="shared" si="35"/>
        <v>Whitegoods</v>
      </c>
      <c r="G1829" s="135">
        <v>3.8479305232398599E-2</v>
      </c>
      <c r="H1829" s="135">
        <v>3.4109101835927302E-2</v>
      </c>
      <c r="I1829" s="135">
        <v>3.2716724379374097E-2</v>
      </c>
      <c r="J1829" s="135">
        <v>3.2755788519262002E-2</v>
      </c>
      <c r="K1829" s="135">
        <v>3.2529372836290302E-2</v>
      </c>
      <c r="L1829" s="135">
        <v>3.3121973643746597E-2</v>
      </c>
      <c r="M1829" s="135">
        <v>3.6222705350671597E-2</v>
      </c>
      <c r="N1829" s="135">
        <v>4.3115434307554101E-2</v>
      </c>
      <c r="O1829" s="135">
        <v>4.5395973778856902E-2</v>
      </c>
      <c r="P1829" s="135">
        <v>4.3368864167013903E-2</v>
      </c>
      <c r="Q1829" s="135">
        <v>4.1119590293710699E-2</v>
      </c>
      <c r="R1829" s="135">
        <v>3.8910998036731502E-2</v>
      </c>
      <c r="S1829" s="135">
        <v>3.8920598006107497E-2</v>
      </c>
      <c r="T1829" s="135">
        <v>3.79499174309013E-2</v>
      </c>
      <c r="U1829" s="135">
        <v>3.88709902713682E-2</v>
      </c>
      <c r="V1829" s="135">
        <v>3.8263637944057502E-2</v>
      </c>
      <c r="W1829" s="135">
        <v>3.7620463052809597E-2</v>
      </c>
      <c r="X1829" s="135">
        <v>3.8411028317790599E-2</v>
      </c>
      <c r="Y1829" s="135">
        <v>4.0478448495668597E-2</v>
      </c>
      <c r="Z1829" s="135">
        <v>4.1570550137197598E-2</v>
      </c>
      <c r="AA1829" s="135">
        <v>4.6435464451008102E-2</v>
      </c>
      <c r="AB1829" s="135">
        <v>4.47686182865107E-2</v>
      </c>
      <c r="AC1829" s="135">
        <v>4.29455512955692E-2</v>
      </c>
      <c r="AD1829" s="135">
        <v>4.2460832816605398E-2</v>
      </c>
      <c r="AF1829" s="243">
        <f t="shared" si="36"/>
        <v>0.27165619503568628</v>
      </c>
      <c r="AG1829" s="275">
        <f t="shared" si="37"/>
        <v>0.51696696261508923</v>
      </c>
      <c r="AH1829" s="391">
        <f t="shared" si="38"/>
        <v>0.42357497027204272</v>
      </c>
      <c r="AI1829" s="135">
        <f t="shared" si="39"/>
        <v>0.94054193288713195</v>
      </c>
    </row>
    <row r="1830" spans="1:35" ht="12.6">
      <c r="A1830" s="10" t="s">
        <v>865</v>
      </c>
      <c r="B1830" s="10">
        <v>4</v>
      </c>
      <c r="C1830" s="10" t="s">
        <v>1512</v>
      </c>
      <c r="D1830" s="388">
        <v>44930</v>
      </c>
      <c r="E1830" s="389">
        <v>44930</v>
      </c>
      <c r="F1830" s="390" t="str">
        <f t="shared" si="35"/>
        <v>Whitegoods</v>
      </c>
      <c r="G1830" s="135">
        <v>3.8479305232398599E-2</v>
      </c>
      <c r="H1830" s="135">
        <v>3.4109101835927302E-2</v>
      </c>
      <c r="I1830" s="135">
        <v>3.2716724379374097E-2</v>
      </c>
      <c r="J1830" s="135">
        <v>3.2755788519262002E-2</v>
      </c>
      <c r="K1830" s="135">
        <v>3.2529372836290302E-2</v>
      </c>
      <c r="L1830" s="135">
        <v>3.3121973643746597E-2</v>
      </c>
      <c r="M1830" s="135">
        <v>3.6222705350671597E-2</v>
      </c>
      <c r="N1830" s="135">
        <v>4.3115434307554101E-2</v>
      </c>
      <c r="O1830" s="135">
        <v>4.5395973778856902E-2</v>
      </c>
      <c r="P1830" s="135">
        <v>4.3368864167013903E-2</v>
      </c>
      <c r="Q1830" s="135">
        <v>4.1119590293710699E-2</v>
      </c>
      <c r="R1830" s="135">
        <v>3.8910998036731502E-2</v>
      </c>
      <c r="S1830" s="135">
        <v>3.8920598006107497E-2</v>
      </c>
      <c r="T1830" s="135">
        <v>3.79499174309013E-2</v>
      </c>
      <c r="U1830" s="135">
        <v>3.88709902713682E-2</v>
      </c>
      <c r="V1830" s="135">
        <v>3.8263637944057502E-2</v>
      </c>
      <c r="W1830" s="135">
        <v>3.7620463052809597E-2</v>
      </c>
      <c r="X1830" s="135">
        <v>3.8411028317790599E-2</v>
      </c>
      <c r="Y1830" s="135">
        <v>4.0478448495668597E-2</v>
      </c>
      <c r="Z1830" s="135">
        <v>4.1570550137197598E-2</v>
      </c>
      <c r="AA1830" s="135">
        <v>4.6435464451008102E-2</v>
      </c>
      <c r="AB1830" s="135">
        <v>4.47686182865107E-2</v>
      </c>
      <c r="AC1830" s="135">
        <v>4.29455512955692E-2</v>
      </c>
      <c r="AD1830" s="135">
        <v>4.2460832816605398E-2</v>
      </c>
      <c r="AF1830" s="243">
        <f t="shared" si="36"/>
        <v>0.27165619503568628</v>
      </c>
      <c r="AG1830" s="275">
        <f t="shared" si="37"/>
        <v>0.51696696261508923</v>
      </c>
      <c r="AH1830" s="391">
        <f t="shared" si="38"/>
        <v>0.42357497027204272</v>
      </c>
      <c r="AI1830" s="135">
        <f t="shared" si="39"/>
        <v>0.94054193288713195</v>
      </c>
    </row>
    <row r="1831" spans="1:35" ht="12.6">
      <c r="A1831" s="10" t="s">
        <v>865</v>
      </c>
      <c r="B1831" s="10">
        <v>5</v>
      </c>
      <c r="C1831" s="10" t="s">
        <v>1512</v>
      </c>
      <c r="D1831" s="388">
        <v>44931</v>
      </c>
      <c r="E1831" s="389">
        <v>44931</v>
      </c>
      <c r="F1831" s="390" t="str">
        <f t="shared" si="35"/>
        <v>Whitegoods</v>
      </c>
      <c r="G1831" s="135">
        <v>3.8479305232398599E-2</v>
      </c>
      <c r="H1831" s="135">
        <v>3.4109101835927302E-2</v>
      </c>
      <c r="I1831" s="135">
        <v>3.2716724379374097E-2</v>
      </c>
      <c r="J1831" s="135">
        <v>3.2755788519262002E-2</v>
      </c>
      <c r="K1831" s="135">
        <v>3.2529372836290302E-2</v>
      </c>
      <c r="L1831" s="135">
        <v>3.3121973643746597E-2</v>
      </c>
      <c r="M1831" s="135">
        <v>3.6222705350671597E-2</v>
      </c>
      <c r="N1831" s="135">
        <v>4.3115434307554101E-2</v>
      </c>
      <c r="O1831" s="135">
        <v>4.5395973778856902E-2</v>
      </c>
      <c r="P1831" s="135">
        <v>4.3368864167013903E-2</v>
      </c>
      <c r="Q1831" s="135">
        <v>4.1119590293710699E-2</v>
      </c>
      <c r="R1831" s="135">
        <v>3.8910998036731502E-2</v>
      </c>
      <c r="S1831" s="135">
        <v>3.8920598006107497E-2</v>
      </c>
      <c r="T1831" s="135">
        <v>3.79499174309013E-2</v>
      </c>
      <c r="U1831" s="135">
        <v>3.88709902713682E-2</v>
      </c>
      <c r="V1831" s="135">
        <v>3.8263637944057502E-2</v>
      </c>
      <c r="W1831" s="135">
        <v>3.7620463052809597E-2</v>
      </c>
      <c r="X1831" s="135">
        <v>3.8411028317790599E-2</v>
      </c>
      <c r="Y1831" s="135">
        <v>4.0478448495668597E-2</v>
      </c>
      <c r="Z1831" s="135">
        <v>4.1570550137197598E-2</v>
      </c>
      <c r="AA1831" s="135">
        <v>4.6435464451008102E-2</v>
      </c>
      <c r="AB1831" s="135">
        <v>4.47686182865107E-2</v>
      </c>
      <c r="AC1831" s="135">
        <v>4.29455512955692E-2</v>
      </c>
      <c r="AD1831" s="135">
        <v>4.2460832816605398E-2</v>
      </c>
      <c r="AF1831" s="243">
        <f t="shared" si="36"/>
        <v>0.27165619503568628</v>
      </c>
      <c r="AG1831" s="275">
        <f t="shared" si="37"/>
        <v>0.51696696261508923</v>
      </c>
      <c r="AH1831" s="391">
        <f t="shared" si="38"/>
        <v>0.42357497027204272</v>
      </c>
      <c r="AI1831" s="135">
        <f t="shared" si="39"/>
        <v>0.94054193288713195</v>
      </c>
    </row>
    <row r="1832" spans="1:35" ht="12.6">
      <c r="A1832" s="10" t="s">
        <v>865</v>
      </c>
      <c r="B1832" s="10">
        <v>6</v>
      </c>
      <c r="C1832" s="10" t="s">
        <v>1512</v>
      </c>
      <c r="D1832" s="388">
        <v>44932</v>
      </c>
      <c r="E1832" s="389">
        <v>44932</v>
      </c>
      <c r="F1832" s="390" t="str">
        <f t="shared" si="35"/>
        <v>Whitegoods</v>
      </c>
      <c r="G1832" s="135">
        <v>3.8479305232398599E-2</v>
      </c>
      <c r="H1832" s="135">
        <v>3.4109101835927302E-2</v>
      </c>
      <c r="I1832" s="135">
        <v>3.2716724379374097E-2</v>
      </c>
      <c r="J1832" s="135">
        <v>3.2755788519262002E-2</v>
      </c>
      <c r="K1832" s="135">
        <v>3.2529372836290302E-2</v>
      </c>
      <c r="L1832" s="135">
        <v>3.3121973643746597E-2</v>
      </c>
      <c r="M1832" s="135">
        <v>3.6222705350671597E-2</v>
      </c>
      <c r="N1832" s="135">
        <v>4.3115434307554101E-2</v>
      </c>
      <c r="O1832" s="135">
        <v>4.5395973778856902E-2</v>
      </c>
      <c r="P1832" s="135">
        <v>4.3368864167013903E-2</v>
      </c>
      <c r="Q1832" s="135">
        <v>4.1119590293710699E-2</v>
      </c>
      <c r="R1832" s="135">
        <v>3.8910998036731502E-2</v>
      </c>
      <c r="S1832" s="135">
        <v>3.8920598006107497E-2</v>
      </c>
      <c r="T1832" s="135">
        <v>3.79499174309013E-2</v>
      </c>
      <c r="U1832" s="135">
        <v>3.88709902713682E-2</v>
      </c>
      <c r="V1832" s="135">
        <v>3.8263637944057502E-2</v>
      </c>
      <c r="W1832" s="135">
        <v>3.7620463052809597E-2</v>
      </c>
      <c r="X1832" s="135">
        <v>3.8411028317790599E-2</v>
      </c>
      <c r="Y1832" s="135">
        <v>4.0478448495668597E-2</v>
      </c>
      <c r="Z1832" s="135">
        <v>4.1570550137197598E-2</v>
      </c>
      <c r="AA1832" s="135">
        <v>4.6435464451008102E-2</v>
      </c>
      <c r="AB1832" s="135">
        <v>4.47686182865107E-2</v>
      </c>
      <c r="AC1832" s="135">
        <v>4.29455512955692E-2</v>
      </c>
      <c r="AD1832" s="135">
        <v>4.2460832816605398E-2</v>
      </c>
      <c r="AF1832" s="243">
        <f t="shared" si="36"/>
        <v>0.27165619503568628</v>
      </c>
      <c r="AG1832" s="275">
        <f t="shared" si="37"/>
        <v>0.51696696261508923</v>
      </c>
      <c r="AH1832" s="391">
        <f t="shared" si="38"/>
        <v>0.42357497027204272</v>
      </c>
      <c r="AI1832" s="135">
        <f t="shared" si="39"/>
        <v>0.94054193288713195</v>
      </c>
    </row>
    <row r="1833" spans="1:35" ht="12.6">
      <c r="A1833" s="10" t="s">
        <v>865</v>
      </c>
      <c r="B1833" s="10">
        <v>7</v>
      </c>
      <c r="C1833" s="10" t="s">
        <v>1512</v>
      </c>
      <c r="D1833" s="388">
        <v>44933</v>
      </c>
      <c r="E1833" s="389">
        <v>44933</v>
      </c>
      <c r="F1833" s="390" t="str">
        <f t="shared" si="35"/>
        <v>Whitegoods</v>
      </c>
      <c r="G1833" s="135">
        <v>3.7889413047341003E-2</v>
      </c>
      <c r="H1833" s="135">
        <v>3.5059366920746501E-2</v>
      </c>
      <c r="I1833" s="135">
        <v>3.2931863982889498E-2</v>
      </c>
      <c r="J1833" s="135">
        <v>3.2800456879470898E-2</v>
      </c>
      <c r="K1833" s="135">
        <v>3.3091056003752201E-2</v>
      </c>
      <c r="L1833" s="135">
        <v>3.2529790038360498E-2</v>
      </c>
      <c r="M1833" s="135">
        <v>3.54826268753183E-2</v>
      </c>
      <c r="N1833" s="135">
        <v>3.7107458651134698E-2</v>
      </c>
      <c r="O1833" s="135">
        <v>4.5537381765117499E-2</v>
      </c>
      <c r="P1833" s="135">
        <v>5.5534078772594399E-2</v>
      </c>
      <c r="Q1833" s="135">
        <v>6.0194987509722298E-2</v>
      </c>
      <c r="R1833" s="135">
        <v>5.5596362438183798E-2</v>
      </c>
      <c r="S1833" s="135">
        <v>5.2733772108295503E-2</v>
      </c>
      <c r="T1833" s="135">
        <v>5.1057154865542097E-2</v>
      </c>
      <c r="U1833" s="135">
        <v>4.6325531279428102E-2</v>
      </c>
      <c r="V1833" s="135">
        <v>4.6030075708210397E-2</v>
      </c>
      <c r="W1833" s="135">
        <v>4.5149399628007097E-2</v>
      </c>
      <c r="X1833" s="135">
        <v>4.4229959554115399E-2</v>
      </c>
      <c r="Y1833" s="135">
        <v>4.45303989671939E-2</v>
      </c>
      <c r="Z1833" s="135">
        <v>4.4016348074234699E-2</v>
      </c>
      <c r="AA1833" s="135">
        <v>4.6479606756783698E-2</v>
      </c>
      <c r="AB1833" s="135">
        <v>4.7609625395948103E-2</v>
      </c>
      <c r="AC1833" s="135">
        <v>4.2891469502281003E-2</v>
      </c>
      <c r="AD1833" s="135">
        <v>4.1169725251619001E-2</v>
      </c>
      <c r="AF1833" s="243">
        <f t="shared" si="36"/>
        <v>0.35708728353738928</v>
      </c>
      <c r="AG1833" s="275">
        <f t="shared" si="37"/>
        <v>0.56514170209126213</v>
      </c>
      <c r="AH1833" s="391">
        <f t="shared" si="38"/>
        <v>0.48083620788502851</v>
      </c>
      <c r="AI1833" s="135">
        <f t="shared" si="39"/>
        <v>1.0459779099762907</v>
      </c>
    </row>
    <row r="1834" spans="1:35" ht="12.6">
      <c r="A1834" s="10" t="s">
        <v>865</v>
      </c>
      <c r="B1834" s="10">
        <v>8</v>
      </c>
      <c r="C1834" s="10" t="s">
        <v>1512</v>
      </c>
      <c r="D1834" s="388">
        <v>44934</v>
      </c>
      <c r="E1834" s="389">
        <v>44934</v>
      </c>
      <c r="F1834" s="390" t="str">
        <f t="shared" si="35"/>
        <v>Whitegoods</v>
      </c>
      <c r="G1834" s="135">
        <v>3.7889413047341003E-2</v>
      </c>
      <c r="H1834" s="135">
        <v>3.5059366920746501E-2</v>
      </c>
      <c r="I1834" s="135">
        <v>3.2931863982889498E-2</v>
      </c>
      <c r="J1834" s="135">
        <v>3.2800456879470898E-2</v>
      </c>
      <c r="K1834" s="135">
        <v>3.3091056003752201E-2</v>
      </c>
      <c r="L1834" s="135">
        <v>3.2529790038360498E-2</v>
      </c>
      <c r="M1834" s="135">
        <v>3.54826268753183E-2</v>
      </c>
      <c r="N1834" s="135">
        <v>3.7107458651134698E-2</v>
      </c>
      <c r="O1834" s="135">
        <v>4.5537381765117499E-2</v>
      </c>
      <c r="P1834" s="135">
        <v>5.5534078772594399E-2</v>
      </c>
      <c r="Q1834" s="135">
        <v>6.0194987509722298E-2</v>
      </c>
      <c r="R1834" s="135">
        <v>5.5596362438183798E-2</v>
      </c>
      <c r="S1834" s="135">
        <v>5.2733772108295503E-2</v>
      </c>
      <c r="T1834" s="135">
        <v>5.1057154865542097E-2</v>
      </c>
      <c r="U1834" s="135">
        <v>4.6325531279428102E-2</v>
      </c>
      <c r="V1834" s="135">
        <v>4.6030075708210397E-2</v>
      </c>
      <c r="W1834" s="135">
        <v>4.5149399628007097E-2</v>
      </c>
      <c r="X1834" s="135">
        <v>4.4229959554115399E-2</v>
      </c>
      <c r="Y1834" s="135">
        <v>4.45303989671939E-2</v>
      </c>
      <c r="Z1834" s="135">
        <v>4.4016348074234699E-2</v>
      </c>
      <c r="AA1834" s="135">
        <v>4.6479606756783698E-2</v>
      </c>
      <c r="AB1834" s="135">
        <v>4.7609625395948103E-2</v>
      </c>
      <c r="AC1834" s="135">
        <v>4.2891469502281003E-2</v>
      </c>
      <c r="AD1834" s="135">
        <v>4.1169725251619001E-2</v>
      </c>
      <c r="AF1834" s="243">
        <f t="shared" si="36"/>
        <v>0.35708728353738928</v>
      </c>
      <c r="AG1834" s="275">
        <f t="shared" si="37"/>
        <v>0.56514170209126213</v>
      </c>
      <c r="AH1834" s="391">
        <f t="shared" si="38"/>
        <v>0.48083620788502851</v>
      </c>
      <c r="AI1834" s="135">
        <f t="shared" si="39"/>
        <v>1.0459779099762907</v>
      </c>
    </row>
    <row r="1835" spans="1:35" ht="12.6">
      <c r="A1835" s="10" t="s">
        <v>865</v>
      </c>
      <c r="B1835" s="10">
        <v>9</v>
      </c>
      <c r="C1835" s="10" t="s">
        <v>1512</v>
      </c>
      <c r="D1835" s="388">
        <v>44935</v>
      </c>
      <c r="E1835" s="389">
        <v>44935</v>
      </c>
      <c r="F1835" s="390" t="str">
        <f t="shared" si="35"/>
        <v>Whitegoods</v>
      </c>
      <c r="G1835" s="135">
        <v>3.8479305232398599E-2</v>
      </c>
      <c r="H1835" s="135">
        <v>3.4109101835927302E-2</v>
      </c>
      <c r="I1835" s="135">
        <v>3.2716724379374097E-2</v>
      </c>
      <c r="J1835" s="135">
        <v>3.2755788519262002E-2</v>
      </c>
      <c r="K1835" s="135">
        <v>3.2529372836290302E-2</v>
      </c>
      <c r="L1835" s="135">
        <v>3.3121973643746597E-2</v>
      </c>
      <c r="M1835" s="135">
        <v>3.6222705350671597E-2</v>
      </c>
      <c r="N1835" s="135">
        <v>4.3115434307554101E-2</v>
      </c>
      <c r="O1835" s="135">
        <v>4.5395973778856902E-2</v>
      </c>
      <c r="P1835" s="135">
        <v>4.3368864167013903E-2</v>
      </c>
      <c r="Q1835" s="135">
        <v>4.1119590293710699E-2</v>
      </c>
      <c r="R1835" s="135">
        <v>3.8910998036731502E-2</v>
      </c>
      <c r="S1835" s="135">
        <v>3.8920598006107497E-2</v>
      </c>
      <c r="T1835" s="135">
        <v>3.79499174309013E-2</v>
      </c>
      <c r="U1835" s="135">
        <v>3.88709902713682E-2</v>
      </c>
      <c r="V1835" s="135">
        <v>3.8263637944057502E-2</v>
      </c>
      <c r="W1835" s="135">
        <v>3.7620463052809597E-2</v>
      </c>
      <c r="X1835" s="135">
        <v>3.8411028317790599E-2</v>
      </c>
      <c r="Y1835" s="135">
        <v>4.0478448495668597E-2</v>
      </c>
      <c r="Z1835" s="135">
        <v>4.1570550137197598E-2</v>
      </c>
      <c r="AA1835" s="135">
        <v>4.6435464451008102E-2</v>
      </c>
      <c r="AB1835" s="135">
        <v>4.47686182865107E-2</v>
      </c>
      <c r="AC1835" s="135">
        <v>4.29455512955692E-2</v>
      </c>
      <c r="AD1835" s="135">
        <v>4.2460832816605398E-2</v>
      </c>
      <c r="AF1835" s="243">
        <f t="shared" si="36"/>
        <v>0.27165619503568628</v>
      </c>
      <c r="AG1835" s="275">
        <f t="shared" si="37"/>
        <v>0.51696696261508923</v>
      </c>
      <c r="AH1835" s="391">
        <f t="shared" si="38"/>
        <v>0.42357497027204272</v>
      </c>
      <c r="AI1835" s="135">
        <f t="shared" si="39"/>
        <v>0.94054193288713195</v>
      </c>
    </row>
    <row r="1836" spans="1:35" ht="12.6">
      <c r="A1836" s="10" t="s">
        <v>865</v>
      </c>
      <c r="B1836" s="10">
        <v>10</v>
      </c>
      <c r="C1836" s="10" t="s">
        <v>1512</v>
      </c>
      <c r="D1836" s="388">
        <v>44936</v>
      </c>
      <c r="E1836" s="389">
        <v>44936</v>
      </c>
      <c r="F1836" s="390" t="str">
        <f t="shared" si="35"/>
        <v>Whitegoods</v>
      </c>
      <c r="G1836" s="135">
        <v>3.8479305232398599E-2</v>
      </c>
      <c r="H1836" s="135">
        <v>3.4109101835927302E-2</v>
      </c>
      <c r="I1836" s="135">
        <v>3.2716724379374097E-2</v>
      </c>
      <c r="J1836" s="135">
        <v>3.2755788519262002E-2</v>
      </c>
      <c r="K1836" s="135">
        <v>3.2529372836290302E-2</v>
      </c>
      <c r="L1836" s="135">
        <v>3.3121973643746597E-2</v>
      </c>
      <c r="M1836" s="135">
        <v>3.6222705350671597E-2</v>
      </c>
      <c r="N1836" s="135">
        <v>4.3115434307554101E-2</v>
      </c>
      <c r="O1836" s="135">
        <v>4.5395973778856902E-2</v>
      </c>
      <c r="P1836" s="135">
        <v>4.3368864167013903E-2</v>
      </c>
      <c r="Q1836" s="135">
        <v>4.1119590293710699E-2</v>
      </c>
      <c r="R1836" s="135">
        <v>3.8910998036731502E-2</v>
      </c>
      <c r="S1836" s="135">
        <v>3.8920598006107497E-2</v>
      </c>
      <c r="T1836" s="135">
        <v>3.79499174309013E-2</v>
      </c>
      <c r="U1836" s="135">
        <v>3.88709902713682E-2</v>
      </c>
      <c r="V1836" s="135">
        <v>3.8263637944057502E-2</v>
      </c>
      <c r="W1836" s="135">
        <v>3.7620463052809597E-2</v>
      </c>
      <c r="X1836" s="135">
        <v>3.8411028317790599E-2</v>
      </c>
      <c r="Y1836" s="135">
        <v>4.0478448495668597E-2</v>
      </c>
      <c r="Z1836" s="135">
        <v>4.1570550137197598E-2</v>
      </c>
      <c r="AA1836" s="135">
        <v>4.6435464451008102E-2</v>
      </c>
      <c r="AB1836" s="135">
        <v>4.47686182865107E-2</v>
      </c>
      <c r="AC1836" s="135">
        <v>4.29455512955692E-2</v>
      </c>
      <c r="AD1836" s="135">
        <v>4.2460832816605398E-2</v>
      </c>
      <c r="AF1836" s="243">
        <f t="shared" si="36"/>
        <v>0.27165619503568628</v>
      </c>
      <c r="AG1836" s="275">
        <f t="shared" si="37"/>
        <v>0.51696696261508923</v>
      </c>
      <c r="AH1836" s="391">
        <f t="shared" si="38"/>
        <v>0.42357497027204272</v>
      </c>
      <c r="AI1836" s="135">
        <f t="shared" si="39"/>
        <v>0.94054193288713195</v>
      </c>
    </row>
    <row r="1837" spans="1:35" ht="12.6">
      <c r="A1837" s="10" t="s">
        <v>865</v>
      </c>
      <c r="B1837" s="10">
        <v>11</v>
      </c>
      <c r="C1837" s="10" t="s">
        <v>1512</v>
      </c>
      <c r="D1837" s="388">
        <v>44937</v>
      </c>
      <c r="E1837" s="389">
        <v>44937</v>
      </c>
      <c r="F1837" s="390" t="str">
        <f t="shared" si="35"/>
        <v>Whitegoods</v>
      </c>
      <c r="G1837" s="135">
        <v>3.8479305232398599E-2</v>
      </c>
      <c r="H1837" s="135">
        <v>3.4109101835927302E-2</v>
      </c>
      <c r="I1837" s="135">
        <v>3.2716724379374097E-2</v>
      </c>
      <c r="J1837" s="135">
        <v>3.2755788519262002E-2</v>
      </c>
      <c r="K1837" s="135">
        <v>3.2529372836290302E-2</v>
      </c>
      <c r="L1837" s="135">
        <v>3.3121973643746597E-2</v>
      </c>
      <c r="M1837" s="135">
        <v>3.6222705350671597E-2</v>
      </c>
      <c r="N1837" s="135">
        <v>4.3115434307554101E-2</v>
      </c>
      <c r="O1837" s="135">
        <v>4.5395973778856902E-2</v>
      </c>
      <c r="P1837" s="135">
        <v>4.3368864167013903E-2</v>
      </c>
      <c r="Q1837" s="135">
        <v>4.1119590293710699E-2</v>
      </c>
      <c r="R1837" s="135">
        <v>3.8910998036731502E-2</v>
      </c>
      <c r="S1837" s="135">
        <v>3.8920598006107497E-2</v>
      </c>
      <c r="T1837" s="135">
        <v>3.79499174309013E-2</v>
      </c>
      <c r="U1837" s="135">
        <v>3.88709902713682E-2</v>
      </c>
      <c r="V1837" s="135">
        <v>3.8263637944057502E-2</v>
      </c>
      <c r="W1837" s="135">
        <v>3.7620463052809597E-2</v>
      </c>
      <c r="X1837" s="135">
        <v>3.8411028317790599E-2</v>
      </c>
      <c r="Y1837" s="135">
        <v>4.0478448495668597E-2</v>
      </c>
      <c r="Z1837" s="135">
        <v>4.1570550137197598E-2</v>
      </c>
      <c r="AA1837" s="135">
        <v>4.6435464451008102E-2</v>
      </c>
      <c r="AB1837" s="135">
        <v>4.47686182865107E-2</v>
      </c>
      <c r="AC1837" s="135">
        <v>4.29455512955692E-2</v>
      </c>
      <c r="AD1837" s="135">
        <v>4.2460832816605398E-2</v>
      </c>
      <c r="AF1837" s="243">
        <f t="shared" si="36"/>
        <v>0.27165619503568628</v>
      </c>
      <c r="AG1837" s="275">
        <f t="shared" si="37"/>
        <v>0.51696696261508923</v>
      </c>
      <c r="AH1837" s="391">
        <f t="shared" si="38"/>
        <v>0.42357497027204272</v>
      </c>
      <c r="AI1837" s="135">
        <f t="shared" si="39"/>
        <v>0.94054193288713195</v>
      </c>
    </row>
    <row r="1838" spans="1:35" ht="12.6">
      <c r="A1838" s="10" t="s">
        <v>865</v>
      </c>
      <c r="B1838" s="10">
        <v>12</v>
      </c>
      <c r="C1838" s="10" t="s">
        <v>1512</v>
      </c>
      <c r="D1838" s="388">
        <v>44938</v>
      </c>
      <c r="E1838" s="389">
        <v>44938</v>
      </c>
      <c r="F1838" s="390" t="str">
        <f t="shared" si="35"/>
        <v>Whitegoods</v>
      </c>
      <c r="G1838" s="135">
        <v>3.8479305232398599E-2</v>
      </c>
      <c r="H1838" s="135">
        <v>3.4109101835927302E-2</v>
      </c>
      <c r="I1838" s="135">
        <v>3.2716724379374097E-2</v>
      </c>
      <c r="J1838" s="135">
        <v>3.2755788519262002E-2</v>
      </c>
      <c r="K1838" s="135">
        <v>3.2529372836290302E-2</v>
      </c>
      <c r="L1838" s="135">
        <v>3.3121973643746597E-2</v>
      </c>
      <c r="M1838" s="135">
        <v>3.6222705350671597E-2</v>
      </c>
      <c r="N1838" s="135">
        <v>4.3115434307554101E-2</v>
      </c>
      <c r="O1838" s="135">
        <v>4.5395973778856902E-2</v>
      </c>
      <c r="P1838" s="135">
        <v>4.3368864167013903E-2</v>
      </c>
      <c r="Q1838" s="135">
        <v>4.1119590293710699E-2</v>
      </c>
      <c r="R1838" s="135">
        <v>3.8910998036731502E-2</v>
      </c>
      <c r="S1838" s="135">
        <v>3.8920598006107497E-2</v>
      </c>
      <c r="T1838" s="135">
        <v>3.79499174309013E-2</v>
      </c>
      <c r="U1838" s="135">
        <v>3.88709902713682E-2</v>
      </c>
      <c r="V1838" s="135">
        <v>3.8263637944057502E-2</v>
      </c>
      <c r="W1838" s="135">
        <v>3.7620463052809597E-2</v>
      </c>
      <c r="X1838" s="135">
        <v>3.8411028317790599E-2</v>
      </c>
      <c r="Y1838" s="135">
        <v>4.0478448495668597E-2</v>
      </c>
      <c r="Z1838" s="135">
        <v>4.1570550137197598E-2</v>
      </c>
      <c r="AA1838" s="135">
        <v>4.6435464451008102E-2</v>
      </c>
      <c r="AB1838" s="135">
        <v>4.47686182865107E-2</v>
      </c>
      <c r="AC1838" s="135">
        <v>4.29455512955692E-2</v>
      </c>
      <c r="AD1838" s="135">
        <v>4.2460832816605398E-2</v>
      </c>
      <c r="AF1838" s="243">
        <f t="shared" si="36"/>
        <v>0.27165619503568628</v>
      </c>
      <c r="AG1838" s="275">
        <f t="shared" si="37"/>
        <v>0.51696696261508923</v>
      </c>
      <c r="AH1838" s="391">
        <f t="shared" si="38"/>
        <v>0.42357497027204272</v>
      </c>
      <c r="AI1838" s="135">
        <f t="shared" si="39"/>
        <v>0.94054193288713195</v>
      </c>
    </row>
    <row r="1839" spans="1:35" ht="12.6">
      <c r="A1839" s="10" t="s">
        <v>865</v>
      </c>
      <c r="B1839" s="10">
        <v>13</v>
      </c>
      <c r="C1839" s="10" t="s">
        <v>1512</v>
      </c>
      <c r="D1839" s="388">
        <v>44939</v>
      </c>
      <c r="E1839" s="389">
        <v>44939</v>
      </c>
      <c r="F1839" s="390" t="str">
        <f t="shared" si="35"/>
        <v>Whitegoods</v>
      </c>
      <c r="G1839" s="135">
        <v>3.8479305232398599E-2</v>
      </c>
      <c r="H1839" s="135">
        <v>3.4109101835927302E-2</v>
      </c>
      <c r="I1839" s="135">
        <v>3.2716724379374097E-2</v>
      </c>
      <c r="J1839" s="135">
        <v>3.2755788519262002E-2</v>
      </c>
      <c r="K1839" s="135">
        <v>3.2529372836290302E-2</v>
      </c>
      <c r="L1839" s="135">
        <v>3.3121973643746597E-2</v>
      </c>
      <c r="M1839" s="135">
        <v>3.6222705350671597E-2</v>
      </c>
      <c r="N1839" s="135">
        <v>4.3115434307554101E-2</v>
      </c>
      <c r="O1839" s="135">
        <v>4.5395973778856902E-2</v>
      </c>
      <c r="P1839" s="135">
        <v>4.3368864167013903E-2</v>
      </c>
      <c r="Q1839" s="135">
        <v>4.1119590293710699E-2</v>
      </c>
      <c r="R1839" s="135">
        <v>3.8910998036731502E-2</v>
      </c>
      <c r="S1839" s="135">
        <v>3.8920598006107497E-2</v>
      </c>
      <c r="T1839" s="135">
        <v>3.79499174309013E-2</v>
      </c>
      <c r="U1839" s="135">
        <v>3.88709902713682E-2</v>
      </c>
      <c r="V1839" s="135">
        <v>3.8263637944057502E-2</v>
      </c>
      <c r="W1839" s="135">
        <v>3.7620463052809597E-2</v>
      </c>
      <c r="X1839" s="135">
        <v>3.8411028317790599E-2</v>
      </c>
      <c r="Y1839" s="135">
        <v>4.0478448495668597E-2</v>
      </c>
      <c r="Z1839" s="135">
        <v>4.1570550137197598E-2</v>
      </c>
      <c r="AA1839" s="135">
        <v>4.6435464451008102E-2</v>
      </c>
      <c r="AB1839" s="135">
        <v>4.47686182865107E-2</v>
      </c>
      <c r="AC1839" s="135">
        <v>4.29455512955692E-2</v>
      </c>
      <c r="AD1839" s="135">
        <v>4.2460832816605398E-2</v>
      </c>
      <c r="AF1839" s="243">
        <f t="shared" si="36"/>
        <v>0.27165619503568628</v>
      </c>
      <c r="AG1839" s="275">
        <f t="shared" si="37"/>
        <v>0.51696696261508923</v>
      </c>
      <c r="AH1839" s="391">
        <f t="shared" si="38"/>
        <v>0.42357497027204272</v>
      </c>
      <c r="AI1839" s="135">
        <f t="shared" si="39"/>
        <v>0.94054193288713195</v>
      </c>
    </row>
    <row r="1840" spans="1:35" ht="12.6">
      <c r="A1840" s="10" t="s">
        <v>865</v>
      </c>
      <c r="B1840" s="10">
        <v>14</v>
      </c>
      <c r="C1840" s="10" t="s">
        <v>1512</v>
      </c>
      <c r="D1840" s="388">
        <v>44940</v>
      </c>
      <c r="E1840" s="389">
        <v>44940</v>
      </c>
      <c r="F1840" s="390" t="str">
        <f t="shared" si="35"/>
        <v>Whitegoods</v>
      </c>
      <c r="G1840" s="135">
        <v>3.7889413047341003E-2</v>
      </c>
      <c r="H1840" s="135">
        <v>3.5059366920746501E-2</v>
      </c>
      <c r="I1840" s="135">
        <v>3.2931863982889498E-2</v>
      </c>
      <c r="J1840" s="135">
        <v>3.2800456879470898E-2</v>
      </c>
      <c r="K1840" s="135">
        <v>3.3091056003752201E-2</v>
      </c>
      <c r="L1840" s="135">
        <v>3.2529790038360498E-2</v>
      </c>
      <c r="M1840" s="135">
        <v>3.54826268753183E-2</v>
      </c>
      <c r="N1840" s="135">
        <v>3.7107458651134698E-2</v>
      </c>
      <c r="O1840" s="135">
        <v>4.5537381765117499E-2</v>
      </c>
      <c r="P1840" s="135">
        <v>5.5534078772594399E-2</v>
      </c>
      <c r="Q1840" s="135">
        <v>6.0194987509722298E-2</v>
      </c>
      <c r="R1840" s="135">
        <v>5.5596362438183798E-2</v>
      </c>
      <c r="S1840" s="135">
        <v>5.2733772108295503E-2</v>
      </c>
      <c r="T1840" s="135">
        <v>5.1057154865542097E-2</v>
      </c>
      <c r="U1840" s="135">
        <v>4.6325531279428102E-2</v>
      </c>
      <c r="V1840" s="135">
        <v>4.6030075708210397E-2</v>
      </c>
      <c r="W1840" s="135">
        <v>4.5149399628007097E-2</v>
      </c>
      <c r="X1840" s="135">
        <v>4.4229959554115399E-2</v>
      </c>
      <c r="Y1840" s="135">
        <v>4.45303989671939E-2</v>
      </c>
      <c r="Z1840" s="135">
        <v>4.4016348074234699E-2</v>
      </c>
      <c r="AA1840" s="135">
        <v>4.6479606756783698E-2</v>
      </c>
      <c r="AB1840" s="135">
        <v>4.7609625395948103E-2</v>
      </c>
      <c r="AC1840" s="135">
        <v>4.2891469502281003E-2</v>
      </c>
      <c r="AD1840" s="135">
        <v>4.1169725251619001E-2</v>
      </c>
      <c r="AF1840" s="243">
        <f t="shared" si="36"/>
        <v>0.35708728353738928</v>
      </c>
      <c r="AG1840" s="275">
        <f t="shared" si="37"/>
        <v>0.56514170209126213</v>
      </c>
      <c r="AH1840" s="391">
        <f t="shared" si="38"/>
        <v>0.48083620788502851</v>
      </c>
      <c r="AI1840" s="135">
        <f t="shared" si="39"/>
        <v>1.0459779099762907</v>
      </c>
    </row>
    <row r="1841" spans="1:35" ht="12.6">
      <c r="A1841" s="10" t="s">
        <v>865</v>
      </c>
      <c r="B1841" s="10">
        <v>15</v>
      </c>
      <c r="C1841" s="10" t="s">
        <v>1512</v>
      </c>
      <c r="D1841" s="388">
        <v>44941</v>
      </c>
      <c r="E1841" s="389">
        <v>44941</v>
      </c>
      <c r="F1841" s="390" t="str">
        <f t="shared" si="35"/>
        <v>Whitegoods</v>
      </c>
      <c r="G1841" s="135">
        <v>3.7889413047341003E-2</v>
      </c>
      <c r="H1841" s="135">
        <v>3.5059366920746501E-2</v>
      </c>
      <c r="I1841" s="135">
        <v>3.2931863982889498E-2</v>
      </c>
      <c r="J1841" s="135">
        <v>3.2800456879470898E-2</v>
      </c>
      <c r="K1841" s="135">
        <v>3.3091056003752201E-2</v>
      </c>
      <c r="L1841" s="135">
        <v>3.2529790038360498E-2</v>
      </c>
      <c r="M1841" s="135">
        <v>3.54826268753183E-2</v>
      </c>
      <c r="N1841" s="135">
        <v>3.7107458651134698E-2</v>
      </c>
      <c r="O1841" s="135">
        <v>4.5537381765117499E-2</v>
      </c>
      <c r="P1841" s="135">
        <v>5.5534078772594399E-2</v>
      </c>
      <c r="Q1841" s="135">
        <v>6.0194987509722298E-2</v>
      </c>
      <c r="R1841" s="135">
        <v>5.5596362438183798E-2</v>
      </c>
      <c r="S1841" s="135">
        <v>5.2733772108295503E-2</v>
      </c>
      <c r="T1841" s="135">
        <v>5.1057154865542097E-2</v>
      </c>
      <c r="U1841" s="135">
        <v>4.6325531279428102E-2</v>
      </c>
      <c r="V1841" s="135">
        <v>4.6030075708210397E-2</v>
      </c>
      <c r="W1841" s="135">
        <v>4.5149399628007097E-2</v>
      </c>
      <c r="X1841" s="135">
        <v>4.4229959554115399E-2</v>
      </c>
      <c r="Y1841" s="135">
        <v>4.45303989671939E-2</v>
      </c>
      <c r="Z1841" s="135">
        <v>4.4016348074234699E-2</v>
      </c>
      <c r="AA1841" s="135">
        <v>4.6479606756783698E-2</v>
      </c>
      <c r="AB1841" s="135">
        <v>4.7609625395948103E-2</v>
      </c>
      <c r="AC1841" s="135">
        <v>4.2891469502281003E-2</v>
      </c>
      <c r="AD1841" s="135">
        <v>4.1169725251619001E-2</v>
      </c>
      <c r="AF1841" s="243">
        <f t="shared" si="36"/>
        <v>0.35708728353738928</v>
      </c>
      <c r="AG1841" s="275">
        <f t="shared" si="37"/>
        <v>0.56514170209126213</v>
      </c>
      <c r="AH1841" s="391">
        <f t="shared" si="38"/>
        <v>0.48083620788502851</v>
      </c>
      <c r="AI1841" s="135">
        <f t="shared" si="39"/>
        <v>1.0459779099762907</v>
      </c>
    </row>
    <row r="1842" spans="1:35" ht="12.6">
      <c r="A1842" s="10" t="s">
        <v>865</v>
      </c>
      <c r="B1842" s="10">
        <v>16</v>
      </c>
      <c r="C1842" s="10" t="s">
        <v>1512</v>
      </c>
      <c r="D1842" s="388">
        <v>44942</v>
      </c>
      <c r="E1842" s="389">
        <v>44942</v>
      </c>
      <c r="F1842" s="390" t="str">
        <f t="shared" si="35"/>
        <v>Whitegoods</v>
      </c>
      <c r="G1842" s="135">
        <v>3.8479305232398599E-2</v>
      </c>
      <c r="H1842" s="135">
        <v>3.4109101835927302E-2</v>
      </c>
      <c r="I1842" s="135">
        <v>3.2716724379374097E-2</v>
      </c>
      <c r="J1842" s="135">
        <v>3.2755788519262002E-2</v>
      </c>
      <c r="K1842" s="135">
        <v>3.2529372836290302E-2</v>
      </c>
      <c r="L1842" s="135">
        <v>3.3121973643746597E-2</v>
      </c>
      <c r="M1842" s="135">
        <v>3.6222705350671597E-2</v>
      </c>
      <c r="N1842" s="135">
        <v>4.3115434307554101E-2</v>
      </c>
      <c r="O1842" s="135">
        <v>4.5395973778856902E-2</v>
      </c>
      <c r="P1842" s="135">
        <v>4.3368864167013903E-2</v>
      </c>
      <c r="Q1842" s="135">
        <v>4.1119590293710699E-2</v>
      </c>
      <c r="R1842" s="135">
        <v>3.8910998036731502E-2</v>
      </c>
      <c r="S1842" s="135">
        <v>3.8920598006107497E-2</v>
      </c>
      <c r="T1842" s="135">
        <v>3.79499174309013E-2</v>
      </c>
      <c r="U1842" s="135">
        <v>3.88709902713682E-2</v>
      </c>
      <c r="V1842" s="135">
        <v>3.8263637944057502E-2</v>
      </c>
      <c r="W1842" s="135">
        <v>3.7620463052809597E-2</v>
      </c>
      <c r="X1842" s="135">
        <v>3.8411028317790599E-2</v>
      </c>
      <c r="Y1842" s="135">
        <v>4.0478448495668597E-2</v>
      </c>
      <c r="Z1842" s="135">
        <v>4.1570550137197598E-2</v>
      </c>
      <c r="AA1842" s="135">
        <v>4.6435464451008102E-2</v>
      </c>
      <c r="AB1842" s="135">
        <v>4.47686182865107E-2</v>
      </c>
      <c r="AC1842" s="135">
        <v>4.29455512955692E-2</v>
      </c>
      <c r="AD1842" s="135">
        <v>4.2460832816605398E-2</v>
      </c>
      <c r="AF1842" s="243">
        <f t="shared" si="36"/>
        <v>0.27165619503568628</v>
      </c>
      <c r="AG1842" s="275">
        <f t="shared" si="37"/>
        <v>0.51696696261508923</v>
      </c>
      <c r="AH1842" s="391">
        <f t="shared" si="38"/>
        <v>0.42357497027204272</v>
      </c>
      <c r="AI1842" s="135">
        <f t="shared" si="39"/>
        <v>0.94054193288713195</v>
      </c>
    </row>
    <row r="1843" spans="1:35" ht="12.6">
      <c r="A1843" s="10" t="s">
        <v>865</v>
      </c>
      <c r="B1843" s="10">
        <v>17</v>
      </c>
      <c r="C1843" s="10" t="s">
        <v>1512</v>
      </c>
      <c r="D1843" s="388">
        <v>44943</v>
      </c>
      <c r="E1843" s="389">
        <v>44943</v>
      </c>
      <c r="F1843" s="390" t="str">
        <f t="shared" si="35"/>
        <v>Whitegoods</v>
      </c>
      <c r="G1843" s="135">
        <v>3.8479305232398599E-2</v>
      </c>
      <c r="H1843" s="135">
        <v>3.4109101835927302E-2</v>
      </c>
      <c r="I1843" s="135">
        <v>3.2716724379374097E-2</v>
      </c>
      <c r="J1843" s="135">
        <v>3.2755788519262002E-2</v>
      </c>
      <c r="K1843" s="135">
        <v>3.2529372836290302E-2</v>
      </c>
      <c r="L1843" s="135">
        <v>3.3121973643746597E-2</v>
      </c>
      <c r="M1843" s="135">
        <v>3.6222705350671597E-2</v>
      </c>
      <c r="N1843" s="135">
        <v>4.3115434307554101E-2</v>
      </c>
      <c r="O1843" s="135">
        <v>4.5395973778856902E-2</v>
      </c>
      <c r="P1843" s="135">
        <v>4.3368864167013903E-2</v>
      </c>
      <c r="Q1843" s="135">
        <v>4.1119590293710699E-2</v>
      </c>
      <c r="R1843" s="135">
        <v>3.8910998036731502E-2</v>
      </c>
      <c r="S1843" s="135">
        <v>3.8920598006107497E-2</v>
      </c>
      <c r="T1843" s="135">
        <v>3.79499174309013E-2</v>
      </c>
      <c r="U1843" s="135">
        <v>3.88709902713682E-2</v>
      </c>
      <c r="V1843" s="135">
        <v>3.8263637944057502E-2</v>
      </c>
      <c r="W1843" s="135">
        <v>3.7620463052809597E-2</v>
      </c>
      <c r="X1843" s="135">
        <v>3.8411028317790599E-2</v>
      </c>
      <c r="Y1843" s="135">
        <v>4.0478448495668597E-2</v>
      </c>
      <c r="Z1843" s="135">
        <v>4.1570550137197598E-2</v>
      </c>
      <c r="AA1843" s="135">
        <v>4.6435464451008102E-2</v>
      </c>
      <c r="AB1843" s="135">
        <v>4.47686182865107E-2</v>
      </c>
      <c r="AC1843" s="135">
        <v>4.29455512955692E-2</v>
      </c>
      <c r="AD1843" s="135">
        <v>4.2460832816605398E-2</v>
      </c>
      <c r="AF1843" s="243">
        <f t="shared" si="36"/>
        <v>0.27165619503568628</v>
      </c>
      <c r="AG1843" s="275">
        <f t="shared" si="37"/>
        <v>0.51696696261508923</v>
      </c>
      <c r="AH1843" s="391">
        <f t="shared" si="38"/>
        <v>0.42357497027204272</v>
      </c>
      <c r="AI1843" s="135">
        <f t="shared" si="39"/>
        <v>0.94054193288713195</v>
      </c>
    </row>
    <row r="1844" spans="1:35" ht="12.6">
      <c r="A1844" s="10" t="s">
        <v>865</v>
      </c>
      <c r="B1844" s="10">
        <v>18</v>
      </c>
      <c r="C1844" s="10" t="s">
        <v>1512</v>
      </c>
      <c r="D1844" s="388">
        <v>44944</v>
      </c>
      <c r="E1844" s="389">
        <v>44944</v>
      </c>
      <c r="F1844" s="390" t="str">
        <f t="shared" si="35"/>
        <v>Whitegoods</v>
      </c>
      <c r="G1844" s="135">
        <v>3.8479305232398599E-2</v>
      </c>
      <c r="H1844" s="135">
        <v>3.4109101835927302E-2</v>
      </c>
      <c r="I1844" s="135">
        <v>3.2716724379374097E-2</v>
      </c>
      <c r="J1844" s="135">
        <v>3.2755788519262002E-2</v>
      </c>
      <c r="K1844" s="135">
        <v>3.2529372836290302E-2</v>
      </c>
      <c r="L1844" s="135">
        <v>3.3121973643746597E-2</v>
      </c>
      <c r="M1844" s="135">
        <v>3.6222705350671597E-2</v>
      </c>
      <c r="N1844" s="135">
        <v>4.3115434307554101E-2</v>
      </c>
      <c r="O1844" s="135">
        <v>4.5395973778856902E-2</v>
      </c>
      <c r="P1844" s="135">
        <v>4.3368864167013903E-2</v>
      </c>
      <c r="Q1844" s="135">
        <v>4.1119590293710699E-2</v>
      </c>
      <c r="R1844" s="135">
        <v>3.8910998036731502E-2</v>
      </c>
      <c r="S1844" s="135">
        <v>3.8920598006107497E-2</v>
      </c>
      <c r="T1844" s="135">
        <v>3.79499174309013E-2</v>
      </c>
      <c r="U1844" s="135">
        <v>3.88709902713682E-2</v>
      </c>
      <c r="V1844" s="135">
        <v>3.8263637944057502E-2</v>
      </c>
      <c r="W1844" s="135">
        <v>3.7620463052809597E-2</v>
      </c>
      <c r="X1844" s="135">
        <v>3.8411028317790599E-2</v>
      </c>
      <c r="Y1844" s="135">
        <v>4.0478448495668597E-2</v>
      </c>
      <c r="Z1844" s="135">
        <v>4.1570550137197598E-2</v>
      </c>
      <c r="AA1844" s="135">
        <v>4.6435464451008102E-2</v>
      </c>
      <c r="AB1844" s="135">
        <v>4.47686182865107E-2</v>
      </c>
      <c r="AC1844" s="135">
        <v>4.29455512955692E-2</v>
      </c>
      <c r="AD1844" s="135">
        <v>4.2460832816605398E-2</v>
      </c>
      <c r="AF1844" s="243">
        <f t="shared" si="36"/>
        <v>0.27165619503568628</v>
      </c>
      <c r="AG1844" s="275">
        <f t="shared" si="37"/>
        <v>0.51696696261508923</v>
      </c>
      <c r="AH1844" s="391">
        <f t="shared" si="38"/>
        <v>0.42357497027204272</v>
      </c>
      <c r="AI1844" s="135">
        <f t="shared" si="39"/>
        <v>0.94054193288713195</v>
      </c>
    </row>
    <row r="1845" spans="1:35" ht="12.6">
      <c r="A1845" s="10" t="s">
        <v>865</v>
      </c>
      <c r="B1845" s="10">
        <v>19</v>
      </c>
      <c r="C1845" s="10" t="s">
        <v>1512</v>
      </c>
      <c r="D1845" s="388">
        <v>44945</v>
      </c>
      <c r="E1845" s="389">
        <v>44945</v>
      </c>
      <c r="F1845" s="390" t="str">
        <f t="shared" si="35"/>
        <v>Whitegoods</v>
      </c>
      <c r="G1845" s="135">
        <v>3.8479305232398599E-2</v>
      </c>
      <c r="H1845" s="135">
        <v>3.4109101835927302E-2</v>
      </c>
      <c r="I1845" s="135">
        <v>3.2716724379374097E-2</v>
      </c>
      <c r="J1845" s="135">
        <v>3.2755788519262002E-2</v>
      </c>
      <c r="K1845" s="135">
        <v>3.2529372836290302E-2</v>
      </c>
      <c r="L1845" s="135">
        <v>3.3121973643746597E-2</v>
      </c>
      <c r="M1845" s="135">
        <v>3.6222705350671597E-2</v>
      </c>
      <c r="N1845" s="135">
        <v>4.3115434307554101E-2</v>
      </c>
      <c r="O1845" s="135">
        <v>4.5395973778856902E-2</v>
      </c>
      <c r="P1845" s="135">
        <v>4.3368864167013903E-2</v>
      </c>
      <c r="Q1845" s="135">
        <v>4.1119590293710699E-2</v>
      </c>
      <c r="R1845" s="135">
        <v>3.8910998036731502E-2</v>
      </c>
      <c r="S1845" s="135">
        <v>3.8920598006107497E-2</v>
      </c>
      <c r="T1845" s="135">
        <v>3.79499174309013E-2</v>
      </c>
      <c r="U1845" s="135">
        <v>3.88709902713682E-2</v>
      </c>
      <c r="V1845" s="135">
        <v>3.8263637944057502E-2</v>
      </c>
      <c r="W1845" s="135">
        <v>3.7620463052809597E-2</v>
      </c>
      <c r="X1845" s="135">
        <v>3.8411028317790599E-2</v>
      </c>
      <c r="Y1845" s="135">
        <v>4.0478448495668597E-2</v>
      </c>
      <c r="Z1845" s="135">
        <v>4.1570550137197598E-2</v>
      </c>
      <c r="AA1845" s="135">
        <v>4.6435464451008102E-2</v>
      </c>
      <c r="AB1845" s="135">
        <v>4.47686182865107E-2</v>
      </c>
      <c r="AC1845" s="135">
        <v>4.29455512955692E-2</v>
      </c>
      <c r="AD1845" s="135">
        <v>4.2460832816605398E-2</v>
      </c>
      <c r="AF1845" s="243">
        <f t="shared" si="36"/>
        <v>0.27165619503568628</v>
      </c>
      <c r="AG1845" s="275">
        <f t="shared" si="37"/>
        <v>0.51696696261508923</v>
      </c>
      <c r="AH1845" s="391">
        <f t="shared" si="38"/>
        <v>0.42357497027204272</v>
      </c>
      <c r="AI1845" s="135">
        <f t="shared" si="39"/>
        <v>0.94054193288713195</v>
      </c>
    </row>
    <row r="1846" spans="1:35" ht="12.6">
      <c r="A1846" s="10" t="s">
        <v>865</v>
      </c>
      <c r="B1846" s="10">
        <v>20</v>
      </c>
      <c r="C1846" s="10" t="s">
        <v>1512</v>
      </c>
      <c r="D1846" s="388">
        <v>44946</v>
      </c>
      <c r="E1846" s="389">
        <v>44946</v>
      </c>
      <c r="F1846" s="390" t="str">
        <f t="shared" si="35"/>
        <v>Whitegoods</v>
      </c>
      <c r="G1846" s="135">
        <v>3.8479305232398599E-2</v>
      </c>
      <c r="H1846" s="135">
        <v>3.4109101835927302E-2</v>
      </c>
      <c r="I1846" s="135">
        <v>3.2716724379374097E-2</v>
      </c>
      <c r="J1846" s="135">
        <v>3.2755788519262002E-2</v>
      </c>
      <c r="K1846" s="135">
        <v>3.2529372836290302E-2</v>
      </c>
      <c r="L1846" s="135">
        <v>3.3121973643746597E-2</v>
      </c>
      <c r="M1846" s="135">
        <v>3.6222705350671597E-2</v>
      </c>
      <c r="N1846" s="135">
        <v>4.3115434307554101E-2</v>
      </c>
      <c r="O1846" s="135">
        <v>4.5395973778856902E-2</v>
      </c>
      <c r="P1846" s="135">
        <v>4.3368864167013903E-2</v>
      </c>
      <c r="Q1846" s="135">
        <v>4.1119590293710699E-2</v>
      </c>
      <c r="R1846" s="135">
        <v>3.8910998036731502E-2</v>
      </c>
      <c r="S1846" s="135">
        <v>3.8920598006107497E-2</v>
      </c>
      <c r="T1846" s="135">
        <v>3.79499174309013E-2</v>
      </c>
      <c r="U1846" s="135">
        <v>3.88709902713682E-2</v>
      </c>
      <c r="V1846" s="135">
        <v>3.8263637944057502E-2</v>
      </c>
      <c r="W1846" s="135">
        <v>3.7620463052809597E-2</v>
      </c>
      <c r="X1846" s="135">
        <v>3.8411028317790599E-2</v>
      </c>
      <c r="Y1846" s="135">
        <v>4.0478448495668597E-2</v>
      </c>
      <c r="Z1846" s="135">
        <v>4.1570550137197598E-2</v>
      </c>
      <c r="AA1846" s="135">
        <v>4.6435464451008102E-2</v>
      </c>
      <c r="AB1846" s="135">
        <v>4.47686182865107E-2</v>
      </c>
      <c r="AC1846" s="135">
        <v>4.29455512955692E-2</v>
      </c>
      <c r="AD1846" s="135">
        <v>4.2460832816605398E-2</v>
      </c>
      <c r="AF1846" s="243">
        <f t="shared" si="36"/>
        <v>0.27165619503568628</v>
      </c>
      <c r="AG1846" s="275">
        <f t="shared" si="37"/>
        <v>0.51696696261508923</v>
      </c>
      <c r="AH1846" s="391">
        <f t="shared" si="38"/>
        <v>0.42357497027204272</v>
      </c>
      <c r="AI1846" s="135">
        <f t="shared" si="39"/>
        <v>0.94054193288713195</v>
      </c>
    </row>
    <row r="1847" spans="1:35" ht="12.6">
      <c r="A1847" s="10" t="s">
        <v>865</v>
      </c>
      <c r="B1847" s="10">
        <v>21</v>
      </c>
      <c r="C1847" s="10" t="s">
        <v>1512</v>
      </c>
      <c r="D1847" s="388">
        <v>44947</v>
      </c>
      <c r="E1847" s="389">
        <v>44947</v>
      </c>
      <c r="F1847" s="390" t="str">
        <f t="shared" si="35"/>
        <v>Whitegoods</v>
      </c>
      <c r="G1847" s="135">
        <v>3.7889413047341003E-2</v>
      </c>
      <c r="H1847" s="135">
        <v>3.5059366920746501E-2</v>
      </c>
      <c r="I1847" s="135">
        <v>3.2931863982889498E-2</v>
      </c>
      <c r="J1847" s="135">
        <v>3.2800456879470898E-2</v>
      </c>
      <c r="K1847" s="135">
        <v>3.3091056003752201E-2</v>
      </c>
      <c r="L1847" s="135">
        <v>3.2529790038360498E-2</v>
      </c>
      <c r="M1847" s="135">
        <v>3.54826268753183E-2</v>
      </c>
      <c r="N1847" s="135">
        <v>3.7107458651134698E-2</v>
      </c>
      <c r="O1847" s="135">
        <v>4.5537381765117499E-2</v>
      </c>
      <c r="P1847" s="135">
        <v>5.5534078772594399E-2</v>
      </c>
      <c r="Q1847" s="135">
        <v>6.0194987509722298E-2</v>
      </c>
      <c r="R1847" s="135">
        <v>5.5596362438183798E-2</v>
      </c>
      <c r="S1847" s="135">
        <v>5.2733772108295503E-2</v>
      </c>
      <c r="T1847" s="135">
        <v>5.1057154865542097E-2</v>
      </c>
      <c r="U1847" s="135">
        <v>4.6325531279428102E-2</v>
      </c>
      <c r="V1847" s="135">
        <v>4.6030075708210397E-2</v>
      </c>
      <c r="W1847" s="135">
        <v>4.5149399628007097E-2</v>
      </c>
      <c r="X1847" s="135">
        <v>4.4229959554115399E-2</v>
      </c>
      <c r="Y1847" s="135">
        <v>4.45303989671939E-2</v>
      </c>
      <c r="Z1847" s="135">
        <v>4.4016348074234699E-2</v>
      </c>
      <c r="AA1847" s="135">
        <v>4.6479606756783698E-2</v>
      </c>
      <c r="AB1847" s="135">
        <v>4.7609625395948103E-2</v>
      </c>
      <c r="AC1847" s="135">
        <v>4.2891469502281003E-2</v>
      </c>
      <c r="AD1847" s="135">
        <v>4.1169725251619001E-2</v>
      </c>
      <c r="AF1847" s="243">
        <f t="shared" si="36"/>
        <v>0.35708728353738928</v>
      </c>
      <c r="AG1847" s="275">
        <f t="shared" si="37"/>
        <v>0.56514170209126213</v>
      </c>
      <c r="AH1847" s="391">
        <f t="shared" si="38"/>
        <v>0.48083620788502851</v>
      </c>
      <c r="AI1847" s="135">
        <f t="shared" si="39"/>
        <v>1.0459779099762907</v>
      </c>
    </row>
    <row r="1848" spans="1:35" ht="12.6">
      <c r="A1848" s="10" t="s">
        <v>865</v>
      </c>
      <c r="B1848" s="10">
        <v>22</v>
      </c>
      <c r="C1848" s="10" t="s">
        <v>1512</v>
      </c>
      <c r="D1848" s="388">
        <v>44948</v>
      </c>
      <c r="E1848" s="389">
        <v>44948</v>
      </c>
      <c r="F1848" s="390" t="str">
        <f t="shared" si="35"/>
        <v>Whitegoods</v>
      </c>
      <c r="G1848" s="135">
        <v>3.7889413047341003E-2</v>
      </c>
      <c r="H1848" s="135">
        <v>3.5059366920746501E-2</v>
      </c>
      <c r="I1848" s="135">
        <v>3.2931863982889498E-2</v>
      </c>
      <c r="J1848" s="135">
        <v>3.2800456879470898E-2</v>
      </c>
      <c r="K1848" s="135">
        <v>3.3091056003752201E-2</v>
      </c>
      <c r="L1848" s="135">
        <v>3.2529790038360498E-2</v>
      </c>
      <c r="M1848" s="135">
        <v>3.54826268753183E-2</v>
      </c>
      <c r="N1848" s="135">
        <v>3.7107458651134698E-2</v>
      </c>
      <c r="O1848" s="135">
        <v>4.5537381765117499E-2</v>
      </c>
      <c r="P1848" s="135">
        <v>5.5534078772594399E-2</v>
      </c>
      <c r="Q1848" s="135">
        <v>6.0194987509722298E-2</v>
      </c>
      <c r="R1848" s="135">
        <v>5.5596362438183798E-2</v>
      </c>
      <c r="S1848" s="135">
        <v>5.2733772108295503E-2</v>
      </c>
      <c r="T1848" s="135">
        <v>5.1057154865542097E-2</v>
      </c>
      <c r="U1848" s="135">
        <v>4.6325531279428102E-2</v>
      </c>
      <c r="V1848" s="135">
        <v>4.6030075708210397E-2</v>
      </c>
      <c r="W1848" s="135">
        <v>4.5149399628007097E-2</v>
      </c>
      <c r="X1848" s="135">
        <v>4.4229959554115399E-2</v>
      </c>
      <c r="Y1848" s="135">
        <v>4.45303989671939E-2</v>
      </c>
      <c r="Z1848" s="135">
        <v>4.4016348074234699E-2</v>
      </c>
      <c r="AA1848" s="135">
        <v>4.6479606756783698E-2</v>
      </c>
      <c r="AB1848" s="135">
        <v>4.7609625395948103E-2</v>
      </c>
      <c r="AC1848" s="135">
        <v>4.2891469502281003E-2</v>
      </c>
      <c r="AD1848" s="135">
        <v>4.1169725251619001E-2</v>
      </c>
      <c r="AF1848" s="243">
        <f t="shared" si="36"/>
        <v>0.35708728353738928</v>
      </c>
      <c r="AG1848" s="275">
        <f t="shared" si="37"/>
        <v>0.56514170209126213</v>
      </c>
      <c r="AH1848" s="391">
        <f t="shared" si="38"/>
        <v>0.48083620788502851</v>
      </c>
      <c r="AI1848" s="135">
        <f t="shared" si="39"/>
        <v>1.0459779099762907</v>
      </c>
    </row>
    <row r="1849" spans="1:35" ht="12.6">
      <c r="A1849" s="10" t="s">
        <v>865</v>
      </c>
      <c r="B1849" s="10">
        <v>23</v>
      </c>
      <c r="C1849" s="10" t="s">
        <v>1512</v>
      </c>
      <c r="D1849" s="388">
        <v>44949</v>
      </c>
      <c r="E1849" s="389">
        <v>44949</v>
      </c>
      <c r="F1849" s="390" t="str">
        <f t="shared" si="35"/>
        <v>Whitegoods</v>
      </c>
      <c r="G1849" s="135">
        <v>3.8479305232398599E-2</v>
      </c>
      <c r="H1849" s="135">
        <v>3.4109101835927302E-2</v>
      </c>
      <c r="I1849" s="135">
        <v>3.2716724379374097E-2</v>
      </c>
      <c r="J1849" s="135">
        <v>3.2755788519262002E-2</v>
      </c>
      <c r="K1849" s="135">
        <v>3.2529372836290302E-2</v>
      </c>
      <c r="L1849" s="135">
        <v>3.3121973643746597E-2</v>
      </c>
      <c r="M1849" s="135">
        <v>3.6222705350671597E-2</v>
      </c>
      <c r="N1849" s="135">
        <v>4.3115434307554101E-2</v>
      </c>
      <c r="O1849" s="135">
        <v>4.5395973778856902E-2</v>
      </c>
      <c r="P1849" s="135">
        <v>4.3368864167013903E-2</v>
      </c>
      <c r="Q1849" s="135">
        <v>4.1119590293710699E-2</v>
      </c>
      <c r="R1849" s="135">
        <v>3.8910998036731502E-2</v>
      </c>
      <c r="S1849" s="135">
        <v>3.8920598006107497E-2</v>
      </c>
      <c r="T1849" s="135">
        <v>3.79499174309013E-2</v>
      </c>
      <c r="U1849" s="135">
        <v>3.88709902713682E-2</v>
      </c>
      <c r="V1849" s="135">
        <v>3.8263637944057502E-2</v>
      </c>
      <c r="W1849" s="135">
        <v>3.7620463052809597E-2</v>
      </c>
      <c r="X1849" s="135">
        <v>3.8411028317790599E-2</v>
      </c>
      <c r="Y1849" s="135">
        <v>4.0478448495668597E-2</v>
      </c>
      <c r="Z1849" s="135">
        <v>4.1570550137197598E-2</v>
      </c>
      <c r="AA1849" s="135">
        <v>4.6435464451008102E-2</v>
      </c>
      <c r="AB1849" s="135">
        <v>4.47686182865107E-2</v>
      </c>
      <c r="AC1849" s="135">
        <v>4.29455512955692E-2</v>
      </c>
      <c r="AD1849" s="135">
        <v>4.2460832816605398E-2</v>
      </c>
      <c r="AF1849" s="243">
        <f t="shared" si="36"/>
        <v>0.27165619503568628</v>
      </c>
      <c r="AG1849" s="275">
        <f t="shared" si="37"/>
        <v>0.51696696261508923</v>
      </c>
      <c r="AH1849" s="391">
        <f t="shared" si="38"/>
        <v>0.42357497027204272</v>
      </c>
      <c r="AI1849" s="135">
        <f t="shared" si="39"/>
        <v>0.94054193288713195</v>
      </c>
    </row>
    <row r="1850" spans="1:35" ht="12.6">
      <c r="A1850" s="10" t="s">
        <v>865</v>
      </c>
      <c r="B1850" s="10">
        <v>24</v>
      </c>
      <c r="C1850" s="10" t="s">
        <v>1512</v>
      </c>
      <c r="D1850" s="388">
        <v>44950</v>
      </c>
      <c r="E1850" s="389">
        <v>44950</v>
      </c>
      <c r="F1850" s="390" t="str">
        <f t="shared" si="35"/>
        <v>Whitegoods</v>
      </c>
      <c r="G1850" s="135">
        <v>3.8479305232398599E-2</v>
      </c>
      <c r="H1850" s="135">
        <v>3.4109101835927302E-2</v>
      </c>
      <c r="I1850" s="135">
        <v>3.2716724379374097E-2</v>
      </c>
      <c r="J1850" s="135">
        <v>3.2755788519262002E-2</v>
      </c>
      <c r="K1850" s="135">
        <v>3.2529372836290302E-2</v>
      </c>
      <c r="L1850" s="135">
        <v>3.3121973643746597E-2</v>
      </c>
      <c r="M1850" s="135">
        <v>3.6222705350671597E-2</v>
      </c>
      <c r="N1850" s="135">
        <v>4.3115434307554101E-2</v>
      </c>
      <c r="O1850" s="135">
        <v>4.5395973778856902E-2</v>
      </c>
      <c r="P1850" s="135">
        <v>4.3368864167013903E-2</v>
      </c>
      <c r="Q1850" s="135">
        <v>4.1119590293710699E-2</v>
      </c>
      <c r="R1850" s="135">
        <v>3.8910998036731502E-2</v>
      </c>
      <c r="S1850" s="135">
        <v>3.8920598006107497E-2</v>
      </c>
      <c r="T1850" s="135">
        <v>3.79499174309013E-2</v>
      </c>
      <c r="U1850" s="135">
        <v>3.88709902713682E-2</v>
      </c>
      <c r="V1850" s="135">
        <v>3.8263637944057502E-2</v>
      </c>
      <c r="W1850" s="135">
        <v>3.7620463052809597E-2</v>
      </c>
      <c r="X1850" s="135">
        <v>3.8411028317790599E-2</v>
      </c>
      <c r="Y1850" s="135">
        <v>4.0478448495668597E-2</v>
      </c>
      <c r="Z1850" s="135">
        <v>4.1570550137197598E-2</v>
      </c>
      <c r="AA1850" s="135">
        <v>4.6435464451008102E-2</v>
      </c>
      <c r="AB1850" s="135">
        <v>4.47686182865107E-2</v>
      </c>
      <c r="AC1850" s="135">
        <v>4.29455512955692E-2</v>
      </c>
      <c r="AD1850" s="135">
        <v>4.2460832816605398E-2</v>
      </c>
      <c r="AF1850" s="243">
        <f t="shared" si="36"/>
        <v>0.27165619503568628</v>
      </c>
      <c r="AG1850" s="275">
        <f t="shared" si="37"/>
        <v>0.51696696261508923</v>
      </c>
      <c r="AH1850" s="391">
        <f t="shared" si="38"/>
        <v>0.42357497027204272</v>
      </c>
      <c r="AI1850" s="135">
        <f t="shared" si="39"/>
        <v>0.94054193288713195</v>
      </c>
    </row>
    <row r="1851" spans="1:35" ht="12.6">
      <c r="A1851" s="10" t="s">
        <v>865</v>
      </c>
      <c r="B1851" s="10">
        <v>25</v>
      </c>
      <c r="C1851" s="10" t="s">
        <v>1512</v>
      </c>
      <c r="D1851" s="388">
        <v>44951</v>
      </c>
      <c r="E1851" s="389">
        <v>44951</v>
      </c>
      <c r="F1851" s="390" t="str">
        <f t="shared" si="35"/>
        <v>Whitegoods</v>
      </c>
      <c r="G1851" s="135">
        <v>3.8479305232398599E-2</v>
      </c>
      <c r="H1851" s="135">
        <v>3.4109101835927302E-2</v>
      </c>
      <c r="I1851" s="135">
        <v>3.2716724379374097E-2</v>
      </c>
      <c r="J1851" s="135">
        <v>3.2755788519262002E-2</v>
      </c>
      <c r="K1851" s="135">
        <v>3.2529372836290302E-2</v>
      </c>
      <c r="L1851" s="135">
        <v>3.3121973643746597E-2</v>
      </c>
      <c r="M1851" s="135">
        <v>3.6222705350671597E-2</v>
      </c>
      <c r="N1851" s="135">
        <v>4.3115434307554101E-2</v>
      </c>
      <c r="O1851" s="135">
        <v>4.5395973778856902E-2</v>
      </c>
      <c r="P1851" s="135">
        <v>4.3368864167013903E-2</v>
      </c>
      <c r="Q1851" s="135">
        <v>4.1119590293710699E-2</v>
      </c>
      <c r="R1851" s="135">
        <v>3.8910998036731502E-2</v>
      </c>
      <c r="S1851" s="135">
        <v>3.8920598006107497E-2</v>
      </c>
      <c r="T1851" s="135">
        <v>3.79499174309013E-2</v>
      </c>
      <c r="U1851" s="135">
        <v>3.88709902713682E-2</v>
      </c>
      <c r="V1851" s="135">
        <v>3.8263637944057502E-2</v>
      </c>
      <c r="W1851" s="135">
        <v>3.7620463052809597E-2</v>
      </c>
      <c r="X1851" s="135">
        <v>3.8411028317790599E-2</v>
      </c>
      <c r="Y1851" s="135">
        <v>4.0478448495668597E-2</v>
      </c>
      <c r="Z1851" s="135">
        <v>4.1570550137197598E-2</v>
      </c>
      <c r="AA1851" s="135">
        <v>4.6435464451008102E-2</v>
      </c>
      <c r="AB1851" s="135">
        <v>4.47686182865107E-2</v>
      </c>
      <c r="AC1851" s="135">
        <v>4.29455512955692E-2</v>
      </c>
      <c r="AD1851" s="135">
        <v>4.2460832816605398E-2</v>
      </c>
      <c r="AF1851" s="243">
        <f t="shared" si="36"/>
        <v>0.27165619503568628</v>
      </c>
      <c r="AG1851" s="275">
        <f t="shared" si="37"/>
        <v>0.51696696261508923</v>
      </c>
      <c r="AH1851" s="391">
        <f t="shared" si="38"/>
        <v>0.42357497027204272</v>
      </c>
      <c r="AI1851" s="135">
        <f t="shared" si="39"/>
        <v>0.94054193288713195</v>
      </c>
    </row>
    <row r="1852" spans="1:35" ht="12.6">
      <c r="A1852" s="10" t="s">
        <v>865</v>
      </c>
      <c r="B1852" s="10">
        <v>26</v>
      </c>
      <c r="C1852" s="10" t="s">
        <v>1512</v>
      </c>
      <c r="D1852" s="388">
        <v>44952</v>
      </c>
      <c r="E1852" s="389">
        <v>44952</v>
      </c>
      <c r="F1852" s="390" t="str">
        <f t="shared" si="35"/>
        <v>Whitegoods</v>
      </c>
      <c r="G1852" s="135">
        <v>3.8479305232398599E-2</v>
      </c>
      <c r="H1852" s="135">
        <v>3.4109101835927302E-2</v>
      </c>
      <c r="I1852" s="135">
        <v>3.2716724379374097E-2</v>
      </c>
      <c r="J1852" s="135">
        <v>3.2755788519262002E-2</v>
      </c>
      <c r="K1852" s="135">
        <v>3.2529372836290302E-2</v>
      </c>
      <c r="L1852" s="135">
        <v>3.3121973643746597E-2</v>
      </c>
      <c r="M1852" s="135">
        <v>3.6222705350671597E-2</v>
      </c>
      <c r="N1852" s="135">
        <v>4.3115434307554101E-2</v>
      </c>
      <c r="O1852" s="135">
        <v>4.5395973778856902E-2</v>
      </c>
      <c r="P1852" s="135">
        <v>4.3368864167013903E-2</v>
      </c>
      <c r="Q1852" s="135">
        <v>4.1119590293710699E-2</v>
      </c>
      <c r="R1852" s="135">
        <v>3.8910998036731502E-2</v>
      </c>
      <c r="S1852" s="135">
        <v>3.8920598006107497E-2</v>
      </c>
      <c r="T1852" s="135">
        <v>3.79499174309013E-2</v>
      </c>
      <c r="U1852" s="135">
        <v>3.88709902713682E-2</v>
      </c>
      <c r="V1852" s="135">
        <v>3.8263637944057502E-2</v>
      </c>
      <c r="W1852" s="135">
        <v>3.7620463052809597E-2</v>
      </c>
      <c r="X1852" s="135">
        <v>3.8411028317790599E-2</v>
      </c>
      <c r="Y1852" s="135">
        <v>4.0478448495668597E-2</v>
      </c>
      <c r="Z1852" s="135">
        <v>4.1570550137197598E-2</v>
      </c>
      <c r="AA1852" s="135">
        <v>4.6435464451008102E-2</v>
      </c>
      <c r="AB1852" s="135">
        <v>4.47686182865107E-2</v>
      </c>
      <c r="AC1852" s="135">
        <v>4.29455512955692E-2</v>
      </c>
      <c r="AD1852" s="135">
        <v>4.2460832816605398E-2</v>
      </c>
      <c r="AF1852" s="243">
        <f t="shared" si="36"/>
        <v>0.27165619503568628</v>
      </c>
      <c r="AG1852" s="275">
        <f t="shared" si="37"/>
        <v>0.51696696261508923</v>
      </c>
      <c r="AH1852" s="391">
        <f t="shared" si="38"/>
        <v>0.42357497027204272</v>
      </c>
      <c r="AI1852" s="135">
        <f t="shared" si="39"/>
        <v>0.94054193288713195</v>
      </c>
    </row>
    <row r="1853" spans="1:35" ht="12.6">
      <c r="A1853" s="10" t="s">
        <v>865</v>
      </c>
      <c r="B1853" s="10">
        <v>27</v>
      </c>
      <c r="C1853" s="10" t="s">
        <v>1512</v>
      </c>
      <c r="D1853" s="388">
        <v>44953</v>
      </c>
      <c r="E1853" s="389">
        <v>44953</v>
      </c>
      <c r="F1853" s="390" t="str">
        <f t="shared" si="35"/>
        <v>Whitegoods</v>
      </c>
      <c r="G1853" s="135">
        <v>3.8479305232398599E-2</v>
      </c>
      <c r="H1853" s="135">
        <v>3.4109101835927302E-2</v>
      </c>
      <c r="I1853" s="135">
        <v>3.2716724379374097E-2</v>
      </c>
      <c r="J1853" s="135">
        <v>3.2755788519262002E-2</v>
      </c>
      <c r="K1853" s="135">
        <v>3.2529372836290302E-2</v>
      </c>
      <c r="L1853" s="135">
        <v>3.3121973643746597E-2</v>
      </c>
      <c r="M1853" s="135">
        <v>3.6222705350671597E-2</v>
      </c>
      <c r="N1853" s="135">
        <v>4.3115434307554101E-2</v>
      </c>
      <c r="O1853" s="135">
        <v>4.5395973778856902E-2</v>
      </c>
      <c r="P1853" s="135">
        <v>4.3368864167013903E-2</v>
      </c>
      <c r="Q1853" s="135">
        <v>4.1119590293710699E-2</v>
      </c>
      <c r="R1853" s="135">
        <v>3.8910998036731502E-2</v>
      </c>
      <c r="S1853" s="135">
        <v>3.8920598006107497E-2</v>
      </c>
      <c r="T1853" s="135">
        <v>3.79499174309013E-2</v>
      </c>
      <c r="U1853" s="135">
        <v>3.88709902713682E-2</v>
      </c>
      <c r="V1853" s="135">
        <v>3.8263637944057502E-2</v>
      </c>
      <c r="W1853" s="135">
        <v>3.7620463052809597E-2</v>
      </c>
      <c r="X1853" s="135">
        <v>3.8411028317790599E-2</v>
      </c>
      <c r="Y1853" s="135">
        <v>4.0478448495668597E-2</v>
      </c>
      <c r="Z1853" s="135">
        <v>4.1570550137197598E-2</v>
      </c>
      <c r="AA1853" s="135">
        <v>4.6435464451008102E-2</v>
      </c>
      <c r="AB1853" s="135">
        <v>4.47686182865107E-2</v>
      </c>
      <c r="AC1853" s="135">
        <v>4.29455512955692E-2</v>
      </c>
      <c r="AD1853" s="135">
        <v>4.2460832816605398E-2</v>
      </c>
      <c r="AF1853" s="243">
        <f t="shared" si="36"/>
        <v>0.27165619503568628</v>
      </c>
      <c r="AG1853" s="275">
        <f t="shared" si="37"/>
        <v>0.51696696261508923</v>
      </c>
      <c r="AH1853" s="391">
        <f t="shared" si="38"/>
        <v>0.42357497027204272</v>
      </c>
      <c r="AI1853" s="135">
        <f t="shared" si="39"/>
        <v>0.94054193288713195</v>
      </c>
    </row>
    <row r="1854" spans="1:35" ht="12.6">
      <c r="A1854" s="10" t="s">
        <v>865</v>
      </c>
      <c r="B1854" s="10">
        <v>28</v>
      </c>
      <c r="C1854" s="10" t="s">
        <v>1512</v>
      </c>
      <c r="D1854" s="388">
        <v>44954</v>
      </c>
      <c r="E1854" s="389">
        <v>44954</v>
      </c>
      <c r="F1854" s="390" t="str">
        <f t="shared" si="35"/>
        <v>Whitegoods</v>
      </c>
      <c r="G1854" s="135">
        <v>3.7889413047341003E-2</v>
      </c>
      <c r="H1854" s="135">
        <v>3.5059366920746501E-2</v>
      </c>
      <c r="I1854" s="135">
        <v>3.2931863982889498E-2</v>
      </c>
      <c r="J1854" s="135">
        <v>3.2800456879470898E-2</v>
      </c>
      <c r="K1854" s="135">
        <v>3.3091056003752201E-2</v>
      </c>
      <c r="L1854" s="135">
        <v>3.2529790038360498E-2</v>
      </c>
      <c r="M1854" s="135">
        <v>3.54826268753183E-2</v>
      </c>
      <c r="N1854" s="135">
        <v>3.7107458651134698E-2</v>
      </c>
      <c r="O1854" s="135">
        <v>4.5537381765117499E-2</v>
      </c>
      <c r="P1854" s="135">
        <v>5.5534078772594399E-2</v>
      </c>
      <c r="Q1854" s="135">
        <v>6.0194987509722298E-2</v>
      </c>
      <c r="R1854" s="135">
        <v>5.5596362438183798E-2</v>
      </c>
      <c r="S1854" s="135">
        <v>5.2733772108295503E-2</v>
      </c>
      <c r="T1854" s="135">
        <v>5.1057154865542097E-2</v>
      </c>
      <c r="U1854" s="135">
        <v>4.6325531279428102E-2</v>
      </c>
      <c r="V1854" s="135">
        <v>4.6030075708210397E-2</v>
      </c>
      <c r="W1854" s="135">
        <v>4.5149399628007097E-2</v>
      </c>
      <c r="X1854" s="135">
        <v>4.4229959554115399E-2</v>
      </c>
      <c r="Y1854" s="135">
        <v>4.45303989671939E-2</v>
      </c>
      <c r="Z1854" s="135">
        <v>4.4016348074234699E-2</v>
      </c>
      <c r="AA1854" s="135">
        <v>4.6479606756783698E-2</v>
      </c>
      <c r="AB1854" s="135">
        <v>4.7609625395948103E-2</v>
      </c>
      <c r="AC1854" s="135">
        <v>4.2891469502281003E-2</v>
      </c>
      <c r="AD1854" s="135">
        <v>4.1169725251619001E-2</v>
      </c>
      <c r="AF1854" s="243">
        <f t="shared" si="36"/>
        <v>0.35708728353738928</v>
      </c>
      <c r="AG1854" s="275">
        <f t="shared" si="37"/>
        <v>0.56514170209126213</v>
      </c>
      <c r="AH1854" s="391">
        <f t="shared" si="38"/>
        <v>0.48083620788502851</v>
      </c>
      <c r="AI1854" s="135">
        <f t="shared" si="39"/>
        <v>1.0459779099762907</v>
      </c>
    </row>
    <row r="1855" spans="1:35" ht="12.6">
      <c r="A1855" s="10" t="s">
        <v>865</v>
      </c>
      <c r="B1855" s="10">
        <v>29</v>
      </c>
      <c r="C1855" s="10" t="s">
        <v>1512</v>
      </c>
      <c r="D1855" s="388">
        <v>44955</v>
      </c>
      <c r="E1855" s="389">
        <v>44955</v>
      </c>
      <c r="F1855" s="390" t="str">
        <f t="shared" si="35"/>
        <v>Whitegoods</v>
      </c>
      <c r="G1855" s="135">
        <v>3.7889413047341003E-2</v>
      </c>
      <c r="H1855" s="135">
        <v>3.5059366920746501E-2</v>
      </c>
      <c r="I1855" s="135">
        <v>3.2931863982889498E-2</v>
      </c>
      <c r="J1855" s="135">
        <v>3.2800456879470898E-2</v>
      </c>
      <c r="K1855" s="135">
        <v>3.3091056003752201E-2</v>
      </c>
      <c r="L1855" s="135">
        <v>3.2529790038360498E-2</v>
      </c>
      <c r="M1855" s="135">
        <v>3.54826268753183E-2</v>
      </c>
      <c r="N1855" s="135">
        <v>3.7107458651134698E-2</v>
      </c>
      <c r="O1855" s="135">
        <v>4.5537381765117499E-2</v>
      </c>
      <c r="P1855" s="135">
        <v>5.5534078772594399E-2</v>
      </c>
      <c r="Q1855" s="135">
        <v>6.0194987509722298E-2</v>
      </c>
      <c r="R1855" s="135">
        <v>5.5596362438183798E-2</v>
      </c>
      <c r="S1855" s="135">
        <v>5.2733772108295503E-2</v>
      </c>
      <c r="T1855" s="135">
        <v>5.1057154865542097E-2</v>
      </c>
      <c r="U1855" s="135">
        <v>4.6325531279428102E-2</v>
      </c>
      <c r="V1855" s="135">
        <v>4.6030075708210397E-2</v>
      </c>
      <c r="W1855" s="135">
        <v>4.5149399628007097E-2</v>
      </c>
      <c r="X1855" s="135">
        <v>4.4229959554115399E-2</v>
      </c>
      <c r="Y1855" s="135">
        <v>4.45303989671939E-2</v>
      </c>
      <c r="Z1855" s="135">
        <v>4.4016348074234699E-2</v>
      </c>
      <c r="AA1855" s="135">
        <v>4.6479606756783698E-2</v>
      </c>
      <c r="AB1855" s="135">
        <v>4.7609625395948103E-2</v>
      </c>
      <c r="AC1855" s="135">
        <v>4.2891469502281003E-2</v>
      </c>
      <c r="AD1855" s="135">
        <v>4.1169725251619001E-2</v>
      </c>
      <c r="AF1855" s="243">
        <f t="shared" si="36"/>
        <v>0.35708728353738928</v>
      </c>
      <c r="AG1855" s="275">
        <f t="shared" si="37"/>
        <v>0.56514170209126213</v>
      </c>
      <c r="AH1855" s="391">
        <f t="shared" si="38"/>
        <v>0.48083620788502851</v>
      </c>
      <c r="AI1855" s="135">
        <f t="shared" si="39"/>
        <v>1.0459779099762907</v>
      </c>
    </row>
    <row r="1856" spans="1:35" ht="12.6">
      <c r="A1856" s="10" t="s">
        <v>865</v>
      </c>
      <c r="B1856" s="10">
        <v>30</v>
      </c>
      <c r="C1856" s="10" t="s">
        <v>1512</v>
      </c>
      <c r="D1856" s="388">
        <v>44956</v>
      </c>
      <c r="E1856" s="389">
        <v>44956</v>
      </c>
      <c r="F1856" s="390" t="str">
        <f t="shared" si="35"/>
        <v>Whitegoods</v>
      </c>
      <c r="G1856" s="135">
        <v>3.8479305232398599E-2</v>
      </c>
      <c r="H1856" s="135">
        <v>3.4109101835927302E-2</v>
      </c>
      <c r="I1856" s="135">
        <v>3.2716724379374097E-2</v>
      </c>
      <c r="J1856" s="135">
        <v>3.2755788519262002E-2</v>
      </c>
      <c r="K1856" s="135">
        <v>3.2529372836290302E-2</v>
      </c>
      <c r="L1856" s="135">
        <v>3.3121973643746597E-2</v>
      </c>
      <c r="M1856" s="135">
        <v>3.6222705350671597E-2</v>
      </c>
      <c r="N1856" s="135">
        <v>4.3115434307554101E-2</v>
      </c>
      <c r="O1856" s="135">
        <v>4.5395973778856902E-2</v>
      </c>
      <c r="P1856" s="135">
        <v>4.3368864167013903E-2</v>
      </c>
      <c r="Q1856" s="135">
        <v>4.1119590293710699E-2</v>
      </c>
      <c r="R1856" s="135">
        <v>3.8910998036731502E-2</v>
      </c>
      <c r="S1856" s="135">
        <v>3.8920598006107497E-2</v>
      </c>
      <c r="T1856" s="135">
        <v>3.79499174309013E-2</v>
      </c>
      <c r="U1856" s="135">
        <v>3.88709902713682E-2</v>
      </c>
      <c r="V1856" s="135">
        <v>3.8263637944057502E-2</v>
      </c>
      <c r="W1856" s="135">
        <v>3.7620463052809597E-2</v>
      </c>
      <c r="X1856" s="135">
        <v>3.8411028317790599E-2</v>
      </c>
      <c r="Y1856" s="135">
        <v>4.0478448495668597E-2</v>
      </c>
      <c r="Z1856" s="135">
        <v>4.1570550137197598E-2</v>
      </c>
      <c r="AA1856" s="135">
        <v>4.6435464451008102E-2</v>
      </c>
      <c r="AB1856" s="135">
        <v>4.47686182865107E-2</v>
      </c>
      <c r="AC1856" s="135">
        <v>4.29455512955692E-2</v>
      </c>
      <c r="AD1856" s="135">
        <v>4.2460832816605398E-2</v>
      </c>
      <c r="AF1856" s="243">
        <f t="shared" si="36"/>
        <v>0.27165619503568628</v>
      </c>
      <c r="AG1856" s="275">
        <f t="shared" si="37"/>
        <v>0.51696696261508923</v>
      </c>
      <c r="AH1856" s="391">
        <f t="shared" si="38"/>
        <v>0.42357497027204272</v>
      </c>
      <c r="AI1856" s="135">
        <f t="shared" si="39"/>
        <v>0.94054193288713195</v>
      </c>
    </row>
    <row r="1857" spans="1:35" ht="12.6">
      <c r="A1857" s="10" t="s">
        <v>865</v>
      </c>
      <c r="B1857" s="10">
        <v>31</v>
      </c>
      <c r="C1857" s="10" t="s">
        <v>1512</v>
      </c>
      <c r="D1857" s="388">
        <v>44957</v>
      </c>
      <c r="E1857" s="389">
        <v>44957</v>
      </c>
      <c r="F1857" s="390" t="str">
        <f t="shared" si="35"/>
        <v>Whitegoods</v>
      </c>
      <c r="G1857" s="135">
        <v>3.8479305232398599E-2</v>
      </c>
      <c r="H1857" s="135">
        <v>3.4109101835927302E-2</v>
      </c>
      <c r="I1857" s="135">
        <v>3.2716724379374097E-2</v>
      </c>
      <c r="J1857" s="135">
        <v>3.2755788519262002E-2</v>
      </c>
      <c r="K1857" s="135">
        <v>3.2529372836290302E-2</v>
      </c>
      <c r="L1857" s="135">
        <v>3.3121973643746597E-2</v>
      </c>
      <c r="M1857" s="135">
        <v>3.6222705350671597E-2</v>
      </c>
      <c r="N1857" s="135">
        <v>4.3115434307554101E-2</v>
      </c>
      <c r="O1857" s="135">
        <v>4.5395973778856902E-2</v>
      </c>
      <c r="P1857" s="135">
        <v>4.3368864167013903E-2</v>
      </c>
      <c r="Q1857" s="135">
        <v>4.1119590293710699E-2</v>
      </c>
      <c r="R1857" s="135">
        <v>3.8910998036731502E-2</v>
      </c>
      <c r="S1857" s="135">
        <v>3.8920598006107497E-2</v>
      </c>
      <c r="T1857" s="135">
        <v>3.79499174309013E-2</v>
      </c>
      <c r="U1857" s="135">
        <v>3.88709902713682E-2</v>
      </c>
      <c r="V1857" s="135">
        <v>3.8263637944057502E-2</v>
      </c>
      <c r="W1857" s="135">
        <v>3.7620463052809597E-2</v>
      </c>
      <c r="X1857" s="135">
        <v>3.8411028317790599E-2</v>
      </c>
      <c r="Y1857" s="135">
        <v>4.0478448495668597E-2</v>
      </c>
      <c r="Z1857" s="135">
        <v>4.1570550137197598E-2</v>
      </c>
      <c r="AA1857" s="135">
        <v>4.6435464451008102E-2</v>
      </c>
      <c r="AB1857" s="135">
        <v>4.47686182865107E-2</v>
      </c>
      <c r="AC1857" s="135">
        <v>4.29455512955692E-2</v>
      </c>
      <c r="AD1857" s="135">
        <v>4.2460832816605398E-2</v>
      </c>
      <c r="AF1857" s="243">
        <f t="shared" si="36"/>
        <v>0.27165619503568628</v>
      </c>
      <c r="AG1857" s="275">
        <f t="shared" si="37"/>
        <v>0.51696696261508923</v>
      </c>
      <c r="AH1857" s="391">
        <f t="shared" si="38"/>
        <v>0.42357497027204272</v>
      </c>
      <c r="AI1857" s="135">
        <f t="shared" si="39"/>
        <v>0.94054193288713195</v>
      </c>
    </row>
    <row r="1858" spans="1:35" ht="12.6">
      <c r="A1858" s="10" t="s">
        <v>865</v>
      </c>
      <c r="B1858" s="10">
        <v>32</v>
      </c>
      <c r="C1858" s="10" t="s">
        <v>1512</v>
      </c>
      <c r="D1858" s="388">
        <v>44958</v>
      </c>
      <c r="E1858" s="389">
        <v>44958</v>
      </c>
      <c r="F1858" s="390" t="str">
        <f t="shared" si="35"/>
        <v>Whitegoods</v>
      </c>
      <c r="G1858" s="135">
        <v>3.8479305232398599E-2</v>
      </c>
      <c r="H1858" s="135">
        <v>3.4109101835927302E-2</v>
      </c>
      <c r="I1858" s="135">
        <v>3.2716724379374097E-2</v>
      </c>
      <c r="J1858" s="135">
        <v>3.2755788519262002E-2</v>
      </c>
      <c r="K1858" s="135">
        <v>3.2529372836290302E-2</v>
      </c>
      <c r="L1858" s="135">
        <v>3.3121973643746597E-2</v>
      </c>
      <c r="M1858" s="135">
        <v>3.6222705350671597E-2</v>
      </c>
      <c r="N1858" s="135">
        <v>4.3115434307554101E-2</v>
      </c>
      <c r="O1858" s="135">
        <v>4.5395973778856902E-2</v>
      </c>
      <c r="P1858" s="135">
        <v>4.3368864167013903E-2</v>
      </c>
      <c r="Q1858" s="135">
        <v>4.1119590293710699E-2</v>
      </c>
      <c r="R1858" s="135">
        <v>3.8910998036731502E-2</v>
      </c>
      <c r="S1858" s="135">
        <v>3.8920598006107497E-2</v>
      </c>
      <c r="T1858" s="135">
        <v>3.79499174309013E-2</v>
      </c>
      <c r="U1858" s="135">
        <v>3.88709902713682E-2</v>
      </c>
      <c r="V1858" s="135">
        <v>3.8263637944057502E-2</v>
      </c>
      <c r="W1858" s="135">
        <v>3.7620463052809597E-2</v>
      </c>
      <c r="X1858" s="135">
        <v>3.8411028317790599E-2</v>
      </c>
      <c r="Y1858" s="135">
        <v>4.0478448495668597E-2</v>
      </c>
      <c r="Z1858" s="135">
        <v>4.1570550137197598E-2</v>
      </c>
      <c r="AA1858" s="135">
        <v>4.6435464451008102E-2</v>
      </c>
      <c r="AB1858" s="135">
        <v>4.47686182865107E-2</v>
      </c>
      <c r="AC1858" s="135">
        <v>4.29455512955692E-2</v>
      </c>
      <c r="AD1858" s="135">
        <v>4.2460832816605398E-2</v>
      </c>
      <c r="AF1858" s="243">
        <f t="shared" si="36"/>
        <v>0.27165619503568628</v>
      </c>
      <c r="AG1858" s="275">
        <f t="shared" si="37"/>
        <v>0.51696696261508923</v>
      </c>
      <c r="AH1858" s="391">
        <f t="shared" si="38"/>
        <v>0.42357497027204272</v>
      </c>
      <c r="AI1858" s="135">
        <f t="shared" si="39"/>
        <v>0.94054193288713195</v>
      </c>
    </row>
    <row r="1859" spans="1:35" ht="12.6">
      <c r="A1859" s="10" t="s">
        <v>865</v>
      </c>
      <c r="B1859" s="10">
        <v>33</v>
      </c>
      <c r="C1859" s="10" t="s">
        <v>1512</v>
      </c>
      <c r="D1859" s="388">
        <v>44959</v>
      </c>
      <c r="E1859" s="389">
        <v>44959</v>
      </c>
      <c r="F1859" s="390" t="str">
        <f t="shared" si="35"/>
        <v>Whitegoods</v>
      </c>
      <c r="G1859" s="135">
        <v>3.8479305232398599E-2</v>
      </c>
      <c r="H1859" s="135">
        <v>3.4109101835927302E-2</v>
      </c>
      <c r="I1859" s="135">
        <v>3.2716724379374097E-2</v>
      </c>
      <c r="J1859" s="135">
        <v>3.2755788519262002E-2</v>
      </c>
      <c r="K1859" s="135">
        <v>3.2529372836290302E-2</v>
      </c>
      <c r="L1859" s="135">
        <v>3.3121973643746597E-2</v>
      </c>
      <c r="M1859" s="135">
        <v>3.6222705350671597E-2</v>
      </c>
      <c r="N1859" s="135">
        <v>4.3115434307554101E-2</v>
      </c>
      <c r="O1859" s="135">
        <v>4.5395973778856902E-2</v>
      </c>
      <c r="P1859" s="135">
        <v>4.3368864167013903E-2</v>
      </c>
      <c r="Q1859" s="135">
        <v>4.1119590293710699E-2</v>
      </c>
      <c r="R1859" s="135">
        <v>3.8910998036731502E-2</v>
      </c>
      <c r="S1859" s="135">
        <v>3.8920598006107497E-2</v>
      </c>
      <c r="T1859" s="135">
        <v>3.79499174309013E-2</v>
      </c>
      <c r="U1859" s="135">
        <v>3.88709902713682E-2</v>
      </c>
      <c r="V1859" s="135">
        <v>3.8263637944057502E-2</v>
      </c>
      <c r="W1859" s="135">
        <v>3.7620463052809597E-2</v>
      </c>
      <c r="X1859" s="135">
        <v>3.8411028317790599E-2</v>
      </c>
      <c r="Y1859" s="135">
        <v>4.0478448495668597E-2</v>
      </c>
      <c r="Z1859" s="135">
        <v>4.1570550137197598E-2</v>
      </c>
      <c r="AA1859" s="135">
        <v>4.6435464451008102E-2</v>
      </c>
      <c r="AB1859" s="135">
        <v>4.47686182865107E-2</v>
      </c>
      <c r="AC1859" s="135">
        <v>4.29455512955692E-2</v>
      </c>
      <c r="AD1859" s="135">
        <v>4.2460832816605398E-2</v>
      </c>
      <c r="AF1859" s="243">
        <f t="shared" si="36"/>
        <v>0.27165619503568628</v>
      </c>
      <c r="AG1859" s="275">
        <f t="shared" si="37"/>
        <v>0.51696696261508923</v>
      </c>
      <c r="AH1859" s="391">
        <f t="shared" si="38"/>
        <v>0.42357497027204272</v>
      </c>
      <c r="AI1859" s="135">
        <f t="shared" si="39"/>
        <v>0.94054193288713195</v>
      </c>
    </row>
    <row r="1860" spans="1:35" ht="12.6">
      <c r="A1860" s="10" t="s">
        <v>865</v>
      </c>
      <c r="B1860" s="10">
        <v>34</v>
      </c>
      <c r="C1860" s="10" t="s">
        <v>1512</v>
      </c>
      <c r="D1860" s="388">
        <v>44960</v>
      </c>
      <c r="E1860" s="389">
        <v>44960</v>
      </c>
      <c r="F1860" s="390" t="str">
        <f t="shared" si="35"/>
        <v>Whitegoods</v>
      </c>
      <c r="G1860" s="135">
        <v>3.8479305232398599E-2</v>
      </c>
      <c r="H1860" s="135">
        <v>3.4109101835927302E-2</v>
      </c>
      <c r="I1860" s="135">
        <v>3.2716724379374097E-2</v>
      </c>
      <c r="J1860" s="135">
        <v>3.2755788519262002E-2</v>
      </c>
      <c r="K1860" s="135">
        <v>3.2529372836290302E-2</v>
      </c>
      <c r="L1860" s="135">
        <v>3.3121973643746597E-2</v>
      </c>
      <c r="M1860" s="135">
        <v>3.6222705350671597E-2</v>
      </c>
      <c r="N1860" s="135">
        <v>4.3115434307554101E-2</v>
      </c>
      <c r="O1860" s="135">
        <v>4.5395973778856902E-2</v>
      </c>
      <c r="P1860" s="135">
        <v>4.3368864167013903E-2</v>
      </c>
      <c r="Q1860" s="135">
        <v>4.1119590293710699E-2</v>
      </c>
      <c r="R1860" s="135">
        <v>3.8910998036731502E-2</v>
      </c>
      <c r="S1860" s="135">
        <v>3.8920598006107497E-2</v>
      </c>
      <c r="T1860" s="135">
        <v>3.79499174309013E-2</v>
      </c>
      <c r="U1860" s="135">
        <v>3.88709902713682E-2</v>
      </c>
      <c r="V1860" s="135">
        <v>3.8263637944057502E-2</v>
      </c>
      <c r="W1860" s="135">
        <v>3.7620463052809597E-2</v>
      </c>
      <c r="X1860" s="135">
        <v>3.8411028317790599E-2</v>
      </c>
      <c r="Y1860" s="135">
        <v>4.0478448495668597E-2</v>
      </c>
      <c r="Z1860" s="135">
        <v>4.1570550137197598E-2</v>
      </c>
      <c r="AA1860" s="135">
        <v>4.6435464451008102E-2</v>
      </c>
      <c r="AB1860" s="135">
        <v>4.47686182865107E-2</v>
      </c>
      <c r="AC1860" s="135">
        <v>4.29455512955692E-2</v>
      </c>
      <c r="AD1860" s="135">
        <v>4.2460832816605398E-2</v>
      </c>
      <c r="AF1860" s="243">
        <f t="shared" si="36"/>
        <v>0.27165619503568628</v>
      </c>
      <c r="AG1860" s="275">
        <f t="shared" si="37"/>
        <v>0.51696696261508923</v>
      </c>
      <c r="AH1860" s="391">
        <f t="shared" si="38"/>
        <v>0.42357497027204272</v>
      </c>
      <c r="AI1860" s="135">
        <f t="shared" si="39"/>
        <v>0.94054193288713195</v>
      </c>
    </row>
    <row r="1861" spans="1:35" ht="12.6">
      <c r="A1861" s="10" t="s">
        <v>865</v>
      </c>
      <c r="B1861" s="10">
        <v>35</v>
      </c>
      <c r="C1861" s="10" t="s">
        <v>1512</v>
      </c>
      <c r="D1861" s="388">
        <v>44961</v>
      </c>
      <c r="E1861" s="389">
        <v>44961</v>
      </c>
      <c r="F1861" s="390" t="str">
        <f t="shared" si="35"/>
        <v>Whitegoods</v>
      </c>
      <c r="G1861" s="135">
        <v>3.7889413047341003E-2</v>
      </c>
      <c r="H1861" s="135">
        <v>3.5059366920746501E-2</v>
      </c>
      <c r="I1861" s="135">
        <v>3.2931863982889498E-2</v>
      </c>
      <c r="J1861" s="135">
        <v>3.2800456879470898E-2</v>
      </c>
      <c r="K1861" s="135">
        <v>3.3091056003752201E-2</v>
      </c>
      <c r="L1861" s="135">
        <v>3.2529790038360498E-2</v>
      </c>
      <c r="M1861" s="135">
        <v>3.54826268753183E-2</v>
      </c>
      <c r="N1861" s="135">
        <v>3.7107458651134698E-2</v>
      </c>
      <c r="O1861" s="135">
        <v>4.5537381765117499E-2</v>
      </c>
      <c r="P1861" s="135">
        <v>5.5534078772594399E-2</v>
      </c>
      <c r="Q1861" s="135">
        <v>6.0194987509722298E-2</v>
      </c>
      <c r="R1861" s="135">
        <v>5.5596362438183798E-2</v>
      </c>
      <c r="S1861" s="135">
        <v>5.2733772108295503E-2</v>
      </c>
      <c r="T1861" s="135">
        <v>5.1057154865542097E-2</v>
      </c>
      <c r="U1861" s="135">
        <v>4.6325531279428102E-2</v>
      </c>
      <c r="V1861" s="135">
        <v>4.6030075708210397E-2</v>
      </c>
      <c r="W1861" s="135">
        <v>4.5149399628007097E-2</v>
      </c>
      <c r="X1861" s="135">
        <v>4.4229959554115399E-2</v>
      </c>
      <c r="Y1861" s="135">
        <v>4.45303989671939E-2</v>
      </c>
      <c r="Z1861" s="135">
        <v>4.4016348074234699E-2</v>
      </c>
      <c r="AA1861" s="135">
        <v>4.6479606756783698E-2</v>
      </c>
      <c r="AB1861" s="135">
        <v>4.7609625395948103E-2</v>
      </c>
      <c r="AC1861" s="135">
        <v>4.2891469502281003E-2</v>
      </c>
      <c r="AD1861" s="135">
        <v>4.1169725251619001E-2</v>
      </c>
      <c r="AF1861" s="243">
        <f t="shared" si="36"/>
        <v>0.35708728353738928</v>
      </c>
      <c r="AG1861" s="275">
        <f t="shared" si="37"/>
        <v>0.56514170209126213</v>
      </c>
      <c r="AH1861" s="391">
        <f t="shared" si="38"/>
        <v>0.48083620788502851</v>
      </c>
      <c r="AI1861" s="135">
        <f t="shared" si="39"/>
        <v>1.0459779099762907</v>
      </c>
    </row>
    <row r="1862" spans="1:35" ht="12.6">
      <c r="A1862" s="10" t="s">
        <v>865</v>
      </c>
      <c r="B1862" s="10">
        <v>36</v>
      </c>
      <c r="C1862" s="10" t="s">
        <v>1512</v>
      </c>
      <c r="D1862" s="388">
        <v>44962</v>
      </c>
      <c r="E1862" s="389">
        <v>44962</v>
      </c>
      <c r="F1862" s="390" t="str">
        <f t="shared" si="35"/>
        <v>Whitegoods</v>
      </c>
      <c r="G1862" s="135">
        <v>3.7889413047341003E-2</v>
      </c>
      <c r="H1862" s="135">
        <v>3.5059366920746501E-2</v>
      </c>
      <c r="I1862" s="135">
        <v>3.2931863982889498E-2</v>
      </c>
      <c r="J1862" s="135">
        <v>3.2800456879470898E-2</v>
      </c>
      <c r="K1862" s="135">
        <v>3.3091056003752201E-2</v>
      </c>
      <c r="L1862" s="135">
        <v>3.2529790038360498E-2</v>
      </c>
      <c r="M1862" s="135">
        <v>3.54826268753183E-2</v>
      </c>
      <c r="N1862" s="135">
        <v>3.7107458651134698E-2</v>
      </c>
      <c r="O1862" s="135">
        <v>4.5537381765117499E-2</v>
      </c>
      <c r="P1862" s="135">
        <v>5.5534078772594399E-2</v>
      </c>
      <c r="Q1862" s="135">
        <v>6.0194987509722298E-2</v>
      </c>
      <c r="R1862" s="135">
        <v>5.5596362438183798E-2</v>
      </c>
      <c r="S1862" s="135">
        <v>5.2733772108295503E-2</v>
      </c>
      <c r="T1862" s="135">
        <v>5.1057154865542097E-2</v>
      </c>
      <c r="U1862" s="135">
        <v>4.6325531279428102E-2</v>
      </c>
      <c r="V1862" s="135">
        <v>4.6030075708210397E-2</v>
      </c>
      <c r="W1862" s="135">
        <v>4.5149399628007097E-2</v>
      </c>
      <c r="X1862" s="135">
        <v>4.4229959554115399E-2</v>
      </c>
      <c r="Y1862" s="135">
        <v>4.45303989671939E-2</v>
      </c>
      <c r="Z1862" s="135">
        <v>4.4016348074234699E-2</v>
      </c>
      <c r="AA1862" s="135">
        <v>4.6479606756783698E-2</v>
      </c>
      <c r="AB1862" s="135">
        <v>4.7609625395948103E-2</v>
      </c>
      <c r="AC1862" s="135">
        <v>4.2891469502281003E-2</v>
      </c>
      <c r="AD1862" s="135">
        <v>4.1169725251619001E-2</v>
      </c>
      <c r="AF1862" s="243">
        <f t="shared" si="36"/>
        <v>0.35708728353738928</v>
      </c>
      <c r="AG1862" s="275">
        <f t="shared" si="37"/>
        <v>0.56514170209126213</v>
      </c>
      <c r="AH1862" s="391">
        <f t="shared" si="38"/>
        <v>0.48083620788502851</v>
      </c>
      <c r="AI1862" s="135">
        <f t="shared" si="39"/>
        <v>1.0459779099762907</v>
      </c>
    </row>
    <row r="1863" spans="1:35" ht="12.6">
      <c r="A1863" s="10" t="s">
        <v>865</v>
      </c>
      <c r="B1863" s="10">
        <v>37</v>
      </c>
      <c r="C1863" s="10" t="s">
        <v>1512</v>
      </c>
      <c r="D1863" s="388">
        <v>44963</v>
      </c>
      <c r="E1863" s="389">
        <v>44963</v>
      </c>
      <c r="F1863" s="390" t="str">
        <f t="shared" si="35"/>
        <v>Whitegoods</v>
      </c>
      <c r="G1863" s="135">
        <v>3.8479305232398599E-2</v>
      </c>
      <c r="H1863" s="135">
        <v>3.4109101835927302E-2</v>
      </c>
      <c r="I1863" s="135">
        <v>3.2716724379374097E-2</v>
      </c>
      <c r="J1863" s="135">
        <v>3.2755788519262002E-2</v>
      </c>
      <c r="K1863" s="135">
        <v>3.2529372836290302E-2</v>
      </c>
      <c r="L1863" s="135">
        <v>3.3121973643746597E-2</v>
      </c>
      <c r="M1863" s="135">
        <v>3.6222705350671597E-2</v>
      </c>
      <c r="N1863" s="135">
        <v>4.3115434307554101E-2</v>
      </c>
      <c r="O1863" s="135">
        <v>4.5395973778856902E-2</v>
      </c>
      <c r="P1863" s="135">
        <v>4.3368864167013903E-2</v>
      </c>
      <c r="Q1863" s="135">
        <v>4.1119590293710699E-2</v>
      </c>
      <c r="R1863" s="135">
        <v>3.8910998036731502E-2</v>
      </c>
      <c r="S1863" s="135">
        <v>3.8920598006107497E-2</v>
      </c>
      <c r="T1863" s="135">
        <v>3.79499174309013E-2</v>
      </c>
      <c r="U1863" s="135">
        <v>3.88709902713682E-2</v>
      </c>
      <c r="V1863" s="135">
        <v>3.8263637944057502E-2</v>
      </c>
      <c r="W1863" s="135">
        <v>3.7620463052809597E-2</v>
      </c>
      <c r="X1863" s="135">
        <v>3.8411028317790599E-2</v>
      </c>
      <c r="Y1863" s="135">
        <v>4.0478448495668597E-2</v>
      </c>
      <c r="Z1863" s="135">
        <v>4.1570550137197598E-2</v>
      </c>
      <c r="AA1863" s="135">
        <v>4.6435464451008102E-2</v>
      </c>
      <c r="AB1863" s="135">
        <v>4.47686182865107E-2</v>
      </c>
      <c r="AC1863" s="135">
        <v>4.29455512955692E-2</v>
      </c>
      <c r="AD1863" s="135">
        <v>4.2460832816605398E-2</v>
      </c>
      <c r="AF1863" s="243">
        <f t="shared" si="36"/>
        <v>0.27165619503568628</v>
      </c>
      <c r="AG1863" s="275">
        <f t="shared" si="37"/>
        <v>0.51696696261508923</v>
      </c>
      <c r="AH1863" s="391">
        <f t="shared" si="38"/>
        <v>0.42357497027204272</v>
      </c>
      <c r="AI1863" s="135">
        <f t="shared" si="39"/>
        <v>0.94054193288713195</v>
      </c>
    </row>
    <row r="1864" spans="1:35" ht="12.6">
      <c r="A1864" s="10" t="s">
        <v>865</v>
      </c>
      <c r="B1864" s="10">
        <v>38</v>
      </c>
      <c r="C1864" s="10" t="s">
        <v>1512</v>
      </c>
      <c r="D1864" s="388">
        <v>44964</v>
      </c>
      <c r="E1864" s="389">
        <v>44964</v>
      </c>
      <c r="F1864" s="390" t="str">
        <f t="shared" si="35"/>
        <v>Whitegoods</v>
      </c>
      <c r="G1864" s="135">
        <v>3.8479305232398599E-2</v>
      </c>
      <c r="H1864" s="135">
        <v>3.4109101835927302E-2</v>
      </c>
      <c r="I1864" s="135">
        <v>3.2716724379374097E-2</v>
      </c>
      <c r="J1864" s="135">
        <v>3.2755788519262002E-2</v>
      </c>
      <c r="K1864" s="135">
        <v>3.2529372836290302E-2</v>
      </c>
      <c r="L1864" s="135">
        <v>3.3121973643746597E-2</v>
      </c>
      <c r="M1864" s="135">
        <v>3.6222705350671597E-2</v>
      </c>
      <c r="N1864" s="135">
        <v>4.3115434307554101E-2</v>
      </c>
      <c r="O1864" s="135">
        <v>4.5395973778856902E-2</v>
      </c>
      <c r="P1864" s="135">
        <v>4.3368864167013903E-2</v>
      </c>
      <c r="Q1864" s="135">
        <v>4.1119590293710699E-2</v>
      </c>
      <c r="R1864" s="135">
        <v>3.8910998036731502E-2</v>
      </c>
      <c r="S1864" s="135">
        <v>3.8920598006107497E-2</v>
      </c>
      <c r="T1864" s="135">
        <v>3.79499174309013E-2</v>
      </c>
      <c r="U1864" s="135">
        <v>3.88709902713682E-2</v>
      </c>
      <c r="V1864" s="135">
        <v>3.8263637944057502E-2</v>
      </c>
      <c r="W1864" s="135">
        <v>3.7620463052809597E-2</v>
      </c>
      <c r="X1864" s="135">
        <v>3.8411028317790599E-2</v>
      </c>
      <c r="Y1864" s="135">
        <v>4.0478448495668597E-2</v>
      </c>
      <c r="Z1864" s="135">
        <v>4.1570550137197598E-2</v>
      </c>
      <c r="AA1864" s="135">
        <v>4.6435464451008102E-2</v>
      </c>
      <c r="AB1864" s="135">
        <v>4.47686182865107E-2</v>
      </c>
      <c r="AC1864" s="135">
        <v>4.29455512955692E-2</v>
      </c>
      <c r="AD1864" s="135">
        <v>4.2460832816605398E-2</v>
      </c>
      <c r="AF1864" s="243">
        <f t="shared" si="36"/>
        <v>0.27165619503568628</v>
      </c>
      <c r="AG1864" s="275">
        <f t="shared" si="37"/>
        <v>0.51696696261508923</v>
      </c>
      <c r="AH1864" s="391">
        <f t="shared" si="38"/>
        <v>0.42357497027204272</v>
      </c>
      <c r="AI1864" s="135">
        <f t="shared" si="39"/>
        <v>0.94054193288713195</v>
      </c>
    </row>
    <row r="1865" spans="1:35" ht="12.6">
      <c r="A1865" s="10" t="s">
        <v>865</v>
      </c>
      <c r="B1865" s="10">
        <v>39</v>
      </c>
      <c r="C1865" s="10" t="s">
        <v>1512</v>
      </c>
      <c r="D1865" s="388">
        <v>44965</v>
      </c>
      <c r="E1865" s="389">
        <v>44965</v>
      </c>
      <c r="F1865" s="390" t="str">
        <f t="shared" si="35"/>
        <v>Whitegoods</v>
      </c>
      <c r="G1865" s="135">
        <v>3.8479305232398599E-2</v>
      </c>
      <c r="H1865" s="135">
        <v>3.4109101835927302E-2</v>
      </c>
      <c r="I1865" s="135">
        <v>3.2716724379374097E-2</v>
      </c>
      <c r="J1865" s="135">
        <v>3.2755788519262002E-2</v>
      </c>
      <c r="K1865" s="135">
        <v>3.2529372836290302E-2</v>
      </c>
      <c r="L1865" s="135">
        <v>3.3121973643746597E-2</v>
      </c>
      <c r="M1865" s="135">
        <v>3.6222705350671597E-2</v>
      </c>
      <c r="N1865" s="135">
        <v>4.3115434307554101E-2</v>
      </c>
      <c r="O1865" s="135">
        <v>4.5395973778856902E-2</v>
      </c>
      <c r="P1865" s="135">
        <v>4.3368864167013903E-2</v>
      </c>
      <c r="Q1865" s="135">
        <v>4.1119590293710699E-2</v>
      </c>
      <c r="R1865" s="135">
        <v>3.8910998036731502E-2</v>
      </c>
      <c r="S1865" s="135">
        <v>3.8920598006107497E-2</v>
      </c>
      <c r="T1865" s="135">
        <v>3.79499174309013E-2</v>
      </c>
      <c r="U1865" s="135">
        <v>3.88709902713682E-2</v>
      </c>
      <c r="V1865" s="135">
        <v>3.8263637944057502E-2</v>
      </c>
      <c r="W1865" s="135">
        <v>3.7620463052809597E-2</v>
      </c>
      <c r="X1865" s="135">
        <v>3.8411028317790599E-2</v>
      </c>
      <c r="Y1865" s="135">
        <v>4.0478448495668597E-2</v>
      </c>
      <c r="Z1865" s="135">
        <v>4.1570550137197598E-2</v>
      </c>
      <c r="AA1865" s="135">
        <v>4.6435464451008102E-2</v>
      </c>
      <c r="AB1865" s="135">
        <v>4.47686182865107E-2</v>
      </c>
      <c r="AC1865" s="135">
        <v>4.29455512955692E-2</v>
      </c>
      <c r="AD1865" s="135">
        <v>4.2460832816605398E-2</v>
      </c>
      <c r="AF1865" s="243">
        <f t="shared" si="36"/>
        <v>0.27165619503568628</v>
      </c>
      <c r="AG1865" s="275">
        <f t="shared" si="37"/>
        <v>0.51696696261508923</v>
      </c>
      <c r="AH1865" s="391">
        <f t="shared" si="38"/>
        <v>0.42357497027204272</v>
      </c>
      <c r="AI1865" s="135">
        <f t="shared" si="39"/>
        <v>0.94054193288713195</v>
      </c>
    </row>
    <row r="1866" spans="1:35" ht="12.6">
      <c r="A1866" s="10" t="s">
        <v>865</v>
      </c>
      <c r="B1866" s="10">
        <v>40</v>
      </c>
      <c r="C1866" s="10" t="s">
        <v>1512</v>
      </c>
      <c r="D1866" s="388">
        <v>44966</v>
      </c>
      <c r="E1866" s="389">
        <v>44966</v>
      </c>
      <c r="F1866" s="390" t="str">
        <f t="shared" si="35"/>
        <v>Whitegoods</v>
      </c>
      <c r="G1866" s="135">
        <v>3.8479305232398599E-2</v>
      </c>
      <c r="H1866" s="135">
        <v>3.4109101835927302E-2</v>
      </c>
      <c r="I1866" s="135">
        <v>3.2716724379374097E-2</v>
      </c>
      <c r="J1866" s="135">
        <v>3.2755788519262002E-2</v>
      </c>
      <c r="K1866" s="135">
        <v>3.2529372836290302E-2</v>
      </c>
      <c r="L1866" s="135">
        <v>3.3121973643746597E-2</v>
      </c>
      <c r="M1866" s="135">
        <v>3.6222705350671597E-2</v>
      </c>
      <c r="N1866" s="135">
        <v>4.3115434307554101E-2</v>
      </c>
      <c r="O1866" s="135">
        <v>4.5395973778856902E-2</v>
      </c>
      <c r="P1866" s="135">
        <v>4.3368864167013903E-2</v>
      </c>
      <c r="Q1866" s="135">
        <v>4.1119590293710699E-2</v>
      </c>
      <c r="R1866" s="135">
        <v>3.8910998036731502E-2</v>
      </c>
      <c r="S1866" s="135">
        <v>3.8920598006107497E-2</v>
      </c>
      <c r="T1866" s="135">
        <v>3.79499174309013E-2</v>
      </c>
      <c r="U1866" s="135">
        <v>3.88709902713682E-2</v>
      </c>
      <c r="V1866" s="135">
        <v>3.8263637944057502E-2</v>
      </c>
      <c r="W1866" s="135">
        <v>3.7620463052809597E-2</v>
      </c>
      <c r="X1866" s="135">
        <v>3.8411028317790599E-2</v>
      </c>
      <c r="Y1866" s="135">
        <v>4.0478448495668597E-2</v>
      </c>
      <c r="Z1866" s="135">
        <v>4.1570550137197598E-2</v>
      </c>
      <c r="AA1866" s="135">
        <v>4.6435464451008102E-2</v>
      </c>
      <c r="AB1866" s="135">
        <v>4.47686182865107E-2</v>
      </c>
      <c r="AC1866" s="135">
        <v>4.29455512955692E-2</v>
      </c>
      <c r="AD1866" s="135">
        <v>4.2460832816605398E-2</v>
      </c>
      <c r="AF1866" s="243">
        <f t="shared" si="36"/>
        <v>0.27165619503568628</v>
      </c>
      <c r="AG1866" s="275">
        <f t="shared" si="37"/>
        <v>0.51696696261508923</v>
      </c>
      <c r="AH1866" s="391">
        <f t="shared" si="38"/>
        <v>0.42357497027204272</v>
      </c>
      <c r="AI1866" s="135">
        <f t="shared" si="39"/>
        <v>0.94054193288713195</v>
      </c>
    </row>
    <row r="1867" spans="1:35" ht="12.6">
      <c r="A1867" s="10" t="s">
        <v>865</v>
      </c>
      <c r="B1867" s="10">
        <v>41</v>
      </c>
      <c r="C1867" s="10" t="s">
        <v>1512</v>
      </c>
      <c r="D1867" s="388">
        <v>44967</v>
      </c>
      <c r="E1867" s="389">
        <v>44967</v>
      </c>
      <c r="F1867" s="390" t="str">
        <f t="shared" si="35"/>
        <v>Whitegoods</v>
      </c>
      <c r="G1867" s="135">
        <v>3.8479305232398599E-2</v>
      </c>
      <c r="H1867" s="135">
        <v>3.4109101835927302E-2</v>
      </c>
      <c r="I1867" s="135">
        <v>3.2716724379374097E-2</v>
      </c>
      <c r="J1867" s="135">
        <v>3.2755788519262002E-2</v>
      </c>
      <c r="K1867" s="135">
        <v>3.2529372836290302E-2</v>
      </c>
      <c r="L1867" s="135">
        <v>3.3121973643746597E-2</v>
      </c>
      <c r="M1867" s="135">
        <v>3.6222705350671597E-2</v>
      </c>
      <c r="N1867" s="135">
        <v>4.3115434307554101E-2</v>
      </c>
      <c r="O1867" s="135">
        <v>4.5395973778856902E-2</v>
      </c>
      <c r="P1867" s="135">
        <v>4.3368864167013903E-2</v>
      </c>
      <c r="Q1867" s="135">
        <v>4.1119590293710699E-2</v>
      </c>
      <c r="R1867" s="135">
        <v>3.8910998036731502E-2</v>
      </c>
      <c r="S1867" s="135">
        <v>3.8920598006107497E-2</v>
      </c>
      <c r="T1867" s="135">
        <v>3.79499174309013E-2</v>
      </c>
      <c r="U1867" s="135">
        <v>3.88709902713682E-2</v>
      </c>
      <c r="V1867" s="135">
        <v>3.8263637944057502E-2</v>
      </c>
      <c r="W1867" s="135">
        <v>3.7620463052809597E-2</v>
      </c>
      <c r="X1867" s="135">
        <v>3.8411028317790599E-2</v>
      </c>
      <c r="Y1867" s="135">
        <v>4.0478448495668597E-2</v>
      </c>
      <c r="Z1867" s="135">
        <v>4.1570550137197598E-2</v>
      </c>
      <c r="AA1867" s="135">
        <v>4.6435464451008102E-2</v>
      </c>
      <c r="AB1867" s="135">
        <v>4.47686182865107E-2</v>
      </c>
      <c r="AC1867" s="135">
        <v>4.29455512955692E-2</v>
      </c>
      <c r="AD1867" s="135">
        <v>4.2460832816605398E-2</v>
      </c>
      <c r="AF1867" s="243">
        <f t="shared" si="36"/>
        <v>0.27165619503568628</v>
      </c>
      <c r="AG1867" s="275">
        <f t="shared" si="37"/>
        <v>0.51696696261508923</v>
      </c>
      <c r="AH1867" s="391">
        <f t="shared" si="38"/>
        <v>0.42357497027204272</v>
      </c>
      <c r="AI1867" s="135">
        <f t="shared" si="39"/>
        <v>0.94054193288713195</v>
      </c>
    </row>
    <row r="1868" spans="1:35" ht="12.6">
      <c r="A1868" s="10" t="s">
        <v>865</v>
      </c>
      <c r="B1868" s="10">
        <v>42</v>
      </c>
      <c r="C1868" s="10" t="s">
        <v>1512</v>
      </c>
      <c r="D1868" s="388">
        <v>44968</v>
      </c>
      <c r="E1868" s="389">
        <v>44968</v>
      </c>
      <c r="F1868" s="390" t="str">
        <f t="shared" si="35"/>
        <v>Whitegoods</v>
      </c>
      <c r="G1868" s="135">
        <v>3.7889413047341003E-2</v>
      </c>
      <c r="H1868" s="135">
        <v>3.5059366920746501E-2</v>
      </c>
      <c r="I1868" s="135">
        <v>3.2931863982889498E-2</v>
      </c>
      <c r="J1868" s="135">
        <v>3.2800456879470898E-2</v>
      </c>
      <c r="K1868" s="135">
        <v>3.3091056003752201E-2</v>
      </c>
      <c r="L1868" s="135">
        <v>3.2529790038360498E-2</v>
      </c>
      <c r="M1868" s="135">
        <v>3.54826268753183E-2</v>
      </c>
      <c r="N1868" s="135">
        <v>3.7107458651134698E-2</v>
      </c>
      <c r="O1868" s="135">
        <v>4.5537381765117499E-2</v>
      </c>
      <c r="P1868" s="135">
        <v>5.5534078772594399E-2</v>
      </c>
      <c r="Q1868" s="135">
        <v>6.0194987509722298E-2</v>
      </c>
      <c r="R1868" s="135">
        <v>5.5596362438183798E-2</v>
      </c>
      <c r="S1868" s="135">
        <v>5.2733772108295503E-2</v>
      </c>
      <c r="T1868" s="135">
        <v>5.1057154865542097E-2</v>
      </c>
      <c r="U1868" s="135">
        <v>4.6325531279428102E-2</v>
      </c>
      <c r="V1868" s="135">
        <v>4.6030075708210397E-2</v>
      </c>
      <c r="W1868" s="135">
        <v>4.5149399628007097E-2</v>
      </c>
      <c r="X1868" s="135">
        <v>4.4229959554115399E-2</v>
      </c>
      <c r="Y1868" s="135">
        <v>4.45303989671939E-2</v>
      </c>
      <c r="Z1868" s="135">
        <v>4.4016348074234699E-2</v>
      </c>
      <c r="AA1868" s="135">
        <v>4.6479606756783698E-2</v>
      </c>
      <c r="AB1868" s="135">
        <v>4.7609625395948103E-2</v>
      </c>
      <c r="AC1868" s="135">
        <v>4.2891469502281003E-2</v>
      </c>
      <c r="AD1868" s="135">
        <v>4.1169725251619001E-2</v>
      </c>
      <c r="AF1868" s="243">
        <f t="shared" si="36"/>
        <v>0.35708728353738928</v>
      </c>
      <c r="AG1868" s="275">
        <f t="shared" si="37"/>
        <v>0.56514170209126213</v>
      </c>
      <c r="AH1868" s="391">
        <f t="shared" si="38"/>
        <v>0.48083620788502851</v>
      </c>
      <c r="AI1868" s="135">
        <f t="shared" si="39"/>
        <v>1.0459779099762907</v>
      </c>
    </row>
    <row r="1869" spans="1:35" ht="12.6">
      <c r="A1869" s="10" t="s">
        <v>865</v>
      </c>
      <c r="B1869" s="10">
        <v>43</v>
      </c>
      <c r="C1869" s="10" t="s">
        <v>1512</v>
      </c>
      <c r="D1869" s="388">
        <v>44969</v>
      </c>
      <c r="E1869" s="389">
        <v>44969</v>
      </c>
      <c r="F1869" s="390" t="str">
        <f t="shared" si="35"/>
        <v>Whitegoods</v>
      </c>
      <c r="G1869" s="135">
        <v>3.7889413047341003E-2</v>
      </c>
      <c r="H1869" s="135">
        <v>3.5059366920746501E-2</v>
      </c>
      <c r="I1869" s="135">
        <v>3.2931863982889498E-2</v>
      </c>
      <c r="J1869" s="135">
        <v>3.2800456879470898E-2</v>
      </c>
      <c r="K1869" s="135">
        <v>3.3091056003752201E-2</v>
      </c>
      <c r="L1869" s="135">
        <v>3.2529790038360498E-2</v>
      </c>
      <c r="M1869" s="135">
        <v>3.54826268753183E-2</v>
      </c>
      <c r="N1869" s="135">
        <v>3.7107458651134698E-2</v>
      </c>
      <c r="O1869" s="135">
        <v>4.5537381765117499E-2</v>
      </c>
      <c r="P1869" s="135">
        <v>5.5534078772594399E-2</v>
      </c>
      <c r="Q1869" s="135">
        <v>6.0194987509722298E-2</v>
      </c>
      <c r="R1869" s="135">
        <v>5.5596362438183798E-2</v>
      </c>
      <c r="S1869" s="135">
        <v>5.2733772108295503E-2</v>
      </c>
      <c r="T1869" s="135">
        <v>5.1057154865542097E-2</v>
      </c>
      <c r="U1869" s="135">
        <v>4.6325531279428102E-2</v>
      </c>
      <c r="V1869" s="135">
        <v>4.6030075708210397E-2</v>
      </c>
      <c r="W1869" s="135">
        <v>4.5149399628007097E-2</v>
      </c>
      <c r="X1869" s="135">
        <v>4.4229959554115399E-2</v>
      </c>
      <c r="Y1869" s="135">
        <v>4.45303989671939E-2</v>
      </c>
      <c r="Z1869" s="135">
        <v>4.4016348074234699E-2</v>
      </c>
      <c r="AA1869" s="135">
        <v>4.6479606756783698E-2</v>
      </c>
      <c r="AB1869" s="135">
        <v>4.7609625395948103E-2</v>
      </c>
      <c r="AC1869" s="135">
        <v>4.2891469502281003E-2</v>
      </c>
      <c r="AD1869" s="135">
        <v>4.1169725251619001E-2</v>
      </c>
      <c r="AF1869" s="243">
        <f t="shared" si="36"/>
        <v>0.35708728353738928</v>
      </c>
      <c r="AG1869" s="275">
        <f t="shared" si="37"/>
        <v>0.56514170209126213</v>
      </c>
      <c r="AH1869" s="391">
        <f t="shared" si="38"/>
        <v>0.48083620788502851</v>
      </c>
      <c r="AI1869" s="135">
        <f t="shared" si="39"/>
        <v>1.0459779099762907</v>
      </c>
    </row>
    <row r="1870" spans="1:35" ht="12.6">
      <c r="A1870" s="10" t="s">
        <v>865</v>
      </c>
      <c r="B1870" s="10">
        <v>44</v>
      </c>
      <c r="C1870" s="10" t="s">
        <v>1512</v>
      </c>
      <c r="D1870" s="388">
        <v>44970</v>
      </c>
      <c r="E1870" s="389">
        <v>44970</v>
      </c>
      <c r="F1870" s="390" t="str">
        <f t="shared" si="35"/>
        <v>Whitegoods</v>
      </c>
      <c r="G1870" s="135">
        <v>3.8479305232398599E-2</v>
      </c>
      <c r="H1870" s="135">
        <v>3.4109101835927302E-2</v>
      </c>
      <c r="I1870" s="135">
        <v>3.2716724379374097E-2</v>
      </c>
      <c r="J1870" s="135">
        <v>3.2755788519262002E-2</v>
      </c>
      <c r="K1870" s="135">
        <v>3.2529372836290302E-2</v>
      </c>
      <c r="L1870" s="135">
        <v>3.3121973643746597E-2</v>
      </c>
      <c r="M1870" s="135">
        <v>3.6222705350671597E-2</v>
      </c>
      <c r="N1870" s="135">
        <v>4.3115434307554101E-2</v>
      </c>
      <c r="O1870" s="135">
        <v>4.5395973778856902E-2</v>
      </c>
      <c r="P1870" s="135">
        <v>4.3368864167013903E-2</v>
      </c>
      <c r="Q1870" s="135">
        <v>4.1119590293710699E-2</v>
      </c>
      <c r="R1870" s="135">
        <v>3.8910998036731502E-2</v>
      </c>
      <c r="S1870" s="135">
        <v>3.8920598006107497E-2</v>
      </c>
      <c r="T1870" s="135">
        <v>3.79499174309013E-2</v>
      </c>
      <c r="U1870" s="135">
        <v>3.88709902713682E-2</v>
      </c>
      <c r="V1870" s="135">
        <v>3.8263637944057502E-2</v>
      </c>
      <c r="W1870" s="135">
        <v>3.7620463052809597E-2</v>
      </c>
      <c r="X1870" s="135">
        <v>3.8411028317790599E-2</v>
      </c>
      <c r="Y1870" s="135">
        <v>4.0478448495668597E-2</v>
      </c>
      <c r="Z1870" s="135">
        <v>4.1570550137197598E-2</v>
      </c>
      <c r="AA1870" s="135">
        <v>4.6435464451008102E-2</v>
      </c>
      <c r="AB1870" s="135">
        <v>4.47686182865107E-2</v>
      </c>
      <c r="AC1870" s="135">
        <v>4.29455512955692E-2</v>
      </c>
      <c r="AD1870" s="135">
        <v>4.2460832816605398E-2</v>
      </c>
      <c r="AF1870" s="243">
        <f t="shared" si="36"/>
        <v>0.27165619503568628</v>
      </c>
      <c r="AG1870" s="275">
        <f t="shared" si="37"/>
        <v>0.51696696261508923</v>
      </c>
      <c r="AH1870" s="391">
        <f t="shared" si="38"/>
        <v>0.42357497027204272</v>
      </c>
      <c r="AI1870" s="135">
        <f t="shared" si="39"/>
        <v>0.94054193288713195</v>
      </c>
    </row>
    <row r="1871" spans="1:35" ht="12.6">
      <c r="A1871" s="10" t="s">
        <v>865</v>
      </c>
      <c r="B1871" s="10">
        <v>45</v>
      </c>
      <c r="C1871" s="10" t="s">
        <v>1512</v>
      </c>
      <c r="D1871" s="388">
        <v>44971</v>
      </c>
      <c r="E1871" s="389">
        <v>44971</v>
      </c>
      <c r="F1871" s="390" t="str">
        <f t="shared" si="35"/>
        <v>Whitegoods</v>
      </c>
      <c r="G1871" s="135">
        <v>3.8479305232398599E-2</v>
      </c>
      <c r="H1871" s="135">
        <v>3.4109101835927302E-2</v>
      </c>
      <c r="I1871" s="135">
        <v>3.2716724379374097E-2</v>
      </c>
      <c r="J1871" s="135">
        <v>3.2755788519262002E-2</v>
      </c>
      <c r="K1871" s="135">
        <v>3.2529372836290302E-2</v>
      </c>
      <c r="L1871" s="135">
        <v>3.3121973643746597E-2</v>
      </c>
      <c r="M1871" s="135">
        <v>3.6222705350671597E-2</v>
      </c>
      <c r="N1871" s="135">
        <v>4.3115434307554101E-2</v>
      </c>
      <c r="O1871" s="135">
        <v>4.5395973778856902E-2</v>
      </c>
      <c r="P1871" s="135">
        <v>4.3368864167013903E-2</v>
      </c>
      <c r="Q1871" s="135">
        <v>4.1119590293710699E-2</v>
      </c>
      <c r="R1871" s="135">
        <v>3.8910998036731502E-2</v>
      </c>
      <c r="S1871" s="135">
        <v>3.8920598006107497E-2</v>
      </c>
      <c r="T1871" s="135">
        <v>3.79499174309013E-2</v>
      </c>
      <c r="U1871" s="135">
        <v>3.88709902713682E-2</v>
      </c>
      <c r="V1871" s="135">
        <v>3.8263637944057502E-2</v>
      </c>
      <c r="W1871" s="135">
        <v>3.7620463052809597E-2</v>
      </c>
      <c r="X1871" s="135">
        <v>3.8411028317790599E-2</v>
      </c>
      <c r="Y1871" s="135">
        <v>4.0478448495668597E-2</v>
      </c>
      <c r="Z1871" s="135">
        <v>4.1570550137197598E-2</v>
      </c>
      <c r="AA1871" s="135">
        <v>4.6435464451008102E-2</v>
      </c>
      <c r="AB1871" s="135">
        <v>4.47686182865107E-2</v>
      </c>
      <c r="AC1871" s="135">
        <v>4.29455512955692E-2</v>
      </c>
      <c r="AD1871" s="135">
        <v>4.2460832816605398E-2</v>
      </c>
      <c r="AF1871" s="243">
        <f t="shared" si="36"/>
        <v>0.27165619503568628</v>
      </c>
      <c r="AG1871" s="275">
        <f t="shared" si="37"/>
        <v>0.51696696261508923</v>
      </c>
      <c r="AH1871" s="391">
        <f t="shared" si="38"/>
        <v>0.42357497027204272</v>
      </c>
      <c r="AI1871" s="135">
        <f t="shared" si="39"/>
        <v>0.94054193288713195</v>
      </c>
    </row>
    <row r="1872" spans="1:35" ht="12.6">
      <c r="A1872" s="10" t="s">
        <v>865</v>
      </c>
      <c r="B1872" s="10">
        <v>46</v>
      </c>
      <c r="C1872" s="10" t="s">
        <v>1512</v>
      </c>
      <c r="D1872" s="388">
        <v>44972</v>
      </c>
      <c r="E1872" s="389">
        <v>44972</v>
      </c>
      <c r="F1872" s="390" t="str">
        <f t="shared" si="35"/>
        <v>Whitegoods</v>
      </c>
      <c r="G1872" s="135">
        <v>3.8479305232398599E-2</v>
      </c>
      <c r="H1872" s="135">
        <v>3.4109101835927302E-2</v>
      </c>
      <c r="I1872" s="135">
        <v>3.2716724379374097E-2</v>
      </c>
      <c r="J1872" s="135">
        <v>3.2755788519262002E-2</v>
      </c>
      <c r="K1872" s="135">
        <v>3.2529372836290302E-2</v>
      </c>
      <c r="L1872" s="135">
        <v>3.3121973643746597E-2</v>
      </c>
      <c r="M1872" s="135">
        <v>3.6222705350671597E-2</v>
      </c>
      <c r="N1872" s="135">
        <v>4.3115434307554101E-2</v>
      </c>
      <c r="O1872" s="135">
        <v>4.5395973778856902E-2</v>
      </c>
      <c r="P1872" s="135">
        <v>4.3368864167013903E-2</v>
      </c>
      <c r="Q1872" s="135">
        <v>4.1119590293710699E-2</v>
      </c>
      <c r="R1872" s="135">
        <v>3.8910998036731502E-2</v>
      </c>
      <c r="S1872" s="135">
        <v>3.8920598006107497E-2</v>
      </c>
      <c r="T1872" s="135">
        <v>3.79499174309013E-2</v>
      </c>
      <c r="U1872" s="135">
        <v>3.88709902713682E-2</v>
      </c>
      <c r="V1872" s="135">
        <v>3.8263637944057502E-2</v>
      </c>
      <c r="W1872" s="135">
        <v>3.7620463052809597E-2</v>
      </c>
      <c r="X1872" s="135">
        <v>3.8411028317790599E-2</v>
      </c>
      <c r="Y1872" s="135">
        <v>4.0478448495668597E-2</v>
      </c>
      <c r="Z1872" s="135">
        <v>4.1570550137197598E-2</v>
      </c>
      <c r="AA1872" s="135">
        <v>4.6435464451008102E-2</v>
      </c>
      <c r="AB1872" s="135">
        <v>4.47686182865107E-2</v>
      </c>
      <c r="AC1872" s="135">
        <v>4.29455512955692E-2</v>
      </c>
      <c r="AD1872" s="135">
        <v>4.2460832816605398E-2</v>
      </c>
      <c r="AF1872" s="243">
        <f t="shared" si="36"/>
        <v>0.27165619503568628</v>
      </c>
      <c r="AG1872" s="275">
        <f t="shared" si="37"/>
        <v>0.51696696261508923</v>
      </c>
      <c r="AH1872" s="391">
        <f t="shared" si="38"/>
        <v>0.42357497027204272</v>
      </c>
      <c r="AI1872" s="135">
        <f t="shared" si="39"/>
        <v>0.94054193288713195</v>
      </c>
    </row>
    <row r="1873" spans="1:35" ht="12.6">
      <c r="A1873" s="10" t="s">
        <v>865</v>
      </c>
      <c r="B1873" s="10">
        <v>47</v>
      </c>
      <c r="C1873" s="10" t="s">
        <v>1512</v>
      </c>
      <c r="D1873" s="388">
        <v>44973</v>
      </c>
      <c r="E1873" s="389">
        <v>44973</v>
      </c>
      <c r="F1873" s="390" t="str">
        <f t="shared" si="35"/>
        <v>Whitegoods</v>
      </c>
      <c r="G1873" s="135">
        <v>3.8479305232398599E-2</v>
      </c>
      <c r="H1873" s="135">
        <v>3.4109101835927302E-2</v>
      </c>
      <c r="I1873" s="135">
        <v>3.2716724379374097E-2</v>
      </c>
      <c r="J1873" s="135">
        <v>3.2755788519262002E-2</v>
      </c>
      <c r="K1873" s="135">
        <v>3.2529372836290302E-2</v>
      </c>
      <c r="L1873" s="135">
        <v>3.3121973643746597E-2</v>
      </c>
      <c r="M1873" s="135">
        <v>3.6222705350671597E-2</v>
      </c>
      <c r="N1873" s="135">
        <v>4.3115434307554101E-2</v>
      </c>
      <c r="O1873" s="135">
        <v>4.5395973778856902E-2</v>
      </c>
      <c r="P1873" s="135">
        <v>4.3368864167013903E-2</v>
      </c>
      <c r="Q1873" s="135">
        <v>4.1119590293710699E-2</v>
      </c>
      <c r="R1873" s="135">
        <v>3.8910998036731502E-2</v>
      </c>
      <c r="S1873" s="135">
        <v>3.8920598006107497E-2</v>
      </c>
      <c r="T1873" s="135">
        <v>3.79499174309013E-2</v>
      </c>
      <c r="U1873" s="135">
        <v>3.88709902713682E-2</v>
      </c>
      <c r="V1873" s="135">
        <v>3.8263637944057502E-2</v>
      </c>
      <c r="W1873" s="135">
        <v>3.7620463052809597E-2</v>
      </c>
      <c r="X1873" s="135">
        <v>3.8411028317790599E-2</v>
      </c>
      <c r="Y1873" s="135">
        <v>4.0478448495668597E-2</v>
      </c>
      <c r="Z1873" s="135">
        <v>4.1570550137197598E-2</v>
      </c>
      <c r="AA1873" s="135">
        <v>4.6435464451008102E-2</v>
      </c>
      <c r="AB1873" s="135">
        <v>4.47686182865107E-2</v>
      </c>
      <c r="AC1873" s="135">
        <v>4.29455512955692E-2</v>
      </c>
      <c r="AD1873" s="135">
        <v>4.2460832816605398E-2</v>
      </c>
      <c r="AF1873" s="243">
        <f t="shared" si="36"/>
        <v>0.27165619503568628</v>
      </c>
      <c r="AG1873" s="275">
        <f t="shared" si="37"/>
        <v>0.51696696261508923</v>
      </c>
      <c r="AH1873" s="391">
        <f t="shared" si="38"/>
        <v>0.42357497027204272</v>
      </c>
      <c r="AI1873" s="135">
        <f t="shared" si="39"/>
        <v>0.94054193288713195</v>
      </c>
    </row>
    <row r="1874" spans="1:35" ht="12.6">
      <c r="A1874" s="10" t="s">
        <v>865</v>
      </c>
      <c r="B1874" s="10">
        <v>48</v>
      </c>
      <c r="C1874" s="10" t="s">
        <v>1512</v>
      </c>
      <c r="D1874" s="388">
        <v>44974</v>
      </c>
      <c r="E1874" s="389">
        <v>44974</v>
      </c>
      <c r="F1874" s="390" t="str">
        <f t="shared" si="35"/>
        <v>Whitegoods</v>
      </c>
      <c r="G1874" s="135">
        <v>3.8479305232398599E-2</v>
      </c>
      <c r="H1874" s="135">
        <v>3.4109101835927302E-2</v>
      </c>
      <c r="I1874" s="135">
        <v>3.2716724379374097E-2</v>
      </c>
      <c r="J1874" s="135">
        <v>3.2755788519262002E-2</v>
      </c>
      <c r="K1874" s="135">
        <v>3.2529372836290302E-2</v>
      </c>
      <c r="L1874" s="135">
        <v>3.3121973643746597E-2</v>
      </c>
      <c r="M1874" s="135">
        <v>3.6222705350671597E-2</v>
      </c>
      <c r="N1874" s="135">
        <v>4.3115434307554101E-2</v>
      </c>
      <c r="O1874" s="135">
        <v>4.5395973778856902E-2</v>
      </c>
      <c r="P1874" s="135">
        <v>4.3368864167013903E-2</v>
      </c>
      <c r="Q1874" s="135">
        <v>4.1119590293710699E-2</v>
      </c>
      <c r="R1874" s="135">
        <v>3.8910998036731502E-2</v>
      </c>
      <c r="S1874" s="135">
        <v>3.8920598006107497E-2</v>
      </c>
      <c r="T1874" s="135">
        <v>3.79499174309013E-2</v>
      </c>
      <c r="U1874" s="135">
        <v>3.88709902713682E-2</v>
      </c>
      <c r="V1874" s="135">
        <v>3.8263637944057502E-2</v>
      </c>
      <c r="W1874" s="135">
        <v>3.7620463052809597E-2</v>
      </c>
      <c r="X1874" s="135">
        <v>3.8411028317790599E-2</v>
      </c>
      <c r="Y1874" s="135">
        <v>4.0478448495668597E-2</v>
      </c>
      <c r="Z1874" s="135">
        <v>4.1570550137197598E-2</v>
      </c>
      <c r="AA1874" s="135">
        <v>4.6435464451008102E-2</v>
      </c>
      <c r="AB1874" s="135">
        <v>4.47686182865107E-2</v>
      </c>
      <c r="AC1874" s="135">
        <v>4.29455512955692E-2</v>
      </c>
      <c r="AD1874" s="135">
        <v>4.2460832816605398E-2</v>
      </c>
      <c r="AF1874" s="243">
        <f t="shared" si="36"/>
        <v>0.27165619503568628</v>
      </c>
      <c r="AG1874" s="275">
        <f t="shared" si="37"/>
        <v>0.51696696261508923</v>
      </c>
      <c r="AH1874" s="391">
        <f t="shared" si="38"/>
        <v>0.42357497027204272</v>
      </c>
      <c r="AI1874" s="135">
        <f t="shared" si="39"/>
        <v>0.94054193288713195</v>
      </c>
    </row>
    <row r="1875" spans="1:35" ht="12.6">
      <c r="A1875" s="10" t="s">
        <v>865</v>
      </c>
      <c r="B1875" s="10">
        <v>49</v>
      </c>
      <c r="C1875" s="10" t="s">
        <v>1512</v>
      </c>
      <c r="D1875" s="388">
        <v>44975</v>
      </c>
      <c r="E1875" s="389">
        <v>44975</v>
      </c>
      <c r="F1875" s="390" t="str">
        <f t="shared" si="35"/>
        <v>Whitegoods</v>
      </c>
      <c r="G1875" s="135">
        <v>3.7889413047341003E-2</v>
      </c>
      <c r="H1875" s="135">
        <v>3.5059366920746501E-2</v>
      </c>
      <c r="I1875" s="135">
        <v>3.2931863982889498E-2</v>
      </c>
      <c r="J1875" s="135">
        <v>3.2800456879470898E-2</v>
      </c>
      <c r="K1875" s="135">
        <v>3.3091056003752201E-2</v>
      </c>
      <c r="L1875" s="135">
        <v>3.2529790038360498E-2</v>
      </c>
      <c r="M1875" s="135">
        <v>3.54826268753183E-2</v>
      </c>
      <c r="N1875" s="135">
        <v>3.7107458651134698E-2</v>
      </c>
      <c r="O1875" s="135">
        <v>4.5537381765117499E-2</v>
      </c>
      <c r="P1875" s="135">
        <v>5.5534078772594399E-2</v>
      </c>
      <c r="Q1875" s="135">
        <v>6.0194987509722298E-2</v>
      </c>
      <c r="R1875" s="135">
        <v>5.5596362438183798E-2</v>
      </c>
      <c r="S1875" s="135">
        <v>5.2733772108295503E-2</v>
      </c>
      <c r="T1875" s="135">
        <v>5.1057154865542097E-2</v>
      </c>
      <c r="U1875" s="135">
        <v>4.6325531279428102E-2</v>
      </c>
      <c r="V1875" s="135">
        <v>4.6030075708210397E-2</v>
      </c>
      <c r="W1875" s="135">
        <v>4.5149399628007097E-2</v>
      </c>
      <c r="X1875" s="135">
        <v>4.4229959554115399E-2</v>
      </c>
      <c r="Y1875" s="135">
        <v>4.45303989671939E-2</v>
      </c>
      <c r="Z1875" s="135">
        <v>4.4016348074234699E-2</v>
      </c>
      <c r="AA1875" s="135">
        <v>4.6479606756783698E-2</v>
      </c>
      <c r="AB1875" s="135">
        <v>4.7609625395948103E-2</v>
      </c>
      <c r="AC1875" s="135">
        <v>4.2891469502281003E-2</v>
      </c>
      <c r="AD1875" s="135">
        <v>4.1169725251619001E-2</v>
      </c>
      <c r="AF1875" s="243">
        <f t="shared" si="36"/>
        <v>0.35708728353738928</v>
      </c>
      <c r="AG1875" s="275">
        <f t="shared" si="37"/>
        <v>0.56514170209126213</v>
      </c>
      <c r="AH1875" s="391">
        <f t="shared" si="38"/>
        <v>0.48083620788502851</v>
      </c>
      <c r="AI1875" s="135">
        <f t="shared" si="39"/>
        <v>1.0459779099762907</v>
      </c>
    </row>
    <row r="1876" spans="1:35" ht="12.6">
      <c r="A1876" s="10" t="s">
        <v>865</v>
      </c>
      <c r="B1876" s="10">
        <v>50</v>
      </c>
      <c r="C1876" s="10" t="s">
        <v>1512</v>
      </c>
      <c r="D1876" s="388">
        <v>44976</v>
      </c>
      <c r="E1876" s="389">
        <v>44976</v>
      </c>
      <c r="F1876" s="390" t="str">
        <f t="shared" si="35"/>
        <v>Whitegoods</v>
      </c>
      <c r="G1876" s="135">
        <v>3.7889413047341003E-2</v>
      </c>
      <c r="H1876" s="135">
        <v>3.5059366920746501E-2</v>
      </c>
      <c r="I1876" s="135">
        <v>3.2931863982889498E-2</v>
      </c>
      <c r="J1876" s="135">
        <v>3.2800456879470898E-2</v>
      </c>
      <c r="K1876" s="135">
        <v>3.3091056003752201E-2</v>
      </c>
      <c r="L1876" s="135">
        <v>3.2529790038360498E-2</v>
      </c>
      <c r="M1876" s="135">
        <v>3.54826268753183E-2</v>
      </c>
      <c r="N1876" s="135">
        <v>3.7107458651134698E-2</v>
      </c>
      <c r="O1876" s="135">
        <v>4.5537381765117499E-2</v>
      </c>
      <c r="P1876" s="135">
        <v>5.5534078772594399E-2</v>
      </c>
      <c r="Q1876" s="135">
        <v>6.0194987509722298E-2</v>
      </c>
      <c r="R1876" s="135">
        <v>5.5596362438183798E-2</v>
      </c>
      <c r="S1876" s="135">
        <v>5.2733772108295503E-2</v>
      </c>
      <c r="T1876" s="135">
        <v>5.1057154865542097E-2</v>
      </c>
      <c r="U1876" s="135">
        <v>4.6325531279428102E-2</v>
      </c>
      <c r="V1876" s="135">
        <v>4.6030075708210397E-2</v>
      </c>
      <c r="W1876" s="135">
        <v>4.5149399628007097E-2</v>
      </c>
      <c r="X1876" s="135">
        <v>4.4229959554115399E-2</v>
      </c>
      <c r="Y1876" s="135">
        <v>4.45303989671939E-2</v>
      </c>
      <c r="Z1876" s="135">
        <v>4.4016348074234699E-2</v>
      </c>
      <c r="AA1876" s="135">
        <v>4.6479606756783698E-2</v>
      </c>
      <c r="AB1876" s="135">
        <v>4.7609625395948103E-2</v>
      </c>
      <c r="AC1876" s="135">
        <v>4.2891469502281003E-2</v>
      </c>
      <c r="AD1876" s="135">
        <v>4.1169725251619001E-2</v>
      </c>
      <c r="AF1876" s="243">
        <f t="shared" si="36"/>
        <v>0.35708728353738928</v>
      </c>
      <c r="AG1876" s="275">
        <f t="shared" si="37"/>
        <v>0.56514170209126213</v>
      </c>
      <c r="AH1876" s="391">
        <f t="shared" si="38"/>
        <v>0.48083620788502851</v>
      </c>
      <c r="AI1876" s="135">
        <f t="shared" si="39"/>
        <v>1.0459779099762907</v>
      </c>
    </row>
    <row r="1877" spans="1:35" ht="12.6">
      <c r="A1877" s="10" t="s">
        <v>865</v>
      </c>
      <c r="B1877" s="10">
        <v>51</v>
      </c>
      <c r="C1877" s="10" t="s">
        <v>1512</v>
      </c>
      <c r="D1877" s="388">
        <v>44977</v>
      </c>
      <c r="E1877" s="389">
        <v>44977</v>
      </c>
      <c r="F1877" s="390" t="str">
        <f t="shared" si="35"/>
        <v>Whitegoods</v>
      </c>
      <c r="G1877" s="135">
        <v>3.8479305232398599E-2</v>
      </c>
      <c r="H1877" s="135">
        <v>3.4109101835927302E-2</v>
      </c>
      <c r="I1877" s="135">
        <v>3.2716724379374097E-2</v>
      </c>
      <c r="J1877" s="135">
        <v>3.2755788519262002E-2</v>
      </c>
      <c r="K1877" s="135">
        <v>3.2529372836290302E-2</v>
      </c>
      <c r="L1877" s="135">
        <v>3.3121973643746597E-2</v>
      </c>
      <c r="M1877" s="135">
        <v>3.6222705350671597E-2</v>
      </c>
      <c r="N1877" s="135">
        <v>4.3115434307554101E-2</v>
      </c>
      <c r="O1877" s="135">
        <v>4.5395973778856902E-2</v>
      </c>
      <c r="P1877" s="135">
        <v>4.3368864167013903E-2</v>
      </c>
      <c r="Q1877" s="135">
        <v>4.1119590293710699E-2</v>
      </c>
      <c r="R1877" s="135">
        <v>3.8910998036731502E-2</v>
      </c>
      <c r="S1877" s="135">
        <v>3.8920598006107497E-2</v>
      </c>
      <c r="T1877" s="135">
        <v>3.79499174309013E-2</v>
      </c>
      <c r="U1877" s="135">
        <v>3.88709902713682E-2</v>
      </c>
      <c r="V1877" s="135">
        <v>3.8263637944057502E-2</v>
      </c>
      <c r="W1877" s="135">
        <v>3.7620463052809597E-2</v>
      </c>
      <c r="X1877" s="135">
        <v>3.8411028317790599E-2</v>
      </c>
      <c r="Y1877" s="135">
        <v>4.0478448495668597E-2</v>
      </c>
      <c r="Z1877" s="135">
        <v>4.1570550137197598E-2</v>
      </c>
      <c r="AA1877" s="135">
        <v>4.6435464451008102E-2</v>
      </c>
      <c r="AB1877" s="135">
        <v>4.47686182865107E-2</v>
      </c>
      <c r="AC1877" s="135">
        <v>4.29455512955692E-2</v>
      </c>
      <c r="AD1877" s="135">
        <v>4.2460832816605398E-2</v>
      </c>
      <c r="AF1877" s="243">
        <f t="shared" si="36"/>
        <v>0.27165619503568628</v>
      </c>
      <c r="AG1877" s="275">
        <f t="shared" si="37"/>
        <v>0.51696696261508923</v>
      </c>
      <c r="AH1877" s="391">
        <f t="shared" si="38"/>
        <v>0.42357497027204272</v>
      </c>
      <c r="AI1877" s="135">
        <f t="shared" si="39"/>
        <v>0.94054193288713195</v>
      </c>
    </row>
    <row r="1878" spans="1:35" ht="12.6">
      <c r="A1878" s="10" t="s">
        <v>865</v>
      </c>
      <c r="B1878" s="10">
        <v>52</v>
      </c>
      <c r="C1878" s="10" t="s">
        <v>1512</v>
      </c>
      <c r="D1878" s="388">
        <v>44978</v>
      </c>
      <c r="E1878" s="389">
        <v>44978</v>
      </c>
      <c r="F1878" s="390" t="str">
        <f t="shared" si="35"/>
        <v>Whitegoods</v>
      </c>
      <c r="G1878" s="135">
        <v>3.8479305232398599E-2</v>
      </c>
      <c r="H1878" s="135">
        <v>3.4109101835927302E-2</v>
      </c>
      <c r="I1878" s="135">
        <v>3.2716724379374097E-2</v>
      </c>
      <c r="J1878" s="135">
        <v>3.2755788519262002E-2</v>
      </c>
      <c r="K1878" s="135">
        <v>3.2529372836290302E-2</v>
      </c>
      <c r="L1878" s="135">
        <v>3.3121973643746597E-2</v>
      </c>
      <c r="M1878" s="135">
        <v>3.6222705350671597E-2</v>
      </c>
      <c r="N1878" s="135">
        <v>4.3115434307554101E-2</v>
      </c>
      <c r="O1878" s="135">
        <v>4.5395973778856902E-2</v>
      </c>
      <c r="P1878" s="135">
        <v>4.3368864167013903E-2</v>
      </c>
      <c r="Q1878" s="135">
        <v>4.1119590293710699E-2</v>
      </c>
      <c r="R1878" s="135">
        <v>3.8910998036731502E-2</v>
      </c>
      <c r="S1878" s="135">
        <v>3.8920598006107497E-2</v>
      </c>
      <c r="T1878" s="135">
        <v>3.79499174309013E-2</v>
      </c>
      <c r="U1878" s="135">
        <v>3.88709902713682E-2</v>
      </c>
      <c r="V1878" s="135">
        <v>3.8263637944057502E-2</v>
      </c>
      <c r="W1878" s="135">
        <v>3.7620463052809597E-2</v>
      </c>
      <c r="X1878" s="135">
        <v>3.8411028317790599E-2</v>
      </c>
      <c r="Y1878" s="135">
        <v>4.0478448495668597E-2</v>
      </c>
      <c r="Z1878" s="135">
        <v>4.1570550137197598E-2</v>
      </c>
      <c r="AA1878" s="135">
        <v>4.6435464451008102E-2</v>
      </c>
      <c r="AB1878" s="135">
        <v>4.47686182865107E-2</v>
      </c>
      <c r="AC1878" s="135">
        <v>4.29455512955692E-2</v>
      </c>
      <c r="AD1878" s="135">
        <v>4.2460832816605398E-2</v>
      </c>
      <c r="AF1878" s="243">
        <f t="shared" si="36"/>
        <v>0.27165619503568628</v>
      </c>
      <c r="AG1878" s="275">
        <f t="shared" si="37"/>
        <v>0.51696696261508923</v>
      </c>
      <c r="AH1878" s="391">
        <f t="shared" si="38"/>
        <v>0.42357497027204272</v>
      </c>
      <c r="AI1878" s="135">
        <f t="shared" si="39"/>
        <v>0.94054193288713195</v>
      </c>
    </row>
    <row r="1879" spans="1:35" ht="12.6">
      <c r="A1879" s="10" t="s">
        <v>865</v>
      </c>
      <c r="B1879" s="10">
        <v>53</v>
      </c>
      <c r="C1879" s="10" t="s">
        <v>1512</v>
      </c>
      <c r="D1879" s="388">
        <v>44979</v>
      </c>
      <c r="E1879" s="389">
        <v>44979</v>
      </c>
      <c r="F1879" s="390" t="str">
        <f t="shared" si="35"/>
        <v>Whitegoods</v>
      </c>
      <c r="G1879" s="135">
        <v>3.8479305232398599E-2</v>
      </c>
      <c r="H1879" s="135">
        <v>3.4109101835927302E-2</v>
      </c>
      <c r="I1879" s="135">
        <v>3.2716724379374097E-2</v>
      </c>
      <c r="J1879" s="135">
        <v>3.2755788519262002E-2</v>
      </c>
      <c r="K1879" s="135">
        <v>3.2529372836290302E-2</v>
      </c>
      <c r="L1879" s="135">
        <v>3.3121973643746597E-2</v>
      </c>
      <c r="M1879" s="135">
        <v>3.6222705350671597E-2</v>
      </c>
      <c r="N1879" s="135">
        <v>4.3115434307554101E-2</v>
      </c>
      <c r="O1879" s="135">
        <v>4.5395973778856902E-2</v>
      </c>
      <c r="P1879" s="135">
        <v>4.3368864167013903E-2</v>
      </c>
      <c r="Q1879" s="135">
        <v>4.1119590293710699E-2</v>
      </c>
      <c r="R1879" s="135">
        <v>3.8910998036731502E-2</v>
      </c>
      <c r="S1879" s="135">
        <v>3.8920598006107497E-2</v>
      </c>
      <c r="T1879" s="135">
        <v>3.79499174309013E-2</v>
      </c>
      <c r="U1879" s="135">
        <v>3.88709902713682E-2</v>
      </c>
      <c r="V1879" s="135">
        <v>3.8263637944057502E-2</v>
      </c>
      <c r="W1879" s="135">
        <v>3.7620463052809597E-2</v>
      </c>
      <c r="X1879" s="135">
        <v>3.8411028317790599E-2</v>
      </c>
      <c r="Y1879" s="135">
        <v>4.0478448495668597E-2</v>
      </c>
      <c r="Z1879" s="135">
        <v>4.1570550137197598E-2</v>
      </c>
      <c r="AA1879" s="135">
        <v>4.6435464451008102E-2</v>
      </c>
      <c r="AB1879" s="135">
        <v>4.47686182865107E-2</v>
      </c>
      <c r="AC1879" s="135">
        <v>4.29455512955692E-2</v>
      </c>
      <c r="AD1879" s="135">
        <v>4.2460832816605398E-2</v>
      </c>
      <c r="AF1879" s="243">
        <f t="shared" si="36"/>
        <v>0.27165619503568628</v>
      </c>
      <c r="AG1879" s="275">
        <f t="shared" si="37"/>
        <v>0.51696696261508923</v>
      </c>
      <c r="AH1879" s="391">
        <f t="shared" si="38"/>
        <v>0.42357497027204272</v>
      </c>
      <c r="AI1879" s="135">
        <f t="shared" si="39"/>
        <v>0.94054193288713195</v>
      </c>
    </row>
    <row r="1880" spans="1:35" ht="12.6">
      <c r="A1880" s="10" t="s">
        <v>865</v>
      </c>
      <c r="B1880" s="10">
        <v>54</v>
      </c>
      <c r="C1880" s="10" t="s">
        <v>1512</v>
      </c>
      <c r="D1880" s="388">
        <v>44980</v>
      </c>
      <c r="E1880" s="389">
        <v>44980</v>
      </c>
      <c r="F1880" s="390" t="str">
        <f t="shared" si="35"/>
        <v>Whitegoods</v>
      </c>
      <c r="G1880" s="135">
        <v>3.8479305232398599E-2</v>
      </c>
      <c r="H1880" s="135">
        <v>3.4109101835927302E-2</v>
      </c>
      <c r="I1880" s="135">
        <v>3.2716724379374097E-2</v>
      </c>
      <c r="J1880" s="135">
        <v>3.2755788519262002E-2</v>
      </c>
      <c r="K1880" s="135">
        <v>3.2529372836290302E-2</v>
      </c>
      <c r="L1880" s="135">
        <v>3.3121973643746597E-2</v>
      </c>
      <c r="M1880" s="135">
        <v>3.6222705350671597E-2</v>
      </c>
      <c r="N1880" s="135">
        <v>4.3115434307554101E-2</v>
      </c>
      <c r="O1880" s="135">
        <v>4.5395973778856902E-2</v>
      </c>
      <c r="P1880" s="135">
        <v>4.3368864167013903E-2</v>
      </c>
      <c r="Q1880" s="135">
        <v>4.1119590293710699E-2</v>
      </c>
      <c r="R1880" s="135">
        <v>3.8910998036731502E-2</v>
      </c>
      <c r="S1880" s="135">
        <v>3.8920598006107497E-2</v>
      </c>
      <c r="T1880" s="135">
        <v>3.79499174309013E-2</v>
      </c>
      <c r="U1880" s="135">
        <v>3.88709902713682E-2</v>
      </c>
      <c r="V1880" s="135">
        <v>3.8263637944057502E-2</v>
      </c>
      <c r="W1880" s="135">
        <v>3.7620463052809597E-2</v>
      </c>
      <c r="X1880" s="135">
        <v>3.8411028317790599E-2</v>
      </c>
      <c r="Y1880" s="135">
        <v>4.0478448495668597E-2</v>
      </c>
      <c r="Z1880" s="135">
        <v>4.1570550137197598E-2</v>
      </c>
      <c r="AA1880" s="135">
        <v>4.6435464451008102E-2</v>
      </c>
      <c r="AB1880" s="135">
        <v>4.47686182865107E-2</v>
      </c>
      <c r="AC1880" s="135">
        <v>4.29455512955692E-2</v>
      </c>
      <c r="AD1880" s="135">
        <v>4.2460832816605398E-2</v>
      </c>
      <c r="AF1880" s="243">
        <f t="shared" si="36"/>
        <v>0.27165619503568628</v>
      </c>
      <c r="AG1880" s="275">
        <f t="shared" si="37"/>
        <v>0.51696696261508923</v>
      </c>
      <c r="AH1880" s="391">
        <f t="shared" si="38"/>
        <v>0.42357497027204272</v>
      </c>
      <c r="AI1880" s="135">
        <f t="shared" si="39"/>
        <v>0.94054193288713195</v>
      </c>
    </row>
    <row r="1881" spans="1:35" ht="12.6">
      <c r="A1881" s="10" t="s">
        <v>865</v>
      </c>
      <c r="B1881" s="10">
        <v>55</v>
      </c>
      <c r="C1881" s="10" t="s">
        <v>1512</v>
      </c>
      <c r="D1881" s="388">
        <v>44981</v>
      </c>
      <c r="E1881" s="389">
        <v>44981</v>
      </c>
      <c r="F1881" s="390" t="str">
        <f t="shared" si="35"/>
        <v>Whitegoods</v>
      </c>
      <c r="G1881" s="135">
        <v>3.8479305232398599E-2</v>
      </c>
      <c r="H1881" s="135">
        <v>3.4109101835927302E-2</v>
      </c>
      <c r="I1881" s="135">
        <v>3.2716724379374097E-2</v>
      </c>
      <c r="J1881" s="135">
        <v>3.2755788519262002E-2</v>
      </c>
      <c r="K1881" s="135">
        <v>3.2529372836290302E-2</v>
      </c>
      <c r="L1881" s="135">
        <v>3.3121973643746597E-2</v>
      </c>
      <c r="M1881" s="135">
        <v>3.6222705350671597E-2</v>
      </c>
      <c r="N1881" s="135">
        <v>4.3115434307554101E-2</v>
      </c>
      <c r="O1881" s="135">
        <v>4.5395973778856902E-2</v>
      </c>
      <c r="P1881" s="135">
        <v>4.3368864167013903E-2</v>
      </c>
      <c r="Q1881" s="135">
        <v>4.1119590293710699E-2</v>
      </c>
      <c r="R1881" s="135">
        <v>3.8910998036731502E-2</v>
      </c>
      <c r="S1881" s="135">
        <v>3.8920598006107497E-2</v>
      </c>
      <c r="T1881" s="135">
        <v>3.79499174309013E-2</v>
      </c>
      <c r="U1881" s="135">
        <v>3.88709902713682E-2</v>
      </c>
      <c r="V1881" s="135">
        <v>3.8263637944057502E-2</v>
      </c>
      <c r="W1881" s="135">
        <v>3.7620463052809597E-2</v>
      </c>
      <c r="X1881" s="135">
        <v>3.8411028317790599E-2</v>
      </c>
      <c r="Y1881" s="135">
        <v>4.0478448495668597E-2</v>
      </c>
      <c r="Z1881" s="135">
        <v>4.1570550137197598E-2</v>
      </c>
      <c r="AA1881" s="135">
        <v>4.6435464451008102E-2</v>
      </c>
      <c r="AB1881" s="135">
        <v>4.47686182865107E-2</v>
      </c>
      <c r="AC1881" s="135">
        <v>4.29455512955692E-2</v>
      </c>
      <c r="AD1881" s="135">
        <v>4.2460832816605398E-2</v>
      </c>
      <c r="AF1881" s="243">
        <f t="shared" si="36"/>
        <v>0.27165619503568628</v>
      </c>
      <c r="AG1881" s="275">
        <f t="shared" si="37"/>
        <v>0.51696696261508923</v>
      </c>
      <c r="AH1881" s="391">
        <f t="shared" si="38"/>
        <v>0.42357497027204272</v>
      </c>
      <c r="AI1881" s="135">
        <f t="shared" si="39"/>
        <v>0.94054193288713195</v>
      </c>
    </row>
    <row r="1882" spans="1:35" ht="12.6">
      <c r="A1882" s="10" t="s">
        <v>865</v>
      </c>
      <c r="B1882" s="10">
        <v>56</v>
      </c>
      <c r="C1882" s="10" t="s">
        <v>1512</v>
      </c>
      <c r="D1882" s="388">
        <v>44982</v>
      </c>
      <c r="E1882" s="389">
        <v>44982</v>
      </c>
      <c r="F1882" s="390" t="str">
        <f t="shared" si="35"/>
        <v>Whitegoods</v>
      </c>
      <c r="G1882" s="135">
        <v>3.7889413047341003E-2</v>
      </c>
      <c r="H1882" s="135">
        <v>3.5059366920746501E-2</v>
      </c>
      <c r="I1882" s="135">
        <v>3.2931863982889498E-2</v>
      </c>
      <c r="J1882" s="135">
        <v>3.2800456879470898E-2</v>
      </c>
      <c r="K1882" s="135">
        <v>3.3091056003752201E-2</v>
      </c>
      <c r="L1882" s="135">
        <v>3.2529790038360498E-2</v>
      </c>
      <c r="M1882" s="135">
        <v>3.54826268753183E-2</v>
      </c>
      <c r="N1882" s="135">
        <v>3.7107458651134698E-2</v>
      </c>
      <c r="O1882" s="135">
        <v>4.5537381765117499E-2</v>
      </c>
      <c r="P1882" s="135">
        <v>5.5534078772594399E-2</v>
      </c>
      <c r="Q1882" s="135">
        <v>6.0194987509722298E-2</v>
      </c>
      <c r="R1882" s="135">
        <v>5.5596362438183798E-2</v>
      </c>
      <c r="S1882" s="135">
        <v>5.2733772108295503E-2</v>
      </c>
      <c r="T1882" s="135">
        <v>5.1057154865542097E-2</v>
      </c>
      <c r="U1882" s="135">
        <v>4.6325531279428102E-2</v>
      </c>
      <c r="V1882" s="135">
        <v>4.6030075708210397E-2</v>
      </c>
      <c r="W1882" s="135">
        <v>4.5149399628007097E-2</v>
      </c>
      <c r="X1882" s="135">
        <v>4.4229959554115399E-2</v>
      </c>
      <c r="Y1882" s="135">
        <v>4.45303989671939E-2</v>
      </c>
      <c r="Z1882" s="135">
        <v>4.4016348074234699E-2</v>
      </c>
      <c r="AA1882" s="135">
        <v>4.6479606756783698E-2</v>
      </c>
      <c r="AB1882" s="135">
        <v>4.7609625395948103E-2</v>
      </c>
      <c r="AC1882" s="135">
        <v>4.2891469502281003E-2</v>
      </c>
      <c r="AD1882" s="135">
        <v>4.1169725251619001E-2</v>
      </c>
      <c r="AF1882" s="243">
        <f t="shared" si="36"/>
        <v>0.35708728353738928</v>
      </c>
      <c r="AG1882" s="275">
        <f t="shared" si="37"/>
        <v>0.56514170209126213</v>
      </c>
      <c r="AH1882" s="391">
        <f t="shared" si="38"/>
        <v>0.48083620788502851</v>
      </c>
      <c r="AI1882" s="135">
        <f t="shared" si="39"/>
        <v>1.0459779099762907</v>
      </c>
    </row>
    <row r="1883" spans="1:35" ht="12.6">
      <c r="A1883" s="10" t="s">
        <v>865</v>
      </c>
      <c r="B1883" s="10">
        <v>57</v>
      </c>
      <c r="C1883" s="10" t="s">
        <v>1512</v>
      </c>
      <c r="D1883" s="388">
        <v>44983</v>
      </c>
      <c r="E1883" s="389">
        <v>44983</v>
      </c>
      <c r="F1883" s="390" t="str">
        <f t="shared" si="35"/>
        <v>Whitegoods</v>
      </c>
      <c r="G1883" s="135">
        <v>3.7889413047341003E-2</v>
      </c>
      <c r="H1883" s="135">
        <v>3.5059366920746501E-2</v>
      </c>
      <c r="I1883" s="135">
        <v>3.2931863982889498E-2</v>
      </c>
      <c r="J1883" s="135">
        <v>3.2800456879470898E-2</v>
      </c>
      <c r="K1883" s="135">
        <v>3.3091056003752201E-2</v>
      </c>
      <c r="L1883" s="135">
        <v>3.2529790038360498E-2</v>
      </c>
      <c r="M1883" s="135">
        <v>3.54826268753183E-2</v>
      </c>
      <c r="N1883" s="135">
        <v>3.7107458651134698E-2</v>
      </c>
      <c r="O1883" s="135">
        <v>4.5537381765117499E-2</v>
      </c>
      <c r="P1883" s="135">
        <v>5.5534078772594399E-2</v>
      </c>
      <c r="Q1883" s="135">
        <v>6.0194987509722298E-2</v>
      </c>
      <c r="R1883" s="135">
        <v>5.5596362438183798E-2</v>
      </c>
      <c r="S1883" s="135">
        <v>5.2733772108295503E-2</v>
      </c>
      <c r="T1883" s="135">
        <v>5.1057154865542097E-2</v>
      </c>
      <c r="U1883" s="135">
        <v>4.6325531279428102E-2</v>
      </c>
      <c r="V1883" s="135">
        <v>4.6030075708210397E-2</v>
      </c>
      <c r="W1883" s="135">
        <v>4.5149399628007097E-2</v>
      </c>
      <c r="X1883" s="135">
        <v>4.4229959554115399E-2</v>
      </c>
      <c r="Y1883" s="135">
        <v>4.45303989671939E-2</v>
      </c>
      <c r="Z1883" s="135">
        <v>4.4016348074234699E-2</v>
      </c>
      <c r="AA1883" s="135">
        <v>4.6479606756783698E-2</v>
      </c>
      <c r="AB1883" s="135">
        <v>4.7609625395948103E-2</v>
      </c>
      <c r="AC1883" s="135">
        <v>4.2891469502281003E-2</v>
      </c>
      <c r="AD1883" s="135">
        <v>4.1169725251619001E-2</v>
      </c>
      <c r="AF1883" s="243">
        <f t="shared" si="36"/>
        <v>0.35708728353738928</v>
      </c>
      <c r="AG1883" s="275">
        <f t="shared" si="37"/>
        <v>0.56514170209126213</v>
      </c>
      <c r="AH1883" s="391">
        <f t="shared" si="38"/>
        <v>0.48083620788502851</v>
      </c>
      <c r="AI1883" s="135">
        <f t="shared" si="39"/>
        <v>1.0459779099762907</v>
      </c>
    </row>
    <row r="1884" spans="1:35" ht="12.6">
      <c r="A1884" s="10" t="s">
        <v>865</v>
      </c>
      <c r="B1884" s="10">
        <v>58</v>
      </c>
      <c r="C1884" s="10" t="s">
        <v>1512</v>
      </c>
      <c r="D1884" s="388">
        <v>44984</v>
      </c>
      <c r="E1884" s="389">
        <v>44984</v>
      </c>
      <c r="F1884" s="390" t="str">
        <f t="shared" si="35"/>
        <v>Whitegoods</v>
      </c>
      <c r="G1884" s="135">
        <v>3.8479305232398599E-2</v>
      </c>
      <c r="H1884" s="135">
        <v>3.4109101835927302E-2</v>
      </c>
      <c r="I1884" s="135">
        <v>3.2716724379374097E-2</v>
      </c>
      <c r="J1884" s="135">
        <v>3.2755788519262002E-2</v>
      </c>
      <c r="K1884" s="135">
        <v>3.2529372836290302E-2</v>
      </c>
      <c r="L1884" s="135">
        <v>3.3121973643746597E-2</v>
      </c>
      <c r="M1884" s="135">
        <v>3.6222705350671597E-2</v>
      </c>
      <c r="N1884" s="135">
        <v>4.3115434307554101E-2</v>
      </c>
      <c r="O1884" s="135">
        <v>4.5395973778856902E-2</v>
      </c>
      <c r="P1884" s="135">
        <v>4.3368864167013903E-2</v>
      </c>
      <c r="Q1884" s="135">
        <v>4.1119590293710699E-2</v>
      </c>
      <c r="R1884" s="135">
        <v>3.8910998036731502E-2</v>
      </c>
      <c r="S1884" s="135">
        <v>3.8920598006107497E-2</v>
      </c>
      <c r="T1884" s="135">
        <v>3.79499174309013E-2</v>
      </c>
      <c r="U1884" s="135">
        <v>3.88709902713682E-2</v>
      </c>
      <c r="V1884" s="135">
        <v>3.8263637944057502E-2</v>
      </c>
      <c r="W1884" s="135">
        <v>3.7620463052809597E-2</v>
      </c>
      <c r="X1884" s="135">
        <v>3.8411028317790599E-2</v>
      </c>
      <c r="Y1884" s="135">
        <v>4.0478448495668597E-2</v>
      </c>
      <c r="Z1884" s="135">
        <v>4.1570550137197598E-2</v>
      </c>
      <c r="AA1884" s="135">
        <v>4.6435464451008102E-2</v>
      </c>
      <c r="AB1884" s="135">
        <v>4.47686182865107E-2</v>
      </c>
      <c r="AC1884" s="135">
        <v>4.29455512955692E-2</v>
      </c>
      <c r="AD1884" s="135">
        <v>4.2460832816605398E-2</v>
      </c>
      <c r="AF1884" s="243">
        <f t="shared" si="36"/>
        <v>0.27165619503568628</v>
      </c>
      <c r="AG1884" s="275">
        <f t="shared" si="37"/>
        <v>0.51696696261508923</v>
      </c>
      <c r="AH1884" s="391">
        <f t="shared" si="38"/>
        <v>0.42357497027204272</v>
      </c>
      <c r="AI1884" s="135">
        <f t="shared" si="39"/>
        <v>0.94054193288713195</v>
      </c>
    </row>
    <row r="1885" spans="1:35" ht="12.6">
      <c r="A1885" s="10" t="s">
        <v>865</v>
      </c>
      <c r="B1885" s="10">
        <v>59</v>
      </c>
      <c r="C1885" s="10" t="s">
        <v>1512</v>
      </c>
      <c r="D1885" s="388">
        <v>44985</v>
      </c>
      <c r="E1885" s="389">
        <v>44985</v>
      </c>
      <c r="F1885" s="390" t="str">
        <f t="shared" si="35"/>
        <v>Whitegoods</v>
      </c>
      <c r="G1885" s="135">
        <v>3.8479305232398599E-2</v>
      </c>
      <c r="H1885" s="135">
        <v>3.4109101835927302E-2</v>
      </c>
      <c r="I1885" s="135">
        <v>3.2716724379374097E-2</v>
      </c>
      <c r="J1885" s="135">
        <v>3.2755788519262002E-2</v>
      </c>
      <c r="K1885" s="135">
        <v>3.2529372836290302E-2</v>
      </c>
      <c r="L1885" s="135">
        <v>3.3121973643746597E-2</v>
      </c>
      <c r="M1885" s="135">
        <v>3.6222705350671597E-2</v>
      </c>
      <c r="N1885" s="135">
        <v>4.3115434307554101E-2</v>
      </c>
      <c r="O1885" s="135">
        <v>4.5395973778856902E-2</v>
      </c>
      <c r="P1885" s="135">
        <v>4.3368864167013903E-2</v>
      </c>
      <c r="Q1885" s="135">
        <v>4.1119590293710699E-2</v>
      </c>
      <c r="R1885" s="135">
        <v>3.8910998036731502E-2</v>
      </c>
      <c r="S1885" s="135">
        <v>3.8920598006107497E-2</v>
      </c>
      <c r="T1885" s="135">
        <v>3.79499174309013E-2</v>
      </c>
      <c r="U1885" s="135">
        <v>3.88709902713682E-2</v>
      </c>
      <c r="V1885" s="135">
        <v>3.8263637944057502E-2</v>
      </c>
      <c r="W1885" s="135">
        <v>3.7620463052809597E-2</v>
      </c>
      <c r="X1885" s="135">
        <v>3.8411028317790599E-2</v>
      </c>
      <c r="Y1885" s="135">
        <v>4.0478448495668597E-2</v>
      </c>
      <c r="Z1885" s="135">
        <v>4.1570550137197598E-2</v>
      </c>
      <c r="AA1885" s="135">
        <v>4.6435464451008102E-2</v>
      </c>
      <c r="AB1885" s="135">
        <v>4.47686182865107E-2</v>
      </c>
      <c r="AC1885" s="135">
        <v>4.29455512955692E-2</v>
      </c>
      <c r="AD1885" s="135">
        <v>4.2460832816605398E-2</v>
      </c>
      <c r="AF1885" s="243">
        <f t="shared" si="36"/>
        <v>0.27165619503568628</v>
      </c>
      <c r="AG1885" s="275">
        <f t="shared" si="37"/>
        <v>0.51696696261508923</v>
      </c>
      <c r="AH1885" s="391">
        <f t="shared" si="38"/>
        <v>0.42357497027204272</v>
      </c>
      <c r="AI1885" s="135">
        <f t="shared" si="39"/>
        <v>0.94054193288713195</v>
      </c>
    </row>
    <row r="1886" spans="1:35" ht="12.6">
      <c r="A1886" s="10" t="s">
        <v>865</v>
      </c>
      <c r="B1886" s="10">
        <v>60</v>
      </c>
      <c r="C1886" s="10" t="s">
        <v>1513</v>
      </c>
      <c r="D1886" s="388">
        <v>44986</v>
      </c>
      <c r="E1886" s="389">
        <v>44986</v>
      </c>
      <c r="F1886" s="390" t="str">
        <f t="shared" si="35"/>
        <v>Whitegoods</v>
      </c>
      <c r="G1886" s="135">
        <v>3.9540899397851902E-2</v>
      </c>
      <c r="H1886" s="135">
        <v>3.4441117306073001E-2</v>
      </c>
      <c r="I1886" s="135">
        <v>3.2805054493349001E-2</v>
      </c>
      <c r="J1886" s="135">
        <v>3.2898878042348402E-2</v>
      </c>
      <c r="K1886" s="135">
        <v>3.2592638252061899E-2</v>
      </c>
      <c r="L1886" s="135">
        <v>3.32561900459694E-2</v>
      </c>
      <c r="M1886" s="135">
        <v>3.6408162039203197E-2</v>
      </c>
      <c r="N1886" s="135">
        <v>4.4167363588005402E-2</v>
      </c>
      <c r="O1886" s="135">
        <v>4.7160489113982101E-2</v>
      </c>
      <c r="P1886" s="135">
        <v>4.45965108566998E-2</v>
      </c>
      <c r="Q1886" s="135">
        <v>4.2018394690126498E-2</v>
      </c>
      <c r="R1886" s="135">
        <v>3.9969365347788798E-2</v>
      </c>
      <c r="S1886" s="135">
        <v>3.99658863599179E-2</v>
      </c>
      <c r="T1886" s="135">
        <v>3.9045081377494698E-2</v>
      </c>
      <c r="U1886" s="135">
        <v>4.0077521698087801E-2</v>
      </c>
      <c r="V1886" s="135">
        <v>3.9221224865863602E-2</v>
      </c>
      <c r="W1886" s="135">
        <v>3.8853105254750699E-2</v>
      </c>
      <c r="X1886" s="135">
        <v>4.00432537818948E-2</v>
      </c>
      <c r="Y1886" s="135">
        <v>4.1934375238353402E-2</v>
      </c>
      <c r="Z1886" s="135">
        <v>4.2981470620620098E-2</v>
      </c>
      <c r="AA1886" s="135">
        <v>4.8538762569812703E-2</v>
      </c>
      <c r="AB1886" s="135">
        <v>4.6612356542947098E-2</v>
      </c>
      <c r="AC1886" s="135">
        <v>4.4834461185171898E-2</v>
      </c>
      <c r="AD1886" s="135">
        <v>4.4191562253392797E-2</v>
      </c>
      <c r="AF1886" s="243">
        <f t="shared" si="36"/>
        <v>0.27915057959403006</v>
      </c>
      <c r="AG1886" s="275">
        <f t="shared" si="37"/>
        <v>0.52813178257153615</v>
      </c>
      <c r="AH1886" s="391">
        <f t="shared" si="38"/>
        <v>0.43802234235023069</v>
      </c>
      <c r="AI1886" s="135">
        <f t="shared" si="39"/>
        <v>0.96615412492176689</v>
      </c>
    </row>
    <row r="1887" spans="1:35" ht="12.6">
      <c r="A1887" s="10" t="s">
        <v>865</v>
      </c>
      <c r="B1887" s="10">
        <v>61</v>
      </c>
      <c r="C1887" s="10" t="s">
        <v>1513</v>
      </c>
      <c r="D1887" s="388">
        <v>44987</v>
      </c>
      <c r="E1887" s="389">
        <v>44987</v>
      </c>
      <c r="F1887" s="390" t="str">
        <f t="shared" si="35"/>
        <v>Whitegoods</v>
      </c>
      <c r="G1887" s="135">
        <v>3.9540899397851902E-2</v>
      </c>
      <c r="H1887" s="135">
        <v>3.4441117306073001E-2</v>
      </c>
      <c r="I1887" s="135">
        <v>3.2805054493349001E-2</v>
      </c>
      <c r="J1887" s="135">
        <v>3.2898878042348402E-2</v>
      </c>
      <c r="K1887" s="135">
        <v>3.2592638252061899E-2</v>
      </c>
      <c r="L1887" s="135">
        <v>3.32561900459694E-2</v>
      </c>
      <c r="M1887" s="135">
        <v>3.6408162039203197E-2</v>
      </c>
      <c r="N1887" s="135">
        <v>4.4167363588005402E-2</v>
      </c>
      <c r="O1887" s="135">
        <v>4.7160489113982101E-2</v>
      </c>
      <c r="P1887" s="135">
        <v>4.45965108566998E-2</v>
      </c>
      <c r="Q1887" s="135">
        <v>4.2018394690126498E-2</v>
      </c>
      <c r="R1887" s="135">
        <v>3.9969365347788798E-2</v>
      </c>
      <c r="S1887" s="135">
        <v>3.99658863599179E-2</v>
      </c>
      <c r="T1887" s="135">
        <v>3.9045081377494698E-2</v>
      </c>
      <c r="U1887" s="135">
        <v>4.0077521698087801E-2</v>
      </c>
      <c r="V1887" s="135">
        <v>3.9221224865863602E-2</v>
      </c>
      <c r="W1887" s="135">
        <v>3.8853105254750699E-2</v>
      </c>
      <c r="X1887" s="135">
        <v>4.00432537818948E-2</v>
      </c>
      <c r="Y1887" s="135">
        <v>4.1934375238353402E-2</v>
      </c>
      <c r="Z1887" s="135">
        <v>4.2981470620620098E-2</v>
      </c>
      <c r="AA1887" s="135">
        <v>4.8538762569812703E-2</v>
      </c>
      <c r="AB1887" s="135">
        <v>4.6612356542947098E-2</v>
      </c>
      <c r="AC1887" s="135">
        <v>4.4834461185171898E-2</v>
      </c>
      <c r="AD1887" s="135">
        <v>4.4191562253392797E-2</v>
      </c>
      <c r="AF1887" s="243">
        <f t="shared" si="36"/>
        <v>0.27915057959403006</v>
      </c>
      <c r="AG1887" s="275">
        <f t="shared" si="37"/>
        <v>0.52813178257153615</v>
      </c>
      <c r="AH1887" s="391">
        <f t="shared" si="38"/>
        <v>0.43802234235023069</v>
      </c>
      <c r="AI1887" s="135">
        <f t="shared" si="39"/>
        <v>0.96615412492176689</v>
      </c>
    </row>
    <row r="1888" spans="1:35" ht="12.6">
      <c r="A1888" s="10" t="s">
        <v>865</v>
      </c>
      <c r="B1888" s="10">
        <v>62</v>
      </c>
      <c r="C1888" s="10" t="s">
        <v>1513</v>
      </c>
      <c r="D1888" s="388">
        <v>44988</v>
      </c>
      <c r="E1888" s="389">
        <v>44988</v>
      </c>
      <c r="F1888" s="390" t="str">
        <f t="shared" si="35"/>
        <v>Whitegoods</v>
      </c>
      <c r="G1888" s="135">
        <v>3.9540899397851902E-2</v>
      </c>
      <c r="H1888" s="135">
        <v>3.4441117306073001E-2</v>
      </c>
      <c r="I1888" s="135">
        <v>3.2805054493349001E-2</v>
      </c>
      <c r="J1888" s="135">
        <v>3.2898878042348402E-2</v>
      </c>
      <c r="K1888" s="135">
        <v>3.2592638252061899E-2</v>
      </c>
      <c r="L1888" s="135">
        <v>3.32561900459694E-2</v>
      </c>
      <c r="M1888" s="135">
        <v>3.6408162039203197E-2</v>
      </c>
      <c r="N1888" s="135">
        <v>4.4167363588005402E-2</v>
      </c>
      <c r="O1888" s="135">
        <v>4.7160489113982101E-2</v>
      </c>
      <c r="P1888" s="135">
        <v>4.45965108566998E-2</v>
      </c>
      <c r="Q1888" s="135">
        <v>4.2018394690126498E-2</v>
      </c>
      <c r="R1888" s="135">
        <v>3.9969365347788798E-2</v>
      </c>
      <c r="S1888" s="135">
        <v>3.99658863599179E-2</v>
      </c>
      <c r="T1888" s="135">
        <v>3.9045081377494698E-2</v>
      </c>
      <c r="U1888" s="135">
        <v>4.0077521698087801E-2</v>
      </c>
      <c r="V1888" s="135">
        <v>3.9221224865863602E-2</v>
      </c>
      <c r="W1888" s="135">
        <v>3.8853105254750699E-2</v>
      </c>
      <c r="X1888" s="135">
        <v>4.00432537818948E-2</v>
      </c>
      <c r="Y1888" s="135">
        <v>4.1934375238353402E-2</v>
      </c>
      <c r="Z1888" s="135">
        <v>4.2981470620620098E-2</v>
      </c>
      <c r="AA1888" s="135">
        <v>4.8538762569812703E-2</v>
      </c>
      <c r="AB1888" s="135">
        <v>4.6612356542947098E-2</v>
      </c>
      <c r="AC1888" s="135">
        <v>4.4834461185171898E-2</v>
      </c>
      <c r="AD1888" s="135">
        <v>4.4191562253392797E-2</v>
      </c>
      <c r="AF1888" s="243">
        <f t="shared" si="36"/>
        <v>0.27915057959403006</v>
      </c>
      <c r="AG1888" s="275">
        <f t="shared" si="37"/>
        <v>0.52813178257153615</v>
      </c>
      <c r="AH1888" s="391">
        <f t="shared" si="38"/>
        <v>0.43802234235023069</v>
      </c>
      <c r="AI1888" s="135">
        <f t="shared" si="39"/>
        <v>0.96615412492176689</v>
      </c>
    </row>
    <row r="1889" spans="1:35" ht="12.6">
      <c r="A1889" s="10" t="s">
        <v>865</v>
      </c>
      <c r="B1889" s="10">
        <v>63</v>
      </c>
      <c r="C1889" s="10" t="s">
        <v>1513</v>
      </c>
      <c r="D1889" s="388">
        <v>44989</v>
      </c>
      <c r="E1889" s="389">
        <v>44989</v>
      </c>
      <c r="F1889" s="390" t="str">
        <f t="shared" si="35"/>
        <v>Whitegoods</v>
      </c>
      <c r="G1889" s="135">
        <v>3.8675030232270098E-2</v>
      </c>
      <c r="H1889" s="135">
        <v>3.55322612102002E-2</v>
      </c>
      <c r="I1889" s="135">
        <v>3.3139384245641598E-2</v>
      </c>
      <c r="J1889" s="135">
        <v>3.29804345361462E-2</v>
      </c>
      <c r="K1889" s="135">
        <v>3.3148795046366003E-2</v>
      </c>
      <c r="L1889" s="135">
        <v>3.2567491785127398E-2</v>
      </c>
      <c r="M1889" s="135">
        <v>3.5612089492824101E-2</v>
      </c>
      <c r="N1889" s="135">
        <v>3.7279529047746202E-2</v>
      </c>
      <c r="O1889" s="135">
        <v>4.6354250533552403E-2</v>
      </c>
      <c r="P1889" s="135">
        <v>5.7319514184018303E-2</v>
      </c>
      <c r="Q1889" s="135">
        <v>6.2861675919120105E-2</v>
      </c>
      <c r="R1889" s="135">
        <v>5.8319668956649098E-2</v>
      </c>
      <c r="S1889" s="135">
        <v>5.4658811056063801E-2</v>
      </c>
      <c r="T1889" s="135">
        <v>5.3825159445475598E-2</v>
      </c>
      <c r="U1889" s="135">
        <v>4.8807650489533699E-2</v>
      </c>
      <c r="V1889" s="135">
        <v>4.8574696442779897E-2</v>
      </c>
      <c r="W1889" s="135">
        <v>4.8080883677992903E-2</v>
      </c>
      <c r="X1889" s="135">
        <v>4.6774755070729403E-2</v>
      </c>
      <c r="Y1889" s="135">
        <v>4.7239808210564303E-2</v>
      </c>
      <c r="Z1889" s="135">
        <v>4.6088186903114003E-2</v>
      </c>
      <c r="AA1889" s="135">
        <v>4.9160191263616697E-2</v>
      </c>
      <c r="AB1889" s="135">
        <v>5.0427537739012603E-2</v>
      </c>
      <c r="AC1889" s="135">
        <v>4.4889667203693598E-2</v>
      </c>
      <c r="AD1889" s="135">
        <v>4.26482483628133E-2</v>
      </c>
      <c r="AF1889" s="243">
        <f t="shared" si="36"/>
        <v>0.37512854598761514</v>
      </c>
      <c r="AG1889" s="275">
        <f t="shared" si="37"/>
        <v>0.58314060322692851</v>
      </c>
      <c r="AH1889" s="391">
        <f t="shared" si="38"/>
        <v>0.50182511782812311</v>
      </c>
      <c r="AI1889" s="135">
        <f t="shared" si="39"/>
        <v>1.0849657210550516</v>
      </c>
    </row>
    <row r="1890" spans="1:35" ht="12.6">
      <c r="A1890" s="10" t="s">
        <v>865</v>
      </c>
      <c r="B1890" s="10">
        <v>64</v>
      </c>
      <c r="C1890" s="10" t="s">
        <v>1513</v>
      </c>
      <c r="D1890" s="388">
        <v>44990</v>
      </c>
      <c r="E1890" s="389">
        <v>44990</v>
      </c>
      <c r="F1890" s="390" t="str">
        <f t="shared" si="35"/>
        <v>Whitegoods</v>
      </c>
      <c r="G1890" s="135">
        <v>3.8675030232270098E-2</v>
      </c>
      <c r="H1890" s="135">
        <v>3.55322612102002E-2</v>
      </c>
      <c r="I1890" s="135">
        <v>3.3139384245641598E-2</v>
      </c>
      <c r="J1890" s="135">
        <v>3.29804345361462E-2</v>
      </c>
      <c r="K1890" s="135">
        <v>3.3148795046366003E-2</v>
      </c>
      <c r="L1890" s="135">
        <v>3.2567491785127398E-2</v>
      </c>
      <c r="M1890" s="135">
        <v>3.5612089492824101E-2</v>
      </c>
      <c r="N1890" s="135">
        <v>3.7279529047746202E-2</v>
      </c>
      <c r="O1890" s="135">
        <v>4.6354250533552403E-2</v>
      </c>
      <c r="P1890" s="135">
        <v>5.7319514184018303E-2</v>
      </c>
      <c r="Q1890" s="135">
        <v>6.2861675919120105E-2</v>
      </c>
      <c r="R1890" s="135">
        <v>5.8319668956649098E-2</v>
      </c>
      <c r="S1890" s="135">
        <v>5.4658811056063801E-2</v>
      </c>
      <c r="T1890" s="135">
        <v>5.3825159445475598E-2</v>
      </c>
      <c r="U1890" s="135">
        <v>4.8807650489533699E-2</v>
      </c>
      <c r="V1890" s="135">
        <v>4.8574696442779897E-2</v>
      </c>
      <c r="W1890" s="135">
        <v>4.8080883677992903E-2</v>
      </c>
      <c r="X1890" s="135">
        <v>4.6774755070729403E-2</v>
      </c>
      <c r="Y1890" s="135">
        <v>4.7239808210564303E-2</v>
      </c>
      <c r="Z1890" s="135">
        <v>4.6088186903114003E-2</v>
      </c>
      <c r="AA1890" s="135">
        <v>4.9160191263616697E-2</v>
      </c>
      <c r="AB1890" s="135">
        <v>5.0427537739012603E-2</v>
      </c>
      <c r="AC1890" s="135">
        <v>4.4889667203693598E-2</v>
      </c>
      <c r="AD1890" s="135">
        <v>4.26482483628133E-2</v>
      </c>
      <c r="AF1890" s="243">
        <f t="shared" si="36"/>
        <v>0.37512854598761514</v>
      </c>
      <c r="AG1890" s="275">
        <f t="shared" si="37"/>
        <v>0.58314060322692851</v>
      </c>
      <c r="AH1890" s="391">
        <f t="shared" si="38"/>
        <v>0.50182511782812311</v>
      </c>
      <c r="AI1890" s="135">
        <f t="shared" si="39"/>
        <v>1.0849657210550516</v>
      </c>
    </row>
    <row r="1891" spans="1:35" ht="12.6">
      <c r="A1891" s="10" t="s">
        <v>865</v>
      </c>
      <c r="B1891" s="10">
        <v>65</v>
      </c>
      <c r="C1891" s="10" t="s">
        <v>1513</v>
      </c>
      <c r="D1891" s="388">
        <v>44991</v>
      </c>
      <c r="E1891" s="389">
        <v>44991</v>
      </c>
      <c r="F1891" s="390" t="str">
        <f t="shared" si="35"/>
        <v>Whitegoods</v>
      </c>
      <c r="G1891" s="135">
        <v>3.9540899397851902E-2</v>
      </c>
      <c r="H1891" s="135">
        <v>3.4441117306073001E-2</v>
      </c>
      <c r="I1891" s="135">
        <v>3.2805054493349001E-2</v>
      </c>
      <c r="J1891" s="135">
        <v>3.2898878042348402E-2</v>
      </c>
      <c r="K1891" s="135">
        <v>3.2592638252061899E-2</v>
      </c>
      <c r="L1891" s="135">
        <v>3.32561900459694E-2</v>
      </c>
      <c r="M1891" s="135">
        <v>3.6408162039203197E-2</v>
      </c>
      <c r="N1891" s="135">
        <v>4.4167363588005402E-2</v>
      </c>
      <c r="O1891" s="135">
        <v>4.7160489113982101E-2</v>
      </c>
      <c r="P1891" s="135">
        <v>4.45965108566998E-2</v>
      </c>
      <c r="Q1891" s="135">
        <v>4.2018394690126498E-2</v>
      </c>
      <c r="R1891" s="135">
        <v>3.9969365347788798E-2</v>
      </c>
      <c r="S1891" s="135">
        <v>3.99658863599179E-2</v>
      </c>
      <c r="T1891" s="135">
        <v>3.9045081377494698E-2</v>
      </c>
      <c r="U1891" s="135">
        <v>4.0077521698087801E-2</v>
      </c>
      <c r="V1891" s="135">
        <v>3.9221224865863602E-2</v>
      </c>
      <c r="W1891" s="135">
        <v>3.8853105254750699E-2</v>
      </c>
      <c r="X1891" s="135">
        <v>4.00432537818948E-2</v>
      </c>
      <c r="Y1891" s="135">
        <v>4.1934375238353402E-2</v>
      </c>
      <c r="Z1891" s="135">
        <v>4.2981470620620098E-2</v>
      </c>
      <c r="AA1891" s="135">
        <v>4.8538762569812703E-2</v>
      </c>
      <c r="AB1891" s="135">
        <v>4.6612356542947098E-2</v>
      </c>
      <c r="AC1891" s="135">
        <v>4.4834461185171898E-2</v>
      </c>
      <c r="AD1891" s="135">
        <v>4.4191562253392797E-2</v>
      </c>
      <c r="AF1891" s="243">
        <f t="shared" si="36"/>
        <v>0.27915057959403006</v>
      </c>
      <c r="AG1891" s="275">
        <f t="shared" si="37"/>
        <v>0.52813178257153615</v>
      </c>
      <c r="AH1891" s="391">
        <f t="shared" si="38"/>
        <v>0.43802234235023069</v>
      </c>
      <c r="AI1891" s="135">
        <f t="shared" si="39"/>
        <v>0.96615412492176689</v>
      </c>
    </row>
    <row r="1892" spans="1:35" ht="12.6">
      <c r="A1892" s="10" t="s">
        <v>865</v>
      </c>
      <c r="B1892" s="10">
        <v>66</v>
      </c>
      <c r="C1892" s="10" t="s">
        <v>1513</v>
      </c>
      <c r="D1892" s="388">
        <v>44992</v>
      </c>
      <c r="E1892" s="389">
        <v>44992</v>
      </c>
      <c r="F1892" s="390" t="str">
        <f t="shared" si="35"/>
        <v>Whitegoods</v>
      </c>
      <c r="G1892" s="135">
        <v>3.9540899397851902E-2</v>
      </c>
      <c r="H1892" s="135">
        <v>3.4441117306073001E-2</v>
      </c>
      <c r="I1892" s="135">
        <v>3.2805054493349001E-2</v>
      </c>
      <c r="J1892" s="135">
        <v>3.2898878042348402E-2</v>
      </c>
      <c r="K1892" s="135">
        <v>3.2592638252061899E-2</v>
      </c>
      <c r="L1892" s="135">
        <v>3.32561900459694E-2</v>
      </c>
      <c r="M1892" s="135">
        <v>3.6408162039203197E-2</v>
      </c>
      <c r="N1892" s="135">
        <v>4.4167363588005402E-2</v>
      </c>
      <c r="O1892" s="135">
        <v>4.7160489113982101E-2</v>
      </c>
      <c r="P1892" s="135">
        <v>4.45965108566998E-2</v>
      </c>
      <c r="Q1892" s="135">
        <v>4.2018394690126498E-2</v>
      </c>
      <c r="R1892" s="135">
        <v>3.9969365347788798E-2</v>
      </c>
      <c r="S1892" s="135">
        <v>3.99658863599179E-2</v>
      </c>
      <c r="T1892" s="135">
        <v>3.9045081377494698E-2</v>
      </c>
      <c r="U1892" s="135">
        <v>4.0077521698087801E-2</v>
      </c>
      <c r="V1892" s="135">
        <v>3.9221224865863602E-2</v>
      </c>
      <c r="W1892" s="135">
        <v>3.8853105254750699E-2</v>
      </c>
      <c r="X1892" s="135">
        <v>4.00432537818948E-2</v>
      </c>
      <c r="Y1892" s="135">
        <v>4.1934375238353402E-2</v>
      </c>
      <c r="Z1892" s="135">
        <v>4.2981470620620098E-2</v>
      </c>
      <c r="AA1892" s="135">
        <v>4.8538762569812703E-2</v>
      </c>
      <c r="AB1892" s="135">
        <v>4.6612356542947098E-2</v>
      </c>
      <c r="AC1892" s="135">
        <v>4.4834461185171898E-2</v>
      </c>
      <c r="AD1892" s="135">
        <v>4.4191562253392797E-2</v>
      </c>
      <c r="AF1892" s="243">
        <f t="shared" si="36"/>
        <v>0.27915057959403006</v>
      </c>
      <c r="AG1892" s="275">
        <f t="shared" si="37"/>
        <v>0.52813178257153615</v>
      </c>
      <c r="AH1892" s="391">
        <f t="shared" si="38"/>
        <v>0.43802234235023069</v>
      </c>
      <c r="AI1892" s="135">
        <f t="shared" si="39"/>
        <v>0.96615412492176689</v>
      </c>
    </row>
    <row r="1893" spans="1:35" ht="12.6">
      <c r="A1893" s="10" t="s">
        <v>865</v>
      </c>
      <c r="B1893" s="10">
        <v>67</v>
      </c>
      <c r="C1893" s="10" t="s">
        <v>1513</v>
      </c>
      <c r="D1893" s="388">
        <v>44993</v>
      </c>
      <c r="E1893" s="389">
        <v>44993</v>
      </c>
      <c r="F1893" s="390" t="str">
        <f t="shared" si="35"/>
        <v>Whitegoods</v>
      </c>
      <c r="G1893" s="135">
        <v>3.9540899397851902E-2</v>
      </c>
      <c r="H1893" s="135">
        <v>3.4441117306073001E-2</v>
      </c>
      <c r="I1893" s="135">
        <v>3.2805054493349001E-2</v>
      </c>
      <c r="J1893" s="135">
        <v>3.2898878042348402E-2</v>
      </c>
      <c r="K1893" s="135">
        <v>3.2592638252061899E-2</v>
      </c>
      <c r="L1893" s="135">
        <v>3.32561900459694E-2</v>
      </c>
      <c r="M1893" s="135">
        <v>3.6408162039203197E-2</v>
      </c>
      <c r="N1893" s="135">
        <v>4.4167363588005402E-2</v>
      </c>
      <c r="O1893" s="135">
        <v>4.7160489113982101E-2</v>
      </c>
      <c r="P1893" s="135">
        <v>4.45965108566998E-2</v>
      </c>
      <c r="Q1893" s="135">
        <v>4.2018394690126498E-2</v>
      </c>
      <c r="R1893" s="135">
        <v>3.9969365347788798E-2</v>
      </c>
      <c r="S1893" s="135">
        <v>3.99658863599179E-2</v>
      </c>
      <c r="T1893" s="135">
        <v>3.9045081377494698E-2</v>
      </c>
      <c r="U1893" s="135">
        <v>4.0077521698087801E-2</v>
      </c>
      <c r="V1893" s="135">
        <v>3.9221224865863602E-2</v>
      </c>
      <c r="W1893" s="135">
        <v>3.8853105254750699E-2</v>
      </c>
      <c r="X1893" s="135">
        <v>4.00432537818948E-2</v>
      </c>
      <c r="Y1893" s="135">
        <v>4.1934375238353402E-2</v>
      </c>
      <c r="Z1893" s="135">
        <v>4.2981470620620098E-2</v>
      </c>
      <c r="AA1893" s="135">
        <v>4.8538762569812703E-2</v>
      </c>
      <c r="AB1893" s="135">
        <v>4.6612356542947098E-2</v>
      </c>
      <c r="AC1893" s="135">
        <v>4.4834461185171898E-2</v>
      </c>
      <c r="AD1893" s="135">
        <v>4.4191562253392797E-2</v>
      </c>
      <c r="AF1893" s="243">
        <f t="shared" si="36"/>
        <v>0.27915057959403006</v>
      </c>
      <c r="AG1893" s="275">
        <f t="shared" si="37"/>
        <v>0.52813178257153615</v>
      </c>
      <c r="AH1893" s="391">
        <f t="shared" si="38"/>
        <v>0.43802234235023069</v>
      </c>
      <c r="AI1893" s="135">
        <f t="shared" si="39"/>
        <v>0.96615412492176689</v>
      </c>
    </row>
    <row r="1894" spans="1:35" ht="12.6">
      <c r="A1894" s="10" t="s">
        <v>865</v>
      </c>
      <c r="B1894" s="10">
        <v>68</v>
      </c>
      <c r="C1894" s="10" t="s">
        <v>1513</v>
      </c>
      <c r="D1894" s="388">
        <v>44994</v>
      </c>
      <c r="E1894" s="389">
        <v>44994</v>
      </c>
      <c r="F1894" s="390" t="str">
        <f t="shared" si="35"/>
        <v>Whitegoods</v>
      </c>
      <c r="G1894" s="135">
        <v>3.9540899397851902E-2</v>
      </c>
      <c r="H1894" s="135">
        <v>3.4441117306073001E-2</v>
      </c>
      <c r="I1894" s="135">
        <v>3.2805054493349001E-2</v>
      </c>
      <c r="J1894" s="135">
        <v>3.2898878042348402E-2</v>
      </c>
      <c r="K1894" s="135">
        <v>3.2592638252061899E-2</v>
      </c>
      <c r="L1894" s="135">
        <v>3.32561900459694E-2</v>
      </c>
      <c r="M1894" s="135">
        <v>3.6408162039203197E-2</v>
      </c>
      <c r="N1894" s="135">
        <v>4.4167363588005402E-2</v>
      </c>
      <c r="O1894" s="135">
        <v>4.7160489113982101E-2</v>
      </c>
      <c r="P1894" s="135">
        <v>4.45965108566998E-2</v>
      </c>
      <c r="Q1894" s="135">
        <v>4.2018394690126498E-2</v>
      </c>
      <c r="R1894" s="135">
        <v>3.9969365347788798E-2</v>
      </c>
      <c r="S1894" s="135">
        <v>3.99658863599179E-2</v>
      </c>
      <c r="T1894" s="135">
        <v>3.9045081377494698E-2</v>
      </c>
      <c r="U1894" s="135">
        <v>4.0077521698087801E-2</v>
      </c>
      <c r="V1894" s="135">
        <v>3.9221224865863602E-2</v>
      </c>
      <c r="W1894" s="135">
        <v>3.8853105254750699E-2</v>
      </c>
      <c r="X1894" s="135">
        <v>4.00432537818948E-2</v>
      </c>
      <c r="Y1894" s="135">
        <v>4.1934375238353402E-2</v>
      </c>
      <c r="Z1894" s="135">
        <v>4.2981470620620098E-2</v>
      </c>
      <c r="AA1894" s="135">
        <v>4.8538762569812703E-2</v>
      </c>
      <c r="AB1894" s="135">
        <v>4.6612356542947098E-2</v>
      </c>
      <c r="AC1894" s="135">
        <v>4.4834461185171898E-2</v>
      </c>
      <c r="AD1894" s="135">
        <v>4.4191562253392797E-2</v>
      </c>
      <c r="AF1894" s="243">
        <f t="shared" si="36"/>
        <v>0.27915057959403006</v>
      </c>
      <c r="AG1894" s="275">
        <f t="shared" si="37"/>
        <v>0.52813178257153615</v>
      </c>
      <c r="AH1894" s="391">
        <f t="shared" si="38"/>
        <v>0.43802234235023069</v>
      </c>
      <c r="AI1894" s="135">
        <f t="shared" si="39"/>
        <v>0.96615412492176689</v>
      </c>
    </row>
    <row r="1895" spans="1:35" ht="12.6">
      <c r="A1895" s="10" t="s">
        <v>865</v>
      </c>
      <c r="B1895" s="10">
        <v>69</v>
      </c>
      <c r="C1895" s="10" t="s">
        <v>1513</v>
      </c>
      <c r="D1895" s="388">
        <v>44995</v>
      </c>
      <c r="E1895" s="389">
        <v>44995</v>
      </c>
      <c r="F1895" s="390" t="str">
        <f t="shared" si="35"/>
        <v>Whitegoods</v>
      </c>
      <c r="G1895" s="135">
        <v>3.9540899397851902E-2</v>
      </c>
      <c r="H1895" s="135">
        <v>3.4441117306073001E-2</v>
      </c>
      <c r="I1895" s="135">
        <v>3.2805054493349001E-2</v>
      </c>
      <c r="J1895" s="135">
        <v>3.2898878042348402E-2</v>
      </c>
      <c r="K1895" s="135">
        <v>3.2592638252061899E-2</v>
      </c>
      <c r="L1895" s="135">
        <v>3.32561900459694E-2</v>
      </c>
      <c r="M1895" s="135">
        <v>3.6408162039203197E-2</v>
      </c>
      <c r="N1895" s="135">
        <v>4.4167363588005402E-2</v>
      </c>
      <c r="O1895" s="135">
        <v>4.7160489113982101E-2</v>
      </c>
      <c r="P1895" s="135">
        <v>4.45965108566998E-2</v>
      </c>
      <c r="Q1895" s="135">
        <v>4.2018394690126498E-2</v>
      </c>
      <c r="R1895" s="135">
        <v>3.9969365347788798E-2</v>
      </c>
      <c r="S1895" s="135">
        <v>3.99658863599179E-2</v>
      </c>
      <c r="T1895" s="135">
        <v>3.9045081377494698E-2</v>
      </c>
      <c r="U1895" s="135">
        <v>4.0077521698087801E-2</v>
      </c>
      <c r="V1895" s="135">
        <v>3.9221224865863602E-2</v>
      </c>
      <c r="W1895" s="135">
        <v>3.8853105254750699E-2</v>
      </c>
      <c r="X1895" s="135">
        <v>4.00432537818948E-2</v>
      </c>
      <c r="Y1895" s="135">
        <v>4.1934375238353402E-2</v>
      </c>
      <c r="Z1895" s="135">
        <v>4.2981470620620098E-2</v>
      </c>
      <c r="AA1895" s="135">
        <v>4.8538762569812703E-2</v>
      </c>
      <c r="AB1895" s="135">
        <v>4.6612356542947098E-2</v>
      </c>
      <c r="AC1895" s="135">
        <v>4.4834461185171898E-2</v>
      </c>
      <c r="AD1895" s="135">
        <v>4.4191562253392797E-2</v>
      </c>
      <c r="AF1895" s="243">
        <f t="shared" si="36"/>
        <v>0.27915057959403006</v>
      </c>
      <c r="AG1895" s="275">
        <f t="shared" si="37"/>
        <v>0.52813178257153615</v>
      </c>
      <c r="AH1895" s="391">
        <f t="shared" si="38"/>
        <v>0.43802234235023069</v>
      </c>
      <c r="AI1895" s="135">
        <f t="shared" si="39"/>
        <v>0.96615412492176689</v>
      </c>
    </row>
    <row r="1896" spans="1:35" ht="12.6">
      <c r="A1896" s="10" t="s">
        <v>865</v>
      </c>
      <c r="B1896" s="10">
        <v>70</v>
      </c>
      <c r="C1896" s="10" t="s">
        <v>1513</v>
      </c>
      <c r="D1896" s="388">
        <v>44996</v>
      </c>
      <c r="E1896" s="389">
        <v>44996</v>
      </c>
      <c r="F1896" s="390" t="str">
        <f t="shared" si="35"/>
        <v>Whitegoods</v>
      </c>
      <c r="G1896" s="135">
        <v>3.8675030232270098E-2</v>
      </c>
      <c r="H1896" s="135">
        <v>3.55322612102002E-2</v>
      </c>
      <c r="I1896" s="135">
        <v>3.3139384245641598E-2</v>
      </c>
      <c r="J1896" s="135">
        <v>3.29804345361462E-2</v>
      </c>
      <c r="K1896" s="135">
        <v>3.3148795046366003E-2</v>
      </c>
      <c r="L1896" s="135">
        <v>3.2567491785127398E-2</v>
      </c>
      <c r="M1896" s="135">
        <v>3.5612089492824101E-2</v>
      </c>
      <c r="N1896" s="135">
        <v>3.7279529047746202E-2</v>
      </c>
      <c r="O1896" s="135">
        <v>4.6354250533552403E-2</v>
      </c>
      <c r="P1896" s="135">
        <v>5.7319514184018303E-2</v>
      </c>
      <c r="Q1896" s="135">
        <v>6.2861675919120105E-2</v>
      </c>
      <c r="R1896" s="135">
        <v>5.8319668956649098E-2</v>
      </c>
      <c r="S1896" s="135">
        <v>5.4658811056063801E-2</v>
      </c>
      <c r="T1896" s="135">
        <v>5.3825159445475598E-2</v>
      </c>
      <c r="U1896" s="135">
        <v>4.8807650489533699E-2</v>
      </c>
      <c r="V1896" s="135">
        <v>4.8574696442779897E-2</v>
      </c>
      <c r="W1896" s="135">
        <v>4.8080883677992903E-2</v>
      </c>
      <c r="X1896" s="135">
        <v>4.6774755070729403E-2</v>
      </c>
      <c r="Y1896" s="135">
        <v>4.7239808210564303E-2</v>
      </c>
      <c r="Z1896" s="135">
        <v>4.6088186903114003E-2</v>
      </c>
      <c r="AA1896" s="135">
        <v>4.9160191263616697E-2</v>
      </c>
      <c r="AB1896" s="135">
        <v>5.0427537739012603E-2</v>
      </c>
      <c r="AC1896" s="135">
        <v>4.4889667203693598E-2</v>
      </c>
      <c r="AD1896" s="135">
        <v>4.26482483628133E-2</v>
      </c>
      <c r="AF1896" s="243">
        <f t="shared" si="36"/>
        <v>0.37512854598761514</v>
      </c>
      <c r="AG1896" s="275">
        <f t="shared" si="37"/>
        <v>0.58314060322692851</v>
      </c>
      <c r="AH1896" s="391">
        <f t="shared" si="38"/>
        <v>0.50182511782812311</v>
      </c>
      <c r="AI1896" s="135">
        <f t="shared" si="39"/>
        <v>1.0849657210550516</v>
      </c>
    </row>
    <row r="1897" spans="1:35" ht="12.6">
      <c r="A1897" s="10" t="s">
        <v>865</v>
      </c>
      <c r="B1897" s="10">
        <v>71</v>
      </c>
      <c r="C1897" s="10" t="s">
        <v>1513</v>
      </c>
      <c r="D1897" s="388">
        <v>44997</v>
      </c>
      <c r="E1897" s="389">
        <v>44997</v>
      </c>
      <c r="F1897" s="390" t="str">
        <f t="shared" si="35"/>
        <v>Whitegoods</v>
      </c>
      <c r="G1897" s="135">
        <v>3.8675030232270098E-2</v>
      </c>
      <c r="H1897" s="135">
        <v>3.55322612102002E-2</v>
      </c>
      <c r="I1897" s="135">
        <v>3.3139384245641598E-2</v>
      </c>
      <c r="J1897" s="135">
        <v>3.29804345361462E-2</v>
      </c>
      <c r="K1897" s="135">
        <v>3.3148795046366003E-2</v>
      </c>
      <c r="L1897" s="135">
        <v>3.2567491785127398E-2</v>
      </c>
      <c r="M1897" s="135">
        <v>3.5612089492824101E-2</v>
      </c>
      <c r="N1897" s="135">
        <v>3.7279529047746202E-2</v>
      </c>
      <c r="O1897" s="135">
        <v>4.6354250533552403E-2</v>
      </c>
      <c r="P1897" s="135">
        <v>5.7319514184018303E-2</v>
      </c>
      <c r="Q1897" s="135">
        <v>6.2861675919120105E-2</v>
      </c>
      <c r="R1897" s="135">
        <v>5.8319668956649098E-2</v>
      </c>
      <c r="S1897" s="135">
        <v>5.4658811056063801E-2</v>
      </c>
      <c r="T1897" s="135">
        <v>5.3825159445475598E-2</v>
      </c>
      <c r="U1897" s="135">
        <v>4.8807650489533699E-2</v>
      </c>
      <c r="V1897" s="135">
        <v>4.8574696442779897E-2</v>
      </c>
      <c r="W1897" s="135">
        <v>4.8080883677992903E-2</v>
      </c>
      <c r="X1897" s="135">
        <v>4.6774755070729403E-2</v>
      </c>
      <c r="Y1897" s="135">
        <v>4.7239808210564303E-2</v>
      </c>
      <c r="Z1897" s="135">
        <v>4.6088186903114003E-2</v>
      </c>
      <c r="AA1897" s="135">
        <v>4.9160191263616697E-2</v>
      </c>
      <c r="AB1897" s="135">
        <v>5.0427537739012603E-2</v>
      </c>
      <c r="AC1897" s="135">
        <v>4.4889667203693598E-2</v>
      </c>
      <c r="AD1897" s="135">
        <v>4.26482483628133E-2</v>
      </c>
      <c r="AF1897" s="243">
        <f t="shared" si="36"/>
        <v>0.37512854598761514</v>
      </c>
      <c r="AG1897" s="275">
        <f t="shared" si="37"/>
        <v>0.58314060322692851</v>
      </c>
      <c r="AH1897" s="391">
        <f t="shared" si="38"/>
        <v>0.50182511782812311</v>
      </c>
      <c r="AI1897" s="135">
        <f t="shared" si="39"/>
        <v>1.0849657210550516</v>
      </c>
    </row>
    <row r="1898" spans="1:35" ht="12.6">
      <c r="A1898" s="10" t="s">
        <v>865</v>
      </c>
      <c r="B1898" s="10">
        <v>72</v>
      </c>
      <c r="C1898" s="10" t="s">
        <v>1513</v>
      </c>
      <c r="D1898" s="388">
        <v>44998</v>
      </c>
      <c r="E1898" s="389">
        <v>44998</v>
      </c>
      <c r="F1898" s="390" t="str">
        <f t="shared" si="35"/>
        <v>Whitegoods</v>
      </c>
      <c r="G1898" s="135">
        <v>3.9540899397851902E-2</v>
      </c>
      <c r="H1898" s="135">
        <v>3.4441117306073001E-2</v>
      </c>
      <c r="I1898" s="135">
        <v>3.2805054493349001E-2</v>
      </c>
      <c r="J1898" s="135">
        <v>3.2898878042348402E-2</v>
      </c>
      <c r="K1898" s="135">
        <v>3.2592638252061899E-2</v>
      </c>
      <c r="L1898" s="135">
        <v>3.32561900459694E-2</v>
      </c>
      <c r="M1898" s="135">
        <v>3.6408162039203197E-2</v>
      </c>
      <c r="N1898" s="135">
        <v>4.4167363588005402E-2</v>
      </c>
      <c r="O1898" s="135">
        <v>4.7160489113982101E-2</v>
      </c>
      <c r="P1898" s="135">
        <v>4.45965108566998E-2</v>
      </c>
      <c r="Q1898" s="135">
        <v>4.2018394690126498E-2</v>
      </c>
      <c r="R1898" s="135">
        <v>3.9969365347788798E-2</v>
      </c>
      <c r="S1898" s="135">
        <v>3.99658863599179E-2</v>
      </c>
      <c r="T1898" s="135">
        <v>3.9045081377494698E-2</v>
      </c>
      <c r="U1898" s="135">
        <v>4.0077521698087801E-2</v>
      </c>
      <c r="V1898" s="135">
        <v>3.9221224865863602E-2</v>
      </c>
      <c r="W1898" s="135">
        <v>3.8853105254750699E-2</v>
      </c>
      <c r="X1898" s="135">
        <v>4.00432537818948E-2</v>
      </c>
      <c r="Y1898" s="135">
        <v>4.1934375238353402E-2</v>
      </c>
      <c r="Z1898" s="135">
        <v>4.2981470620620098E-2</v>
      </c>
      <c r="AA1898" s="135">
        <v>4.8538762569812703E-2</v>
      </c>
      <c r="AB1898" s="135">
        <v>4.6612356542947098E-2</v>
      </c>
      <c r="AC1898" s="135">
        <v>4.4834461185171898E-2</v>
      </c>
      <c r="AD1898" s="135">
        <v>4.4191562253392797E-2</v>
      </c>
      <c r="AF1898" s="243">
        <f t="shared" si="36"/>
        <v>0.27915057959403006</v>
      </c>
      <c r="AG1898" s="275">
        <f t="shared" si="37"/>
        <v>0.52813178257153615</v>
      </c>
      <c r="AH1898" s="391">
        <f t="shared" si="38"/>
        <v>0.43802234235023069</v>
      </c>
      <c r="AI1898" s="135">
        <f t="shared" si="39"/>
        <v>0.96615412492176689</v>
      </c>
    </row>
    <row r="1899" spans="1:35" ht="12.6">
      <c r="A1899" s="10" t="s">
        <v>865</v>
      </c>
      <c r="B1899" s="10">
        <v>73</v>
      </c>
      <c r="C1899" s="10" t="s">
        <v>1513</v>
      </c>
      <c r="D1899" s="388">
        <v>44999</v>
      </c>
      <c r="E1899" s="389">
        <v>44999</v>
      </c>
      <c r="F1899" s="390" t="str">
        <f t="shared" si="35"/>
        <v>Whitegoods</v>
      </c>
      <c r="G1899" s="135">
        <v>3.9540899397851902E-2</v>
      </c>
      <c r="H1899" s="135">
        <v>3.4441117306073001E-2</v>
      </c>
      <c r="I1899" s="135">
        <v>3.2805054493349001E-2</v>
      </c>
      <c r="J1899" s="135">
        <v>3.2898878042348402E-2</v>
      </c>
      <c r="K1899" s="135">
        <v>3.2592638252061899E-2</v>
      </c>
      <c r="L1899" s="135">
        <v>3.32561900459694E-2</v>
      </c>
      <c r="M1899" s="135">
        <v>3.6408162039203197E-2</v>
      </c>
      <c r="N1899" s="135">
        <v>4.4167363588005402E-2</v>
      </c>
      <c r="O1899" s="135">
        <v>4.7160489113982101E-2</v>
      </c>
      <c r="P1899" s="135">
        <v>4.45965108566998E-2</v>
      </c>
      <c r="Q1899" s="135">
        <v>4.2018394690126498E-2</v>
      </c>
      <c r="R1899" s="135">
        <v>3.9969365347788798E-2</v>
      </c>
      <c r="S1899" s="135">
        <v>3.99658863599179E-2</v>
      </c>
      <c r="T1899" s="135">
        <v>3.9045081377494698E-2</v>
      </c>
      <c r="U1899" s="135">
        <v>4.0077521698087801E-2</v>
      </c>
      <c r="V1899" s="135">
        <v>3.9221224865863602E-2</v>
      </c>
      <c r="W1899" s="135">
        <v>3.8853105254750699E-2</v>
      </c>
      <c r="X1899" s="135">
        <v>4.00432537818948E-2</v>
      </c>
      <c r="Y1899" s="135">
        <v>4.1934375238353402E-2</v>
      </c>
      <c r="Z1899" s="135">
        <v>4.2981470620620098E-2</v>
      </c>
      <c r="AA1899" s="135">
        <v>4.8538762569812703E-2</v>
      </c>
      <c r="AB1899" s="135">
        <v>4.6612356542947098E-2</v>
      </c>
      <c r="AC1899" s="135">
        <v>4.4834461185171898E-2</v>
      </c>
      <c r="AD1899" s="135">
        <v>4.4191562253392797E-2</v>
      </c>
      <c r="AF1899" s="243">
        <f t="shared" si="36"/>
        <v>0.27915057959403006</v>
      </c>
      <c r="AG1899" s="275">
        <f t="shared" si="37"/>
        <v>0.52813178257153615</v>
      </c>
      <c r="AH1899" s="391">
        <f t="shared" si="38"/>
        <v>0.43802234235023069</v>
      </c>
      <c r="AI1899" s="135">
        <f t="shared" si="39"/>
        <v>0.96615412492176689</v>
      </c>
    </row>
    <row r="1900" spans="1:35" ht="12.6">
      <c r="A1900" s="10" t="s">
        <v>865</v>
      </c>
      <c r="B1900" s="10">
        <v>74</v>
      </c>
      <c r="C1900" s="10" t="s">
        <v>1513</v>
      </c>
      <c r="D1900" s="388">
        <v>45000</v>
      </c>
      <c r="E1900" s="389">
        <v>45000</v>
      </c>
      <c r="F1900" s="390" t="str">
        <f t="shared" si="35"/>
        <v>Whitegoods</v>
      </c>
      <c r="G1900" s="135">
        <v>3.9540899397851902E-2</v>
      </c>
      <c r="H1900" s="135">
        <v>3.4441117306073001E-2</v>
      </c>
      <c r="I1900" s="135">
        <v>3.2805054493349001E-2</v>
      </c>
      <c r="J1900" s="135">
        <v>3.2898878042348402E-2</v>
      </c>
      <c r="K1900" s="135">
        <v>3.2592638252061899E-2</v>
      </c>
      <c r="L1900" s="135">
        <v>3.32561900459694E-2</v>
      </c>
      <c r="M1900" s="135">
        <v>3.6408162039203197E-2</v>
      </c>
      <c r="N1900" s="135">
        <v>4.4167363588005402E-2</v>
      </c>
      <c r="O1900" s="135">
        <v>4.7160489113982101E-2</v>
      </c>
      <c r="P1900" s="135">
        <v>4.45965108566998E-2</v>
      </c>
      <c r="Q1900" s="135">
        <v>4.2018394690126498E-2</v>
      </c>
      <c r="R1900" s="135">
        <v>3.9969365347788798E-2</v>
      </c>
      <c r="S1900" s="135">
        <v>3.99658863599179E-2</v>
      </c>
      <c r="T1900" s="135">
        <v>3.9045081377494698E-2</v>
      </c>
      <c r="U1900" s="135">
        <v>4.0077521698087801E-2</v>
      </c>
      <c r="V1900" s="135">
        <v>3.9221224865863602E-2</v>
      </c>
      <c r="W1900" s="135">
        <v>3.8853105254750699E-2</v>
      </c>
      <c r="X1900" s="135">
        <v>4.00432537818948E-2</v>
      </c>
      <c r="Y1900" s="135">
        <v>4.1934375238353402E-2</v>
      </c>
      <c r="Z1900" s="135">
        <v>4.2981470620620098E-2</v>
      </c>
      <c r="AA1900" s="135">
        <v>4.8538762569812703E-2</v>
      </c>
      <c r="AB1900" s="135">
        <v>4.6612356542947098E-2</v>
      </c>
      <c r="AC1900" s="135">
        <v>4.4834461185171898E-2</v>
      </c>
      <c r="AD1900" s="135">
        <v>4.4191562253392797E-2</v>
      </c>
      <c r="AF1900" s="243">
        <f t="shared" si="36"/>
        <v>0.27915057959403006</v>
      </c>
      <c r="AG1900" s="275">
        <f t="shared" si="37"/>
        <v>0.52813178257153615</v>
      </c>
      <c r="AH1900" s="391">
        <f t="shared" si="38"/>
        <v>0.43802234235023069</v>
      </c>
      <c r="AI1900" s="135">
        <f t="shared" si="39"/>
        <v>0.96615412492176689</v>
      </c>
    </row>
    <row r="1901" spans="1:35" ht="12.6">
      <c r="A1901" s="10" t="s">
        <v>865</v>
      </c>
      <c r="B1901" s="10">
        <v>75</v>
      </c>
      <c r="C1901" s="10" t="s">
        <v>1513</v>
      </c>
      <c r="D1901" s="388">
        <v>45001</v>
      </c>
      <c r="E1901" s="389">
        <v>45001</v>
      </c>
      <c r="F1901" s="390" t="str">
        <f t="shared" si="35"/>
        <v>Whitegoods</v>
      </c>
      <c r="G1901" s="135">
        <v>3.9540899397851902E-2</v>
      </c>
      <c r="H1901" s="135">
        <v>3.4441117306073001E-2</v>
      </c>
      <c r="I1901" s="135">
        <v>3.2805054493349001E-2</v>
      </c>
      <c r="J1901" s="135">
        <v>3.2898878042348402E-2</v>
      </c>
      <c r="K1901" s="135">
        <v>3.2592638252061899E-2</v>
      </c>
      <c r="L1901" s="135">
        <v>3.32561900459694E-2</v>
      </c>
      <c r="M1901" s="135">
        <v>3.6408162039203197E-2</v>
      </c>
      <c r="N1901" s="135">
        <v>4.4167363588005402E-2</v>
      </c>
      <c r="O1901" s="135">
        <v>4.7160489113982101E-2</v>
      </c>
      <c r="P1901" s="135">
        <v>4.45965108566998E-2</v>
      </c>
      <c r="Q1901" s="135">
        <v>4.2018394690126498E-2</v>
      </c>
      <c r="R1901" s="135">
        <v>3.9969365347788798E-2</v>
      </c>
      <c r="S1901" s="135">
        <v>3.99658863599179E-2</v>
      </c>
      <c r="T1901" s="135">
        <v>3.9045081377494698E-2</v>
      </c>
      <c r="U1901" s="135">
        <v>4.0077521698087801E-2</v>
      </c>
      <c r="V1901" s="135">
        <v>3.9221224865863602E-2</v>
      </c>
      <c r="W1901" s="135">
        <v>3.8853105254750699E-2</v>
      </c>
      <c r="X1901" s="135">
        <v>4.00432537818948E-2</v>
      </c>
      <c r="Y1901" s="135">
        <v>4.1934375238353402E-2</v>
      </c>
      <c r="Z1901" s="135">
        <v>4.2981470620620098E-2</v>
      </c>
      <c r="AA1901" s="135">
        <v>4.8538762569812703E-2</v>
      </c>
      <c r="AB1901" s="135">
        <v>4.6612356542947098E-2</v>
      </c>
      <c r="AC1901" s="135">
        <v>4.4834461185171898E-2</v>
      </c>
      <c r="AD1901" s="135">
        <v>4.4191562253392797E-2</v>
      </c>
      <c r="AF1901" s="243">
        <f t="shared" si="36"/>
        <v>0.27915057959403006</v>
      </c>
      <c r="AG1901" s="275">
        <f t="shared" si="37"/>
        <v>0.52813178257153615</v>
      </c>
      <c r="AH1901" s="391">
        <f t="shared" si="38"/>
        <v>0.43802234235023069</v>
      </c>
      <c r="AI1901" s="135">
        <f t="shared" si="39"/>
        <v>0.96615412492176689</v>
      </c>
    </row>
    <row r="1902" spans="1:35" ht="12.6">
      <c r="A1902" s="10" t="s">
        <v>865</v>
      </c>
      <c r="B1902" s="10">
        <v>76</v>
      </c>
      <c r="C1902" s="10" t="s">
        <v>1513</v>
      </c>
      <c r="D1902" s="388">
        <v>45002</v>
      </c>
      <c r="E1902" s="389">
        <v>45002</v>
      </c>
      <c r="F1902" s="390" t="str">
        <f t="shared" si="35"/>
        <v>Whitegoods</v>
      </c>
      <c r="G1902" s="135">
        <v>3.9540899397851902E-2</v>
      </c>
      <c r="H1902" s="135">
        <v>3.4441117306073001E-2</v>
      </c>
      <c r="I1902" s="135">
        <v>3.2805054493349001E-2</v>
      </c>
      <c r="J1902" s="135">
        <v>3.2898878042348402E-2</v>
      </c>
      <c r="K1902" s="135">
        <v>3.2592638252061899E-2</v>
      </c>
      <c r="L1902" s="135">
        <v>3.32561900459694E-2</v>
      </c>
      <c r="M1902" s="135">
        <v>3.6408162039203197E-2</v>
      </c>
      <c r="N1902" s="135">
        <v>4.4167363588005402E-2</v>
      </c>
      <c r="O1902" s="135">
        <v>4.7160489113982101E-2</v>
      </c>
      <c r="P1902" s="135">
        <v>4.45965108566998E-2</v>
      </c>
      <c r="Q1902" s="135">
        <v>4.2018394690126498E-2</v>
      </c>
      <c r="R1902" s="135">
        <v>3.9969365347788798E-2</v>
      </c>
      <c r="S1902" s="135">
        <v>3.99658863599179E-2</v>
      </c>
      <c r="T1902" s="135">
        <v>3.9045081377494698E-2</v>
      </c>
      <c r="U1902" s="135">
        <v>4.0077521698087801E-2</v>
      </c>
      <c r="V1902" s="135">
        <v>3.9221224865863602E-2</v>
      </c>
      <c r="W1902" s="135">
        <v>3.8853105254750699E-2</v>
      </c>
      <c r="X1902" s="135">
        <v>4.00432537818948E-2</v>
      </c>
      <c r="Y1902" s="135">
        <v>4.1934375238353402E-2</v>
      </c>
      <c r="Z1902" s="135">
        <v>4.2981470620620098E-2</v>
      </c>
      <c r="AA1902" s="135">
        <v>4.8538762569812703E-2</v>
      </c>
      <c r="AB1902" s="135">
        <v>4.6612356542947098E-2</v>
      </c>
      <c r="AC1902" s="135">
        <v>4.4834461185171898E-2</v>
      </c>
      <c r="AD1902" s="135">
        <v>4.4191562253392797E-2</v>
      </c>
      <c r="AF1902" s="243">
        <f t="shared" si="36"/>
        <v>0.27915057959403006</v>
      </c>
      <c r="AG1902" s="275">
        <f t="shared" si="37"/>
        <v>0.52813178257153615</v>
      </c>
      <c r="AH1902" s="391">
        <f t="shared" si="38"/>
        <v>0.43802234235023069</v>
      </c>
      <c r="AI1902" s="135">
        <f t="shared" si="39"/>
        <v>0.96615412492176689</v>
      </c>
    </row>
    <row r="1903" spans="1:35" ht="12.6">
      <c r="A1903" s="10" t="s">
        <v>865</v>
      </c>
      <c r="B1903" s="10">
        <v>77</v>
      </c>
      <c r="C1903" s="10" t="s">
        <v>1513</v>
      </c>
      <c r="D1903" s="388">
        <v>45003</v>
      </c>
      <c r="E1903" s="389">
        <v>45003</v>
      </c>
      <c r="F1903" s="390" t="str">
        <f t="shared" si="35"/>
        <v>Whitegoods</v>
      </c>
      <c r="G1903" s="135">
        <v>3.8675030232270098E-2</v>
      </c>
      <c r="H1903" s="135">
        <v>3.55322612102002E-2</v>
      </c>
      <c r="I1903" s="135">
        <v>3.3139384245641598E-2</v>
      </c>
      <c r="J1903" s="135">
        <v>3.29804345361462E-2</v>
      </c>
      <c r="K1903" s="135">
        <v>3.3148795046366003E-2</v>
      </c>
      <c r="L1903" s="135">
        <v>3.2567491785127398E-2</v>
      </c>
      <c r="M1903" s="135">
        <v>3.5612089492824101E-2</v>
      </c>
      <c r="N1903" s="135">
        <v>3.7279529047746202E-2</v>
      </c>
      <c r="O1903" s="135">
        <v>4.6354250533552403E-2</v>
      </c>
      <c r="P1903" s="135">
        <v>5.7319514184018303E-2</v>
      </c>
      <c r="Q1903" s="135">
        <v>6.2861675919120105E-2</v>
      </c>
      <c r="R1903" s="135">
        <v>5.8319668956649098E-2</v>
      </c>
      <c r="S1903" s="135">
        <v>5.4658811056063801E-2</v>
      </c>
      <c r="T1903" s="135">
        <v>5.3825159445475598E-2</v>
      </c>
      <c r="U1903" s="135">
        <v>4.8807650489533699E-2</v>
      </c>
      <c r="V1903" s="135">
        <v>4.8574696442779897E-2</v>
      </c>
      <c r="W1903" s="135">
        <v>4.8080883677992903E-2</v>
      </c>
      <c r="X1903" s="135">
        <v>4.6774755070729403E-2</v>
      </c>
      <c r="Y1903" s="135">
        <v>4.7239808210564303E-2</v>
      </c>
      <c r="Z1903" s="135">
        <v>4.6088186903114003E-2</v>
      </c>
      <c r="AA1903" s="135">
        <v>4.9160191263616697E-2</v>
      </c>
      <c r="AB1903" s="135">
        <v>5.0427537739012603E-2</v>
      </c>
      <c r="AC1903" s="135">
        <v>4.4889667203693598E-2</v>
      </c>
      <c r="AD1903" s="135">
        <v>4.26482483628133E-2</v>
      </c>
      <c r="AF1903" s="243">
        <f t="shared" si="36"/>
        <v>0.37512854598761514</v>
      </c>
      <c r="AG1903" s="275">
        <f t="shared" si="37"/>
        <v>0.58314060322692851</v>
      </c>
      <c r="AH1903" s="391">
        <f t="shared" si="38"/>
        <v>0.50182511782812311</v>
      </c>
      <c r="AI1903" s="135">
        <f t="shared" si="39"/>
        <v>1.0849657210550516</v>
      </c>
    </row>
    <row r="1904" spans="1:35" ht="12.6">
      <c r="A1904" s="10" t="s">
        <v>865</v>
      </c>
      <c r="B1904" s="10">
        <v>78</v>
      </c>
      <c r="C1904" s="10" t="s">
        <v>1513</v>
      </c>
      <c r="D1904" s="388">
        <v>45004</v>
      </c>
      <c r="E1904" s="389">
        <v>45004</v>
      </c>
      <c r="F1904" s="390" t="str">
        <f t="shared" si="35"/>
        <v>Whitegoods</v>
      </c>
      <c r="G1904" s="135">
        <v>3.8675030232270098E-2</v>
      </c>
      <c r="H1904" s="135">
        <v>3.55322612102002E-2</v>
      </c>
      <c r="I1904" s="135">
        <v>3.3139384245641598E-2</v>
      </c>
      <c r="J1904" s="135">
        <v>3.29804345361462E-2</v>
      </c>
      <c r="K1904" s="135">
        <v>3.3148795046366003E-2</v>
      </c>
      <c r="L1904" s="135">
        <v>3.2567491785127398E-2</v>
      </c>
      <c r="M1904" s="135">
        <v>3.5612089492824101E-2</v>
      </c>
      <c r="N1904" s="135">
        <v>3.7279529047746202E-2</v>
      </c>
      <c r="O1904" s="135">
        <v>4.6354250533552403E-2</v>
      </c>
      <c r="P1904" s="135">
        <v>5.7319514184018303E-2</v>
      </c>
      <c r="Q1904" s="135">
        <v>6.2861675919120105E-2</v>
      </c>
      <c r="R1904" s="135">
        <v>5.8319668956649098E-2</v>
      </c>
      <c r="S1904" s="135">
        <v>5.4658811056063801E-2</v>
      </c>
      <c r="T1904" s="135">
        <v>5.3825159445475598E-2</v>
      </c>
      <c r="U1904" s="135">
        <v>4.8807650489533699E-2</v>
      </c>
      <c r="V1904" s="135">
        <v>4.8574696442779897E-2</v>
      </c>
      <c r="W1904" s="135">
        <v>4.8080883677992903E-2</v>
      </c>
      <c r="X1904" s="135">
        <v>4.6774755070729403E-2</v>
      </c>
      <c r="Y1904" s="135">
        <v>4.7239808210564303E-2</v>
      </c>
      <c r="Z1904" s="135">
        <v>4.6088186903114003E-2</v>
      </c>
      <c r="AA1904" s="135">
        <v>4.9160191263616697E-2</v>
      </c>
      <c r="AB1904" s="135">
        <v>5.0427537739012603E-2</v>
      </c>
      <c r="AC1904" s="135">
        <v>4.4889667203693598E-2</v>
      </c>
      <c r="AD1904" s="135">
        <v>4.26482483628133E-2</v>
      </c>
      <c r="AF1904" s="243">
        <f t="shared" si="36"/>
        <v>0.37512854598761514</v>
      </c>
      <c r="AG1904" s="275">
        <f t="shared" si="37"/>
        <v>0.58314060322692851</v>
      </c>
      <c r="AH1904" s="391">
        <f t="shared" si="38"/>
        <v>0.50182511782812311</v>
      </c>
      <c r="AI1904" s="135">
        <f t="shared" si="39"/>
        <v>1.0849657210550516</v>
      </c>
    </row>
    <row r="1905" spans="1:35" ht="12.6">
      <c r="A1905" s="10" t="s">
        <v>865</v>
      </c>
      <c r="B1905" s="10">
        <v>79</v>
      </c>
      <c r="C1905" s="10" t="s">
        <v>1513</v>
      </c>
      <c r="D1905" s="388">
        <v>45005</v>
      </c>
      <c r="E1905" s="389">
        <v>45005</v>
      </c>
      <c r="F1905" s="390" t="str">
        <f t="shared" si="35"/>
        <v>Whitegoods</v>
      </c>
      <c r="G1905" s="135">
        <v>3.9540899397851902E-2</v>
      </c>
      <c r="H1905" s="135">
        <v>3.4441117306073001E-2</v>
      </c>
      <c r="I1905" s="135">
        <v>3.2805054493349001E-2</v>
      </c>
      <c r="J1905" s="135">
        <v>3.2898878042348402E-2</v>
      </c>
      <c r="K1905" s="135">
        <v>3.2592638252061899E-2</v>
      </c>
      <c r="L1905" s="135">
        <v>3.32561900459694E-2</v>
      </c>
      <c r="M1905" s="135">
        <v>3.6408162039203197E-2</v>
      </c>
      <c r="N1905" s="135">
        <v>4.4167363588005402E-2</v>
      </c>
      <c r="O1905" s="135">
        <v>4.7160489113982101E-2</v>
      </c>
      <c r="P1905" s="135">
        <v>4.45965108566998E-2</v>
      </c>
      <c r="Q1905" s="135">
        <v>4.2018394690126498E-2</v>
      </c>
      <c r="R1905" s="135">
        <v>3.9969365347788798E-2</v>
      </c>
      <c r="S1905" s="135">
        <v>3.99658863599179E-2</v>
      </c>
      <c r="T1905" s="135">
        <v>3.9045081377494698E-2</v>
      </c>
      <c r="U1905" s="135">
        <v>4.0077521698087801E-2</v>
      </c>
      <c r="V1905" s="135">
        <v>3.9221224865863602E-2</v>
      </c>
      <c r="W1905" s="135">
        <v>3.8853105254750699E-2</v>
      </c>
      <c r="X1905" s="135">
        <v>4.00432537818948E-2</v>
      </c>
      <c r="Y1905" s="135">
        <v>4.1934375238353402E-2</v>
      </c>
      <c r="Z1905" s="135">
        <v>4.2981470620620098E-2</v>
      </c>
      <c r="AA1905" s="135">
        <v>4.8538762569812703E-2</v>
      </c>
      <c r="AB1905" s="135">
        <v>4.6612356542947098E-2</v>
      </c>
      <c r="AC1905" s="135">
        <v>4.4834461185171898E-2</v>
      </c>
      <c r="AD1905" s="135">
        <v>4.4191562253392797E-2</v>
      </c>
      <c r="AF1905" s="243">
        <f t="shared" si="36"/>
        <v>0.27915057959403006</v>
      </c>
      <c r="AG1905" s="275">
        <f t="shared" si="37"/>
        <v>0.52813178257153615</v>
      </c>
      <c r="AH1905" s="391">
        <f t="shared" si="38"/>
        <v>0.43802234235023069</v>
      </c>
      <c r="AI1905" s="135">
        <f t="shared" si="39"/>
        <v>0.96615412492176689</v>
      </c>
    </row>
    <row r="1906" spans="1:35" ht="12.6">
      <c r="A1906" s="10" t="s">
        <v>865</v>
      </c>
      <c r="B1906" s="10">
        <v>80</v>
      </c>
      <c r="C1906" s="10" t="s">
        <v>1513</v>
      </c>
      <c r="D1906" s="388">
        <v>45006</v>
      </c>
      <c r="E1906" s="389">
        <v>45006</v>
      </c>
      <c r="F1906" s="390" t="str">
        <f t="shared" si="35"/>
        <v>Whitegoods</v>
      </c>
      <c r="G1906" s="135">
        <v>3.9540899397851902E-2</v>
      </c>
      <c r="H1906" s="135">
        <v>3.4441117306073001E-2</v>
      </c>
      <c r="I1906" s="135">
        <v>3.2805054493349001E-2</v>
      </c>
      <c r="J1906" s="135">
        <v>3.2898878042348402E-2</v>
      </c>
      <c r="K1906" s="135">
        <v>3.2592638252061899E-2</v>
      </c>
      <c r="L1906" s="135">
        <v>3.32561900459694E-2</v>
      </c>
      <c r="M1906" s="135">
        <v>3.6408162039203197E-2</v>
      </c>
      <c r="N1906" s="135">
        <v>4.4167363588005402E-2</v>
      </c>
      <c r="O1906" s="135">
        <v>4.7160489113982101E-2</v>
      </c>
      <c r="P1906" s="135">
        <v>4.45965108566998E-2</v>
      </c>
      <c r="Q1906" s="135">
        <v>4.2018394690126498E-2</v>
      </c>
      <c r="R1906" s="135">
        <v>3.9969365347788798E-2</v>
      </c>
      <c r="S1906" s="135">
        <v>3.99658863599179E-2</v>
      </c>
      <c r="T1906" s="135">
        <v>3.9045081377494698E-2</v>
      </c>
      <c r="U1906" s="135">
        <v>4.0077521698087801E-2</v>
      </c>
      <c r="V1906" s="135">
        <v>3.9221224865863602E-2</v>
      </c>
      <c r="W1906" s="135">
        <v>3.8853105254750699E-2</v>
      </c>
      <c r="X1906" s="135">
        <v>4.00432537818948E-2</v>
      </c>
      <c r="Y1906" s="135">
        <v>4.1934375238353402E-2</v>
      </c>
      <c r="Z1906" s="135">
        <v>4.2981470620620098E-2</v>
      </c>
      <c r="AA1906" s="135">
        <v>4.8538762569812703E-2</v>
      </c>
      <c r="AB1906" s="135">
        <v>4.6612356542947098E-2</v>
      </c>
      <c r="AC1906" s="135">
        <v>4.4834461185171898E-2</v>
      </c>
      <c r="AD1906" s="135">
        <v>4.4191562253392797E-2</v>
      </c>
      <c r="AF1906" s="243">
        <f t="shared" si="36"/>
        <v>0.27915057959403006</v>
      </c>
      <c r="AG1906" s="275">
        <f t="shared" si="37"/>
        <v>0.52813178257153615</v>
      </c>
      <c r="AH1906" s="391">
        <f t="shared" si="38"/>
        <v>0.43802234235023069</v>
      </c>
      <c r="AI1906" s="135">
        <f t="shared" si="39"/>
        <v>0.96615412492176689</v>
      </c>
    </row>
    <row r="1907" spans="1:35" ht="12.6">
      <c r="A1907" s="10" t="s">
        <v>865</v>
      </c>
      <c r="B1907" s="10">
        <v>81</v>
      </c>
      <c r="C1907" s="10" t="s">
        <v>1513</v>
      </c>
      <c r="D1907" s="388">
        <v>45007</v>
      </c>
      <c r="E1907" s="389">
        <v>45007</v>
      </c>
      <c r="F1907" s="390" t="str">
        <f t="shared" si="35"/>
        <v>Whitegoods</v>
      </c>
      <c r="G1907" s="135">
        <v>3.9540899397851902E-2</v>
      </c>
      <c r="H1907" s="135">
        <v>3.4441117306073001E-2</v>
      </c>
      <c r="I1907" s="135">
        <v>3.2805054493349001E-2</v>
      </c>
      <c r="J1907" s="135">
        <v>3.2898878042348402E-2</v>
      </c>
      <c r="K1907" s="135">
        <v>3.2592638252061899E-2</v>
      </c>
      <c r="L1907" s="135">
        <v>3.32561900459694E-2</v>
      </c>
      <c r="M1907" s="135">
        <v>3.6408162039203197E-2</v>
      </c>
      <c r="N1907" s="135">
        <v>4.4167363588005402E-2</v>
      </c>
      <c r="O1907" s="135">
        <v>4.7160489113982101E-2</v>
      </c>
      <c r="P1907" s="135">
        <v>4.45965108566998E-2</v>
      </c>
      <c r="Q1907" s="135">
        <v>4.2018394690126498E-2</v>
      </c>
      <c r="R1907" s="135">
        <v>3.9969365347788798E-2</v>
      </c>
      <c r="S1907" s="135">
        <v>3.99658863599179E-2</v>
      </c>
      <c r="T1907" s="135">
        <v>3.9045081377494698E-2</v>
      </c>
      <c r="U1907" s="135">
        <v>4.0077521698087801E-2</v>
      </c>
      <c r="V1907" s="135">
        <v>3.9221224865863602E-2</v>
      </c>
      <c r="W1907" s="135">
        <v>3.8853105254750699E-2</v>
      </c>
      <c r="X1907" s="135">
        <v>4.00432537818948E-2</v>
      </c>
      <c r="Y1907" s="135">
        <v>4.1934375238353402E-2</v>
      </c>
      <c r="Z1907" s="135">
        <v>4.2981470620620098E-2</v>
      </c>
      <c r="AA1907" s="135">
        <v>4.8538762569812703E-2</v>
      </c>
      <c r="AB1907" s="135">
        <v>4.6612356542947098E-2</v>
      </c>
      <c r="AC1907" s="135">
        <v>4.4834461185171898E-2</v>
      </c>
      <c r="AD1907" s="135">
        <v>4.4191562253392797E-2</v>
      </c>
      <c r="AF1907" s="243">
        <f t="shared" si="36"/>
        <v>0.27915057959403006</v>
      </c>
      <c r="AG1907" s="275">
        <f t="shared" si="37"/>
        <v>0.52813178257153615</v>
      </c>
      <c r="AH1907" s="391">
        <f t="shared" si="38"/>
        <v>0.43802234235023069</v>
      </c>
      <c r="AI1907" s="135">
        <f t="shared" si="39"/>
        <v>0.96615412492176689</v>
      </c>
    </row>
    <row r="1908" spans="1:35" ht="12.6">
      <c r="A1908" s="10" t="s">
        <v>865</v>
      </c>
      <c r="B1908" s="10">
        <v>82</v>
      </c>
      <c r="C1908" s="10" t="s">
        <v>1513</v>
      </c>
      <c r="D1908" s="388">
        <v>45008</v>
      </c>
      <c r="E1908" s="389">
        <v>45008</v>
      </c>
      <c r="F1908" s="390" t="str">
        <f t="shared" si="35"/>
        <v>Whitegoods</v>
      </c>
      <c r="G1908" s="135">
        <v>3.9540899397851902E-2</v>
      </c>
      <c r="H1908" s="135">
        <v>3.4441117306073001E-2</v>
      </c>
      <c r="I1908" s="135">
        <v>3.2805054493349001E-2</v>
      </c>
      <c r="J1908" s="135">
        <v>3.2898878042348402E-2</v>
      </c>
      <c r="K1908" s="135">
        <v>3.2592638252061899E-2</v>
      </c>
      <c r="L1908" s="135">
        <v>3.32561900459694E-2</v>
      </c>
      <c r="M1908" s="135">
        <v>3.6408162039203197E-2</v>
      </c>
      <c r="N1908" s="135">
        <v>4.4167363588005402E-2</v>
      </c>
      <c r="O1908" s="135">
        <v>4.7160489113982101E-2</v>
      </c>
      <c r="P1908" s="135">
        <v>4.45965108566998E-2</v>
      </c>
      <c r="Q1908" s="135">
        <v>4.2018394690126498E-2</v>
      </c>
      <c r="R1908" s="135">
        <v>3.9969365347788798E-2</v>
      </c>
      <c r="S1908" s="135">
        <v>3.99658863599179E-2</v>
      </c>
      <c r="T1908" s="135">
        <v>3.9045081377494698E-2</v>
      </c>
      <c r="U1908" s="135">
        <v>4.0077521698087801E-2</v>
      </c>
      <c r="V1908" s="135">
        <v>3.9221224865863602E-2</v>
      </c>
      <c r="W1908" s="135">
        <v>3.8853105254750699E-2</v>
      </c>
      <c r="X1908" s="135">
        <v>4.00432537818948E-2</v>
      </c>
      <c r="Y1908" s="135">
        <v>4.1934375238353402E-2</v>
      </c>
      <c r="Z1908" s="135">
        <v>4.2981470620620098E-2</v>
      </c>
      <c r="AA1908" s="135">
        <v>4.8538762569812703E-2</v>
      </c>
      <c r="AB1908" s="135">
        <v>4.6612356542947098E-2</v>
      </c>
      <c r="AC1908" s="135">
        <v>4.4834461185171898E-2</v>
      </c>
      <c r="AD1908" s="135">
        <v>4.4191562253392797E-2</v>
      </c>
      <c r="AF1908" s="243">
        <f t="shared" si="36"/>
        <v>0.27915057959403006</v>
      </c>
      <c r="AG1908" s="275">
        <f t="shared" si="37"/>
        <v>0.52813178257153615</v>
      </c>
      <c r="AH1908" s="391">
        <f t="shared" si="38"/>
        <v>0.43802234235023069</v>
      </c>
      <c r="AI1908" s="135">
        <f t="shared" si="39"/>
        <v>0.96615412492176689</v>
      </c>
    </row>
    <row r="1909" spans="1:35" ht="12.6">
      <c r="A1909" s="10" t="s">
        <v>865</v>
      </c>
      <c r="B1909" s="10">
        <v>83</v>
      </c>
      <c r="C1909" s="10" t="s">
        <v>1513</v>
      </c>
      <c r="D1909" s="388">
        <v>45009</v>
      </c>
      <c r="E1909" s="389">
        <v>45009</v>
      </c>
      <c r="F1909" s="390" t="str">
        <f t="shared" si="35"/>
        <v>Whitegoods</v>
      </c>
      <c r="G1909" s="135">
        <v>3.9540899397851902E-2</v>
      </c>
      <c r="H1909" s="135">
        <v>3.4441117306073001E-2</v>
      </c>
      <c r="I1909" s="135">
        <v>3.2805054493349001E-2</v>
      </c>
      <c r="J1909" s="135">
        <v>3.2898878042348402E-2</v>
      </c>
      <c r="K1909" s="135">
        <v>3.2592638252061899E-2</v>
      </c>
      <c r="L1909" s="135">
        <v>3.32561900459694E-2</v>
      </c>
      <c r="M1909" s="135">
        <v>3.6408162039203197E-2</v>
      </c>
      <c r="N1909" s="135">
        <v>4.4167363588005402E-2</v>
      </c>
      <c r="O1909" s="135">
        <v>4.7160489113982101E-2</v>
      </c>
      <c r="P1909" s="135">
        <v>4.45965108566998E-2</v>
      </c>
      <c r="Q1909" s="135">
        <v>4.2018394690126498E-2</v>
      </c>
      <c r="R1909" s="135">
        <v>3.9969365347788798E-2</v>
      </c>
      <c r="S1909" s="135">
        <v>3.99658863599179E-2</v>
      </c>
      <c r="T1909" s="135">
        <v>3.9045081377494698E-2</v>
      </c>
      <c r="U1909" s="135">
        <v>4.0077521698087801E-2</v>
      </c>
      <c r="V1909" s="135">
        <v>3.9221224865863602E-2</v>
      </c>
      <c r="W1909" s="135">
        <v>3.8853105254750699E-2</v>
      </c>
      <c r="X1909" s="135">
        <v>4.00432537818948E-2</v>
      </c>
      <c r="Y1909" s="135">
        <v>4.1934375238353402E-2</v>
      </c>
      <c r="Z1909" s="135">
        <v>4.2981470620620098E-2</v>
      </c>
      <c r="AA1909" s="135">
        <v>4.8538762569812703E-2</v>
      </c>
      <c r="AB1909" s="135">
        <v>4.6612356542947098E-2</v>
      </c>
      <c r="AC1909" s="135">
        <v>4.4834461185171898E-2</v>
      </c>
      <c r="AD1909" s="135">
        <v>4.4191562253392797E-2</v>
      </c>
      <c r="AF1909" s="243">
        <f t="shared" si="36"/>
        <v>0.27915057959403006</v>
      </c>
      <c r="AG1909" s="275">
        <f t="shared" si="37"/>
        <v>0.52813178257153615</v>
      </c>
      <c r="AH1909" s="391">
        <f t="shared" si="38"/>
        <v>0.43802234235023069</v>
      </c>
      <c r="AI1909" s="135">
        <f t="shared" si="39"/>
        <v>0.96615412492176689</v>
      </c>
    </row>
    <row r="1910" spans="1:35" ht="12.6">
      <c r="A1910" s="10" t="s">
        <v>865</v>
      </c>
      <c r="B1910" s="10">
        <v>84</v>
      </c>
      <c r="C1910" s="10" t="s">
        <v>1513</v>
      </c>
      <c r="D1910" s="388">
        <v>45010</v>
      </c>
      <c r="E1910" s="389">
        <v>45010</v>
      </c>
      <c r="F1910" s="390" t="str">
        <f t="shared" si="35"/>
        <v>Whitegoods</v>
      </c>
      <c r="G1910" s="135">
        <v>3.8675030232270098E-2</v>
      </c>
      <c r="H1910" s="135">
        <v>3.55322612102002E-2</v>
      </c>
      <c r="I1910" s="135">
        <v>3.3139384245641598E-2</v>
      </c>
      <c r="J1910" s="135">
        <v>3.29804345361462E-2</v>
      </c>
      <c r="K1910" s="135">
        <v>3.3148795046366003E-2</v>
      </c>
      <c r="L1910" s="135">
        <v>3.2567491785127398E-2</v>
      </c>
      <c r="M1910" s="135">
        <v>3.5612089492824101E-2</v>
      </c>
      <c r="N1910" s="135">
        <v>3.7279529047746202E-2</v>
      </c>
      <c r="O1910" s="135">
        <v>4.6354250533552403E-2</v>
      </c>
      <c r="P1910" s="135">
        <v>5.7319514184018303E-2</v>
      </c>
      <c r="Q1910" s="135">
        <v>6.2861675919120105E-2</v>
      </c>
      <c r="R1910" s="135">
        <v>5.8319668956649098E-2</v>
      </c>
      <c r="S1910" s="135">
        <v>5.4658811056063801E-2</v>
      </c>
      <c r="T1910" s="135">
        <v>5.3825159445475598E-2</v>
      </c>
      <c r="U1910" s="135">
        <v>4.8807650489533699E-2</v>
      </c>
      <c r="V1910" s="135">
        <v>4.8574696442779897E-2</v>
      </c>
      <c r="W1910" s="135">
        <v>4.8080883677992903E-2</v>
      </c>
      <c r="X1910" s="135">
        <v>4.6774755070729403E-2</v>
      </c>
      <c r="Y1910" s="135">
        <v>4.7239808210564303E-2</v>
      </c>
      <c r="Z1910" s="135">
        <v>4.6088186903114003E-2</v>
      </c>
      <c r="AA1910" s="135">
        <v>4.9160191263616697E-2</v>
      </c>
      <c r="AB1910" s="135">
        <v>5.0427537739012603E-2</v>
      </c>
      <c r="AC1910" s="135">
        <v>4.4889667203693598E-2</v>
      </c>
      <c r="AD1910" s="135">
        <v>4.26482483628133E-2</v>
      </c>
      <c r="AF1910" s="243">
        <f t="shared" si="36"/>
        <v>0.37512854598761514</v>
      </c>
      <c r="AG1910" s="275">
        <f t="shared" si="37"/>
        <v>0.58314060322692851</v>
      </c>
      <c r="AH1910" s="391">
        <f t="shared" si="38"/>
        <v>0.50182511782812311</v>
      </c>
      <c r="AI1910" s="135">
        <f t="shared" si="39"/>
        <v>1.0849657210550516</v>
      </c>
    </row>
    <row r="1911" spans="1:35" ht="12.6">
      <c r="A1911" s="10" t="s">
        <v>865</v>
      </c>
      <c r="B1911" s="10">
        <v>85</v>
      </c>
      <c r="C1911" s="10" t="s">
        <v>1513</v>
      </c>
      <c r="D1911" s="388">
        <v>45011</v>
      </c>
      <c r="E1911" s="389">
        <v>45011</v>
      </c>
      <c r="F1911" s="390" t="str">
        <f t="shared" si="35"/>
        <v>Whitegoods</v>
      </c>
      <c r="G1911" s="135">
        <v>3.8675030232270098E-2</v>
      </c>
      <c r="H1911" s="135">
        <v>3.55322612102002E-2</v>
      </c>
      <c r="I1911" s="135">
        <v>3.3139384245641598E-2</v>
      </c>
      <c r="J1911" s="135">
        <v>3.29804345361462E-2</v>
      </c>
      <c r="K1911" s="135">
        <v>3.3148795046366003E-2</v>
      </c>
      <c r="L1911" s="135">
        <v>3.2567491785127398E-2</v>
      </c>
      <c r="M1911" s="135">
        <v>3.5612089492824101E-2</v>
      </c>
      <c r="N1911" s="135">
        <v>3.7279529047746202E-2</v>
      </c>
      <c r="O1911" s="135">
        <v>4.6354250533552403E-2</v>
      </c>
      <c r="P1911" s="135">
        <v>5.7319514184018303E-2</v>
      </c>
      <c r="Q1911" s="135">
        <v>6.2861675919120105E-2</v>
      </c>
      <c r="R1911" s="135">
        <v>5.8319668956649098E-2</v>
      </c>
      <c r="S1911" s="135">
        <v>5.4658811056063801E-2</v>
      </c>
      <c r="T1911" s="135">
        <v>5.3825159445475598E-2</v>
      </c>
      <c r="U1911" s="135">
        <v>4.8807650489533699E-2</v>
      </c>
      <c r="V1911" s="135">
        <v>4.8574696442779897E-2</v>
      </c>
      <c r="W1911" s="135">
        <v>4.8080883677992903E-2</v>
      </c>
      <c r="X1911" s="135">
        <v>4.6774755070729403E-2</v>
      </c>
      <c r="Y1911" s="135">
        <v>4.7239808210564303E-2</v>
      </c>
      <c r="Z1911" s="135">
        <v>4.6088186903114003E-2</v>
      </c>
      <c r="AA1911" s="135">
        <v>4.9160191263616697E-2</v>
      </c>
      <c r="AB1911" s="135">
        <v>5.0427537739012603E-2</v>
      </c>
      <c r="AC1911" s="135">
        <v>4.4889667203693598E-2</v>
      </c>
      <c r="AD1911" s="135">
        <v>4.26482483628133E-2</v>
      </c>
      <c r="AF1911" s="243">
        <f t="shared" si="36"/>
        <v>0.37512854598761514</v>
      </c>
      <c r="AG1911" s="275">
        <f t="shared" si="37"/>
        <v>0.58314060322692851</v>
      </c>
      <c r="AH1911" s="391">
        <f t="shared" si="38"/>
        <v>0.50182511782812311</v>
      </c>
      <c r="AI1911" s="135">
        <f t="shared" si="39"/>
        <v>1.0849657210550516</v>
      </c>
    </row>
    <row r="1912" spans="1:35" ht="12.6">
      <c r="A1912" s="10" t="s">
        <v>865</v>
      </c>
      <c r="B1912" s="10">
        <v>86</v>
      </c>
      <c r="C1912" s="10" t="s">
        <v>1513</v>
      </c>
      <c r="D1912" s="388">
        <v>45012</v>
      </c>
      <c r="E1912" s="389">
        <v>45012</v>
      </c>
      <c r="F1912" s="390" t="str">
        <f t="shared" si="35"/>
        <v>Whitegoods</v>
      </c>
      <c r="G1912" s="135">
        <v>3.9540899397851902E-2</v>
      </c>
      <c r="H1912" s="135">
        <v>3.4441117306073001E-2</v>
      </c>
      <c r="I1912" s="135">
        <v>3.2805054493349001E-2</v>
      </c>
      <c r="J1912" s="135">
        <v>3.2898878042348402E-2</v>
      </c>
      <c r="K1912" s="135">
        <v>3.2592638252061899E-2</v>
      </c>
      <c r="L1912" s="135">
        <v>3.32561900459694E-2</v>
      </c>
      <c r="M1912" s="135">
        <v>3.6408162039203197E-2</v>
      </c>
      <c r="N1912" s="135">
        <v>4.4167363588005402E-2</v>
      </c>
      <c r="O1912" s="135">
        <v>4.7160489113982101E-2</v>
      </c>
      <c r="P1912" s="135">
        <v>4.45965108566998E-2</v>
      </c>
      <c r="Q1912" s="135">
        <v>4.2018394690126498E-2</v>
      </c>
      <c r="R1912" s="135">
        <v>3.9969365347788798E-2</v>
      </c>
      <c r="S1912" s="135">
        <v>3.99658863599179E-2</v>
      </c>
      <c r="T1912" s="135">
        <v>3.9045081377494698E-2</v>
      </c>
      <c r="U1912" s="135">
        <v>4.0077521698087801E-2</v>
      </c>
      <c r="V1912" s="135">
        <v>3.9221224865863602E-2</v>
      </c>
      <c r="W1912" s="135">
        <v>3.8853105254750699E-2</v>
      </c>
      <c r="X1912" s="135">
        <v>4.00432537818948E-2</v>
      </c>
      <c r="Y1912" s="135">
        <v>4.1934375238353402E-2</v>
      </c>
      <c r="Z1912" s="135">
        <v>4.2981470620620098E-2</v>
      </c>
      <c r="AA1912" s="135">
        <v>4.8538762569812703E-2</v>
      </c>
      <c r="AB1912" s="135">
        <v>4.6612356542947098E-2</v>
      </c>
      <c r="AC1912" s="135">
        <v>4.4834461185171898E-2</v>
      </c>
      <c r="AD1912" s="135">
        <v>4.4191562253392797E-2</v>
      </c>
      <c r="AF1912" s="243">
        <f t="shared" si="36"/>
        <v>0.27915057959403006</v>
      </c>
      <c r="AG1912" s="275">
        <f t="shared" si="37"/>
        <v>0.52813178257153615</v>
      </c>
      <c r="AH1912" s="391">
        <f t="shared" si="38"/>
        <v>0.43802234235023069</v>
      </c>
      <c r="AI1912" s="135">
        <f t="shared" si="39"/>
        <v>0.96615412492176689</v>
      </c>
    </row>
    <row r="1913" spans="1:35" ht="12.6">
      <c r="A1913" s="10" t="s">
        <v>865</v>
      </c>
      <c r="B1913" s="10">
        <v>87</v>
      </c>
      <c r="C1913" s="10" t="s">
        <v>1513</v>
      </c>
      <c r="D1913" s="388">
        <v>45013</v>
      </c>
      <c r="E1913" s="389">
        <v>45013</v>
      </c>
      <c r="F1913" s="390" t="str">
        <f t="shared" si="35"/>
        <v>Whitegoods</v>
      </c>
      <c r="G1913" s="135">
        <v>3.9540899397851902E-2</v>
      </c>
      <c r="H1913" s="135">
        <v>3.4441117306073001E-2</v>
      </c>
      <c r="I1913" s="135">
        <v>3.2805054493349001E-2</v>
      </c>
      <c r="J1913" s="135">
        <v>3.2898878042348402E-2</v>
      </c>
      <c r="K1913" s="135">
        <v>3.2592638252061899E-2</v>
      </c>
      <c r="L1913" s="135">
        <v>3.32561900459694E-2</v>
      </c>
      <c r="M1913" s="135">
        <v>3.6408162039203197E-2</v>
      </c>
      <c r="N1913" s="135">
        <v>4.4167363588005402E-2</v>
      </c>
      <c r="O1913" s="135">
        <v>4.7160489113982101E-2</v>
      </c>
      <c r="P1913" s="135">
        <v>4.45965108566998E-2</v>
      </c>
      <c r="Q1913" s="135">
        <v>4.2018394690126498E-2</v>
      </c>
      <c r="R1913" s="135">
        <v>3.9969365347788798E-2</v>
      </c>
      <c r="S1913" s="135">
        <v>3.99658863599179E-2</v>
      </c>
      <c r="T1913" s="135">
        <v>3.9045081377494698E-2</v>
      </c>
      <c r="U1913" s="135">
        <v>4.0077521698087801E-2</v>
      </c>
      <c r="V1913" s="135">
        <v>3.9221224865863602E-2</v>
      </c>
      <c r="W1913" s="135">
        <v>3.8853105254750699E-2</v>
      </c>
      <c r="X1913" s="135">
        <v>4.00432537818948E-2</v>
      </c>
      <c r="Y1913" s="135">
        <v>4.1934375238353402E-2</v>
      </c>
      <c r="Z1913" s="135">
        <v>4.2981470620620098E-2</v>
      </c>
      <c r="AA1913" s="135">
        <v>4.8538762569812703E-2</v>
      </c>
      <c r="AB1913" s="135">
        <v>4.6612356542947098E-2</v>
      </c>
      <c r="AC1913" s="135">
        <v>4.4834461185171898E-2</v>
      </c>
      <c r="AD1913" s="135">
        <v>4.4191562253392797E-2</v>
      </c>
      <c r="AF1913" s="243">
        <f t="shared" si="36"/>
        <v>0.27915057959403006</v>
      </c>
      <c r="AG1913" s="275">
        <f t="shared" si="37"/>
        <v>0.52813178257153615</v>
      </c>
      <c r="AH1913" s="391">
        <f t="shared" si="38"/>
        <v>0.43802234235023069</v>
      </c>
      <c r="AI1913" s="135">
        <f t="shared" si="39"/>
        <v>0.96615412492176689</v>
      </c>
    </row>
    <row r="1914" spans="1:35" ht="12.6">
      <c r="A1914" s="10" t="s">
        <v>865</v>
      </c>
      <c r="B1914" s="10">
        <v>88</v>
      </c>
      <c r="C1914" s="10" t="s">
        <v>1513</v>
      </c>
      <c r="D1914" s="388">
        <v>45014</v>
      </c>
      <c r="E1914" s="389">
        <v>45014</v>
      </c>
      <c r="F1914" s="390" t="str">
        <f t="shared" si="35"/>
        <v>Whitegoods</v>
      </c>
      <c r="G1914" s="135">
        <v>3.9540899397851902E-2</v>
      </c>
      <c r="H1914" s="135">
        <v>3.4441117306073001E-2</v>
      </c>
      <c r="I1914" s="135">
        <v>3.2805054493349001E-2</v>
      </c>
      <c r="J1914" s="135">
        <v>3.2898878042348402E-2</v>
      </c>
      <c r="K1914" s="135">
        <v>3.2592638252061899E-2</v>
      </c>
      <c r="L1914" s="135">
        <v>3.32561900459694E-2</v>
      </c>
      <c r="M1914" s="135">
        <v>3.6408162039203197E-2</v>
      </c>
      <c r="N1914" s="135">
        <v>4.4167363588005402E-2</v>
      </c>
      <c r="O1914" s="135">
        <v>4.7160489113982101E-2</v>
      </c>
      <c r="P1914" s="135">
        <v>4.45965108566998E-2</v>
      </c>
      <c r="Q1914" s="135">
        <v>4.2018394690126498E-2</v>
      </c>
      <c r="R1914" s="135">
        <v>3.9969365347788798E-2</v>
      </c>
      <c r="S1914" s="135">
        <v>3.99658863599179E-2</v>
      </c>
      <c r="T1914" s="135">
        <v>3.9045081377494698E-2</v>
      </c>
      <c r="U1914" s="135">
        <v>4.0077521698087801E-2</v>
      </c>
      <c r="V1914" s="135">
        <v>3.9221224865863602E-2</v>
      </c>
      <c r="W1914" s="135">
        <v>3.8853105254750699E-2</v>
      </c>
      <c r="X1914" s="135">
        <v>4.00432537818948E-2</v>
      </c>
      <c r="Y1914" s="135">
        <v>4.1934375238353402E-2</v>
      </c>
      <c r="Z1914" s="135">
        <v>4.2981470620620098E-2</v>
      </c>
      <c r="AA1914" s="135">
        <v>4.8538762569812703E-2</v>
      </c>
      <c r="AB1914" s="135">
        <v>4.6612356542947098E-2</v>
      </c>
      <c r="AC1914" s="135">
        <v>4.4834461185171898E-2</v>
      </c>
      <c r="AD1914" s="135">
        <v>4.4191562253392797E-2</v>
      </c>
      <c r="AF1914" s="243">
        <f t="shared" si="36"/>
        <v>0.27915057959403006</v>
      </c>
      <c r="AG1914" s="275">
        <f t="shared" si="37"/>
        <v>0.52813178257153615</v>
      </c>
      <c r="AH1914" s="391">
        <f t="shared" si="38"/>
        <v>0.43802234235023069</v>
      </c>
      <c r="AI1914" s="135">
        <f t="shared" si="39"/>
        <v>0.96615412492176689</v>
      </c>
    </row>
    <row r="1915" spans="1:35" ht="12.6">
      <c r="A1915" s="10" t="s">
        <v>865</v>
      </c>
      <c r="B1915" s="10">
        <v>89</v>
      </c>
      <c r="C1915" s="10" t="s">
        <v>1513</v>
      </c>
      <c r="D1915" s="388">
        <v>45015</v>
      </c>
      <c r="E1915" s="389">
        <v>45015</v>
      </c>
      <c r="F1915" s="390" t="str">
        <f t="shared" si="35"/>
        <v>Whitegoods</v>
      </c>
      <c r="G1915" s="135">
        <v>3.9540899397851902E-2</v>
      </c>
      <c r="H1915" s="135">
        <v>3.4441117306073001E-2</v>
      </c>
      <c r="I1915" s="135">
        <v>3.2805054493349001E-2</v>
      </c>
      <c r="J1915" s="135">
        <v>3.2898878042348402E-2</v>
      </c>
      <c r="K1915" s="135">
        <v>3.2592638252061899E-2</v>
      </c>
      <c r="L1915" s="135">
        <v>3.32561900459694E-2</v>
      </c>
      <c r="M1915" s="135">
        <v>3.6408162039203197E-2</v>
      </c>
      <c r="N1915" s="135">
        <v>4.4167363588005402E-2</v>
      </c>
      <c r="O1915" s="135">
        <v>4.7160489113982101E-2</v>
      </c>
      <c r="P1915" s="135">
        <v>4.45965108566998E-2</v>
      </c>
      <c r="Q1915" s="135">
        <v>4.2018394690126498E-2</v>
      </c>
      <c r="R1915" s="135">
        <v>3.9969365347788798E-2</v>
      </c>
      <c r="S1915" s="135">
        <v>3.99658863599179E-2</v>
      </c>
      <c r="T1915" s="135">
        <v>3.9045081377494698E-2</v>
      </c>
      <c r="U1915" s="135">
        <v>4.0077521698087801E-2</v>
      </c>
      <c r="V1915" s="135">
        <v>3.9221224865863602E-2</v>
      </c>
      <c r="W1915" s="135">
        <v>3.8853105254750699E-2</v>
      </c>
      <c r="X1915" s="135">
        <v>4.00432537818948E-2</v>
      </c>
      <c r="Y1915" s="135">
        <v>4.1934375238353402E-2</v>
      </c>
      <c r="Z1915" s="135">
        <v>4.2981470620620098E-2</v>
      </c>
      <c r="AA1915" s="135">
        <v>4.8538762569812703E-2</v>
      </c>
      <c r="AB1915" s="135">
        <v>4.6612356542947098E-2</v>
      </c>
      <c r="AC1915" s="135">
        <v>4.4834461185171898E-2</v>
      </c>
      <c r="AD1915" s="135">
        <v>4.4191562253392797E-2</v>
      </c>
      <c r="AF1915" s="243">
        <f t="shared" si="36"/>
        <v>0.27915057959403006</v>
      </c>
      <c r="AG1915" s="275">
        <f t="shared" si="37"/>
        <v>0.52813178257153615</v>
      </c>
      <c r="AH1915" s="391">
        <f t="shared" si="38"/>
        <v>0.43802234235023069</v>
      </c>
      <c r="AI1915" s="135">
        <f t="shared" si="39"/>
        <v>0.96615412492176689</v>
      </c>
    </row>
    <row r="1916" spans="1:35" ht="12.6">
      <c r="A1916" s="10" t="s">
        <v>865</v>
      </c>
      <c r="B1916" s="10">
        <v>90</v>
      </c>
      <c r="C1916" s="10" t="s">
        <v>1513</v>
      </c>
      <c r="D1916" s="388">
        <v>45016</v>
      </c>
      <c r="E1916" s="389">
        <v>45016</v>
      </c>
      <c r="F1916" s="390" t="str">
        <f t="shared" si="35"/>
        <v>Whitegoods</v>
      </c>
      <c r="G1916" s="135">
        <v>3.9540899397851902E-2</v>
      </c>
      <c r="H1916" s="135">
        <v>3.4441117306073001E-2</v>
      </c>
      <c r="I1916" s="135">
        <v>3.2805054493349001E-2</v>
      </c>
      <c r="J1916" s="135">
        <v>3.2898878042348402E-2</v>
      </c>
      <c r="K1916" s="135">
        <v>3.2592638252061899E-2</v>
      </c>
      <c r="L1916" s="135">
        <v>3.32561900459694E-2</v>
      </c>
      <c r="M1916" s="135">
        <v>3.6408162039203197E-2</v>
      </c>
      <c r="N1916" s="135">
        <v>4.4167363588005402E-2</v>
      </c>
      <c r="O1916" s="135">
        <v>4.7160489113982101E-2</v>
      </c>
      <c r="P1916" s="135">
        <v>4.45965108566998E-2</v>
      </c>
      <c r="Q1916" s="135">
        <v>4.2018394690126498E-2</v>
      </c>
      <c r="R1916" s="135">
        <v>3.9969365347788798E-2</v>
      </c>
      <c r="S1916" s="135">
        <v>3.99658863599179E-2</v>
      </c>
      <c r="T1916" s="135">
        <v>3.9045081377494698E-2</v>
      </c>
      <c r="U1916" s="135">
        <v>4.0077521698087801E-2</v>
      </c>
      <c r="V1916" s="135">
        <v>3.9221224865863602E-2</v>
      </c>
      <c r="W1916" s="135">
        <v>3.8853105254750699E-2</v>
      </c>
      <c r="X1916" s="135">
        <v>4.00432537818948E-2</v>
      </c>
      <c r="Y1916" s="135">
        <v>4.1934375238353402E-2</v>
      </c>
      <c r="Z1916" s="135">
        <v>4.2981470620620098E-2</v>
      </c>
      <c r="AA1916" s="135">
        <v>4.8538762569812703E-2</v>
      </c>
      <c r="AB1916" s="135">
        <v>4.6612356542947098E-2</v>
      </c>
      <c r="AC1916" s="135">
        <v>4.4834461185171898E-2</v>
      </c>
      <c r="AD1916" s="135">
        <v>4.4191562253392797E-2</v>
      </c>
      <c r="AF1916" s="243">
        <f t="shared" si="36"/>
        <v>0.27915057959403006</v>
      </c>
      <c r="AG1916" s="275">
        <f t="shared" si="37"/>
        <v>0.52813178257153615</v>
      </c>
      <c r="AH1916" s="391">
        <f t="shared" si="38"/>
        <v>0.43802234235023069</v>
      </c>
      <c r="AI1916" s="135">
        <f t="shared" si="39"/>
        <v>0.96615412492176689</v>
      </c>
    </row>
    <row r="1917" spans="1:35" ht="12.6">
      <c r="A1917" s="10" t="s">
        <v>865</v>
      </c>
      <c r="B1917" s="10">
        <v>91</v>
      </c>
      <c r="C1917" s="10" t="s">
        <v>1513</v>
      </c>
      <c r="D1917" s="388">
        <v>45017</v>
      </c>
      <c r="E1917" s="389">
        <v>45017</v>
      </c>
      <c r="F1917" s="390" t="str">
        <f t="shared" si="35"/>
        <v>Whitegoods</v>
      </c>
      <c r="G1917" s="135">
        <v>3.8675030232270098E-2</v>
      </c>
      <c r="H1917" s="135">
        <v>3.55322612102002E-2</v>
      </c>
      <c r="I1917" s="135">
        <v>3.3139384245641598E-2</v>
      </c>
      <c r="J1917" s="135">
        <v>3.29804345361462E-2</v>
      </c>
      <c r="K1917" s="135">
        <v>3.3148795046366003E-2</v>
      </c>
      <c r="L1917" s="135">
        <v>3.2567491785127398E-2</v>
      </c>
      <c r="M1917" s="135">
        <v>3.5612089492824101E-2</v>
      </c>
      <c r="N1917" s="135">
        <v>3.7279529047746202E-2</v>
      </c>
      <c r="O1917" s="135">
        <v>4.6354250533552403E-2</v>
      </c>
      <c r="P1917" s="135">
        <v>5.7319514184018303E-2</v>
      </c>
      <c r="Q1917" s="135">
        <v>6.2861675919120105E-2</v>
      </c>
      <c r="R1917" s="135">
        <v>5.8319668956649098E-2</v>
      </c>
      <c r="S1917" s="135">
        <v>5.4658811056063801E-2</v>
      </c>
      <c r="T1917" s="135">
        <v>5.3825159445475598E-2</v>
      </c>
      <c r="U1917" s="135">
        <v>4.8807650489533699E-2</v>
      </c>
      <c r="V1917" s="135">
        <v>4.8574696442779897E-2</v>
      </c>
      <c r="W1917" s="135">
        <v>4.8080883677992903E-2</v>
      </c>
      <c r="X1917" s="135">
        <v>4.6774755070729403E-2</v>
      </c>
      <c r="Y1917" s="135">
        <v>4.7239808210564303E-2</v>
      </c>
      <c r="Z1917" s="135">
        <v>4.6088186903114003E-2</v>
      </c>
      <c r="AA1917" s="135">
        <v>4.9160191263616697E-2</v>
      </c>
      <c r="AB1917" s="135">
        <v>5.0427537739012603E-2</v>
      </c>
      <c r="AC1917" s="135">
        <v>4.4889667203693598E-2</v>
      </c>
      <c r="AD1917" s="135">
        <v>4.26482483628133E-2</v>
      </c>
      <c r="AF1917" s="243">
        <f t="shared" si="36"/>
        <v>0.37512854598761514</v>
      </c>
      <c r="AG1917" s="275">
        <f t="shared" si="37"/>
        <v>0.58314060322692851</v>
      </c>
      <c r="AH1917" s="391">
        <f t="shared" si="38"/>
        <v>0.50182511782812311</v>
      </c>
      <c r="AI1917" s="135">
        <f t="shared" si="39"/>
        <v>1.0849657210550516</v>
      </c>
    </row>
    <row r="1918" spans="1:35" ht="12.6">
      <c r="A1918" s="10" t="s">
        <v>865</v>
      </c>
      <c r="B1918" s="10">
        <v>92</v>
      </c>
      <c r="C1918" s="10" t="s">
        <v>1513</v>
      </c>
      <c r="D1918" s="388">
        <v>45018</v>
      </c>
      <c r="E1918" s="389">
        <v>45018</v>
      </c>
      <c r="F1918" s="390" t="str">
        <f t="shared" si="35"/>
        <v>Whitegoods</v>
      </c>
      <c r="G1918" s="135">
        <v>3.8675030232270098E-2</v>
      </c>
      <c r="H1918" s="135">
        <v>3.55322612102002E-2</v>
      </c>
      <c r="I1918" s="135">
        <v>3.3139384245641598E-2</v>
      </c>
      <c r="J1918" s="135">
        <v>3.29804345361462E-2</v>
      </c>
      <c r="K1918" s="135">
        <v>3.3148795046366003E-2</v>
      </c>
      <c r="L1918" s="135">
        <v>3.2567491785127398E-2</v>
      </c>
      <c r="M1918" s="135">
        <v>3.5612089492824101E-2</v>
      </c>
      <c r="N1918" s="135">
        <v>3.7279529047746202E-2</v>
      </c>
      <c r="O1918" s="135">
        <v>4.6354250533552403E-2</v>
      </c>
      <c r="P1918" s="135">
        <v>5.7319514184018303E-2</v>
      </c>
      <c r="Q1918" s="135">
        <v>6.2861675919120105E-2</v>
      </c>
      <c r="R1918" s="135">
        <v>5.8319668956649098E-2</v>
      </c>
      <c r="S1918" s="135">
        <v>5.4658811056063801E-2</v>
      </c>
      <c r="T1918" s="135">
        <v>5.3825159445475598E-2</v>
      </c>
      <c r="U1918" s="135">
        <v>4.8807650489533699E-2</v>
      </c>
      <c r="V1918" s="135">
        <v>4.8574696442779897E-2</v>
      </c>
      <c r="W1918" s="135">
        <v>4.8080883677992903E-2</v>
      </c>
      <c r="X1918" s="135">
        <v>4.6774755070729403E-2</v>
      </c>
      <c r="Y1918" s="135">
        <v>4.7239808210564303E-2</v>
      </c>
      <c r="Z1918" s="135">
        <v>4.6088186903114003E-2</v>
      </c>
      <c r="AA1918" s="135">
        <v>4.9160191263616697E-2</v>
      </c>
      <c r="AB1918" s="135">
        <v>5.0427537739012603E-2</v>
      </c>
      <c r="AC1918" s="135">
        <v>4.4889667203693598E-2</v>
      </c>
      <c r="AD1918" s="135">
        <v>4.26482483628133E-2</v>
      </c>
      <c r="AF1918" s="243">
        <f t="shared" si="36"/>
        <v>0.37512854598761514</v>
      </c>
      <c r="AG1918" s="275">
        <f t="shared" si="37"/>
        <v>0.58314060322692851</v>
      </c>
      <c r="AH1918" s="391">
        <f t="shared" si="38"/>
        <v>0.50182511782812311</v>
      </c>
      <c r="AI1918" s="135">
        <f t="shared" si="39"/>
        <v>1.0849657210550516</v>
      </c>
    </row>
    <row r="1919" spans="1:35" ht="12.6">
      <c r="A1919" s="10" t="s">
        <v>865</v>
      </c>
      <c r="B1919" s="10">
        <v>93</v>
      </c>
      <c r="C1919" s="10" t="s">
        <v>1513</v>
      </c>
      <c r="D1919" s="388">
        <v>45019</v>
      </c>
      <c r="E1919" s="389">
        <v>45019</v>
      </c>
      <c r="F1919" s="390" t="str">
        <f t="shared" si="35"/>
        <v>Whitegoods</v>
      </c>
      <c r="G1919" s="135">
        <v>3.9540899397851902E-2</v>
      </c>
      <c r="H1919" s="135">
        <v>3.4441117306073001E-2</v>
      </c>
      <c r="I1919" s="135">
        <v>3.2805054493349001E-2</v>
      </c>
      <c r="J1919" s="135">
        <v>3.2898878042348402E-2</v>
      </c>
      <c r="K1919" s="135">
        <v>3.2592638252061899E-2</v>
      </c>
      <c r="L1919" s="135">
        <v>3.32561900459694E-2</v>
      </c>
      <c r="M1919" s="135">
        <v>3.6408162039203197E-2</v>
      </c>
      <c r="N1919" s="135">
        <v>4.4167363588005402E-2</v>
      </c>
      <c r="O1919" s="135">
        <v>4.7160489113982101E-2</v>
      </c>
      <c r="P1919" s="135">
        <v>4.45965108566998E-2</v>
      </c>
      <c r="Q1919" s="135">
        <v>4.2018394690126498E-2</v>
      </c>
      <c r="R1919" s="135">
        <v>3.9969365347788798E-2</v>
      </c>
      <c r="S1919" s="135">
        <v>3.99658863599179E-2</v>
      </c>
      <c r="T1919" s="135">
        <v>3.9045081377494698E-2</v>
      </c>
      <c r="U1919" s="135">
        <v>4.0077521698087801E-2</v>
      </c>
      <c r="V1919" s="135">
        <v>3.9221224865863602E-2</v>
      </c>
      <c r="W1919" s="135">
        <v>3.8853105254750699E-2</v>
      </c>
      <c r="X1919" s="135">
        <v>4.00432537818948E-2</v>
      </c>
      <c r="Y1919" s="135">
        <v>4.1934375238353402E-2</v>
      </c>
      <c r="Z1919" s="135">
        <v>4.2981470620620098E-2</v>
      </c>
      <c r="AA1919" s="135">
        <v>4.8538762569812703E-2</v>
      </c>
      <c r="AB1919" s="135">
        <v>4.6612356542947098E-2</v>
      </c>
      <c r="AC1919" s="135">
        <v>4.4834461185171898E-2</v>
      </c>
      <c r="AD1919" s="135">
        <v>4.4191562253392797E-2</v>
      </c>
      <c r="AF1919" s="243">
        <f t="shared" si="36"/>
        <v>0.27915057959403006</v>
      </c>
      <c r="AG1919" s="275">
        <f t="shared" si="37"/>
        <v>0.52813178257153615</v>
      </c>
      <c r="AH1919" s="391">
        <f t="shared" si="38"/>
        <v>0.43802234235023069</v>
      </c>
      <c r="AI1919" s="135">
        <f t="shared" si="39"/>
        <v>0.96615412492176689</v>
      </c>
    </row>
    <row r="1920" spans="1:35" ht="12.6">
      <c r="A1920" s="10" t="s">
        <v>865</v>
      </c>
      <c r="B1920" s="10">
        <v>94</v>
      </c>
      <c r="C1920" s="10" t="s">
        <v>1513</v>
      </c>
      <c r="D1920" s="388">
        <v>45020</v>
      </c>
      <c r="E1920" s="389">
        <v>45020</v>
      </c>
      <c r="F1920" s="390" t="str">
        <f t="shared" si="35"/>
        <v>Whitegoods</v>
      </c>
      <c r="G1920" s="135">
        <v>3.9540899397851902E-2</v>
      </c>
      <c r="H1920" s="135">
        <v>3.4441117306073001E-2</v>
      </c>
      <c r="I1920" s="135">
        <v>3.2805054493349001E-2</v>
      </c>
      <c r="J1920" s="135">
        <v>3.2898878042348402E-2</v>
      </c>
      <c r="K1920" s="135">
        <v>3.2592638252061899E-2</v>
      </c>
      <c r="L1920" s="135">
        <v>3.32561900459694E-2</v>
      </c>
      <c r="M1920" s="135">
        <v>3.6408162039203197E-2</v>
      </c>
      <c r="N1920" s="135">
        <v>4.4167363588005402E-2</v>
      </c>
      <c r="O1920" s="135">
        <v>4.7160489113982101E-2</v>
      </c>
      <c r="P1920" s="135">
        <v>4.45965108566998E-2</v>
      </c>
      <c r="Q1920" s="135">
        <v>4.2018394690126498E-2</v>
      </c>
      <c r="R1920" s="135">
        <v>3.9969365347788798E-2</v>
      </c>
      <c r="S1920" s="135">
        <v>3.99658863599179E-2</v>
      </c>
      <c r="T1920" s="135">
        <v>3.9045081377494698E-2</v>
      </c>
      <c r="U1920" s="135">
        <v>4.0077521698087801E-2</v>
      </c>
      <c r="V1920" s="135">
        <v>3.9221224865863602E-2</v>
      </c>
      <c r="W1920" s="135">
        <v>3.8853105254750699E-2</v>
      </c>
      <c r="X1920" s="135">
        <v>4.00432537818948E-2</v>
      </c>
      <c r="Y1920" s="135">
        <v>4.1934375238353402E-2</v>
      </c>
      <c r="Z1920" s="135">
        <v>4.2981470620620098E-2</v>
      </c>
      <c r="AA1920" s="135">
        <v>4.8538762569812703E-2</v>
      </c>
      <c r="AB1920" s="135">
        <v>4.6612356542947098E-2</v>
      </c>
      <c r="AC1920" s="135">
        <v>4.4834461185171898E-2</v>
      </c>
      <c r="AD1920" s="135">
        <v>4.4191562253392797E-2</v>
      </c>
      <c r="AF1920" s="243">
        <f t="shared" si="36"/>
        <v>0.27915057959403006</v>
      </c>
      <c r="AG1920" s="275">
        <f t="shared" si="37"/>
        <v>0.52813178257153615</v>
      </c>
      <c r="AH1920" s="391">
        <f t="shared" si="38"/>
        <v>0.43802234235023069</v>
      </c>
      <c r="AI1920" s="135">
        <f t="shared" si="39"/>
        <v>0.96615412492176689</v>
      </c>
    </row>
    <row r="1921" spans="1:35" ht="12.6">
      <c r="A1921" s="10" t="s">
        <v>865</v>
      </c>
      <c r="B1921" s="10">
        <v>95</v>
      </c>
      <c r="C1921" s="10" t="s">
        <v>1513</v>
      </c>
      <c r="D1921" s="388">
        <v>45021</v>
      </c>
      <c r="E1921" s="389">
        <v>45021</v>
      </c>
      <c r="F1921" s="390" t="str">
        <f t="shared" si="35"/>
        <v>Whitegoods</v>
      </c>
      <c r="G1921" s="135">
        <v>3.9540899397851902E-2</v>
      </c>
      <c r="H1921" s="135">
        <v>3.4441117306073001E-2</v>
      </c>
      <c r="I1921" s="135">
        <v>3.2805054493349001E-2</v>
      </c>
      <c r="J1921" s="135">
        <v>3.2898878042348402E-2</v>
      </c>
      <c r="K1921" s="135">
        <v>3.2592638252061899E-2</v>
      </c>
      <c r="L1921" s="135">
        <v>3.32561900459694E-2</v>
      </c>
      <c r="M1921" s="135">
        <v>3.6408162039203197E-2</v>
      </c>
      <c r="N1921" s="135">
        <v>4.4167363588005402E-2</v>
      </c>
      <c r="O1921" s="135">
        <v>4.7160489113982101E-2</v>
      </c>
      <c r="P1921" s="135">
        <v>4.45965108566998E-2</v>
      </c>
      <c r="Q1921" s="135">
        <v>4.2018394690126498E-2</v>
      </c>
      <c r="R1921" s="135">
        <v>3.9969365347788798E-2</v>
      </c>
      <c r="S1921" s="135">
        <v>3.99658863599179E-2</v>
      </c>
      <c r="T1921" s="135">
        <v>3.9045081377494698E-2</v>
      </c>
      <c r="U1921" s="135">
        <v>4.0077521698087801E-2</v>
      </c>
      <c r="V1921" s="135">
        <v>3.9221224865863602E-2</v>
      </c>
      <c r="W1921" s="135">
        <v>3.8853105254750699E-2</v>
      </c>
      <c r="X1921" s="135">
        <v>4.00432537818948E-2</v>
      </c>
      <c r="Y1921" s="135">
        <v>4.1934375238353402E-2</v>
      </c>
      <c r="Z1921" s="135">
        <v>4.2981470620620098E-2</v>
      </c>
      <c r="AA1921" s="135">
        <v>4.8538762569812703E-2</v>
      </c>
      <c r="AB1921" s="135">
        <v>4.6612356542947098E-2</v>
      </c>
      <c r="AC1921" s="135">
        <v>4.4834461185171898E-2</v>
      </c>
      <c r="AD1921" s="135">
        <v>4.4191562253392797E-2</v>
      </c>
      <c r="AF1921" s="243">
        <f t="shared" si="36"/>
        <v>0.27915057959403006</v>
      </c>
      <c r="AG1921" s="275">
        <f t="shared" si="37"/>
        <v>0.52813178257153615</v>
      </c>
      <c r="AH1921" s="391">
        <f t="shared" si="38"/>
        <v>0.43802234235023069</v>
      </c>
      <c r="AI1921" s="135">
        <f t="shared" si="39"/>
        <v>0.96615412492176689</v>
      </c>
    </row>
    <row r="1922" spans="1:35" ht="12.6">
      <c r="A1922" s="10" t="s">
        <v>865</v>
      </c>
      <c r="B1922" s="10">
        <v>96</v>
      </c>
      <c r="C1922" s="10" t="s">
        <v>1513</v>
      </c>
      <c r="D1922" s="388">
        <v>45022</v>
      </c>
      <c r="E1922" s="389">
        <v>45022</v>
      </c>
      <c r="F1922" s="390" t="str">
        <f t="shared" si="35"/>
        <v>Whitegoods</v>
      </c>
      <c r="G1922" s="135">
        <v>3.9540899397851902E-2</v>
      </c>
      <c r="H1922" s="135">
        <v>3.4441117306073001E-2</v>
      </c>
      <c r="I1922" s="135">
        <v>3.2805054493349001E-2</v>
      </c>
      <c r="J1922" s="135">
        <v>3.2898878042348402E-2</v>
      </c>
      <c r="K1922" s="135">
        <v>3.2592638252061899E-2</v>
      </c>
      <c r="L1922" s="135">
        <v>3.32561900459694E-2</v>
      </c>
      <c r="M1922" s="135">
        <v>3.6408162039203197E-2</v>
      </c>
      <c r="N1922" s="135">
        <v>4.4167363588005402E-2</v>
      </c>
      <c r="O1922" s="135">
        <v>4.7160489113982101E-2</v>
      </c>
      <c r="P1922" s="135">
        <v>4.45965108566998E-2</v>
      </c>
      <c r="Q1922" s="135">
        <v>4.2018394690126498E-2</v>
      </c>
      <c r="R1922" s="135">
        <v>3.9969365347788798E-2</v>
      </c>
      <c r="S1922" s="135">
        <v>3.99658863599179E-2</v>
      </c>
      <c r="T1922" s="135">
        <v>3.9045081377494698E-2</v>
      </c>
      <c r="U1922" s="135">
        <v>4.0077521698087801E-2</v>
      </c>
      <c r="V1922" s="135">
        <v>3.9221224865863602E-2</v>
      </c>
      <c r="W1922" s="135">
        <v>3.8853105254750699E-2</v>
      </c>
      <c r="X1922" s="135">
        <v>4.00432537818948E-2</v>
      </c>
      <c r="Y1922" s="135">
        <v>4.1934375238353402E-2</v>
      </c>
      <c r="Z1922" s="135">
        <v>4.2981470620620098E-2</v>
      </c>
      <c r="AA1922" s="135">
        <v>4.8538762569812703E-2</v>
      </c>
      <c r="AB1922" s="135">
        <v>4.6612356542947098E-2</v>
      </c>
      <c r="AC1922" s="135">
        <v>4.4834461185171898E-2</v>
      </c>
      <c r="AD1922" s="135">
        <v>4.4191562253392797E-2</v>
      </c>
      <c r="AF1922" s="243">
        <f t="shared" si="36"/>
        <v>0.27915057959403006</v>
      </c>
      <c r="AG1922" s="275">
        <f t="shared" si="37"/>
        <v>0.52813178257153615</v>
      </c>
      <c r="AH1922" s="391">
        <f t="shared" si="38"/>
        <v>0.43802234235023069</v>
      </c>
      <c r="AI1922" s="135">
        <f t="shared" si="39"/>
        <v>0.96615412492176689</v>
      </c>
    </row>
    <row r="1923" spans="1:35" ht="12.6">
      <c r="A1923" s="10" t="s">
        <v>865</v>
      </c>
      <c r="B1923" s="10">
        <v>97</v>
      </c>
      <c r="C1923" s="10" t="s">
        <v>1513</v>
      </c>
      <c r="D1923" s="388">
        <v>45023</v>
      </c>
      <c r="E1923" s="389">
        <v>45023</v>
      </c>
      <c r="F1923" s="390" t="str">
        <f t="shared" si="35"/>
        <v>Whitegoods</v>
      </c>
      <c r="G1923" s="135">
        <v>3.9540899397851902E-2</v>
      </c>
      <c r="H1923" s="135">
        <v>3.4441117306073001E-2</v>
      </c>
      <c r="I1923" s="135">
        <v>3.2805054493349001E-2</v>
      </c>
      <c r="J1923" s="135">
        <v>3.2898878042348402E-2</v>
      </c>
      <c r="K1923" s="135">
        <v>3.2592638252061899E-2</v>
      </c>
      <c r="L1923" s="135">
        <v>3.32561900459694E-2</v>
      </c>
      <c r="M1923" s="135">
        <v>3.6408162039203197E-2</v>
      </c>
      <c r="N1923" s="135">
        <v>4.4167363588005402E-2</v>
      </c>
      <c r="O1923" s="135">
        <v>4.7160489113982101E-2</v>
      </c>
      <c r="P1923" s="135">
        <v>4.45965108566998E-2</v>
      </c>
      <c r="Q1923" s="135">
        <v>4.2018394690126498E-2</v>
      </c>
      <c r="R1923" s="135">
        <v>3.9969365347788798E-2</v>
      </c>
      <c r="S1923" s="135">
        <v>3.99658863599179E-2</v>
      </c>
      <c r="T1923" s="135">
        <v>3.9045081377494698E-2</v>
      </c>
      <c r="U1923" s="135">
        <v>4.0077521698087801E-2</v>
      </c>
      <c r="V1923" s="135">
        <v>3.9221224865863602E-2</v>
      </c>
      <c r="W1923" s="135">
        <v>3.8853105254750699E-2</v>
      </c>
      <c r="X1923" s="135">
        <v>4.00432537818948E-2</v>
      </c>
      <c r="Y1923" s="135">
        <v>4.1934375238353402E-2</v>
      </c>
      <c r="Z1923" s="135">
        <v>4.2981470620620098E-2</v>
      </c>
      <c r="AA1923" s="135">
        <v>4.8538762569812703E-2</v>
      </c>
      <c r="AB1923" s="135">
        <v>4.6612356542947098E-2</v>
      </c>
      <c r="AC1923" s="135">
        <v>4.4834461185171898E-2</v>
      </c>
      <c r="AD1923" s="135">
        <v>4.4191562253392797E-2</v>
      </c>
      <c r="AF1923" s="243">
        <f t="shared" si="36"/>
        <v>0.27915057959403006</v>
      </c>
      <c r="AG1923" s="275">
        <f t="shared" si="37"/>
        <v>0.52813178257153615</v>
      </c>
      <c r="AH1923" s="391">
        <f t="shared" si="38"/>
        <v>0.43802234235023069</v>
      </c>
      <c r="AI1923" s="135">
        <f t="shared" si="39"/>
        <v>0.96615412492176689</v>
      </c>
    </row>
    <row r="1924" spans="1:35" ht="12.6">
      <c r="A1924" s="10" t="s">
        <v>865</v>
      </c>
      <c r="B1924" s="10">
        <v>98</v>
      </c>
      <c r="C1924" s="10" t="s">
        <v>1513</v>
      </c>
      <c r="D1924" s="388">
        <v>45024</v>
      </c>
      <c r="E1924" s="389">
        <v>45024</v>
      </c>
      <c r="F1924" s="390" t="str">
        <f t="shared" si="35"/>
        <v>Whitegoods</v>
      </c>
      <c r="G1924" s="135">
        <v>3.8675030232270098E-2</v>
      </c>
      <c r="H1924" s="135">
        <v>3.55322612102002E-2</v>
      </c>
      <c r="I1924" s="135">
        <v>3.3139384245641598E-2</v>
      </c>
      <c r="J1924" s="135">
        <v>3.29804345361462E-2</v>
      </c>
      <c r="K1924" s="135">
        <v>3.3148795046366003E-2</v>
      </c>
      <c r="L1924" s="135">
        <v>3.2567491785127398E-2</v>
      </c>
      <c r="M1924" s="135">
        <v>3.5612089492824101E-2</v>
      </c>
      <c r="N1924" s="135">
        <v>3.7279529047746202E-2</v>
      </c>
      <c r="O1924" s="135">
        <v>4.6354250533552403E-2</v>
      </c>
      <c r="P1924" s="135">
        <v>5.7319514184018303E-2</v>
      </c>
      <c r="Q1924" s="135">
        <v>6.2861675919120105E-2</v>
      </c>
      <c r="R1924" s="135">
        <v>5.8319668956649098E-2</v>
      </c>
      <c r="S1924" s="135">
        <v>5.4658811056063801E-2</v>
      </c>
      <c r="T1924" s="135">
        <v>5.3825159445475598E-2</v>
      </c>
      <c r="U1924" s="135">
        <v>4.8807650489533699E-2</v>
      </c>
      <c r="V1924" s="135">
        <v>4.8574696442779897E-2</v>
      </c>
      <c r="W1924" s="135">
        <v>4.8080883677992903E-2</v>
      </c>
      <c r="X1924" s="135">
        <v>4.6774755070729403E-2</v>
      </c>
      <c r="Y1924" s="135">
        <v>4.7239808210564303E-2</v>
      </c>
      <c r="Z1924" s="135">
        <v>4.6088186903114003E-2</v>
      </c>
      <c r="AA1924" s="135">
        <v>4.9160191263616697E-2</v>
      </c>
      <c r="AB1924" s="135">
        <v>5.0427537739012603E-2</v>
      </c>
      <c r="AC1924" s="135">
        <v>4.4889667203693598E-2</v>
      </c>
      <c r="AD1924" s="135">
        <v>4.26482483628133E-2</v>
      </c>
      <c r="AF1924" s="243">
        <f t="shared" si="36"/>
        <v>0.37512854598761514</v>
      </c>
      <c r="AG1924" s="275">
        <f t="shared" si="37"/>
        <v>0.58314060322692851</v>
      </c>
      <c r="AH1924" s="391">
        <f t="shared" si="38"/>
        <v>0.50182511782812311</v>
      </c>
      <c r="AI1924" s="135">
        <f t="shared" si="39"/>
        <v>1.0849657210550516</v>
      </c>
    </row>
    <row r="1925" spans="1:35" ht="12.6">
      <c r="A1925" s="10" t="s">
        <v>865</v>
      </c>
      <c r="B1925" s="10">
        <v>99</v>
      </c>
      <c r="C1925" s="10" t="s">
        <v>1513</v>
      </c>
      <c r="D1925" s="388">
        <v>45025</v>
      </c>
      <c r="E1925" s="389">
        <v>45025</v>
      </c>
      <c r="F1925" s="390" t="str">
        <f t="shared" si="35"/>
        <v>Whitegoods</v>
      </c>
      <c r="G1925" s="135">
        <v>3.8675030232270098E-2</v>
      </c>
      <c r="H1925" s="135">
        <v>3.55322612102002E-2</v>
      </c>
      <c r="I1925" s="135">
        <v>3.3139384245641598E-2</v>
      </c>
      <c r="J1925" s="135">
        <v>3.29804345361462E-2</v>
      </c>
      <c r="K1925" s="135">
        <v>3.3148795046366003E-2</v>
      </c>
      <c r="L1925" s="135">
        <v>3.2567491785127398E-2</v>
      </c>
      <c r="M1925" s="135">
        <v>3.5612089492824101E-2</v>
      </c>
      <c r="N1925" s="135">
        <v>3.7279529047746202E-2</v>
      </c>
      <c r="O1925" s="135">
        <v>4.6354250533552403E-2</v>
      </c>
      <c r="P1925" s="135">
        <v>5.7319514184018303E-2</v>
      </c>
      <c r="Q1925" s="135">
        <v>6.2861675919120105E-2</v>
      </c>
      <c r="R1925" s="135">
        <v>5.8319668956649098E-2</v>
      </c>
      <c r="S1925" s="135">
        <v>5.4658811056063801E-2</v>
      </c>
      <c r="T1925" s="135">
        <v>5.3825159445475598E-2</v>
      </c>
      <c r="U1925" s="135">
        <v>4.8807650489533699E-2</v>
      </c>
      <c r="V1925" s="135">
        <v>4.8574696442779897E-2</v>
      </c>
      <c r="W1925" s="135">
        <v>4.8080883677992903E-2</v>
      </c>
      <c r="X1925" s="135">
        <v>4.6774755070729403E-2</v>
      </c>
      <c r="Y1925" s="135">
        <v>4.7239808210564303E-2</v>
      </c>
      <c r="Z1925" s="135">
        <v>4.6088186903114003E-2</v>
      </c>
      <c r="AA1925" s="135">
        <v>4.9160191263616697E-2</v>
      </c>
      <c r="AB1925" s="135">
        <v>5.0427537739012603E-2</v>
      </c>
      <c r="AC1925" s="135">
        <v>4.4889667203693598E-2</v>
      </c>
      <c r="AD1925" s="135">
        <v>4.26482483628133E-2</v>
      </c>
      <c r="AF1925" s="243">
        <f t="shared" si="36"/>
        <v>0.37512854598761514</v>
      </c>
      <c r="AG1925" s="275">
        <f t="shared" si="37"/>
        <v>0.58314060322692851</v>
      </c>
      <c r="AH1925" s="391">
        <f t="shared" si="38"/>
        <v>0.50182511782812311</v>
      </c>
      <c r="AI1925" s="135">
        <f t="shared" si="39"/>
        <v>1.0849657210550516</v>
      </c>
    </row>
    <row r="1926" spans="1:35" ht="12.6">
      <c r="A1926" s="10" t="s">
        <v>865</v>
      </c>
      <c r="B1926" s="10">
        <v>100</v>
      </c>
      <c r="C1926" s="10" t="s">
        <v>1513</v>
      </c>
      <c r="D1926" s="388">
        <v>45026</v>
      </c>
      <c r="E1926" s="389">
        <v>45026</v>
      </c>
      <c r="F1926" s="390" t="str">
        <f t="shared" si="35"/>
        <v>Whitegoods</v>
      </c>
      <c r="G1926" s="135">
        <v>3.9540899397851902E-2</v>
      </c>
      <c r="H1926" s="135">
        <v>3.4441117306073001E-2</v>
      </c>
      <c r="I1926" s="135">
        <v>3.2805054493349001E-2</v>
      </c>
      <c r="J1926" s="135">
        <v>3.2898878042348402E-2</v>
      </c>
      <c r="K1926" s="135">
        <v>3.2592638252061899E-2</v>
      </c>
      <c r="L1926" s="135">
        <v>3.32561900459694E-2</v>
      </c>
      <c r="M1926" s="135">
        <v>3.6408162039203197E-2</v>
      </c>
      <c r="N1926" s="135">
        <v>4.4167363588005402E-2</v>
      </c>
      <c r="O1926" s="135">
        <v>4.7160489113982101E-2</v>
      </c>
      <c r="P1926" s="135">
        <v>4.45965108566998E-2</v>
      </c>
      <c r="Q1926" s="135">
        <v>4.2018394690126498E-2</v>
      </c>
      <c r="R1926" s="135">
        <v>3.9969365347788798E-2</v>
      </c>
      <c r="S1926" s="135">
        <v>3.99658863599179E-2</v>
      </c>
      <c r="T1926" s="135">
        <v>3.9045081377494698E-2</v>
      </c>
      <c r="U1926" s="135">
        <v>4.0077521698087801E-2</v>
      </c>
      <c r="V1926" s="135">
        <v>3.9221224865863602E-2</v>
      </c>
      <c r="W1926" s="135">
        <v>3.8853105254750699E-2</v>
      </c>
      <c r="X1926" s="135">
        <v>4.00432537818948E-2</v>
      </c>
      <c r="Y1926" s="135">
        <v>4.1934375238353402E-2</v>
      </c>
      <c r="Z1926" s="135">
        <v>4.2981470620620098E-2</v>
      </c>
      <c r="AA1926" s="135">
        <v>4.8538762569812703E-2</v>
      </c>
      <c r="AB1926" s="135">
        <v>4.6612356542947098E-2</v>
      </c>
      <c r="AC1926" s="135">
        <v>4.4834461185171898E-2</v>
      </c>
      <c r="AD1926" s="135">
        <v>4.4191562253392797E-2</v>
      </c>
      <c r="AF1926" s="243">
        <f t="shared" si="36"/>
        <v>0.27915057959403006</v>
      </c>
      <c r="AG1926" s="275">
        <f t="shared" si="37"/>
        <v>0.52813178257153615</v>
      </c>
      <c r="AH1926" s="391">
        <f t="shared" si="38"/>
        <v>0.43802234235023069</v>
      </c>
      <c r="AI1926" s="135">
        <f t="shared" si="39"/>
        <v>0.96615412492176689</v>
      </c>
    </row>
    <row r="1927" spans="1:35" ht="12.6">
      <c r="A1927" s="10" t="s">
        <v>865</v>
      </c>
      <c r="B1927" s="10">
        <v>101</v>
      </c>
      <c r="C1927" s="10" t="s">
        <v>1513</v>
      </c>
      <c r="D1927" s="388">
        <v>45027</v>
      </c>
      <c r="E1927" s="389">
        <v>45027</v>
      </c>
      <c r="F1927" s="390" t="str">
        <f t="shared" si="35"/>
        <v>Whitegoods</v>
      </c>
      <c r="G1927" s="135">
        <v>3.9540899397851902E-2</v>
      </c>
      <c r="H1927" s="135">
        <v>3.4441117306073001E-2</v>
      </c>
      <c r="I1927" s="135">
        <v>3.2805054493349001E-2</v>
      </c>
      <c r="J1927" s="135">
        <v>3.2898878042348402E-2</v>
      </c>
      <c r="K1927" s="135">
        <v>3.2592638252061899E-2</v>
      </c>
      <c r="L1927" s="135">
        <v>3.32561900459694E-2</v>
      </c>
      <c r="M1927" s="135">
        <v>3.6408162039203197E-2</v>
      </c>
      <c r="N1927" s="135">
        <v>4.4167363588005402E-2</v>
      </c>
      <c r="O1927" s="135">
        <v>4.7160489113982101E-2</v>
      </c>
      <c r="P1927" s="135">
        <v>4.45965108566998E-2</v>
      </c>
      <c r="Q1927" s="135">
        <v>4.2018394690126498E-2</v>
      </c>
      <c r="R1927" s="135">
        <v>3.9969365347788798E-2</v>
      </c>
      <c r="S1927" s="135">
        <v>3.99658863599179E-2</v>
      </c>
      <c r="T1927" s="135">
        <v>3.9045081377494698E-2</v>
      </c>
      <c r="U1927" s="135">
        <v>4.0077521698087801E-2</v>
      </c>
      <c r="V1927" s="135">
        <v>3.9221224865863602E-2</v>
      </c>
      <c r="W1927" s="135">
        <v>3.8853105254750699E-2</v>
      </c>
      <c r="X1927" s="135">
        <v>4.00432537818948E-2</v>
      </c>
      <c r="Y1927" s="135">
        <v>4.1934375238353402E-2</v>
      </c>
      <c r="Z1927" s="135">
        <v>4.2981470620620098E-2</v>
      </c>
      <c r="AA1927" s="135">
        <v>4.8538762569812703E-2</v>
      </c>
      <c r="AB1927" s="135">
        <v>4.6612356542947098E-2</v>
      </c>
      <c r="AC1927" s="135">
        <v>4.4834461185171898E-2</v>
      </c>
      <c r="AD1927" s="135">
        <v>4.4191562253392797E-2</v>
      </c>
      <c r="AF1927" s="243">
        <f t="shared" si="36"/>
        <v>0.27915057959403006</v>
      </c>
      <c r="AG1927" s="275">
        <f t="shared" si="37"/>
        <v>0.52813178257153615</v>
      </c>
      <c r="AH1927" s="391">
        <f t="shared" si="38"/>
        <v>0.43802234235023069</v>
      </c>
      <c r="AI1927" s="135">
        <f t="shared" si="39"/>
        <v>0.96615412492176689</v>
      </c>
    </row>
    <row r="1928" spans="1:35" ht="12.6">
      <c r="A1928" s="10" t="s">
        <v>865</v>
      </c>
      <c r="B1928" s="10">
        <v>102</v>
      </c>
      <c r="C1928" s="10" t="s">
        <v>1513</v>
      </c>
      <c r="D1928" s="388">
        <v>45028</v>
      </c>
      <c r="E1928" s="389">
        <v>45028</v>
      </c>
      <c r="F1928" s="390" t="str">
        <f t="shared" si="35"/>
        <v>Whitegoods</v>
      </c>
      <c r="G1928" s="135">
        <v>3.9540899397851902E-2</v>
      </c>
      <c r="H1928" s="135">
        <v>3.4441117306073001E-2</v>
      </c>
      <c r="I1928" s="135">
        <v>3.2805054493349001E-2</v>
      </c>
      <c r="J1928" s="135">
        <v>3.2898878042348402E-2</v>
      </c>
      <c r="K1928" s="135">
        <v>3.2592638252061899E-2</v>
      </c>
      <c r="L1928" s="135">
        <v>3.32561900459694E-2</v>
      </c>
      <c r="M1928" s="135">
        <v>3.6408162039203197E-2</v>
      </c>
      <c r="N1928" s="135">
        <v>4.4167363588005402E-2</v>
      </c>
      <c r="O1928" s="135">
        <v>4.7160489113982101E-2</v>
      </c>
      <c r="P1928" s="135">
        <v>4.45965108566998E-2</v>
      </c>
      <c r="Q1928" s="135">
        <v>4.2018394690126498E-2</v>
      </c>
      <c r="R1928" s="135">
        <v>3.9969365347788798E-2</v>
      </c>
      <c r="S1928" s="135">
        <v>3.99658863599179E-2</v>
      </c>
      <c r="T1928" s="135">
        <v>3.9045081377494698E-2</v>
      </c>
      <c r="U1928" s="135">
        <v>4.0077521698087801E-2</v>
      </c>
      <c r="V1928" s="135">
        <v>3.9221224865863602E-2</v>
      </c>
      <c r="W1928" s="135">
        <v>3.8853105254750699E-2</v>
      </c>
      <c r="X1928" s="135">
        <v>4.00432537818948E-2</v>
      </c>
      <c r="Y1928" s="135">
        <v>4.1934375238353402E-2</v>
      </c>
      <c r="Z1928" s="135">
        <v>4.2981470620620098E-2</v>
      </c>
      <c r="AA1928" s="135">
        <v>4.8538762569812703E-2</v>
      </c>
      <c r="AB1928" s="135">
        <v>4.6612356542947098E-2</v>
      </c>
      <c r="AC1928" s="135">
        <v>4.4834461185171898E-2</v>
      </c>
      <c r="AD1928" s="135">
        <v>4.4191562253392797E-2</v>
      </c>
      <c r="AF1928" s="243">
        <f t="shared" si="36"/>
        <v>0.27915057959403006</v>
      </c>
      <c r="AG1928" s="275">
        <f t="shared" si="37"/>
        <v>0.52813178257153615</v>
      </c>
      <c r="AH1928" s="391">
        <f t="shared" si="38"/>
        <v>0.43802234235023069</v>
      </c>
      <c r="AI1928" s="135">
        <f t="shared" si="39"/>
        <v>0.96615412492176689</v>
      </c>
    </row>
    <row r="1929" spans="1:35" ht="12.6">
      <c r="A1929" s="10" t="s">
        <v>865</v>
      </c>
      <c r="B1929" s="10">
        <v>103</v>
      </c>
      <c r="C1929" s="10" t="s">
        <v>1513</v>
      </c>
      <c r="D1929" s="388">
        <v>45029</v>
      </c>
      <c r="E1929" s="389">
        <v>45029</v>
      </c>
      <c r="F1929" s="390" t="str">
        <f t="shared" si="35"/>
        <v>Whitegoods</v>
      </c>
      <c r="G1929" s="135">
        <v>3.9540899397851902E-2</v>
      </c>
      <c r="H1929" s="135">
        <v>3.4441117306073001E-2</v>
      </c>
      <c r="I1929" s="135">
        <v>3.2805054493349001E-2</v>
      </c>
      <c r="J1929" s="135">
        <v>3.2898878042348402E-2</v>
      </c>
      <c r="K1929" s="135">
        <v>3.2592638252061899E-2</v>
      </c>
      <c r="L1929" s="135">
        <v>3.32561900459694E-2</v>
      </c>
      <c r="M1929" s="135">
        <v>3.6408162039203197E-2</v>
      </c>
      <c r="N1929" s="135">
        <v>4.4167363588005402E-2</v>
      </c>
      <c r="O1929" s="135">
        <v>4.7160489113982101E-2</v>
      </c>
      <c r="P1929" s="135">
        <v>4.45965108566998E-2</v>
      </c>
      <c r="Q1929" s="135">
        <v>4.2018394690126498E-2</v>
      </c>
      <c r="R1929" s="135">
        <v>3.9969365347788798E-2</v>
      </c>
      <c r="S1929" s="135">
        <v>3.99658863599179E-2</v>
      </c>
      <c r="T1929" s="135">
        <v>3.9045081377494698E-2</v>
      </c>
      <c r="U1929" s="135">
        <v>4.0077521698087801E-2</v>
      </c>
      <c r="V1929" s="135">
        <v>3.9221224865863602E-2</v>
      </c>
      <c r="W1929" s="135">
        <v>3.8853105254750699E-2</v>
      </c>
      <c r="X1929" s="135">
        <v>4.00432537818948E-2</v>
      </c>
      <c r="Y1929" s="135">
        <v>4.1934375238353402E-2</v>
      </c>
      <c r="Z1929" s="135">
        <v>4.2981470620620098E-2</v>
      </c>
      <c r="AA1929" s="135">
        <v>4.8538762569812703E-2</v>
      </c>
      <c r="AB1929" s="135">
        <v>4.6612356542947098E-2</v>
      </c>
      <c r="AC1929" s="135">
        <v>4.4834461185171898E-2</v>
      </c>
      <c r="AD1929" s="135">
        <v>4.4191562253392797E-2</v>
      </c>
      <c r="AF1929" s="243">
        <f t="shared" si="36"/>
        <v>0.27915057959403006</v>
      </c>
      <c r="AG1929" s="275">
        <f t="shared" si="37"/>
        <v>0.52813178257153615</v>
      </c>
      <c r="AH1929" s="391">
        <f t="shared" si="38"/>
        <v>0.43802234235023069</v>
      </c>
      <c r="AI1929" s="135">
        <f t="shared" si="39"/>
        <v>0.96615412492176689</v>
      </c>
    </row>
    <row r="1930" spans="1:35" ht="12.6">
      <c r="A1930" s="10" t="s">
        <v>865</v>
      </c>
      <c r="B1930" s="10">
        <v>104</v>
      </c>
      <c r="C1930" s="10" t="s">
        <v>1513</v>
      </c>
      <c r="D1930" s="388">
        <v>45030</v>
      </c>
      <c r="E1930" s="389">
        <v>45030</v>
      </c>
      <c r="F1930" s="390" t="str">
        <f t="shared" si="35"/>
        <v>Whitegoods</v>
      </c>
      <c r="G1930" s="135">
        <v>3.9540899397851902E-2</v>
      </c>
      <c r="H1930" s="135">
        <v>3.4441117306073001E-2</v>
      </c>
      <c r="I1930" s="135">
        <v>3.2805054493349001E-2</v>
      </c>
      <c r="J1930" s="135">
        <v>3.2898878042348402E-2</v>
      </c>
      <c r="K1930" s="135">
        <v>3.2592638252061899E-2</v>
      </c>
      <c r="L1930" s="135">
        <v>3.32561900459694E-2</v>
      </c>
      <c r="M1930" s="135">
        <v>3.6408162039203197E-2</v>
      </c>
      <c r="N1930" s="135">
        <v>4.4167363588005402E-2</v>
      </c>
      <c r="O1930" s="135">
        <v>4.7160489113982101E-2</v>
      </c>
      <c r="P1930" s="135">
        <v>4.45965108566998E-2</v>
      </c>
      <c r="Q1930" s="135">
        <v>4.2018394690126498E-2</v>
      </c>
      <c r="R1930" s="135">
        <v>3.9969365347788798E-2</v>
      </c>
      <c r="S1930" s="135">
        <v>3.99658863599179E-2</v>
      </c>
      <c r="T1930" s="135">
        <v>3.9045081377494698E-2</v>
      </c>
      <c r="U1930" s="135">
        <v>4.0077521698087801E-2</v>
      </c>
      <c r="V1930" s="135">
        <v>3.9221224865863602E-2</v>
      </c>
      <c r="W1930" s="135">
        <v>3.8853105254750699E-2</v>
      </c>
      <c r="X1930" s="135">
        <v>4.00432537818948E-2</v>
      </c>
      <c r="Y1930" s="135">
        <v>4.1934375238353402E-2</v>
      </c>
      <c r="Z1930" s="135">
        <v>4.2981470620620098E-2</v>
      </c>
      <c r="AA1930" s="135">
        <v>4.8538762569812703E-2</v>
      </c>
      <c r="AB1930" s="135">
        <v>4.6612356542947098E-2</v>
      </c>
      <c r="AC1930" s="135">
        <v>4.4834461185171898E-2</v>
      </c>
      <c r="AD1930" s="135">
        <v>4.4191562253392797E-2</v>
      </c>
      <c r="AF1930" s="243">
        <f t="shared" si="36"/>
        <v>0.27915057959403006</v>
      </c>
      <c r="AG1930" s="275">
        <f t="shared" si="37"/>
        <v>0.52813178257153615</v>
      </c>
      <c r="AH1930" s="391">
        <f t="shared" si="38"/>
        <v>0.43802234235023069</v>
      </c>
      <c r="AI1930" s="135">
        <f t="shared" si="39"/>
        <v>0.96615412492176689</v>
      </c>
    </row>
    <row r="1931" spans="1:35" ht="12.6">
      <c r="A1931" s="10" t="s">
        <v>865</v>
      </c>
      <c r="B1931" s="10">
        <v>105</v>
      </c>
      <c r="C1931" s="10" t="s">
        <v>1513</v>
      </c>
      <c r="D1931" s="388">
        <v>45031</v>
      </c>
      <c r="E1931" s="389">
        <v>45031</v>
      </c>
      <c r="F1931" s="390" t="str">
        <f t="shared" si="35"/>
        <v>Whitegoods</v>
      </c>
      <c r="G1931" s="135">
        <v>3.8675030232270098E-2</v>
      </c>
      <c r="H1931" s="135">
        <v>3.55322612102002E-2</v>
      </c>
      <c r="I1931" s="135">
        <v>3.3139384245641598E-2</v>
      </c>
      <c r="J1931" s="135">
        <v>3.29804345361462E-2</v>
      </c>
      <c r="K1931" s="135">
        <v>3.3148795046366003E-2</v>
      </c>
      <c r="L1931" s="135">
        <v>3.2567491785127398E-2</v>
      </c>
      <c r="M1931" s="135">
        <v>3.5612089492824101E-2</v>
      </c>
      <c r="N1931" s="135">
        <v>3.7279529047746202E-2</v>
      </c>
      <c r="O1931" s="135">
        <v>4.6354250533552403E-2</v>
      </c>
      <c r="P1931" s="135">
        <v>5.7319514184018303E-2</v>
      </c>
      <c r="Q1931" s="135">
        <v>6.2861675919120105E-2</v>
      </c>
      <c r="R1931" s="135">
        <v>5.8319668956649098E-2</v>
      </c>
      <c r="S1931" s="135">
        <v>5.4658811056063801E-2</v>
      </c>
      <c r="T1931" s="135">
        <v>5.3825159445475598E-2</v>
      </c>
      <c r="U1931" s="135">
        <v>4.8807650489533699E-2</v>
      </c>
      <c r="V1931" s="135">
        <v>4.8574696442779897E-2</v>
      </c>
      <c r="W1931" s="135">
        <v>4.8080883677992903E-2</v>
      </c>
      <c r="X1931" s="135">
        <v>4.6774755070729403E-2</v>
      </c>
      <c r="Y1931" s="135">
        <v>4.7239808210564303E-2</v>
      </c>
      <c r="Z1931" s="135">
        <v>4.6088186903114003E-2</v>
      </c>
      <c r="AA1931" s="135">
        <v>4.9160191263616697E-2</v>
      </c>
      <c r="AB1931" s="135">
        <v>5.0427537739012603E-2</v>
      </c>
      <c r="AC1931" s="135">
        <v>4.4889667203693598E-2</v>
      </c>
      <c r="AD1931" s="135">
        <v>4.26482483628133E-2</v>
      </c>
      <c r="AF1931" s="243">
        <f t="shared" si="36"/>
        <v>0.37512854598761514</v>
      </c>
      <c r="AG1931" s="275">
        <f t="shared" si="37"/>
        <v>0.58314060322692851</v>
      </c>
      <c r="AH1931" s="391">
        <f t="shared" si="38"/>
        <v>0.50182511782812311</v>
      </c>
      <c r="AI1931" s="135">
        <f t="shared" si="39"/>
        <v>1.0849657210550516</v>
      </c>
    </row>
    <row r="1932" spans="1:35" ht="12.6">
      <c r="A1932" s="10" t="s">
        <v>865</v>
      </c>
      <c r="B1932" s="10">
        <v>106</v>
      </c>
      <c r="C1932" s="10" t="s">
        <v>1513</v>
      </c>
      <c r="D1932" s="388">
        <v>45032</v>
      </c>
      <c r="E1932" s="389">
        <v>45032</v>
      </c>
      <c r="F1932" s="390" t="str">
        <f t="shared" si="35"/>
        <v>Whitegoods</v>
      </c>
      <c r="G1932" s="135">
        <v>3.8675030232270098E-2</v>
      </c>
      <c r="H1932" s="135">
        <v>3.55322612102002E-2</v>
      </c>
      <c r="I1932" s="135">
        <v>3.3139384245641598E-2</v>
      </c>
      <c r="J1932" s="135">
        <v>3.29804345361462E-2</v>
      </c>
      <c r="K1932" s="135">
        <v>3.3148795046366003E-2</v>
      </c>
      <c r="L1932" s="135">
        <v>3.2567491785127398E-2</v>
      </c>
      <c r="M1932" s="135">
        <v>3.5612089492824101E-2</v>
      </c>
      <c r="N1932" s="135">
        <v>3.7279529047746202E-2</v>
      </c>
      <c r="O1932" s="135">
        <v>4.6354250533552403E-2</v>
      </c>
      <c r="P1932" s="135">
        <v>5.7319514184018303E-2</v>
      </c>
      <c r="Q1932" s="135">
        <v>6.2861675919120105E-2</v>
      </c>
      <c r="R1932" s="135">
        <v>5.8319668956649098E-2</v>
      </c>
      <c r="S1932" s="135">
        <v>5.4658811056063801E-2</v>
      </c>
      <c r="T1932" s="135">
        <v>5.3825159445475598E-2</v>
      </c>
      <c r="U1932" s="135">
        <v>4.8807650489533699E-2</v>
      </c>
      <c r="V1932" s="135">
        <v>4.8574696442779897E-2</v>
      </c>
      <c r="W1932" s="135">
        <v>4.8080883677992903E-2</v>
      </c>
      <c r="X1932" s="135">
        <v>4.6774755070729403E-2</v>
      </c>
      <c r="Y1932" s="135">
        <v>4.7239808210564303E-2</v>
      </c>
      <c r="Z1932" s="135">
        <v>4.6088186903114003E-2</v>
      </c>
      <c r="AA1932" s="135">
        <v>4.9160191263616697E-2</v>
      </c>
      <c r="AB1932" s="135">
        <v>5.0427537739012603E-2</v>
      </c>
      <c r="AC1932" s="135">
        <v>4.4889667203693598E-2</v>
      </c>
      <c r="AD1932" s="135">
        <v>4.26482483628133E-2</v>
      </c>
      <c r="AF1932" s="243">
        <f t="shared" si="36"/>
        <v>0.37512854598761514</v>
      </c>
      <c r="AG1932" s="275">
        <f t="shared" si="37"/>
        <v>0.58314060322692851</v>
      </c>
      <c r="AH1932" s="391">
        <f t="shared" si="38"/>
        <v>0.50182511782812311</v>
      </c>
      <c r="AI1932" s="135">
        <f t="shared" si="39"/>
        <v>1.0849657210550516</v>
      </c>
    </row>
    <row r="1933" spans="1:35" ht="12.6">
      <c r="A1933" s="10" t="s">
        <v>865</v>
      </c>
      <c r="B1933" s="10">
        <v>107</v>
      </c>
      <c r="C1933" s="10" t="s">
        <v>1513</v>
      </c>
      <c r="D1933" s="388">
        <v>45033</v>
      </c>
      <c r="E1933" s="389">
        <v>45033</v>
      </c>
      <c r="F1933" s="390" t="str">
        <f t="shared" si="35"/>
        <v>Whitegoods</v>
      </c>
      <c r="G1933" s="135">
        <v>3.9540899397851902E-2</v>
      </c>
      <c r="H1933" s="135">
        <v>3.4441117306073001E-2</v>
      </c>
      <c r="I1933" s="135">
        <v>3.2805054493349001E-2</v>
      </c>
      <c r="J1933" s="135">
        <v>3.2898878042348402E-2</v>
      </c>
      <c r="K1933" s="135">
        <v>3.2592638252061899E-2</v>
      </c>
      <c r="L1933" s="135">
        <v>3.32561900459694E-2</v>
      </c>
      <c r="M1933" s="135">
        <v>3.6408162039203197E-2</v>
      </c>
      <c r="N1933" s="135">
        <v>4.4167363588005402E-2</v>
      </c>
      <c r="O1933" s="135">
        <v>4.7160489113982101E-2</v>
      </c>
      <c r="P1933" s="135">
        <v>4.45965108566998E-2</v>
      </c>
      <c r="Q1933" s="135">
        <v>4.2018394690126498E-2</v>
      </c>
      <c r="R1933" s="135">
        <v>3.9969365347788798E-2</v>
      </c>
      <c r="S1933" s="135">
        <v>3.99658863599179E-2</v>
      </c>
      <c r="T1933" s="135">
        <v>3.9045081377494698E-2</v>
      </c>
      <c r="U1933" s="135">
        <v>4.0077521698087801E-2</v>
      </c>
      <c r="V1933" s="135">
        <v>3.9221224865863602E-2</v>
      </c>
      <c r="W1933" s="135">
        <v>3.8853105254750699E-2</v>
      </c>
      <c r="X1933" s="135">
        <v>4.00432537818948E-2</v>
      </c>
      <c r="Y1933" s="135">
        <v>4.1934375238353402E-2</v>
      </c>
      <c r="Z1933" s="135">
        <v>4.2981470620620098E-2</v>
      </c>
      <c r="AA1933" s="135">
        <v>4.8538762569812703E-2</v>
      </c>
      <c r="AB1933" s="135">
        <v>4.6612356542947098E-2</v>
      </c>
      <c r="AC1933" s="135">
        <v>4.4834461185171898E-2</v>
      </c>
      <c r="AD1933" s="135">
        <v>4.4191562253392797E-2</v>
      </c>
      <c r="AF1933" s="243">
        <f t="shared" si="36"/>
        <v>0.27915057959403006</v>
      </c>
      <c r="AG1933" s="275">
        <f t="shared" si="37"/>
        <v>0.52813178257153615</v>
      </c>
      <c r="AH1933" s="391">
        <f t="shared" si="38"/>
        <v>0.43802234235023069</v>
      </c>
      <c r="AI1933" s="135">
        <f t="shared" si="39"/>
        <v>0.96615412492176689</v>
      </c>
    </row>
    <row r="1934" spans="1:35" ht="12.6">
      <c r="A1934" s="10" t="s">
        <v>865</v>
      </c>
      <c r="B1934" s="10">
        <v>108</v>
      </c>
      <c r="C1934" s="10" t="s">
        <v>1513</v>
      </c>
      <c r="D1934" s="388">
        <v>45034</v>
      </c>
      <c r="E1934" s="389">
        <v>45034</v>
      </c>
      <c r="F1934" s="390" t="str">
        <f t="shared" si="35"/>
        <v>Whitegoods</v>
      </c>
      <c r="G1934" s="135">
        <v>3.9540899397851902E-2</v>
      </c>
      <c r="H1934" s="135">
        <v>3.4441117306073001E-2</v>
      </c>
      <c r="I1934" s="135">
        <v>3.2805054493349001E-2</v>
      </c>
      <c r="J1934" s="135">
        <v>3.2898878042348402E-2</v>
      </c>
      <c r="K1934" s="135">
        <v>3.2592638252061899E-2</v>
      </c>
      <c r="L1934" s="135">
        <v>3.32561900459694E-2</v>
      </c>
      <c r="M1934" s="135">
        <v>3.6408162039203197E-2</v>
      </c>
      <c r="N1934" s="135">
        <v>4.4167363588005402E-2</v>
      </c>
      <c r="O1934" s="135">
        <v>4.7160489113982101E-2</v>
      </c>
      <c r="P1934" s="135">
        <v>4.45965108566998E-2</v>
      </c>
      <c r="Q1934" s="135">
        <v>4.2018394690126498E-2</v>
      </c>
      <c r="R1934" s="135">
        <v>3.9969365347788798E-2</v>
      </c>
      <c r="S1934" s="135">
        <v>3.99658863599179E-2</v>
      </c>
      <c r="T1934" s="135">
        <v>3.9045081377494698E-2</v>
      </c>
      <c r="U1934" s="135">
        <v>4.0077521698087801E-2</v>
      </c>
      <c r="V1934" s="135">
        <v>3.9221224865863602E-2</v>
      </c>
      <c r="W1934" s="135">
        <v>3.8853105254750699E-2</v>
      </c>
      <c r="X1934" s="135">
        <v>4.00432537818948E-2</v>
      </c>
      <c r="Y1934" s="135">
        <v>4.1934375238353402E-2</v>
      </c>
      <c r="Z1934" s="135">
        <v>4.2981470620620098E-2</v>
      </c>
      <c r="AA1934" s="135">
        <v>4.8538762569812703E-2</v>
      </c>
      <c r="AB1934" s="135">
        <v>4.6612356542947098E-2</v>
      </c>
      <c r="AC1934" s="135">
        <v>4.4834461185171898E-2</v>
      </c>
      <c r="AD1934" s="135">
        <v>4.4191562253392797E-2</v>
      </c>
      <c r="AF1934" s="243">
        <f t="shared" si="36"/>
        <v>0.27915057959403006</v>
      </c>
      <c r="AG1934" s="275">
        <f t="shared" si="37"/>
        <v>0.52813178257153615</v>
      </c>
      <c r="AH1934" s="391">
        <f t="shared" si="38"/>
        <v>0.43802234235023069</v>
      </c>
      <c r="AI1934" s="135">
        <f t="shared" si="39"/>
        <v>0.96615412492176689</v>
      </c>
    </row>
    <row r="1935" spans="1:35" ht="12.6">
      <c r="A1935" s="10" t="s">
        <v>865</v>
      </c>
      <c r="B1935" s="10">
        <v>109</v>
      </c>
      <c r="C1935" s="10" t="s">
        <v>1513</v>
      </c>
      <c r="D1935" s="388">
        <v>45035</v>
      </c>
      <c r="E1935" s="389">
        <v>45035</v>
      </c>
      <c r="F1935" s="390" t="str">
        <f t="shared" si="35"/>
        <v>Whitegoods</v>
      </c>
      <c r="G1935" s="135">
        <v>3.9540899397851902E-2</v>
      </c>
      <c r="H1935" s="135">
        <v>3.4441117306073001E-2</v>
      </c>
      <c r="I1935" s="135">
        <v>3.2805054493349001E-2</v>
      </c>
      <c r="J1935" s="135">
        <v>3.2898878042348402E-2</v>
      </c>
      <c r="K1935" s="135">
        <v>3.2592638252061899E-2</v>
      </c>
      <c r="L1935" s="135">
        <v>3.32561900459694E-2</v>
      </c>
      <c r="M1935" s="135">
        <v>3.6408162039203197E-2</v>
      </c>
      <c r="N1935" s="135">
        <v>4.4167363588005402E-2</v>
      </c>
      <c r="O1935" s="135">
        <v>4.7160489113982101E-2</v>
      </c>
      <c r="P1935" s="135">
        <v>4.45965108566998E-2</v>
      </c>
      <c r="Q1935" s="135">
        <v>4.2018394690126498E-2</v>
      </c>
      <c r="R1935" s="135">
        <v>3.9969365347788798E-2</v>
      </c>
      <c r="S1935" s="135">
        <v>3.99658863599179E-2</v>
      </c>
      <c r="T1935" s="135">
        <v>3.9045081377494698E-2</v>
      </c>
      <c r="U1935" s="135">
        <v>4.0077521698087801E-2</v>
      </c>
      <c r="V1935" s="135">
        <v>3.9221224865863602E-2</v>
      </c>
      <c r="W1935" s="135">
        <v>3.8853105254750699E-2</v>
      </c>
      <c r="X1935" s="135">
        <v>4.00432537818948E-2</v>
      </c>
      <c r="Y1935" s="135">
        <v>4.1934375238353402E-2</v>
      </c>
      <c r="Z1935" s="135">
        <v>4.2981470620620098E-2</v>
      </c>
      <c r="AA1935" s="135">
        <v>4.8538762569812703E-2</v>
      </c>
      <c r="AB1935" s="135">
        <v>4.6612356542947098E-2</v>
      </c>
      <c r="AC1935" s="135">
        <v>4.4834461185171898E-2</v>
      </c>
      <c r="AD1935" s="135">
        <v>4.4191562253392797E-2</v>
      </c>
      <c r="AF1935" s="243">
        <f t="shared" si="36"/>
        <v>0.27915057959403006</v>
      </c>
      <c r="AG1935" s="275">
        <f t="shared" si="37"/>
        <v>0.52813178257153615</v>
      </c>
      <c r="AH1935" s="391">
        <f t="shared" si="38"/>
        <v>0.43802234235023069</v>
      </c>
      <c r="AI1935" s="135">
        <f t="shared" si="39"/>
        <v>0.96615412492176689</v>
      </c>
    </row>
    <row r="1936" spans="1:35" ht="12.6">
      <c r="A1936" s="10" t="s">
        <v>865</v>
      </c>
      <c r="B1936" s="10">
        <v>110</v>
      </c>
      <c r="C1936" s="10" t="s">
        <v>1513</v>
      </c>
      <c r="D1936" s="388">
        <v>45036</v>
      </c>
      <c r="E1936" s="389">
        <v>45036</v>
      </c>
      <c r="F1936" s="390" t="str">
        <f t="shared" si="35"/>
        <v>Whitegoods</v>
      </c>
      <c r="G1936" s="135">
        <v>3.9540899397851902E-2</v>
      </c>
      <c r="H1936" s="135">
        <v>3.4441117306073001E-2</v>
      </c>
      <c r="I1936" s="135">
        <v>3.2805054493349001E-2</v>
      </c>
      <c r="J1936" s="135">
        <v>3.2898878042348402E-2</v>
      </c>
      <c r="K1936" s="135">
        <v>3.2592638252061899E-2</v>
      </c>
      <c r="L1936" s="135">
        <v>3.32561900459694E-2</v>
      </c>
      <c r="M1936" s="135">
        <v>3.6408162039203197E-2</v>
      </c>
      <c r="N1936" s="135">
        <v>4.4167363588005402E-2</v>
      </c>
      <c r="O1936" s="135">
        <v>4.7160489113982101E-2</v>
      </c>
      <c r="P1936" s="135">
        <v>4.45965108566998E-2</v>
      </c>
      <c r="Q1936" s="135">
        <v>4.2018394690126498E-2</v>
      </c>
      <c r="R1936" s="135">
        <v>3.9969365347788798E-2</v>
      </c>
      <c r="S1936" s="135">
        <v>3.99658863599179E-2</v>
      </c>
      <c r="T1936" s="135">
        <v>3.9045081377494698E-2</v>
      </c>
      <c r="U1936" s="135">
        <v>4.0077521698087801E-2</v>
      </c>
      <c r="V1936" s="135">
        <v>3.9221224865863602E-2</v>
      </c>
      <c r="W1936" s="135">
        <v>3.8853105254750699E-2</v>
      </c>
      <c r="X1936" s="135">
        <v>4.00432537818948E-2</v>
      </c>
      <c r="Y1936" s="135">
        <v>4.1934375238353402E-2</v>
      </c>
      <c r="Z1936" s="135">
        <v>4.2981470620620098E-2</v>
      </c>
      <c r="AA1936" s="135">
        <v>4.8538762569812703E-2</v>
      </c>
      <c r="AB1936" s="135">
        <v>4.6612356542947098E-2</v>
      </c>
      <c r="AC1936" s="135">
        <v>4.4834461185171898E-2</v>
      </c>
      <c r="AD1936" s="135">
        <v>4.4191562253392797E-2</v>
      </c>
      <c r="AF1936" s="243">
        <f t="shared" si="36"/>
        <v>0.27915057959403006</v>
      </c>
      <c r="AG1936" s="275">
        <f t="shared" si="37"/>
        <v>0.52813178257153615</v>
      </c>
      <c r="AH1936" s="391">
        <f t="shared" si="38"/>
        <v>0.43802234235023069</v>
      </c>
      <c r="AI1936" s="135">
        <f t="shared" si="39"/>
        <v>0.96615412492176689</v>
      </c>
    </row>
    <row r="1937" spans="1:35" ht="12.6">
      <c r="A1937" s="10" t="s">
        <v>865</v>
      </c>
      <c r="B1937" s="10">
        <v>111</v>
      </c>
      <c r="C1937" s="10" t="s">
        <v>1513</v>
      </c>
      <c r="D1937" s="388">
        <v>45037</v>
      </c>
      <c r="E1937" s="389">
        <v>45037</v>
      </c>
      <c r="F1937" s="390" t="str">
        <f t="shared" si="35"/>
        <v>Whitegoods</v>
      </c>
      <c r="G1937" s="135">
        <v>3.9540899397851902E-2</v>
      </c>
      <c r="H1937" s="135">
        <v>3.4441117306073001E-2</v>
      </c>
      <c r="I1937" s="135">
        <v>3.2805054493349001E-2</v>
      </c>
      <c r="J1937" s="135">
        <v>3.2898878042348402E-2</v>
      </c>
      <c r="K1937" s="135">
        <v>3.2592638252061899E-2</v>
      </c>
      <c r="L1937" s="135">
        <v>3.32561900459694E-2</v>
      </c>
      <c r="M1937" s="135">
        <v>3.6408162039203197E-2</v>
      </c>
      <c r="N1937" s="135">
        <v>4.4167363588005402E-2</v>
      </c>
      <c r="O1937" s="135">
        <v>4.7160489113982101E-2</v>
      </c>
      <c r="P1937" s="135">
        <v>4.45965108566998E-2</v>
      </c>
      <c r="Q1937" s="135">
        <v>4.2018394690126498E-2</v>
      </c>
      <c r="R1937" s="135">
        <v>3.9969365347788798E-2</v>
      </c>
      <c r="S1937" s="135">
        <v>3.99658863599179E-2</v>
      </c>
      <c r="T1937" s="135">
        <v>3.9045081377494698E-2</v>
      </c>
      <c r="U1937" s="135">
        <v>4.0077521698087801E-2</v>
      </c>
      <c r="V1937" s="135">
        <v>3.9221224865863602E-2</v>
      </c>
      <c r="W1937" s="135">
        <v>3.8853105254750699E-2</v>
      </c>
      <c r="X1937" s="135">
        <v>4.00432537818948E-2</v>
      </c>
      <c r="Y1937" s="135">
        <v>4.1934375238353402E-2</v>
      </c>
      <c r="Z1937" s="135">
        <v>4.2981470620620098E-2</v>
      </c>
      <c r="AA1937" s="135">
        <v>4.8538762569812703E-2</v>
      </c>
      <c r="AB1937" s="135">
        <v>4.6612356542947098E-2</v>
      </c>
      <c r="AC1937" s="135">
        <v>4.4834461185171898E-2</v>
      </c>
      <c r="AD1937" s="135">
        <v>4.4191562253392797E-2</v>
      </c>
      <c r="AF1937" s="243">
        <f t="shared" si="36"/>
        <v>0.27915057959403006</v>
      </c>
      <c r="AG1937" s="275">
        <f t="shared" si="37"/>
        <v>0.52813178257153615</v>
      </c>
      <c r="AH1937" s="391">
        <f t="shared" si="38"/>
        <v>0.43802234235023069</v>
      </c>
      <c r="AI1937" s="135">
        <f t="shared" si="39"/>
        <v>0.96615412492176689</v>
      </c>
    </row>
    <row r="1938" spans="1:35" ht="12.6">
      <c r="A1938" s="10" t="s">
        <v>865</v>
      </c>
      <c r="B1938" s="10">
        <v>112</v>
      </c>
      <c r="C1938" s="10" t="s">
        <v>1513</v>
      </c>
      <c r="D1938" s="388">
        <v>45038</v>
      </c>
      <c r="E1938" s="389">
        <v>45038</v>
      </c>
      <c r="F1938" s="390" t="str">
        <f t="shared" si="35"/>
        <v>Whitegoods</v>
      </c>
      <c r="G1938" s="135">
        <v>3.8675030232270098E-2</v>
      </c>
      <c r="H1938" s="135">
        <v>3.55322612102002E-2</v>
      </c>
      <c r="I1938" s="135">
        <v>3.3139384245641598E-2</v>
      </c>
      <c r="J1938" s="135">
        <v>3.29804345361462E-2</v>
      </c>
      <c r="K1938" s="135">
        <v>3.3148795046366003E-2</v>
      </c>
      <c r="L1938" s="135">
        <v>3.2567491785127398E-2</v>
      </c>
      <c r="M1938" s="135">
        <v>3.5612089492824101E-2</v>
      </c>
      <c r="N1938" s="135">
        <v>3.7279529047746202E-2</v>
      </c>
      <c r="O1938" s="135">
        <v>4.6354250533552403E-2</v>
      </c>
      <c r="P1938" s="135">
        <v>5.7319514184018303E-2</v>
      </c>
      <c r="Q1938" s="135">
        <v>6.2861675919120105E-2</v>
      </c>
      <c r="R1938" s="135">
        <v>5.8319668956649098E-2</v>
      </c>
      <c r="S1938" s="135">
        <v>5.4658811056063801E-2</v>
      </c>
      <c r="T1938" s="135">
        <v>5.3825159445475598E-2</v>
      </c>
      <c r="U1938" s="135">
        <v>4.8807650489533699E-2</v>
      </c>
      <c r="V1938" s="135">
        <v>4.8574696442779897E-2</v>
      </c>
      <c r="W1938" s="135">
        <v>4.8080883677992903E-2</v>
      </c>
      <c r="X1938" s="135">
        <v>4.6774755070729403E-2</v>
      </c>
      <c r="Y1938" s="135">
        <v>4.7239808210564303E-2</v>
      </c>
      <c r="Z1938" s="135">
        <v>4.6088186903114003E-2</v>
      </c>
      <c r="AA1938" s="135">
        <v>4.9160191263616697E-2</v>
      </c>
      <c r="AB1938" s="135">
        <v>5.0427537739012603E-2</v>
      </c>
      <c r="AC1938" s="135">
        <v>4.4889667203693598E-2</v>
      </c>
      <c r="AD1938" s="135">
        <v>4.26482483628133E-2</v>
      </c>
      <c r="AF1938" s="243">
        <f t="shared" si="36"/>
        <v>0.37512854598761514</v>
      </c>
      <c r="AG1938" s="275">
        <f t="shared" si="37"/>
        <v>0.58314060322692851</v>
      </c>
      <c r="AH1938" s="391">
        <f t="shared" si="38"/>
        <v>0.50182511782812311</v>
      </c>
      <c r="AI1938" s="135">
        <f t="shared" si="39"/>
        <v>1.0849657210550516</v>
      </c>
    </row>
    <row r="1939" spans="1:35" ht="12.6">
      <c r="A1939" s="10" t="s">
        <v>865</v>
      </c>
      <c r="B1939" s="10">
        <v>113</v>
      </c>
      <c r="C1939" s="10" t="s">
        <v>1513</v>
      </c>
      <c r="D1939" s="388">
        <v>45039</v>
      </c>
      <c r="E1939" s="389">
        <v>45039</v>
      </c>
      <c r="F1939" s="390" t="str">
        <f t="shared" si="35"/>
        <v>Whitegoods</v>
      </c>
      <c r="G1939" s="135">
        <v>3.8675030232270098E-2</v>
      </c>
      <c r="H1939" s="135">
        <v>3.55322612102002E-2</v>
      </c>
      <c r="I1939" s="135">
        <v>3.3139384245641598E-2</v>
      </c>
      <c r="J1939" s="135">
        <v>3.29804345361462E-2</v>
      </c>
      <c r="K1939" s="135">
        <v>3.3148795046366003E-2</v>
      </c>
      <c r="L1939" s="135">
        <v>3.2567491785127398E-2</v>
      </c>
      <c r="M1939" s="135">
        <v>3.5612089492824101E-2</v>
      </c>
      <c r="N1939" s="135">
        <v>3.7279529047746202E-2</v>
      </c>
      <c r="O1939" s="135">
        <v>4.6354250533552403E-2</v>
      </c>
      <c r="P1939" s="135">
        <v>5.7319514184018303E-2</v>
      </c>
      <c r="Q1939" s="135">
        <v>6.2861675919120105E-2</v>
      </c>
      <c r="R1939" s="135">
        <v>5.8319668956649098E-2</v>
      </c>
      <c r="S1939" s="135">
        <v>5.4658811056063801E-2</v>
      </c>
      <c r="T1939" s="135">
        <v>5.3825159445475598E-2</v>
      </c>
      <c r="U1939" s="135">
        <v>4.8807650489533699E-2</v>
      </c>
      <c r="V1939" s="135">
        <v>4.8574696442779897E-2</v>
      </c>
      <c r="W1939" s="135">
        <v>4.8080883677992903E-2</v>
      </c>
      <c r="X1939" s="135">
        <v>4.6774755070729403E-2</v>
      </c>
      <c r="Y1939" s="135">
        <v>4.7239808210564303E-2</v>
      </c>
      <c r="Z1939" s="135">
        <v>4.6088186903114003E-2</v>
      </c>
      <c r="AA1939" s="135">
        <v>4.9160191263616697E-2</v>
      </c>
      <c r="AB1939" s="135">
        <v>5.0427537739012603E-2</v>
      </c>
      <c r="AC1939" s="135">
        <v>4.4889667203693598E-2</v>
      </c>
      <c r="AD1939" s="135">
        <v>4.26482483628133E-2</v>
      </c>
      <c r="AF1939" s="243">
        <f t="shared" si="36"/>
        <v>0.37512854598761514</v>
      </c>
      <c r="AG1939" s="275">
        <f t="shared" si="37"/>
        <v>0.58314060322692851</v>
      </c>
      <c r="AH1939" s="391">
        <f t="shared" si="38"/>
        <v>0.50182511782812311</v>
      </c>
      <c r="AI1939" s="135">
        <f t="shared" si="39"/>
        <v>1.0849657210550516</v>
      </c>
    </row>
    <row r="1940" spans="1:35" ht="12.6">
      <c r="A1940" s="10" t="s">
        <v>865</v>
      </c>
      <c r="B1940" s="10">
        <v>114</v>
      </c>
      <c r="C1940" s="10" t="s">
        <v>1513</v>
      </c>
      <c r="D1940" s="388">
        <v>45040</v>
      </c>
      <c r="E1940" s="389">
        <v>45040</v>
      </c>
      <c r="F1940" s="390" t="str">
        <f t="shared" si="35"/>
        <v>Whitegoods</v>
      </c>
      <c r="G1940" s="135">
        <v>3.9540899397851902E-2</v>
      </c>
      <c r="H1940" s="135">
        <v>3.4441117306073001E-2</v>
      </c>
      <c r="I1940" s="135">
        <v>3.2805054493349001E-2</v>
      </c>
      <c r="J1940" s="135">
        <v>3.2898878042348402E-2</v>
      </c>
      <c r="K1940" s="135">
        <v>3.2592638252061899E-2</v>
      </c>
      <c r="L1940" s="135">
        <v>3.32561900459694E-2</v>
      </c>
      <c r="M1940" s="135">
        <v>3.6408162039203197E-2</v>
      </c>
      <c r="N1940" s="135">
        <v>4.4167363588005402E-2</v>
      </c>
      <c r="O1940" s="135">
        <v>4.7160489113982101E-2</v>
      </c>
      <c r="P1940" s="135">
        <v>4.45965108566998E-2</v>
      </c>
      <c r="Q1940" s="135">
        <v>4.2018394690126498E-2</v>
      </c>
      <c r="R1940" s="135">
        <v>3.9969365347788798E-2</v>
      </c>
      <c r="S1940" s="135">
        <v>3.99658863599179E-2</v>
      </c>
      <c r="T1940" s="135">
        <v>3.9045081377494698E-2</v>
      </c>
      <c r="U1940" s="135">
        <v>4.0077521698087801E-2</v>
      </c>
      <c r="V1940" s="135">
        <v>3.9221224865863602E-2</v>
      </c>
      <c r="W1940" s="135">
        <v>3.8853105254750699E-2</v>
      </c>
      <c r="X1940" s="135">
        <v>4.00432537818948E-2</v>
      </c>
      <c r="Y1940" s="135">
        <v>4.1934375238353402E-2</v>
      </c>
      <c r="Z1940" s="135">
        <v>4.2981470620620098E-2</v>
      </c>
      <c r="AA1940" s="135">
        <v>4.8538762569812703E-2</v>
      </c>
      <c r="AB1940" s="135">
        <v>4.6612356542947098E-2</v>
      </c>
      <c r="AC1940" s="135">
        <v>4.4834461185171898E-2</v>
      </c>
      <c r="AD1940" s="135">
        <v>4.4191562253392797E-2</v>
      </c>
      <c r="AF1940" s="243">
        <f t="shared" si="36"/>
        <v>0.27915057959403006</v>
      </c>
      <c r="AG1940" s="275">
        <f t="shared" si="37"/>
        <v>0.52813178257153615</v>
      </c>
      <c r="AH1940" s="391">
        <f t="shared" si="38"/>
        <v>0.43802234235023069</v>
      </c>
      <c r="AI1940" s="135">
        <f t="shared" si="39"/>
        <v>0.96615412492176689</v>
      </c>
    </row>
    <row r="1941" spans="1:35" ht="12.6">
      <c r="A1941" s="10" t="s">
        <v>865</v>
      </c>
      <c r="B1941" s="10">
        <v>115</v>
      </c>
      <c r="C1941" s="10" t="s">
        <v>1513</v>
      </c>
      <c r="D1941" s="388">
        <v>45041</v>
      </c>
      <c r="E1941" s="389">
        <v>45041</v>
      </c>
      <c r="F1941" s="390" t="str">
        <f t="shared" si="35"/>
        <v>Whitegoods</v>
      </c>
      <c r="G1941" s="135">
        <v>3.9540899397851902E-2</v>
      </c>
      <c r="H1941" s="135">
        <v>3.4441117306073001E-2</v>
      </c>
      <c r="I1941" s="135">
        <v>3.2805054493349001E-2</v>
      </c>
      <c r="J1941" s="135">
        <v>3.2898878042348402E-2</v>
      </c>
      <c r="K1941" s="135">
        <v>3.2592638252061899E-2</v>
      </c>
      <c r="L1941" s="135">
        <v>3.32561900459694E-2</v>
      </c>
      <c r="M1941" s="135">
        <v>3.6408162039203197E-2</v>
      </c>
      <c r="N1941" s="135">
        <v>4.4167363588005402E-2</v>
      </c>
      <c r="O1941" s="135">
        <v>4.7160489113982101E-2</v>
      </c>
      <c r="P1941" s="135">
        <v>4.45965108566998E-2</v>
      </c>
      <c r="Q1941" s="135">
        <v>4.2018394690126498E-2</v>
      </c>
      <c r="R1941" s="135">
        <v>3.9969365347788798E-2</v>
      </c>
      <c r="S1941" s="135">
        <v>3.99658863599179E-2</v>
      </c>
      <c r="T1941" s="135">
        <v>3.9045081377494698E-2</v>
      </c>
      <c r="U1941" s="135">
        <v>4.0077521698087801E-2</v>
      </c>
      <c r="V1941" s="135">
        <v>3.9221224865863602E-2</v>
      </c>
      <c r="W1941" s="135">
        <v>3.8853105254750699E-2</v>
      </c>
      <c r="X1941" s="135">
        <v>4.00432537818948E-2</v>
      </c>
      <c r="Y1941" s="135">
        <v>4.1934375238353402E-2</v>
      </c>
      <c r="Z1941" s="135">
        <v>4.2981470620620098E-2</v>
      </c>
      <c r="AA1941" s="135">
        <v>4.8538762569812703E-2</v>
      </c>
      <c r="AB1941" s="135">
        <v>4.6612356542947098E-2</v>
      </c>
      <c r="AC1941" s="135">
        <v>4.4834461185171898E-2</v>
      </c>
      <c r="AD1941" s="135">
        <v>4.4191562253392797E-2</v>
      </c>
      <c r="AF1941" s="243">
        <f t="shared" si="36"/>
        <v>0.27915057959403006</v>
      </c>
      <c r="AG1941" s="275">
        <f t="shared" si="37"/>
        <v>0.52813178257153615</v>
      </c>
      <c r="AH1941" s="391">
        <f t="shared" si="38"/>
        <v>0.43802234235023069</v>
      </c>
      <c r="AI1941" s="135">
        <f t="shared" si="39"/>
        <v>0.96615412492176689</v>
      </c>
    </row>
    <row r="1942" spans="1:35" ht="12.6">
      <c r="A1942" s="10" t="s">
        <v>865</v>
      </c>
      <c r="B1942" s="10">
        <v>116</v>
      </c>
      <c r="C1942" s="10" t="s">
        <v>1513</v>
      </c>
      <c r="D1942" s="388">
        <v>45042</v>
      </c>
      <c r="E1942" s="389">
        <v>45042</v>
      </c>
      <c r="F1942" s="390" t="str">
        <f t="shared" si="35"/>
        <v>Whitegoods</v>
      </c>
      <c r="G1942" s="135">
        <v>3.9540899397851902E-2</v>
      </c>
      <c r="H1942" s="135">
        <v>3.4441117306073001E-2</v>
      </c>
      <c r="I1942" s="135">
        <v>3.2805054493349001E-2</v>
      </c>
      <c r="J1942" s="135">
        <v>3.2898878042348402E-2</v>
      </c>
      <c r="K1942" s="135">
        <v>3.2592638252061899E-2</v>
      </c>
      <c r="L1942" s="135">
        <v>3.32561900459694E-2</v>
      </c>
      <c r="M1942" s="135">
        <v>3.6408162039203197E-2</v>
      </c>
      <c r="N1942" s="135">
        <v>4.4167363588005402E-2</v>
      </c>
      <c r="O1942" s="135">
        <v>4.7160489113982101E-2</v>
      </c>
      <c r="P1942" s="135">
        <v>4.45965108566998E-2</v>
      </c>
      <c r="Q1942" s="135">
        <v>4.2018394690126498E-2</v>
      </c>
      <c r="R1942" s="135">
        <v>3.9969365347788798E-2</v>
      </c>
      <c r="S1942" s="135">
        <v>3.99658863599179E-2</v>
      </c>
      <c r="T1942" s="135">
        <v>3.9045081377494698E-2</v>
      </c>
      <c r="U1942" s="135">
        <v>4.0077521698087801E-2</v>
      </c>
      <c r="V1942" s="135">
        <v>3.9221224865863602E-2</v>
      </c>
      <c r="W1942" s="135">
        <v>3.8853105254750699E-2</v>
      </c>
      <c r="X1942" s="135">
        <v>4.00432537818948E-2</v>
      </c>
      <c r="Y1942" s="135">
        <v>4.1934375238353402E-2</v>
      </c>
      <c r="Z1942" s="135">
        <v>4.2981470620620098E-2</v>
      </c>
      <c r="AA1942" s="135">
        <v>4.8538762569812703E-2</v>
      </c>
      <c r="AB1942" s="135">
        <v>4.6612356542947098E-2</v>
      </c>
      <c r="AC1942" s="135">
        <v>4.4834461185171898E-2</v>
      </c>
      <c r="AD1942" s="135">
        <v>4.4191562253392797E-2</v>
      </c>
      <c r="AF1942" s="243">
        <f t="shared" si="36"/>
        <v>0.27915057959403006</v>
      </c>
      <c r="AG1942" s="275">
        <f t="shared" si="37"/>
        <v>0.52813178257153615</v>
      </c>
      <c r="AH1942" s="391">
        <f t="shared" si="38"/>
        <v>0.43802234235023069</v>
      </c>
      <c r="AI1942" s="135">
        <f t="shared" si="39"/>
        <v>0.96615412492176689</v>
      </c>
    </row>
    <row r="1943" spans="1:35" ht="12.6">
      <c r="A1943" s="10" t="s">
        <v>865</v>
      </c>
      <c r="B1943" s="10">
        <v>117</v>
      </c>
      <c r="C1943" s="10" t="s">
        <v>1513</v>
      </c>
      <c r="D1943" s="388">
        <v>45043</v>
      </c>
      <c r="E1943" s="389">
        <v>45043</v>
      </c>
      <c r="F1943" s="390" t="str">
        <f t="shared" si="35"/>
        <v>Whitegoods</v>
      </c>
      <c r="G1943" s="135">
        <v>3.9540899397851902E-2</v>
      </c>
      <c r="H1943" s="135">
        <v>3.4441117306073001E-2</v>
      </c>
      <c r="I1943" s="135">
        <v>3.2805054493349001E-2</v>
      </c>
      <c r="J1943" s="135">
        <v>3.2898878042348402E-2</v>
      </c>
      <c r="K1943" s="135">
        <v>3.2592638252061899E-2</v>
      </c>
      <c r="L1943" s="135">
        <v>3.32561900459694E-2</v>
      </c>
      <c r="M1943" s="135">
        <v>3.6408162039203197E-2</v>
      </c>
      <c r="N1943" s="135">
        <v>4.4167363588005402E-2</v>
      </c>
      <c r="O1943" s="135">
        <v>4.7160489113982101E-2</v>
      </c>
      <c r="P1943" s="135">
        <v>4.45965108566998E-2</v>
      </c>
      <c r="Q1943" s="135">
        <v>4.2018394690126498E-2</v>
      </c>
      <c r="R1943" s="135">
        <v>3.9969365347788798E-2</v>
      </c>
      <c r="S1943" s="135">
        <v>3.99658863599179E-2</v>
      </c>
      <c r="T1943" s="135">
        <v>3.9045081377494698E-2</v>
      </c>
      <c r="U1943" s="135">
        <v>4.0077521698087801E-2</v>
      </c>
      <c r="V1943" s="135">
        <v>3.9221224865863602E-2</v>
      </c>
      <c r="W1943" s="135">
        <v>3.8853105254750699E-2</v>
      </c>
      <c r="X1943" s="135">
        <v>4.00432537818948E-2</v>
      </c>
      <c r="Y1943" s="135">
        <v>4.1934375238353402E-2</v>
      </c>
      <c r="Z1943" s="135">
        <v>4.2981470620620098E-2</v>
      </c>
      <c r="AA1943" s="135">
        <v>4.8538762569812703E-2</v>
      </c>
      <c r="AB1943" s="135">
        <v>4.6612356542947098E-2</v>
      </c>
      <c r="AC1943" s="135">
        <v>4.4834461185171898E-2</v>
      </c>
      <c r="AD1943" s="135">
        <v>4.4191562253392797E-2</v>
      </c>
      <c r="AF1943" s="243">
        <f t="shared" si="36"/>
        <v>0.27915057959403006</v>
      </c>
      <c r="AG1943" s="275">
        <f t="shared" si="37"/>
        <v>0.52813178257153615</v>
      </c>
      <c r="AH1943" s="391">
        <f t="shared" si="38"/>
        <v>0.43802234235023069</v>
      </c>
      <c r="AI1943" s="135">
        <f t="shared" si="39"/>
        <v>0.96615412492176689</v>
      </c>
    </row>
    <row r="1944" spans="1:35" ht="12.6">
      <c r="A1944" s="10" t="s">
        <v>865</v>
      </c>
      <c r="B1944" s="10">
        <v>118</v>
      </c>
      <c r="C1944" s="10" t="s">
        <v>1513</v>
      </c>
      <c r="D1944" s="388">
        <v>45044</v>
      </c>
      <c r="E1944" s="389">
        <v>45044</v>
      </c>
      <c r="F1944" s="390" t="str">
        <f t="shared" si="35"/>
        <v>Whitegoods</v>
      </c>
      <c r="G1944" s="135">
        <v>3.9540899397851902E-2</v>
      </c>
      <c r="H1944" s="135">
        <v>3.4441117306073001E-2</v>
      </c>
      <c r="I1944" s="135">
        <v>3.2805054493349001E-2</v>
      </c>
      <c r="J1944" s="135">
        <v>3.2898878042348402E-2</v>
      </c>
      <c r="K1944" s="135">
        <v>3.2592638252061899E-2</v>
      </c>
      <c r="L1944" s="135">
        <v>3.32561900459694E-2</v>
      </c>
      <c r="M1944" s="135">
        <v>3.6408162039203197E-2</v>
      </c>
      <c r="N1944" s="135">
        <v>4.4167363588005402E-2</v>
      </c>
      <c r="O1944" s="135">
        <v>4.7160489113982101E-2</v>
      </c>
      <c r="P1944" s="135">
        <v>4.45965108566998E-2</v>
      </c>
      <c r="Q1944" s="135">
        <v>4.2018394690126498E-2</v>
      </c>
      <c r="R1944" s="135">
        <v>3.9969365347788798E-2</v>
      </c>
      <c r="S1944" s="135">
        <v>3.99658863599179E-2</v>
      </c>
      <c r="T1944" s="135">
        <v>3.9045081377494698E-2</v>
      </c>
      <c r="U1944" s="135">
        <v>4.0077521698087801E-2</v>
      </c>
      <c r="V1944" s="135">
        <v>3.9221224865863602E-2</v>
      </c>
      <c r="W1944" s="135">
        <v>3.8853105254750699E-2</v>
      </c>
      <c r="X1944" s="135">
        <v>4.00432537818948E-2</v>
      </c>
      <c r="Y1944" s="135">
        <v>4.1934375238353402E-2</v>
      </c>
      <c r="Z1944" s="135">
        <v>4.2981470620620098E-2</v>
      </c>
      <c r="AA1944" s="135">
        <v>4.8538762569812703E-2</v>
      </c>
      <c r="AB1944" s="135">
        <v>4.6612356542947098E-2</v>
      </c>
      <c r="AC1944" s="135">
        <v>4.4834461185171898E-2</v>
      </c>
      <c r="AD1944" s="135">
        <v>4.4191562253392797E-2</v>
      </c>
      <c r="AF1944" s="243">
        <f t="shared" si="36"/>
        <v>0.27915057959403006</v>
      </c>
      <c r="AG1944" s="275">
        <f t="shared" si="37"/>
        <v>0.52813178257153615</v>
      </c>
      <c r="AH1944" s="391">
        <f t="shared" si="38"/>
        <v>0.43802234235023069</v>
      </c>
      <c r="AI1944" s="135">
        <f t="shared" si="39"/>
        <v>0.96615412492176689</v>
      </c>
    </row>
    <row r="1945" spans="1:35" ht="12.6">
      <c r="A1945" s="10" t="s">
        <v>865</v>
      </c>
      <c r="B1945" s="10">
        <v>119</v>
      </c>
      <c r="C1945" s="10" t="s">
        <v>1513</v>
      </c>
      <c r="D1945" s="388">
        <v>45045</v>
      </c>
      <c r="E1945" s="389">
        <v>45045</v>
      </c>
      <c r="F1945" s="390" t="str">
        <f t="shared" si="35"/>
        <v>Whitegoods</v>
      </c>
      <c r="G1945" s="135">
        <v>3.8675030232270098E-2</v>
      </c>
      <c r="H1945" s="135">
        <v>3.55322612102002E-2</v>
      </c>
      <c r="I1945" s="135">
        <v>3.3139384245641598E-2</v>
      </c>
      <c r="J1945" s="135">
        <v>3.29804345361462E-2</v>
      </c>
      <c r="K1945" s="135">
        <v>3.3148795046366003E-2</v>
      </c>
      <c r="L1945" s="135">
        <v>3.2567491785127398E-2</v>
      </c>
      <c r="M1945" s="135">
        <v>3.5612089492824101E-2</v>
      </c>
      <c r="N1945" s="135">
        <v>3.7279529047746202E-2</v>
      </c>
      <c r="O1945" s="135">
        <v>4.6354250533552403E-2</v>
      </c>
      <c r="P1945" s="135">
        <v>5.7319514184018303E-2</v>
      </c>
      <c r="Q1945" s="135">
        <v>6.2861675919120105E-2</v>
      </c>
      <c r="R1945" s="135">
        <v>5.8319668956649098E-2</v>
      </c>
      <c r="S1945" s="135">
        <v>5.4658811056063801E-2</v>
      </c>
      <c r="T1945" s="135">
        <v>5.3825159445475598E-2</v>
      </c>
      <c r="U1945" s="135">
        <v>4.8807650489533699E-2</v>
      </c>
      <c r="V1945" s="135">
        <v>4.8574696442779897E-2</v>
      </c>
      <c r="W1945" s="135">
        <v>4.8080883677992903E-2</v>
      </c>
      <c r="X1945" s="135">
        <v>4.6774755070729403E-2</v>
      </c>
      <c r="Y1945" s="135">
        <v>4.7239808210564303E-2</v>
      </c>
      <c r="Z1945" s="135">
        <v>4.6088186903114003E-2</v>
      </c>
      <c r="AA1945" s="135">
        <v>4.9160191263616697E-2</v>
      </c>
      <c r="AB1945" s="135">
        <v>5.0427537739012603E-2</v>
      </c>
      <c r="AC1945" s="135">
        <v>4.4889667203693598E-2</v>
      </c>
      <c r="AD1945" s="135">
        <v>4.26482483628133E-2</v>
      </c>
      <c r="AF1945" s="243">
        <f t="shared" si="36"/>
        <v>0.37512854598761514</v>
      </c>
      <c r="AG1945" s="275">
        <f t="shared" si="37"/>
        <v>0.58314060322692851</v>
      </c>
      <c r="AH1945" s="391">
        <f t="shared" si="38"/>
        <v>0.50182511782812311</v>
      </c>
      <c r="AI1945" s="135">
        <f t="shared" si="39"/>
        <v>1.0849657210550516</v>
      </c>
    </row>
    <row r="1946" spans="1:35" ht="12.6">
      <c r="A1946" s="10" t="s">
        <v>865</v>
      </c>
      <c r="B1946" s="10">
        <v>120</v>
      </c>
      <c r="C1946" s="10" t="s">
        <v>1513</v>
      </c>
      <c r="D1946" s="388">
        <v>45046</v>
      </c>
      <c r="E1946" s="389">
        <v>45046</v>
      </c>
      <c r="F1946" s="390" t="str">
        <f t="shared" si="35"/>
        <v>Whitegoods</v>
      </c>
      <c r="G1946" s="135">
        <v>3.8675030232270098E-2</v>
      </c>
      <c r="H1946" s="135">
        <v>3.55322612102002E-2</v>
      </c>
      <c r="I1946" s="135">
        <v>3.3139384245641598E-2</v>
      </c>
      <c r="J1946" s="135">
        <v>3.29804345361462E-2</v>
      </c>
      <c r="K1946" s="135">
        <v>3.3148795046366003E-2</v>
      </c>
      <c r="L1946" s="135">
        <v>3.2567491785127398E-2</v>
      </c>
      <c r="M1946" s="135">
        <v>3.5612089492824101E-2</v>
      </c>
      <c r="N1946" s="135">
        <v>3.7279529047746202E-2</v>
      </c>
      <c r="O1946" s="135">
        <v>4.6354250533552403E-2</v>
      </c>
      <c r="P1946" s="135">
        <v>5.7319514184018303E-2</v>
      </c>
      <c r="Q1946" s="135">
        <v>6.2861675919120105E-2</v>
      </c>
      <c r="R1946" s="135">
        <v>5.8319668956649098E-2</v>
      </c>
      <c r="S1946" s="135">
        <v>5.4658811056063801E-2</v>
      </c>
      <c r="T1946" s="135">
        <v>5.3825159445475598E-2</v>
      </c>
      <c r="U1946" s="135">
        <v>4.8807650489533699E-2</v>
      </c>
      <c r="V1946" s="135">
        <v>4.8574696442779897E-2</v>
      </c>
      <c r="W1946" s="135">
        <v>4.8080883677992903E-2</v>
      </c>
      <c r="X1946" s="135">
        <v>4.6774755070729403E-2</v>
      </c>
      <c r="Y1946" s="135">
        <v>4.7239808210564303E-2</v>
      </c>
      <c r="Z1946" s="135">
        <v>4.6088186903114003E-2</v>
      </c>
      <c r="AA1946" s="135">
        <v>4.9160191263616697E-2</v>
      </c>
      <c r="AB1946" s="135">
        <v>5.0427537739012603E-2</v>
      </c>
      <c r="AC1946" s="135">
        <v>4.4889667203693598E-2</v>
      </c>
      <c r="AD1946" s="135">
        <v>4.26482483628133E-2</v>
      </c>
      <c r="AF1946" s="243">
        <f t="shared" si="36"/>
        <v>0.37512854598761514</v>
      </c>
      <c r="AG1946" s="275">
        <f t="shared" si="37"/>
        <v>0.58314060322692851</v>
      </c>
      <c r="AH1946" s="391">
        <f t="shared" si="38"/>
        <v>0.50182511782812311</v>
      </c>
      <c r="AI1946" s="135">
        <f t="shared" si="39"/>
        <v>1.0849657210550516</v>
      </c>
    </row>
    <row r="1947" spans="1:35" ht="12.6">
      <c r="A1947" s="10" t="s">
        <v>865</v>
      </c>
      <c r="B1947" s="10">
        <v>121</v>
      </c>
      <c r="C1947" s="10" t="s">
        <v>1513</v>
      </c>
      <c r="D1947" s="388">
        <v>45047</v>
      </c>
      <c r="E1947" s="389">
        <v>45047</v>
      </c>
      <c r="F1947" s="390" t="str">
        <f t="shared" si="35"/>
        <v>Whitegoods</v>
      </c>
      <c r="G1947" s="135">
        <v>3.9540899397851902E-2</v>
      </c>
      <c r="H1947" s="135">
        <v>3.4441117306073001E-2</v>
      </c>
      <c r="I1947" s="135">
        <v>3.2805054493349001E-2</v>
      </c>
      <c r="J1947" s="135">
        <v>3.2898878042348402E-2</v>
      </c>
      <c r="K1947" s="135">
        <v>3.2592638252061899E-2</v>
      </c>
      <c r="L1947" s="135">
        <v>3.32561900459694E-2</v>
      </c>
      <c r="M1947" s="135">
        <v>3.6408162039203197E-2</v>
      </c>
      <c r="N1947" s="135">
        <v>4.4167363588005402E-2</v>
      </c>
      <c r="O1947" s="135">
        <v>4.7160489113982101E-2</v>
      </c>
      <c r="P1947" s="135">
        <v>4.45965108566998E-2</v>
      </c>
      <c r="Q1947" s="135">
        <v>4.2018394690126498E-2</v>
      </c>
      <c r="R1947" s="135">
        <v>3.9969365347788798E-2</v>
      </c>
      <c r="S1947" s="135">
        <v>3.99658863599179E-2</v>
      </c>
      <c r="T1947" s="135">
        <v>3.9045081377494698E-2</v>
      </c>
      <c r="U1947" s="135">
        <v>4.0077521698087801E-2</v>
      </c>
      <c r="V1947" s="135">
        <v>3.9221224865863602E-2</v>
      </c>
      <c r="W1947" s="135">
        <v>3.8853105254750699E-2</v>
      </c>
      <c r="X1947" s="135">
        <v>4.00432537818948E-2</v>
      </c>
      <c r="Y1947" s="135">
        <v>4.1934375238353402E-2</v>
      </c>
      <c r="Z1947" s="135">
        <v>4.2981470620620098E-2</v>
      </c>
      <c r="AA1947" s="135">
        <v>4.8538762569812703E-2</v>
      </c>
      <c r="AB1947" s="135">
        <v>4.6612356542947098E-2</v>
      </c>
      <c r="AC1947" s="135">
        <v>4.4834461185171898E-2</v>
      </c>
      <c r="AD1947" s="135">
        <v>4.4191562253392797E-2</v>
      </c>
      <c r="AF1947" s="243">
        <f t="shared" si="36"/>
        <v>0.27915057959403006</v>
      </c>
      <c r="AG1947" s="275">
        <f t="shared" si="37"/>
        <v>0.52813178257153615</v>
      </c>
      <c r="AH1947" s="391">
        <f t="shared" si="38"/>
        <v>0.43802234235023069</v>
      </c>
      <c r="AI1947" s="135">
        <f t="shared" si="39"/>
        <v>0.96615412492176689</v>
      </c>
    </row>
    <row r="1948" spans="1:35" ht="12.6">
      <c r="A1948" s="10" t="s">
        <v>865</v>
      </c>
      <c r="B1948" s="10">
        <v>122</v>
      </c>
      <c r="C1948" s="10" t="s">
        <v>1513</v>
      </c>
      <c r="D1948" s="388">
        <v>45048</v>
      </c>
      <c r="E1948" s="389">
        <v>45048</v>
      </c>
      <c r="F1948" s="390" t="str">
        <f t="shared" si="35"/>
        <v>Whitegoods</v>
      </c>
      <c r="G1948" s="135">
        <v>3.9540899397851902E-2</v>
      </c>
      <c r="H1948" s="135">
        <v>3.4441117306073001E-2</v>
      </c>
      <c r="I1948" s="135">
        <v>3.2805054493349001E-2</v>
      </c>
      <c r="J1948" s="135">
        <v>3.2898878042348402E-2</v>
      </c>
      <c r="K1948" s="135">
        <v>3.2592638252061899E-2</v>
      </c>
      <c r="L1948" s="135">
        <v>3.32561900459694E-2</v>
      </c>
      <c r="M1948" s="135">
        <v>3.6408162039203197E-2</v>
      </c>
      <c r="N1948" s="135">
        <v>4.4167363588005402E-2</v>
      </c>
      <c r="O1948" s="135">
        <v>4.7160489113982101E-2</v>
      </c>
      <c r="P1948" s="135">
        <v>4.45965108566998E-2</v>
      </c>
      <c r="Q1948" s="135">
        <v>4.2018394690126498E-2</v>
      </c>
      <c r="R1948" s="135">
        <v>3.9969365347788798E-2</v>
      </c>
      <c r="S1948" s="135">
        <v>3.99658863599179E-2</v>
      </c>
      <c r="T1948" s="135">
        <v>3.9045081377494698E-2</v>
      </c>
      <c r="U1948" s="135">
        <v>4.0077521698087801E-2</v>
      </c>
      <c r="V1948" s="135">
        <v>3.9221224865863602E-2</v>
      </c>
      <c r="W1948" s="135">
        <v>3.8853105254750699E-2</v>
      </c>
      <c r="X1948" s="135">
        <v>4.00432537818948E-2</v>
      </c>
      <c r="Y1948" s="135">
        <v>4.1934375238353402E-2</v>
      </c>
      <c r="Z1948" s="135">
        <v>4.2981470620620098E-2</v>
      </c>
      <c r="AA1948" s="135">
        <v>4.8538762569812703E-2</v>
      </c>
      <c r="AB1948" s="135">
        <v>4.6612356542947098E-2</v>
      </c>
      <c r="AC1948" s="135">
        <v>4.4834461185171898E-2</v>
      </c>
      <c r="AD1948" s="135">
        <v>4.4191562253392797E-2</v>
      </c>
      <c r="AF1948" s="243">
        <f t="shared" si="36"/>
        <v>0.27915057959403006</v>
      </c>
      <c r="AG1948" s="275">
        <f t="shared" si="37"/>
        <v>0.52813178257153615</v>
      </c>
      <c r="AH1948" s="391">
        <f t="shared" si="38"/>
        <v>0.43802234235023069</v>
      </c>
      <c r="AI1948" s="135">
        <f t="shared" si="39"/>
        <v>0.96615412492176689</v>
      </c>
    </row>
    <row r="1949" spans="1:35" ht="12.6">
      <c r="A1949" s="10" t="s">
        <v>865</v>
      </c>
      <c r="B1949" s="10">
        <v>123</v>
      </c>
      <c r="C1949" s="10" t="s">
        <v>1513</v>
      </c>
      <c r="D1949" s="388">
        <v>45049</v>
      </c>
      <c r="E1949" s="389">
        <v>45049</v>
      </c>
      <c r="F1949" s="390" t="str">
        <f t="shared" si="35"/>
        <v>Whitegoods</v>
      </c>
      <c r="G1949" s="135">
        <v>3.9540899397851902E-2</v>
      </c>
      <c r="H1949" s="135">
        <v>3.4441117306073001E-2</v>
      </c>
      <c r="I1949" s="135">
        <v>3.2805054493349001E-2</v>
      </c>
      <c r="J1949" s="135">
        <v>3.2898878042348402E-2</v>
      </c>
      <c r="K1949" s="135">
        <v>3.2592638252061899E-2</v>
      </c>
      <c r="L1949" s="135">
        <v>3.32561900459694E-2</v>
      </c>
      <c r="M1949" s="135">
        <v>3.6408162039203197E-2</v>
      </c>
      <c r="N1949" s="135">
        <v>4.4167363588005402E-2</v>
      </c>
      <c r="O1949" s="135">
        <v>4.7160489113982101E-2</v>
      </c>
      <c r="P1949" s="135">
        <v>4.45965108566998E-2</v>
      </c>
      <c r="Q1949" s="135">
        <v>4.2018394690126498E-2</v>
      </c>
      <c r="R1949" s="135">
        <v>3.9969365347788798E-2</v>
      </c>
      <c r="S1949" s="135">
        <v>3.99658863599179E-2</v>
      </c>
      <c r="T1949" s="135">
        <v>3.9045081377494698E-2</v>
      </c>
      <c r="U1949" s="135">
        <v>4.0077521698087801E-2</v>
      </c>
      <c r="V1949" s="135">
        <v>3.9221224865863602E-2</v>
      </c>
      <c r="W1949" s="135">
        <v>3.8853105254750699E-2</v>
      </c>
      <c r="X1949" s="135">
        <v>4.00432537818948E-2</v>
      </c>
      <c r="Y1949" s="135">
        <v>4.1934375238353402E-2</v>
      </c>
      <c r="Z1949" s="135">
        <v>4.2981470620620098E-2</v>
      </c>
      <c r="AA1949" s="135">
        <v>4.8538762569812703E-2</v>
      </c>
      <c r="AB1949" s="135">
        <v>4.6612356542947098E-2</v>
      </c>
      <c r="AC1949" s="135">
        <v>4.4834461185171898E-2</v>
      </c>
      <c r="AD1949" s="135">
        <v>4.4191562253392797E-2</v>
      </c>
      <c r="AF1949" s="243">
        <f t="shared" si="36"/>
        <v>0.27915057959403006</v>
      </c>
      <c r="AG1949" s="275">
        <f t="shared" si="37"/>
        <v>0.52813178257153615</v>
      </c>
      <c r="AH1949" s="391">
        <f t="shared" si="38"/>
        <v>0.43802234235023069</v>
      </c>
      <c r="AI1949" s="135">
        <f t="shared" si="39"/>
        <v>0.96615412492176689</v>
      </c>
    </row>
    <row r="1950" spans="1:35" ht="12.6">
      <c r="A1950" s="10" t="s">
        <v>865</v>
      </c>
      <c r="B1950" s="10">
        <v>124</v>
      </c>
      <c r="C1950" s="10" t="s">
        <v>1513</v>
      </c>
      <c r="D1950" s="388">
        <v>45050</v>
      </c>
      <c r="E1950" s="389">
        <v>45050</v>
      </c>
      <c r="F1950" s="390" t="str">
        <f t="shared" si="35"/>
        <v>Whitegoods</v>
      </c>
      <c r="G1950" s="135">
        <v>3.9540899397851902E-2</v>
      </c>
      <c r="H1950" s="135">
        <v>3.4441117306073001E-2</v>
      </c>
      <c r="I1950" s="135">
        <v>3.2805054493349001E-2</v>
      </c>
      <c r="J1950" s="135">
        <v>3.2898878042348402E-2</v>
      </c>
      <c r="K1950" s="135">
        <v>3.2592638252061899E-2</v>
      </c>
      <c r="L1950" s="135">
        <v>3.32561900459694E-2</v>
      </c>
      <c r="M1950" s="135">
        <v>3.6408162039203197E-2</v>
      </c>
      <c r="N1950" s="135">
        <v>4.4167363588005402E-2</v>
      </c>
      <c r="O1950" s="135">
        <v>4.7160489113982101E-2</v>
      </c>
      <c r="P1950" s="135">
        <v>4.45965108566998E-2</v>
      </c>
      <c r="Q1950" s="135">
        <v>4.2018394690126498E-2</v>
      </c>
      <c r="R1950" s="135">
        <v>3.9969365347788798E-2</v>
      </c>
      <c r="S1950" s="135">
        <v>3.99658863599179E-2</v>
      </c>
      <c r="T1950" s="135">
        <v>3.9045081377494698E-2</v>
      </c>
      <c r="U1950" s="135">
        <v>4.0077521698087801E-2</v>
      </c>
      <c r="V1950" s="135">
        <v>3.9221224865863602E-2</v>
      </c>
      <c r="W1950" s="135">
        <v>3.8853105254750699E-2</v>
      </c>
      <c r="X1950" s="135">
        <v>4.00432537818948E-2</v>
      </c>
      <c r="Y1950" s="135">
        <v>4.1934375238353402E-2</v>
      </c>
      <c r="Z1950" s="135">
        <v>4.2981470620620098E-2</v>
      </c>
      <c r="AA1950" s="135">
        <v>4.8538762569812703E-2</v>
      </c>
      <c r="AB1950" s="135">
        <v>4.6612356542947098E-2</v>
      </c>
      <c r="AC1950" s="135">
        <v>4.4834461185171898E-2</v>
      </c>
      <c r="AD1950" s="135">
        <v>4.4191562253392797E-2</v>
      </c>
      <c r="AF1950" s="243">
        <f t="shared" si="36"/>
        <v>0.27915057959403006</v>
      </c>
      <c r="AG1950" s="275">
        <f t="shared" si="37"/>
        <v>0.52813178257153615</v>
      </c>
      <c r="AH1950" s="391">
        <f t="shared" si="38"/>
        <v>0.43802234235023069</v>
      </c>
      <c r="AI1950" s="135">
        <f t="shared" si="39"/>
        <v>0.96615412492176689</v>
      </c>
    </row>
    <row r="1951" spans="1:35" ht="12.6">
      <c r="A1951" s="10" t="s">
        <v>865</v>
      </c>
      <c r="B1951" s="10">
        <v>125</v>
      </c>
      <c r="C1951" s="10" t="s">
        <v>1513</v>
      </c>
      <c r="D1951" s="388">
        <v>45051</v>
      </c>
      <c r="E1951" s="389">
        <v>45051</v>
      </c>
      <c r="F1951" s="390" t="str">
        <f t="shared" si="35"/>
        <v>Whitegoods</v>
      </c>
      <c r="G1951" s="135">
        <v>3.9540899397851902E-2</v>
      </c>
      <c r="H1951" s="135">
        <v>3.4441117306073001E-2</v>
      </c>
      <c r="I1951" s="135">
        <v>3.2805054493349001E-2</v>
      </c>
      <c r="J1951" s="135">
        <v>3.2898878042348402E-2</v>
      </c>
      <c r="K1951" s="135">
        <v>3.2592638252061899E-2</v>
      </c>
      <c r="L1951" s="135">
        <v>3.32561900459694E-2</v>
      </c>
      <c r="M1951" s="135">
        <v>3.6408162039203197E-2</v>
      </c>
      <c r="N1951" s="135">
        <v>4.4167363588005402E-2</v>
      </c>
      <c r="O1951" s="135">
        <v>4.7160489113982101E-2</v>
      </c>
      <c r="P1951" s="135">
        <v>4.45965108566998E-2</v>
      </c>
      <c r="Q1951" s="135">
        <v>4.2018394690126498E-2</v>
      </c>
      <c r="R1951" s="135">
        <v>3.9969365347788798E-2</v>
      </c>
      <c r="S1951" s="135">
        <v>3.99658863599179E-2</v>
      </c>
      <c r="T1951" s="135">
        <v>3.9045081377494698E-2</v>
      </c>
      <c r="U1951" s="135">
        <v>4.0077521698087801E-2</v>
      </c>
      <c r="V1951" s="135">
        <v>3.9221224865863602E-2</v>
      </c>
      <c r="W1951" s="135">
        <v>3.8853105254750699E-2</v>
      </c>
      <c r="X1951" s="135">
        <v>4.00432537818948E-2</v>
      </c>
      <c r="Y1951" s="135">
        <v>4.1934375238353402E-2</v>
      </c>
      <c r="Z1951" s="135">
        <v>4.2981470620620098E-2</v>
      </c>
      <c r="AA1951" s="135">
        <v>4.8538762569812703E-2</v>
      </c>
      <c r="AB1951" s="135">
        <v>4.6612356542947098E-2</v>
      </c>
      <c r="AC1951" s="135">
        <v>4.4834461185171898E-2</v>
      </c>
      <c r="AD1951" s="135">
        <v>4.4191562253392797E-2</v>
      </c>
      <c r="AF1951" s="243">
        <f t="shared" si="36"/>
        <v>0.27915057959403006</v>
      </c>
      <c r="AG1951" s="275">
        <f t="shared" si="37"/>
        <v>0.52813178257153615</v>
      </c>
      <c r="AH1951" s="391">
        <f t="shared" si="38"/>
        <v>0.43802234235023069</v>
      </c>
      <c r="AI1951" s="135">
        <f t="shared" si="39"/>
        <v>0.96615412492176689</v>
      </c>
    </row>
    <row r="1952" spans="1:35" ht="12.6">
      <c r="A1952" s="10" t="s">
        <v>865</v>
      </c>
      <c r="B1952" s="10">
        <v>126</v>
      </c>
      <c r="C1952" s="10" t="s">
        <v>1513</v>
      </c>
      <c r="D1952" s="388">
        <v>45052</v>
      </c>
      <c r="E1952" s="389">
        <v>45052</v>
      </c>
      <c r="F1952" s="390" t="str">
        <f t="shared" si="35"/>
        <v>Whitegoods</v>
      </c>
      <c r="G1952" s="135">
        <v>3.8675030232270098E-2</v>
      </c>
      <c r="H1952" s="135">
        <v>3.55322612102002E-2</v>
      </c>
      <c r="I1952" s="135">
        <v>3.3139384245641598E-2</v>
      </c>
      <c r="J1952" s="135">
        <v>3.29804345361462E-2</v>
      </c>
      <c r="K1952" s="135">
        <v>3.3148795046366003E-2</v>
      </c>
      <c r="L1952" s="135">
        <v>3.2567491785127398E-2</v>
      </c>
      <c r="M1952" s="135">
        <v>3.5612089492824101E-2</v>
      </c>
      <c r="N1952" s="135">
        <v>3.7279529047746202E-2</v>
      </c>
      <c r="O1952" s="135">
        <v>4.6354250533552403E-2</v>
      </c>
      <c r="P1952" s="135">
        <v>5.7319514184018303E-2</v>
      </c>
      <c r="Q1952" s="135">
        <v>6.2861675919120105E-2</v>
      </c>
      <c r="R1952" s="135">
        <v>5.8319668956649098E-2</v>
      </c>
      <c r="S1952" s="135">
        <v>5.4658811056063801E-2</v>
      </c>
      <c r="T1952" s="135">
        <v>5.3825159445475598E-2</v>
      </c>
      <c r="U1952" s="135">
        <v>4.8807650489533699E-2</v>
      </c>
      <c r="V1952" s="135">
        <v>4.8574696442779897E-2</v>
      </c>
      <c r="W1952" s="135">
        <v>4.8080883677992903E-2</v>
      </c>
      <c r="X1952" s="135">
        <v>4.6774755070729403E-2</v>
      </c>
      <c r="Y1952" s="135">
        <v>4.7239808210564303E-2</v>
      </c>
      <c r="Z1952" s="135">
        <v>4.6088186903114003E-2</v>
      </c>
      <c r="AA1952" s="135">
        <v>4.9160191263616697E-2</v>
      </c>
      <c r="AB1952" s="135">
        <v>5.0427537739012603E-2</v>
      </c>
      <c r="AC1952" s="135">
        <v>4.4889667203693598E-2</v>
      </c>
      <c r="AD1952" s="135">
        <v>4.26482483628133E-2</v>
      </c>
      <c r="AF1952" s="243">
        <f t="shared" si="36"/>
        <v>0.37512854598761514</v>
      </c>
      <c r="AG1952" s="275">
        <f t="shared" si="37"/>
        <v>0.58314060322692851</v>
      </c>
      <c r="AH1952" s="391">
        <f t="shared" si="38"/>
        <v>0.50182511782812311</v>
      </c>
      <c r="AI1952" s="135">
        <f t="shared" si="39"/>
        <v>1.0849657210550516</v>
      </c>
    </row>
    <row r="1953" spans="1:35" ht="12.6">
      <c r="A1953" s="10" t="s">
        <v>865</v>
      </c>
      <c r="B1953" s="10">
        <v>127</v>
      </c>
      <c r="C1953" s="10" t="s">
        <v>1513</v>
      </c>
      <c r="D1953" s="388">
        <v>45053</v>
      </c>
      <c r="E1953" s="389">
        <v>45053</v>
      </c>
      <c r="F1953" s="390" t="str">
        <f t="shared" si="35"/>
        <v>Whitegoods</v>
      </c>
      <c r="G1953" s="135">
        <v>3.8675030232270098E-2</v>
      </c>
      <c r="H1953" s="135">
        <v>3.55322612102002E-2</v>
      </c>
      <c r="I1953" s="135">
        <v>3.3139384245641598E-2</v>
      </c>
      <c r="J1953" s="135">
        <v>3.29804345361462E-2</v>
      </c>
      <c r="K1953" s="135">
        <v>3.3148795046366003E-2</v>
      </c>
      <c r="L1953" s="135">
        <v>3.2567491785127398E-2</v>
      </c>
      <c r="M1953" s="135">
        <v>3.5612089492824101E-2</v>
      </c>
      <c r="N1953" s="135">
        <v>3.7279529047746202E-2</v>
      </c>
      <c r="O1953" s="135">
        <v>4.6354250533552403E-2</v>
      </c>
      <c r="P1953" s="135">
        <v>5.7319514184018303E-2</v>
      </c>
      <c r="Q1953" s="135">
        <v>6.2861675919120105E-2</v>
      </c>
      <c r="R1953" s="135">
        <v>5.8319668956649098E-2</v>
      </c>
      <c r="S1953" s="135">
        <v>5.4658811056063801E-2</v>
      </c>
      <c r="T1953" s="135">
        <v>5.3825159445475598E-2</v>
      </c>
      <c r="U1953" s="135">
        <v>4.8807650489533699E-2</v>
      </c>
      <c r="V1953" s="135">
        <v>4.8574696442779897E-2</v>
      </c>
      <c r="W1953" s="135">
        <v>4.8080883677992903E-2</v>
      </c>
      <c r="X1953" s="135">
        <v>4.6774755070729403E-2</v>
      </c>
      <c r="Y1953" s="135">
        <v>4.7239808210564303E-2</v>
      </c>
      <c r="Z1953" s="135">
        <v>4.6088186903114003E-2</v>
      </c>
      <c r="AA1953" s="135">
        <v>4.9160191263616697E-2</v>
      </c>
      <c r="AB1953" s="135">
        <v>5.0427537739012603E-2</v>
      </c>
      <c r="AC1953" s="135">
        <v>4.4889667203693598E-2</v>
      </c>
      <c r="AD1953" s="135">
        <v>4.26482483628133E-2</v>
      </c>
      <c r="AF1953" s="243">
        <f t="shared" si="36"/>
        <v>0.37512854598761514</v>
      </c>
      <c r="AG1953" s="275">
        <f t="shared" si="37"/>
        <v>0.58314060322692851</v>
      </c>
      <c r="AH1953" s="391">
        <f t="shared" si="38"/>
        <v>0.50182511782812311</v>
      </c>
      <c r="AI1953" s="135">
        <f t="shared" si="39"/>
        <v>1.0849657210550516</v>
      </c>
    </row>
    <row r="1954" spans="1:35" ht="12.6">
      <c r="A1954" s="10" t="s">
        <v>865</v>
      </c>
      <c r="B1954" s="10">
        <v>128</v>
      </c>
      <c r="C1954" s="10" t="s">
        <v>1513</v>
      </c>
      <c r="D1954" s="388">
        <v>45054</v>
      </c>
      <c r="E1954" s="389">
        <v>45054</v>
      </c>
      <c r="F1954" s="390" t="str">
        <f t="shared" si="35"/>
        <v>Whitegoods</v>
      </c>
      <c r="G1954" s="135">
        <v>3.9540899397851902E-2</v>
      </c>
      <c r="H1954" s="135">
        <v>3.4441117306073001E-2</v>
      </c>
      <c r="I1954" s="135">
        <v>3.2805054493349001E-2</v>
      </c>
      <c r="J1954" s="135">
        <v>3.2898878042348402E-2</v>
      </c>
      <c r="K1954" s="135">
        <v>3.2592638252061899E-2</v>
      </c>
      <c r="L1954" s="135">
        <v>3.32561900459694E-2</v>
      </c>
      <c r="M1954" s="135">
        <v>3.6408162039203197E-2</v>
      </c>
      <c r="N1954" s="135">
        <v>4.4167363588005402E-2</v>
      </c>
      <c r="O1954" s="135">
        <v>4.7160489113982101E-2</v>
      </c>
      <c r="P1954" s="135">
        <v>4.45965108566998E-2</v>
      </c>
      <c r="Q1954" s="135">
        <v>4.2018394690126498E-2</v>
      </c>
      <c r="R1954" s="135">
        <v>3.9969365347788798E-2</v>
      </c>
      <c r="S1954" s="135">
        <v>3.99658863599179E-2</v>
      </c>
      <c r="T1954" s="135">
        <v>3.9045081377494698E-2</v>
      </c>
      <c r="U1954" s="135">
        <v>4.0077521698087801E-2</v>
      </c>
      <c r="V1954" s="135">
        <v>3.9221224865863602E-2</v>
      </c>
      <c r="W1954" s="135">
        <v>3.8853105254750699E-2</v>
      </c>
      <c r="X1954" s="135">
        <v>4.00432537818948E-2</v>
      </c>
      <c r="Y1954" s="135">
        <v>4.1934375238353402E-2</v>
      </c>
      <c r="Z1954" s="135">
        <v>4.2981470620620098E-2</v>
      </c>
      <c r="AA1954" s="135">
        <v>4.8538762569812703E-2</v>
      </c>
      <c r="AB1954" s="135">
        <v>4.6612356542947098E-2</v>
      </c>
      <c r="AC1954" s="135">
        <v>4.4834461185171898E-2</v>
      </c>
      <c r="AD1954" s="135">
        <v>4.4191562253392797E-2</v>
      </c>
      <c r="AF1954" s="243">
        <f t="shared" si="36"/>
        <v>0.27915057959403006</v>
      </c>
      <c r="AG1954" s="275">
        <f t="shared" si="37"/>
        <v>0.52813178257153615</v>
      </c>
      <c r="AH1954" s="391">
        <f t="shared" si="38"/>
        <v>0.43802234235023069</v>
      </c>
      <c r="AI1954" s="135">
        <f t="shared" si="39"/>
        <v>0.96615412492176689</v>
      </c>
    </row>
    <row r="1955" spans="1:35" ht="12.6">
      <c r="A1955" s="10" t="s">
        <v>865</v>
      </c>
      <c r="B1955" s="10">
        <v>129</v>
      </c>
      <c r="C1955" s="10" t="s">
        <v>1513</v>
      </c>
      <c r="D1955" s="388">
        <v>45055</v>
      </c>
      <c r="E1955" s="389">
        <v>45055</v>
      </c>
      <c r="F1955" s="390" t="str">
        <f t="shared" si="35"/>
        <v>Whitegoods</v>
      </c>
      <c r="G1955" s="135">
        <v>3.9540899397851902E-2</v>
      </c>
      <c r="H1955" s="135">
        <v>3.4441117306073001E-2</v>
      </c>
      <c r="I1955" s="135">
        <v>3.2805054493349001E-2</v>
      </c>
      <c r="J1955" s="135">
        <v>3.2898878042348402E-2</v>
      </c>
      <c r="K1955" s="135">
        <v>3.2592638252061899E-2</v>
      </c>
      <c r="L1955" s="135">
        <v>3.32561900459694E-2</v>
      </c>
      <c r="M1955" s="135">
        <v>3.6408162039203197E-2</v>
      </c>
      <c r="N1955" s="135">
        <v>4.4167363588005402E-2</v>
      </c>
      <c r="O1955" s="135">
        <v>4.7160489113982101E-2</v>
      </c>
      <c r="P1955" s="135">
        <v>4.45965108566998E-2</v>
      </c>
      <c r="Q1955" s="135">
        <v>4.2018394690126498E-2</v>
      </c>
      <c r="R1955" s="135">
        <v>3.9969365347788798E-2</v>
      </c>
      <c r="S1955" s="135">
        <v>3.99658863599179E-2</v>
      </c>
      <c r="T1955" s="135">
        <v>3.9045081377494698E-2</v>
      </c>
      <c r="U1955" s="135">
        <v>4.0077521698087801E-2</v>
      </c>
      <c r="V1955" s="135">
        <v>3.9221224865863602E-2</v>
      </c>
      <c r="W1955" s="135">
        <v>3.8853105254750699E-2</v>
      </c>
      <c r="X1955" s="135">
        <v>4.00432537818948E-2</v>
      </c>
      <c r="Y1955" s="135">
        <v>4.1934375238353402E-2</v>
      </c>
      <c r="Z1955" s="135">
        <v>4.2981470620620098E-2</v>
      </c>
      <c r="AA1955" s="135">
        <v>4.8538762569812703E-2</v>
      </c>
      <c r="AB1955" s="135">
        <v>4.6612356542947098E-2</v>
      </c>
      <c r="AC1955" s="135">
        <v>4.4834461185171898E-2</v>
      </c>
      <c r="AD1955" s="135">
        <v>4.4191562253392797E-2</v>
      </c>
      <c r="AF1955" s="243">
        <f t="shared" si="36"/>
        <v>0.27915057959403006</v>
      </c>
      <c r="AG1955" s="275">
        <f t="shared" si="37"/>
        <v>0.52813178257153615</v>
      </c>
      <c r="AH1955" s="391">
        <f t="shared" si="38"/>
        <v>0.43802234235023069</v>
      </c>
      <c r="AI1955" s="135">
        <f t="shared" si="39"/>
        <v>0.96615412492176689</v>
      </c>
    </row>
    <row r="1956" spans="1:35" ht="12.6">
      <c r="A1956" s="10" t="s">
        <v>865</v>
      </c>
      <c r="B1956" s="10">
        <v>130</v>
      </c>
      <c r="C1956" s="10" t="s">
        <v>1513</v>
      </c>
      <c r="D1956" s="388">
        <v>45056</v>
      </c>
      <c r="E1956" s="389">
        <v>45056</v>
      </c>
      <c r="F1956" s="390" t="str">
        <f t="shared" si="35"/>
        <v>Whitegoods</v>
      </c>
      <c r="G1956" s="135">
        <v>3.9540899397851902E-2</v>
      </c>
      <c r="H1956" s="135">
        <v>3.4441117306073001E-2</v>
      </c>
      <c r="I1956" s="135">
        <v>3.2805054493349001E-2</v>
      </c>
      <c r="J1956" s="135">
        <v>3.2898878042348402E-2</v>
      </c>
      <c r="K1956" s="135">
        <v>3.2592638252061899E-2</v>
      </c>
      <c r="L1956" s="135">
        <v>3.32561900459694E-2</v>
      </c>
      <c r="M1956" s="135">
        <v>3.6408162039203197E-2</v>
      </c>
      <c r="N1956" s="135">
        <v>4.4167363588005402E-2</v>
      </c>
      <c r="O1956" s="135">
        <v>4.7160489113982101E-2</v>
      </c>
      <c r="P1956" s="135">
        <v>4.45965108566998E-2</v>
      </c>
      <c r="Q1956" s="135">
        <v>4.2018394690126498E-2</v>
      </c>
      <c r="R1956" s="135">
        <v>3.9969365347788798E-2</v>
      </c>
      <c r="S1956" s="135">
        <v>3.99658863599179E-2</v>
      </c>
      <c r="T1956" s="135">
        <v>3.9045081377494698E-2</v>
      </c>
      <c r="U1956" s="135">
        <v>4.0077521698087801E-2</v>
      </c>
      <c r="V1956" s="135">
        <v>3.9221224865863602E-2</v>
      </c>
      <c r="W1956" s="135">
        <v>3.8853105254750699E-2</v>
      </c>
      <c r="X1956" s="135">
        <v>4.00432537818948E-2</v>
      </c>
      <c r="Y1956" s="135">
        <v>4.1934375238353402E-2</v>
      </c>
      <c r="Z1956" s="135">
        <v>4.2981470620620098E-2</v>
      </c>
      <c r="AA1956" s="135">
        <v>4.8538762569812703E-2</v>
      </c>
      <c r="AB1956" s="135">
        <v>4.6612356542947098E-2</v>
      </c>
      <c r="AC1956" s="135">
        <v>4.4834461185171898E-2</v>
      </c>
      <c r="AD1956" s="135">
        <v>4.4191562253392797E-2</v>
      </c>
      <c r="AF1956" s="243">
        <f t="shared" si="36"/>
        <v>0.27915057959403006</v>
      </c>
      <c r="AG1956" s="275">
        <f t="shared" si="37"/>
        <v>0.52813178257153615</v>
      </c>
      <c r="AH1956" s="391">
        <f t="shared" si="38"/>
        <v>0.43802234235023069</v>
      </c>
      <c r="AI1956" s="135">
        <f t="shared" si="39"/>
        <v>0.96615412492176689</v>
      </c>
    </row>
    <row r="1957" spans="1:35" ht="12.6">
      <c r="A1957" s="10" t="s">
        <v>865</v>
      </c>
      <c r="B1957" s="10">
        <v>131</v>
      </c>
      <c r="C1957" s="10" t="s">
        <v>1513</v>
      </c>
      <c r="D1957" s="388">
        <v>45057</v>
      </c>
      <c r="E1957" s="389">
        <v>45057</v>
      </c>
      <c r="F1957" s="390" t="str">
        <f t="shared" si="35"/>
        <v>Whitegoods</v>
      </c>
      <c r="G1957" s="135">
        <v>3.9540899397851902E-2</v>
      </c>
      <c r="H1957" s="135">
        <v>3.4441117306073001E-2</v>
      </c>
      <c r="I1957" s="135">
        <v>3.2805054493349001E-2</v>
      </c>
      <c r="J1957" s="135">
        <v>3.2898878042348402E-2</v>
      </c>
      <c r="K1957" s="135">
        <v>3.2592638252061899E-2</v>
      </c>
      <c r="L1957" s="135">
        <v>3.32561900459694E-2</v>
      </c>
      <c r="M1957" s="135">
        <v>3.6408162039203197E-2</v>
      </c>
      <c r="N1957" s="135">
        <v>4.4167363588005402E-2</v>
      </c>
      <c r="O1957" s="135">
        <v>4.7160489113982101E-2</v>
      </c>
      <c r="P1957" s="135">
        <v>4.45965108566998E-2</v>
      </c>
      <c r="Q1957" s="135">
        <v>4.2018394690126498E-2</v>
      </c>
      <c r="R1957" s="135">
        <v>3.9969365347788798E-2</v>
      </c>
      <c r="S1957" s="135">
        <v>3.99658863599179E-2</v>
      </c>
      <c r="T1957" s="135">
        <v>3.9045081377494698E-2</v>
      </c>
      <c r="U1957" s="135">
        <v>4.0077521698087801E-2</v>
      </c>
      <c r="V1957" s="135">
        <v>3.9221224865863602E-2</v>
      </c>
      <c r="W1957" s="135">
        <v>3.8853105254750699E-2</v>
      </c>
      <c r="X1957" s="135">
        <v>4.00432537818948E-2</v>
      </c>
      <c r="Y1957" s="135">
        <v>4.1934375238353402E-2</v>
      </c>
      <c r="Z1957" s="135">
        <v>4.2981470620620098E-2</v>
      </c>
      <c r="AA1957" s="135">
        <v>4.8538762569812703E-2</v>
      </c>
      <c r="AB1957" s="135">
        <v>4.6612356542947098E-2</v>
      </c>
      <c r="AC1957" s="135">
        <v>4.4834461185171898E-2</v>
      </c>
      <c r="AD1957" s="135">
        <v>4.4191562253392797E-2</v>
      </c>
      <c r="AF1957" s="243">
        <f t="shared" si="36"/>
        <v>0.27915057959403006</v>
      </c>
      <c r="AG1957" s="275">
        <f t="shared" si="37"/>
        <v>0.52813178257153615</v>
      </c>
      <c r="AH1957" s="391">
        <f t="shared" si="38"/>
        <v>0.43802234235023069</v>
      </c>
      <c r="AI1957" s="135">
        <f t="shared" si="39"/>
        <v>0.96615412492176689</v>
      </c>
    </row>
    <row r="1958" spans="1:35" ht="12.6">
      <c r="A1958" s="10" t="s">
        <v>865</v>
      </c>
      <c r="B1958" s="10">
        <v>132</v>
      </c>
      <c r="C1958" s="10" t="s">
        <v>1513</v>
      </c>
      <c r="D1958" s="388">
        <v>45058</v>
      </c>
      <c r="E1958" s="389">
        <v>45058</v>
      </c>
      <c r="F1958" s="390" t="str">
        <f t="shared" si="35"/>
        <v>Whitegoods</v>
      </c>
      <c r="G1958" s="135">
        <v>3.9540899397851902E-2</v>
      </c>
      <c r="H1958" s="135">
        <v>3.4441117306073001E-2</v>
      </c>
      <c r="I1958" s="135">
        <v>3.2805054493349001E-2</v>
      </c>
      <c r="J1958" s="135">
        <v>3.2898878042348402E-2</v>
      </c>
      <c r="K1958" s="135">
        <v>3.2592638252061899E-2</v>
      </c>
      <c r="L1958" s="135">
        <v>3.32561900459694E-2</v>
      </c>
      <c r="M1958" s="135">
        <v>3.6408162039203197E-2</v>
      </c>
      <c r="N1958" s="135">
        <v>4.4167363588005402E-2</v>
      </c>
      <c r="O1958" s="135">
        <v>4.7160489113982101E-2</v>
      </c>
      <c r="P1958" s="135">
        <v>4.45965108566998E-2</v>
      </c>
      <c r="Q1958" s="135">
        <v>4.2018394690126498E-2</v>
      </c>
      <c r="R1958" s="135">
        <v>3.9969365347788798E-2</v>
      </c>
      <c r="S1958" s="135">
        <v>3.99658863599179E-2</v>
      </c>
      <c r="T1958" s="135">
        <v>3.9045081377494698E-2</v>
      </c>
      <c r="U1958" s="135">
        <v>4.0077521698087801E-2</v>
      </c>
      <c r="V1958" s="135">
        <v>3.9221224865863602E-2</v>
      </c>
      <c r="W1958" s="135">
        <v>3.8853105254750699E-2</v>
      </c>
      <c r="X1958" s="135">
        <v>4.00432537818948E-2</v>
      </c>
      <c r="Y1958" s="135">
        <v>4.1934375238353402E-2</v>
      </c>
      <c r="Z1958" s="135">
        <v>4.2981470620620098E-2</v>
      </c>
      <c r="AA1958" s="135">
        <v>4.8538762569812703E-2</v>
      </c>
      <c r="AB1958" s="135">
        <v>4.6612356542947098E-2</v>
      </c>
      <c r="AC1958" s="135">
        <v>4.4834461185171898E-2</v>
      </c>
      <c r="AD1958" s="135">
        <v>4.4191562253392797E-2</v>
      </c>
      <c r="AF1958" s="243">
        <f t="shared" si="36"/>
        <v>0.27915057959403006</v>
      </c>
      <c r="AG1958" s="275">
        <f t="shared" si="37"/>
        <v>0.52813178257153615</v>
      </c>
      <c r="AH1958" s="391">
        <f t="shared" si="38"/>
        <v>0.43802234235023069</v>
      </c>
      <c r="AI1958" s="135">
        <f t="shared" si="39"/>
        <v>0.96615412492176689</v>
      </c>
    </row>
    <row r="1959" spans="1:35" ht="12.6">
      <c r="A1959" s="10" t="s">
        <v>865</v>
      </c>
      <c r="B1959" s="10">
        <v>133</v>
      </c>
      <c r="C1959" s="10" t="s">
        <v>1513</v>
      </c>
      <c r="D1959" s="388">
        <v>45059</v>
      </c>
      <c r="E1959" s="389">
        <v>45059</v>
      </c>
      <c r="F1959" s="390" t="str">
        <f t="shared" si="35"/>
        <v>Whitegoods</v>
      </c>
      <c r="G1959" s="135">
        <v>3.8675030232270098E-2</v>
      </c>
      <c r="H1959" s="135">
        <v>3.55322612102002E-2</v>
      </c>
      <c r="I1959" s="135">
        <v>3.3139384245641598E-2</v>
      </c>
      <c r="J1959" s="135">
        <v>3.29804345361462E-2</v>
      </c>
      <c r="K1959" s="135">
        <v>3.3148795046366003E-2</v>
      </c>
      <c r="L1959" s="135">
        <v>3.2567491785127398E-2</v>
      </c>
      <c r="M1959" s="135">
        <v>3.5612089492824101E-2</v>
      </c>
      <c r="N1959" s="135">
        <v>3.7279529047746202E-2</v>
      </c>
      <c r="O1959" s="135">
        <v>4.6354250533552403E-2</v>
      </c>
      <c r="P1959" s="135">
        <v>5.7319514184018303E-2</v>
      </c>
      <c r="Q1959" s="135">
        <v>6.2861675919120105E-2</v>
      </c>
      <c r="R1959" s="135">
        <v>5.8319668956649098E-2</v>
      </c>
      <c r="S1959" s="135">
        <v>5.4658811056063801E-2</v>
      </c>
      <c r="T1959" s="135">
        <v>5.3825159445475598E-2</v>
      </c>
      <c r="U1959" s="135">
        <v>4.8807650489533699E-2</v>
      </c>
      <c r="V1959" s="135">
        <v>4.8574696442779897E-2</v>
      </c>
      <c r="W1959" s="135">
        <v>4.8080883677992903E-2</v>
      </c>
      <c r="X1959" s="135">
        <v>4.6774755070729403E-2</v>
      </c>
      <c r="Y1959" s="135">
        <v>4.7239808210564303E-2</v>
      </c>
      <c r="Z1959" s="135">
        <v>4.6088186903114003E-2</v>
      </c>
      <c r="AA1959" s="135">
        <v>4.9160191263616697E-2</v>
      </c>
      <c r="AB1959" s="135">
        <v>5.0427537739012603E-2</v>
      </c>
      <c r="AC1959" s="135">
        <v>4.4889667203693598E-2</v>
      </c>
      <c r="AD1959" s="135">
        <v>4.26482483628133E-2</v>
      </c>
      <c r="AF1959" s="243">
        <f t="shared" si="36"/>
        <v>0.37512854598761514</v>
      </c>
      <c r="AG1959" s="275">
        <f t="shared" si="37"/>
        <v>0.58314060322692851</v>
      </c>
      <c r="AH1959" s="391">
        <f t="shared" si="38"/>
        <v>0.50182511782812311</v>
      </c>
      <c r="AI1959" s="135">
        <f t="shared" si="39"/>
        <v>1.0849657210550516</v>
      </c>
    </row>
    <row r="1960" spans="1:35" ht="12.6">
      <c r="A1960" s="10" t="s">
        <v>865</v>
      </c>
      <c r="B1960" s="10">
        <v>134</v>
      </c>
      <c r="C1960" s="10" t="s">
        <v>1513</v>
      </c>
      <c r="D1960" s="388">
        <v>45060</v>
      </c>
      <c r="E1960" s="389">
        <v>45060</v>
      </c>
      <c r="F1960" s="390" t="str">
        <f t="shared" si="35"/>
        <v>Whitegoods</v>
      </c>
      <c r="G1960" s="135">
        <v>3.8675030232270098E-2</v>
      </c>
      <c r="H1960" s="135">
        <v>3.55322612102002E-2</v>
      </c>
      <c r="I1960" s="135">
        <v>3.3139384245641598E-2</v>
      </c>
      <c r="J1960" s="135">
        <v>3.29804345361462E-2</v>
      </c>
      <c r="K1960" s="135">
        <v>3.3148795046366003E-2</v>
      </c>
      <c r="L1960" s="135">
        <v>3.2567491785127398E-2</v>
      </c>
      <c r="M1960" s="135">
        <v>3.5612089492824101E-2</v>
      </c>
      <c r="N1960" s="135">
        <v>3.7279529047746202E-2</v>
      </c>
      <c r="O1960" s="135">
        <v>4.6354250533552403E-2</v>
      </c>
      <c r="P1960" s="135">
        <v>5.7319514184018303E-2</v>
      </c>
      <c r="Q1960" s="135">
        <v>6.2861675919120105E-2</v>
      </c>
      <c r="R1960" s="135">
        <v>5.8319668956649098E-2</v>
      </c>
      <c r="S1960" s="135">
        <v>5.4658811056063801E-2</v>
      </c>
      <c r="T1960" s="135">
        <v>5.3825159445475598E-2</v>
      </c>
      <c r="U1960" s="135">
        <v>4.8807650489533699E-2</v>
      </c>
      <c r="V1960" s="135">
        <v>4.8574696442779897E-2</v>
      </c>
      <c r="W1960" s="135">
        <v>4.8080883677992903E-2</v>
      </c>
      <c r="X1960" s="135">
        <v>4.6774755070729403E-2</v>
      </c>
      <c r="Y1960" s="135">
        <v>4.7239808210564303E-2</v>
      </c>
      <c r="Z1960" s="135">
        <v>4.6088186903114003E-2</v>
      </c>
      <c r="AA1960" s="135">
        <v>4.9160191263616697E-2</v>
      </c>
      <c r="AB1960" s="135">
        <v>5.0427537739012603E-2</v>
      </c>
      <c r="AC1960" s="135">
        <v>4.4889667203693598E-2</v>
      </c>
      <c r="AD1960" s="135">
        <v>4.26482483628133E-2</v>
      </c>
      <c r="AF1960" s="243">
        <f t="shared" si="36"/>
        <v>0.37512854598761514</v>
      </c>
      <c r="AG1960" s="275">
        <f t="shared" si="37"/>
        <v>0.58314060322692851</v>
      </c>
      <c r="AH1960" s="391">
        <f t="shared" si="38"/>
        <v>0.50182511782812311</v>
      </c>
      <c r="AI1960" s="135">
        <f t="shared" si="39"/>
        <v>1.0849657210550516</v>
      </c>
    </row>
    <row r="1961" spans="1:35" ht="12.6">
      <c r="A1961" s="10" t="s">
        <v>865</v>
      </c>
      <c r="B1961" s="10">
        <v>135</v>
      </c>
      <c r="C1961" s="10" t="s">
        <v>1513</v>
      </c>
      <c r="D1961" s="388">
        <v>45061</v>
      </c>
      <c r="E1961" s="389">
        <v>45061</v>
      </c>
      <c r="F1961" s="390" t="str">
        <f t="shared" si="35"/>
        <v>Whitegoods</v>
      </c>
      <c r="G1961" s="135">
        <v>3.9540899397851902E-2</v>
      </c>
      <c r="H1961" s="135">
        <v>3.4441117306073001E-2</v>
      </c>
      <c r="I1961" s="135">
        <v>3.2805054493349001E-2</v>
      </c>
      <c r="J1961" s="135">
        <v>3.2898878042348402E-2</v>
      </c>
      <c r="K1961" s="135">
        <v>3.2592638252061899E-2</v>
      </c>
      <c r="L1961" s="135">
        <v>3.32561900459694E-2</v>
      </c>
      <c r="M1961" s="135">
        <v>3.6408162039203197E-2</v>
      </c>
      <c r="N1961" s="135">
        <v>4.4167363588005402E-2</v>
      </c>
      <c r="O1961" s="135">
        <v>4.7160489113982101E-2</v>
      </c>
      <c r="P1961" s="135">
        <v>4.45965108566998E-2</v>
      </c>
      <c r="Q1961" s="135">
        <v>4.2018394690126498E-2</v>
      </c>
      <c r="R1961" s="135">
        <v>3.9969365347788798E-2</v>
      </c>
      <c r="S1961" s="135">
        <v>3.99658863599179E-2</v>
      </c>
      <c r="T1961" s="135">
        <v>3.9045081377494698E-2</v>
      </c>
      <c r="U1961" s="135">
        <v>4.0077521698087801E-2</v>
      </c>
      <c r="V1961" s="135">
        <v>3.9221224865863602E-2</v>
      </c>
      <c r="W1961" s="135">
        <v>3.8853105254750699E-2</v>
      </c>
      <c r="X1961" s="135">
        <v>4.00432537818948E-2</v>
      </c>
      <c r="Y1961" s="135">
        <v>4.1934375238353402E-2</v>
      </c>
      <c r="Z1961" s="135">
        <v>4.2981470620620098E-2</v>
      </c>
      <c r="AA1961" s="135">
        <v>4.8538762569812703E-2</v>
      </c>
      <c r="AB1961" s="135">
        <v>4.6612356542947098E-2</v>
      </c>
      <c r="AC1961" s="135">
        <v>4.4834461185171898E-2</v>
      </c>
      <c r="AD1961" s="135">
        <v>4.4191562253392797E-2</v>
      </c>
      <c r="AF1961" s="243">
        <f t="shared" si="36"/>
        <v>0.27915057959403006</v>
      </c>
      <c r="AG1961" s="275">
        <f t="shared" si="37"/>
        <v>0.52813178257153615</v>
      </c>
      <c r="AH1961" s="391">
        <f t="shared" si="38"/>
        <v>0.43802234235023069</v>
      </c>
      <c r="AI1961" s="135">
        <f t="shared" si="39"/>
        <v>0.96615412492176689</v>
      </c>
    </row>
    <row r="1962" spans="1:35" ht="12.6">
      <c r="A1962" s="10" t="s">
        <v>865</v>
      </c>
      <c r="B1962" s="10">
        <v>136</v>
      </c>
      <c r="C1962" s="10" t="s">
        <v>1513</v>
      </c>
      <c r="D1962" s="388">
        <v>45062</v>
      </c>
      <c r="E1962" s="389">
        <v>45062</v>
      </c>
      <c r="F1962" s="390" t="str">
        <f t="shared" si="35"/>
        <v>Whitegoods</v>
      </c>
      <c r="G1962" s="135">
        <v>3.9540899397851902E-2</v>
      </c>
      <c r="H1962" s="135">
        <v>3.4441117306073001E-2</v>
      </c>
      <c r="I1962" s="135">
        <v>3.2805054493349001E-2</v>
      </c>
      <c r="J1962" s="135">
        <v>3.2898878042348402E-2</v>
      </c>
      <c r="K1962" s="135">
        <v>3.2592638252061899E-2</v>
      </c>
      <c r="L1962" s="135">
        <v>3.32561900459694E-2</v>
      </c>
      <c r="M1962" s="135">
        <v>3.6408162039203197E-2</v>
      </c>
      <c r="N1962" s="135">
        <v>4.4167363588005402E-2</v>
      </c>
      <c r="O1962" s="135">
        <v>4.7160489113982101E-2</v>
      </c>
      <c r="P1962" s="135">
        <v>4.45965108566998E-2</v>
      </c>
      <c r="Q1962" s="135">
        <v>4.2018394690126498E-2</v>
      </c>
      <c r="R1962" s="135">
        <v>3.9969365347788798E-2</v>
      </c>
      <c r="S1962" s="135">
        <v>3.99658863599179E-2</v>
      </c>
      <c r="T1962" s="135">
        <v>3.9045081377494698E-2</v>
      </c>
      <c r="U1962" s="135">
        <v>4.0077521698087801E-2</v>
      </c>
      <c r="V1962" s="135">
        <v>3.9221224865863602E-2</v>
      </c>
      <c r="W1962" s="135">
        <v>3.8853105254750699E-2</v>
      </c>
      <c r="X1962" s="135">
        <v>4.00432537818948E-2</v>
      </c>
      <c r="Y1962" s="135">
        <v>4.1934375238353402E-2</v>
      </c>
      <c r="Z1962" s="135">
        <v>4.2981470620620098E-2</v>
      </c>
      <c r="AA1962" s="135">
        <v>4.8538762569812703E-2</v>
      </c>
      <c r="AB1962" s="135">
        <v>4.6612356542947098E-2</v>
      </c>
      <c r="AC1962" s="135">
        <v>4.4834461185171898E-2</v>
      </c>
      <c r="AD1962" s="135">
        <v>4.4191562253392797E-2</v>
      </c>
      <c r="AF1962" s="243">
        <f t="shared" si="36"/>
        <v>0.27915057959403006</v>
      </c>
      <c r="AG1962" s="275">
        <f t="shared" si="37"/>
        <v>0.52813178257153615</v>
      </c>
      <c r="AH1962" s="391">
        <f t="shared" si="38"/>
        <v>0.43802234235023069</v>
      </c>
      <c r="AI1962" s="135">
        <f t="shared" si="39"/>
        <v>0.96615412492176689</v>
      </c>
    </row>
    <row r="1963" spans="1:35" ht="12.6">
      <c r="A1963" s="10" t="s">
        <v>865</v>
      </c>
      <c r="B1963" s="10">
        <v>137</v>
      </c>
      <c r="C1963" s="10" t="s">
        <v>1513</v>
      </c>
      <c r="D1963" s="388">
        <v>45063</v>
      </c>
      <c r="E1963" s="389">
        <v>45063</v>
      </c>
      <c r="F1963" s="390" t="str">
        <f t="shared" si="35"/>
        <v>Whitegoods</v>
      </c>
      <c r="G1963" s="135">
        <v>3.9540899397851902E-2</v>
      </c>
      <c r="H1963" s="135">
        <v>3.4441117306073001E-2</v>
      </c>
      <c r="I1963" s="135">
        <v>3.2805054493349001E-2</v>
      </c>
      <c r="J1963" s="135">
        <v>3.2898878042348402E-2</v>
      </c>
      <c r="K1963" s="135">
        <v>3.2592638252061899E-2</v>
      </c>
      <c r="L1963" s="135">
        <v>3.32561900459694E-2</v>
      </c>
      <c r="M1963" s="135">
        <v>3.6408162039203197E-2</v>
      </c>
      <c r="N1963" s="135">
        <v>4.4167363588005402E-2</v>
      </c>
      <c r="O1963" s="135">
        <v>4.7160489113982101E-2</v>
      </c>
      <c r="P1963" s="135">
        <v>4.45965108566998E-2</v>
      </c>
      <c r="Q1963" s="135">
        <v>4.2018394690126498E-2</v>
      </c>
      <c r="R1963" s="135">
        <v>3.9969365347788798E-2</v>
      </c>
      <c r="S1963" s="135">
        <v>3.99658863599179E-2</v>
      </c>
      <c r="T1963" s="135">
        <v>3.9045081377494698E-2</v>
      </c>
      <c r="U1963" s="135">
        <v>4.0077521698087801E-2</v>
      </c>
      <c r="V1963" s="135">
        <v>3.9221224865863602E-2</v>
      </c>
      <c r="W1963" s="135">
        <v>3.8853105254750699E-2</v>
      </c>
      <c r="X1963" s="135">
        <v>4.00432537818948E-2</v>
      </c>
      <c r="Y1963" s="135">
        <v>4.1934375238353402E-2</v>
      </c>
      <c r="Z1963" s="135">
        <v>4.2981470620620098E-2</v>
      </c>
      <c r="AA1963" s="135">
        <v>4.8538762569812703E-2</v>
      </c>
      <c r="AB1963" s="135">
        <v>4.6612356542947098E-2</v>
      </c>
      <c r="AC1963" s="135">
        <v>4.4834461185171898E-2</v>
      </c>
      <c r="AD1963" s="135">
        <v>4.4191562253392797E-2</v>
      </c>
      <c r="AF1963" s="243">
        <f t="shared" si="36"/>
        <v>0.27915057959403006</v>
      </c>
      <c r="AG1963" s="275">
        <f t="shared" si="37"/>
        <v>0.52813178257153615</v>
      </c>
      <c r="AH1963" s="391">
        <f t="shared" si="38"/>
        <v>0.43802234235023069</v>
      </c>
      <c r="AI1963" s="135">
        <f t="shared" si="39"/>
        <v>0.96615412492176689</v>
      </c>
    </row>
    <row r="1964" spans="1:35" ht="12.6">
      <c r="A1964" s="10" t="s">
        <v>865</v>
      </c>
      <c r="B1964" s="10">
        <v>138</v>
      </c>
      <c r="C1964" s="10" t="s">
        <v>1513</v>
      </c>
      <c r="D1964" s="388">
        <v>45064</v>
      </c>
      <c r="E1964" s="389">
        <v>45064</v>
      </c>
      <c r="F1964" s="390" t="str">
        <f t="shared" si="35"/>
        <v>Whitegoods</v>
      </c>
      <c r="G1964" s="135">
        <v>3.9540899397851902E-2</v>
      </c>
      <c r="H1964" s="135">
        <v>3.4441117306073001E-2</v>
      </c>
      <c r="I1964" s="135">
        <v>3.2805054493349001E-2</v>
      </c>
      <c r="J1964" s="135">
        <v>3.2898878042348402E-2</v>
      </c>
      <c r="K1964" s="135">
        <v>3.2592638252061899E-2</v>
      </c>
      <c r="L1964" s="135">
        <v>3.32561900459694E-2</v>
      </c>
      <c r="M1964" s="135">
        <v>3.6408162039203197E-2</v>
      </c>
      <c r="N1964" s="135">
        <v>4.4167363588005402E-2</v>
      </c>
      <c r="O1964" s="135">
        <v>4.7160489113982101E-2</v>
      </c>
      <c r="P1964" s="135">
        <v>4.45965108566998E-2</v>
      </c>
      <c r="Q1964" s="135">
        <v>4.2018394690126498E-2</v>
      </c>
      <c r="R1964" s="135">
        <v>3.9969365347788798E-2</v>
      </c>
      <c r="S1964" s="135">
        <v>3.99658863599179E-2</v>
      </c>
      <c r="T1964" s="135">
        <v>3.9045081377494698E-2</v>
      </c>
      <c r="U1964" s="135">
        <v>4.0077521698087801E-2</v>
      </c>
      <c r="V1964" s="135">
        <v>3.9221224865863602E-2</v>
      </c>
      <c r="W1964" s="135">
        <v>3.8853105254750699E-2</v>
      </c>
      <c r="X1964" s="135">
        <v>4.00432537818948E-2</v>
      </c>
      <c r="Y1964" s="135">
        <v>4.1934375238353402E-2</v>
      </c>
      <c r="Z1964" s="135">
        <v>4.2981470620620098E-2</v>
      </c>
      <c r="AA1964" s="135">
        <v>4.8538762569812703E-2</v>
      </c>
      <c r="AB1964" s="135">
        <v>4.6612356542947098E-2</v>
      </c>
      <c r="AC1964" s="135">
        <v>4.4834461185171898E-2</v>
      </c>
      <c r="AD1964" s="135">
        <v>4.4191562253392797E-2</v>
      </c>
      <c r="AF1964" s="243">
        <f t="shared" si="36"/>
        <v>0.27915057959403006</v>
      </c>
      <c r="AG1964" s="275">
        <f t="shared" si="37"/>
        <v>0.52813178257153615</v>
      </c>
      <c r="AH1964" s="391">
        <f t="shared" si="38"/>
        <v>0.43802234235023069</v>
      </c>
      <c r="AI1964" s="135">
        <f t="shared" si="39"/>
        <v>0.96615412492176689</v>
      </c>
    </row>
    <row r="1965" spans="1:35" ht="12.6">
      <c r="A1965" s="10" t="s">
        <v>865</v>
      </c>
      <c r="B1965" s="10">
        <v>139</v>
      </c>
      <c r="C1965" s="10" t="s">
        <v>1513</v>
      </c>
      <c r="D1965" s="388">
        <v>45065</v>
      </c>
      <c r="E1965" s="389">
        <v>45065</v>
      </c>
      <c r="F1965" s="390" t="str">
        <f t="shared" si="35"/>
        <v>Whitegoods</v>
      </c>
      <c r="G1965" s="135">
        <v>3.9540899397851902E-2</v>
      </c>
      <c r="H1965" s="135">
        <v>3.4441117306073001E-2</v>
      </c>
      <c r="I1965" s="135">
        <v>3.2805054493349001E-2</v>
      </c>
      <c r="J1965" s="135">
        <v>3.2898878042348402E-2</v>
      </c>
      <c r="K1965" s="135">
        <v>3.2592638252061899E-2</v>
      </c>
      <c r="L1965" s="135">
        <v>3.32561900459694E-2</v>
      </c>
      <c r="M1965" s="135">
        <v>3.6408162039203197E-2</v>
      </c>
      <c r="N1965" s="135">
        <v>4.4167363588005402E-2</v>
      </c>
      <c r="O1965" s="135">
        <v>4.7160489113982101E-2</v>
      </c>
      <c r="P1965" s="135">
        <v>4.45965108566998E-2</v>
      </c>
      <c r="Q1965" s="135">
        <v>4.2018394690126498E-2</v>
      </c>
      <c r="R1965" s="135">
        <v>3.9969365347788798E-2</v>
      </c>
      <c r="S1965" s="135">
        <v>3.99658863599179E-2</v>
      </c>
      <c r="T1965" s="135">
        <v>3.9045081377494698E-2</v>
      </c>
      <c r="U1965" s="135">
        <v>4.0077521698087801E-2</v>
      </c>
      <c r="V1965" s="135">
        <v>3.9221224865863602E-2</v>
      </c>
      <c r="W1965" s="135">
        <v>3.8853105254750699E-2</v>
      </c>
      <c r="X1965" s="135">
        <v>4.00432537818948E-2</v>
      </c>
      <c r="Y1965" s="135">
        <v>4.1934375238353402E-2</v>
      </c>
      <c r="Z1965" s="135">
        <v>4.2981470620620098E-2</v>
      </c>
      <c r="AA1965" s="135">
        <v>4.8538762569812703E-2</v>
      </c>
      <c r="AB1965" s="135">
        <v>4.6612356542947098E-2</v>
      </c>
      <c r="AC1965" s="135">
        <v>4.4834461185171898E-2</v>
      </c>
      <c r="AD1965" s="135">
        <v>4.4191562253392797E-2</v>
      </c>
      <c r="AF1965" s="243">
        <f t="shared" si="36"/>
        <v>0.27915057959403006</v>
      </c>
      <c r="AG1965" s="275">
        <f t="shared" si="37"/>
        <v>0.52813178257153615</v>
      </c>
      <c r="AH1965" s="391">
        <f t="shared" si="38"/>
        <v>0.43802234235023069</v>
      </c>
      <c r="AI1965" s="135">
        <f t="shared" si="39"/>
        <v>0.96615412492176689</v>
      </c>
    </row>
    <row r="1966" spans="1:35" ht="12.6">
      <c r="A1966" s="10" t="s">
        <v>865</v>
      </c>
      <c r="B1966" s="10">
        <v>140</v>
      </c>
      <c r="C1966" s="10" t="s">
        <v>1513</v>
      </c>
      <c r="D1966" s="388">
        <v>45066</v>
      </c>
      <c r="E1966" s="389">
        <v>45066</v>
      </c>
      <c r="F1966" s="390" t="str">
        <f t="shared" si="35"/>
        <v>Whitegoods</v>
      </c>
      <c r="G1966" s="135">
        <v>3.8675030232270098E-2</v>
      </c>
      <c r="H1966" s="135">
        <v>3.55322612102002E-2</v>
      </c>
      <c r="I1966" s="135">
        <v>3.3139384245641598E-2</v>
      </c>
      <c r="J1966" s="135">
        <v>3.29804345361462E-2</v>
      </c>
      <c r="K1966" s="135">
        <v>3.3148795046366003E-2</v>
      </c>
      <c r="L1966" s="135">
        <v>3.2567491785127398E-2</v>
      </c>
      <c r="M1966" s="135">
        <v>3.5612089492824101E-2</v>
      </c>
      <c r="N1966" s="135">
        <v>3.7279529047746202E-2</v>
      </c>
      <c r="O1966" s="135">
        <v>4.6354250533552403E-2</v>
      </c>
      <c r="P1966" s="135">
        <v>5.7319514184018303E-2</v>
      </c>
      <c r="Q1966" s="135">
        <v>6.2861675919120105E-2</v>
      </c>
      <c r="R1966" s="135">
        <v>5.8319668956649098E-2</v>
      </c>
      <c r="S1966" s="135">
        <v>5.4658811056063801E-2</v>
      </c>
      <c r="T1966" s="135">
        <v>5.3825159445475598E-2</v>
      </c>
      <c r="U1966" s="135">
        <v>4.8807650489533699E-2</v>
      </c>
      <c r="V1966" s="135">
        <v>4.8574696442779897E-2</v>
      </c>
      <c r="W1966" s="135">
        <v>4.8080883677992903E-2</v>
      </c>
      <c r="X1966" s="135">
        <v>4.6774755070729403E-2</v>
      </c>
      <c r="Y1966" s="135">
        <v>4.7239808210564303E-2</v>
      </c>
      <c r="Z1966" s="135">
        <v>4.6088186903114003E-2</v>
      </c>
      <c r="AA1966" s="135">
        <v>4.9160191263616697E-2</v>
      </c>
      <c r="AB1966" s="135">
        <v>5.0427537739012603E-2</v>
      </c>
      <c r="AC1966" s="135">
        <v>4.4889667203693598E-2</v>
      </c>
      <c r="AD1966" s="135">
        <v>4.26482483628133E-2</v>
      </c>
      <c r="AF1966" s="243">
        <f t="shared" si="36"/>
        <v>0.37512854598761514</v>
      </c>
      <c r="AG1966" s="275">
        <f t="shared" si="37"/>
        <v>0.58314060322692851</v>
      </c>
      <c r="AH1966" s="391">
        <f t="shared" si="38"/>
        <v>0.50182511782812311</v>
      </c>
      <c r="AI1966" s="135">
        <f t="shared" si="39"/>
        <v>1.0849657210550516</v>
      </c>
    </row>
    <row r="1967" spans="1:35" ht="12.6">
      <c r="A1967" s="10" t="s">
        <v>865</v>
      </c>
      <c r="B1967" s="10">
        <v>141</v>
      </c>
      <c r="C1967" s="10" t="s">
        <v>1513</v>
      </c>
      <c r="D1967" s="388">
        <v>45067</v>
      </c>
      <c r="E1967" s="389">
        <v>45067</v>
      </c>
      <c r="F1967" s="390" t="str">
        <f t="shared" si="35"/>
        <v>Whitegoods</v>
      </c>
      <c r="G1967" s="135">
        <v>3.8675030232270098E-2</v>
      </c>
      <c r="H1967" s="135">
        <v>3.55322612102002E-2</v>
      </c>
      <c r="I1967" s="135">
        <v>3.3139384245641598E-2</v>
      </c>
      <c r="J1967" s="135">
        <v>3.29804345361462E-2</v>
      </c>
      <c r="K1967" s="135">
        <v>3.3148795046366003E-2</v>
      </c>
      <c r="L1967" s="135">
        <v>3.2567491785127398E-2</v>
      </c>
      <c r="M1967" s="135">
        <v>3.5612089492824101E-2</v>
      </c>
      <c r="N1967" s="135">
        <v>3.7279529047746202E-2</v>
      </c>
      <c r="O1967" s="135">
        <v>4.6354250533552403E-2</v>
      </c>
      <c r="P1967" s="135">
        <v>5.7319514184018303E-2</v>
      </c>
      <c r="Q1967" s="135">
        <v>6.2861675919120105E-2</v>
      </c>
      <c r="R1967" s="135">
        <v>5.8319668956649098E-2</v>
      </c>
      <c r="S1967" s="135">
        <v>5.4658811056063801E-2</v>
      </c>
      <c r="T1967" s="135">
        <v>5.3825159445475598E-2</v>
      </c>
      <c r="U1967" s="135">
        <v>4.8807650489533699E-2</v>
      </c>
      <c r="V1967" s="135">
        <v>4.8574696442779897E-2</v>
      </c>
      <c r="W1967" s="135">
        <v>4.8080883677992903E-2</v>
      </c>
      <c r="X1967" s="135">
        <v>4.6774755070729403E-2</v>
      </c>
      <c r="Y1967" s="135">
        <v>4.7239808210564303E-2</v>
      </c>
      <c r="Z1967" s="135">
        <v>4.6088186903114003E-2</v>
      </c>
      <c r="AA1967" s="135">
        <v>4.9160191263616697E-2</v>
      </c>
      <c r="AB1967" s="135">
        <v>5.0427537739012603E-2</v>
      </c>
      <c r="AC1967" s="135">
        <v>4.4889667203693598E-2</v>
      </c>
      <c r="AD1967" s="135">
        <v>4.26482483628133E-2</v>
      </c>
      <c r="AF1967" s="243">
        <f t="shared" si="36"/>
        <v>0.37512854598761514</v>
      </c>
      <c r="AG1967" s="275">
        <f t="shared" si="37"/>
        <v>0.58314060322692851</v>
      </c>
      <c r="AH1967" s="391">
        <f t="shared" si="38"/>
        <v>0.50182511782812311</v>
      </c>
      <c r="AI1967" s="135">
        <f t="shared" si="39"/>
        <v>1.0849657210550516</v>
      </c>
    </row>
    <row r="1968" spans="1:35" ht="12.6">
      <c r="A1968" s="10" t="s">
        <v>865</v>
      </c>
      <c r="B1968" s="10">
        <v>142</v>
      </c>
      <c r="C1968" s="10" t="s">
        <v>1513</v>
      </c>
      <c r="D1968" s="388">
        <v>45068</v>
      </c>
      <c r="E1968" s="389">
        <v>45068</v>
      </c>
      <c r="F1968" s="390" t="str">
        <f t="shared" si="35"/>
        <v>Whitegoods</v>
      </c>
      <c r="G1968" s="135">
        <v>3.9540899397851902E-2</v>
      </c>
      <c r="H1968" s="135">
        <v>3.4441117306073001E-2</v>
      </c>
      <c r="I1968" s="135">
        <v>3.2805054493349001E-2</v>
      </c>
      <c r="J1968" s="135">
        <v>3.2898878042348402E-2</v>
      </c>
      <c r="K1968" s="135">
        <v>3.2592638252061899E-2</v>
      </c>
      <c r="L1968" s="135">
        <v>3.32561900459694E-2</v>
      </c>
      <c r="M1968" s="135">
        <v>3.6408162039203197E-2</v>
      </c>
      <c r="N1968" s="135">
        <v>4.4167363588005402E-2</v>
      </c>
      <c r="O1968" s="135">
        <v>4.7160489113982101E-2</v>
      </c>
      <c r="P1968" s="135">
        <v>4.45965108566998E-2</v>
      </c>
      <c r="Q1968" s="135">
        <v>4.2018394690126498E-2</v>
      </c>
      <c r="R1968" s="135">
        <v>3.9969365347788798E-2</v>
      </c>
      <c r="S1968" s="135">
        <v>3.99658863599179E-2</v>
      </c>
      <c r="T1968" s="135">
        <v>3.9045081377494698E-2</v>
      </c>
      <c r="U1968" s="135">
        <v>4.0077521698087801E-2</v>
      </c>
      <c r="V1968" s="135">
        <v>3.9221224865863602E-2</v>
      </c>
      <c r="W1968" s="135">
        <v>3.8853105254750699E-2</v>
      </c>
      <c r="X1968" s="135">
        <v>4.00432537818948E-2</v>
      </c>
      <c r="Y1968" s="135">
        <v>4.1934375238353402E-2</v>
      </c>
      <c r="Z1968" s="135">
        <v>4.2981470620620098E-2</v>
      </c>
      <c r="AA1968" s="135">
        <v>4.8538762569812703E-2</v>
      </c>
      <c r="AB1968" s="135">
        <v>4.6612356542947098E-2</v>
      </c>
      <c r="AC1968" s="135">
        <v>4.4834461185171898E-2</v>
      </c>
      <c r="AD1968" s="135">
        <v>4.4191562253392797E-2</v>
      </c>
      <c r="AF1968" s="243">
        <f t="shared" si="36"/>
        <v>0.27915057959403006</v>
      </c>
      <c r="AG1968" s="275">
        <f t="shared" si="37"/>
        <v>0.52813178257153615</v>
      </c>
      <c r="AH1968" s="391">
        <f t="shared" si="38"/>
        <v>0.43802234235023069</v>
      </c>
      <c r="AI1968" s="135">
        <f t="shared" si="39"/>
        <v>0.96615412492176689</v>
      </c>
    </row>
    <row r="1969" spans="1:35" ht="12.6">
      <c r="A1969" s="10" t="s">
        <v>865</v>
      </c>
      <c r="B1969" s="10">
        <v>143</v>
      </c>
      <c r="C1969" s="10" t="s">
        <v>1513</v>
      </c>
      <c r="D1969" s="388">
        <v>45069</v>
      </c>
      <c r="E1969" s="389">
        <v>45069</v>
      </c>
      <c r="F1969" s="390" t="str">
        <f t="shared" si="35"/>
        <v>Whitegoods</v>
      </c>
      <c r="G1969" s="135">
        <v>3.9540899397851902E-2</v>
      </c>
      <c r="H1969" s="135">
        <v>3.4441117306073001E-2</v>
      </c>
      <c r="I1969" s="135">
        <v>3.2805054493349001E-2</v>
      </c>
      <c r="J1969" s="135">
        <v>3.2898878042348402E-2</v>
      </c>
      <c r="K1969" s="135">
        <v>3.2592638252061899E-2</v>
      </c>
      <c r="L1969" s="135">
        <v>3.32561900459694E-2</v>
      </c>
      <c r="M1969" s="135">
        <v>3.6408162039203197E-2</v>
      </c>
      <c r="N1969" s="135">
        <v>4.4167363588005402E-2</v>
      </c>
      <c r="O1969" s="135">
        <v>4.7160489113982101E-2</v>
      </c>
      <c r="P1969" s="135">
        <v>4.45965108566998E-2</v>
      </c>
      <c r="Q1969" s="135">
        <v>4.2018394690126498E-2</v>
      </c>
      <c r="R1969" s="135">
        <v>3.9969365347788798E-2</v>
      </c>
      <c r="S1969" s="135">
        <v>3.99658863599179E-2</v>
      </c>
      <c r="T1969" s="135">
        <v>3.9045081377494698E-2</v>
      </c>
      <c r="U1969" s="135">
        <v>4.0077521698087801E-2</v>
      </c>
      <c r="V1969" s="135">
        <v>3.9221224865863602E-2</v>
      </c>
      <c r="W1969" s="135">
        <v>3.8853105254750699E-2</v>
      </c>
      <c r="X1969" s="135">
        <v>4.00432537818948E-2</v>
      </c>
      <c r="Y1969" s="135">
        <v>4.1934375238353402E-2</v>
      </c>
      <c r="Z1969" s="135">
        <v>4.2981470620620098E-2</v>
      </c>
      <c r="AA1969" s="135">
        <v>4.8538762569812703E-2</v>
      </c>
      <c r="AB1969" s="135">
        <v>4.6612356542947098E-2</v>
      </c>
      <c r="AC1969" s="135">
        <v>4.4834461185171898E-2</v>
      </c>
      <c r="AD1969" s="135">
        <v>4.4191562253392797E-2</v>
      </c>
      <c r="AF1969" s="243">
        <f t="shared" si="36"/>
        <v>0.27915057959403006</v>
      </c>
      <c r="AG1969" s="275">
        <f t="shared" si="37"/>
        <v>0.52813178257153615</v>
      </c>
      <c r="AH1969" s="391">
        <f t="shared" si="38"/>
        <v>0.43802234235023069</v>
      </c>
      <c r="AI1969" s="135">
        <f t="shared" si="39"/>
        <v>0.96615412492176689</v>
      </c>
    </row>
    <row r="1970" spans="1:35" ht="12.6">
      <c r="A1970" s="10" t="s">
        <v>865</v>
      </c>
      <c r="B1970" s="10">
        <v>144</v>
      </c>
      <c r="C1970" s="10" t="s">
        <v>1513</v>
      </c>
      <c r="D1970" s="388">
        <v>45070</v>
      </c>
      <c r="E1970" s="389">
        <v>45070</v>
      </c>
      <c r="F1970" s="390" t="str">
        <f t="shared" si="35"/>
        <v>Whitegoods</v>
      </c>
      <c r="G1970" s="135">
        <v>3.9540899397851902E-2</v>
      </c>
      <c r="H1970" s="135">
        <v>3.4441117306073001E-2</v>
      </c>
      <c r="I1970" s="135">
        <v>3.2805054493349001E-2</v>
      </c>
      <c r="J1970" s="135">
        <v>3.2898878042348402E-2</v>
      </c>
      <c r="K1970" s="135">
        <v>3.2592638252061899E-2</v>
      </c>
      <c r="L1970" s="135">
        <v>3.32561900459694E-2</v>
      </c>
      <c r="M1970" s="135">
        <v>3.6408162039203197E-2</v>
      </c>
      <c r="N1970" s="135">
        <v>4.4167363588005402E-2</v>
      </c>
      <c r="O1970" s="135">
        <v>4.7160489113982101E-2</v>
      </c>
      <c r="P1970" s="135">
        <v>4.45965108566998E-2</v>
      </c>
      <c r="Q1970" s="135">
        <v>4.2018394690126498E-2</v>
      </c>
      <c r="R1970" s="135">
        <v>3.9969365347788798E-2</v>
      </c>
      <c r="S1970" s="135">
        <v>3.99658863599179E-2</v>
      </c>
      <c r="T1970" s="135">
        <v>3.9045081377494698E-2</v>
      </c>
      <c r="U1970" s="135">
        <v>4.0077521698087801E-2</v>
      </c>
      <c r="V1970" s="135">
        <v>3.9221224865863602E-2</v>
      </c>
      <c r="W1970" s="135">
        <v>3.8853105254750699E-2</v>
      </c>
      <c r="X1970" s="135">
        <v>4.00432537818948E-2</v>
      </c>
      <c r="Y1970" s="135">
        <v>4.1934375238353402E-2</v>
      </c>
      <c r="Z1970" s="135">
        <v>4.2981470620620098E-2</v>
      </c>
      <c r="AA1970" s="135">
        <v>4.8538762569812703E-2</v>
      </c>
      <c r="AB1970" s="135">
        <v>4.6612356542947098E-2</v>
      </c>
      <c r="AC1970" s="135">
        <v>4.4834461185171898E-2</v>
      </c>
      <c r="AD1970" s="135">
        <v>4.4191562253392797E-2</v>
      </c>
      <c r="AF1970" s="243">
        <f t="shared" si="36"/>
        <v>0.27915057959403006</v>
      </c>
      <c r="AG1970" s="275">
        <f t="shared" si="37"/>
        <v>0.52813178257153615</v>
      </c>
      <c r="AH1970" s="391">
        <f t="shared" si="38"/>
        <v>0.43802234235023069</v>
      </c>
      <c r="AI1970" s="135">
        <f t="shared" si="39"/>
        <v>0.96615412492176689</v>
      </c>
    </row>
    <row r="1971" spans="1:35" ht="12.6">
      <c r="A1971" s="10" t="s">
        <v>865</v>
      </c>
      <c r="B1971" s="10">
        <v>145</v>
      </c>
      <c r="C1971" s="10" t="s">
        <v>1513</v>
      </c>
      <c r="D1971" s="388">
        <v>45071</v>
      </c>
      <c r="E1971" s="389">
        <v>45071</v>
      </c>
      <c r="F1971" s="390" t="str">
        <f t="shared" si="35"/>
        <v>Whitegoods</v>
      </c>
      <c r="G1971" s="135">
        <v>3.9540899397851902E-2</v>
      </c>
      <c r="H1971" s="135">
        <v>3.4441117306073001E-2</v>
      </c>
      <c r="I1971" s="135">
        <v>3.2805054493349001E-2</v>
      </c>
      <c r="J1971" s="135">
        <v>3.2898878042348402E-2</v>
      </c>
      <c r="K1971" s="135">
        <v>3.2592638252061899E-2</v>
      </c>
      <c r="L1971" s="135">
        <v>3.32561900459694E-2</v>
      </c>
      <c r="M1971" s="135">
        <v>3.6408162039203197E-2</v>
      </c>
      <c r="N1971" s="135">
        <v>4.4167363588005402E-2</v>
      </c>
      <c r="O1971" s="135">
        <v>4.7160489113982101E-2</v>
      </c>
      <c r="P1971" s="135">
        <v>4.45965108566998E-2</v>
      </c>
      <c r="Q1971" s="135">
        <v>4.2018394690126498E-2</v>
      </c>
      <c r="R1971" s="135">
        <v>3.9969365347788798E-2</v>
      </c>
      <c r="S1971" s="135">
        <v>3.99658863599179E-2</v>
      </c>
      <c r="T1971" s="135">
        <v>3.9045081377494698E-2</v>
      </c>
      <c r="U1971" s="135">
        <v>4.0077521698087801E-2</v>
      </c>
      <c r="V1971" s="135">
        <v>3.9221224865863602E-2</v>
      </c>
      <c r="W1971" s="135">
        <v>3.8853105254750699E-2</v>
      </c>
      <c r="X1971" s="135">
        <v>4.00432537818948E-2</v>
      </c>
      <c r="Y1971" s="135">
        <v>4.1934375238353402E-2</v>
      </c>
      <c r="Z1971" s="135">
        <v>4.2981470620620098E-2</v>
      </c>
      <c r="AA1971" s="135">
        <v>4.8538762569812703E-2</v>
      </c>
      <c r="AB1971" s="135">
        <v>4.6612356542947098E-2</v>
      </c>
      <c r="AC1971" s="135">
        <v>4.4834461185171898E-2</v>
      </c>
      <c r="AD1971" s="135">
        <v>4.4191562253392797E-2</v>
      </c>
      <c r="AF1971" s="243">
        <f t="shared" si="36"/>
        <v>0.27915057959403006</v>
      </c>
      <c r="AG1971" s="275">
        <f t="shared" si="37"/>
        <v>0.52813178257153615</v>
      </c>
      <c r="AH1971" s="391">
        <f t="shared" si="38"/>
        <v>0.43802234235023069</v>
      </c>
      <c r="AI1971" s="135">
        <f t="shared" si="39"/>
        <v>0.96615412492176689</v>
      </c>
    </row>
    <row r="1972" spans="1:35" ht="12.6">
      <c r="A1972" s="10" t="s">
        <v>865</v>
      </c>
      <c r="B1972" s="10">
        <v>146</v>
      </c>
      <c r="C1972" s="10" t="s">
        <v>1513</v>
      </c>
      <c r="D1972" s="388">
        <v>45072</v>
      </c>
      <c r="E1972" s="389">
        <v>45072</v>
      </c>
      <c r="F1972" s="390" t="str">
        <f t="shared" si="35"/>
        <v>Whitegoods</v>
      </c>
      <c r="G1972" s="135">
        <v>3.9540899397851902E-2</v>
      </c>
      <c r="H1972" s="135">
        <v>3.4441117306073001E-2</v>
      </c>
      <c r="I1972" s="135">
        <v>3.2805054493349001E-2</v>
      </c>
      <c r="J1972" s="135">
        <v>3.2898878042348402E-2</v>
      </c>
      <c r="K1972" s="135">
        <v>3.2592638252061899E-2</v>
      </c>
      <c r="L1972" s="135">
        <v>3.32561900459694E-2</v>
      </c>
      <c r="M1972" s="135">
        <v>3.6408162039203197E-2</v>
      </c>
      <c r="N1972" s="135">
        <v>4.4167363588005402E-2</v>
      </c>
      <c r="O1972" s="135">
        <v>4.7160489113982101E-2</v>
      </c>
      <c r="P1972" s="135">
        <v>4.45965108566998E-2</v>
      </c>
      <c r="Q1972" s="135">
        <v>4.2018394690126498E-2</v>
      </c>
      <c r="R1972" s="135">
        <v>3.9969365347788798E-2</v>
      </c>
      <c r="S1972" s="135">
        <v>3.99658863599179E-2</v>
      </c>
      <c r="T1972" s="135">
        <v>3.9045081377494698E-2</v>
      </c>
      <c r="U1972" s="135">
        <v>4.0077521698087801E-2</v>
      </c>
      <c r="V1972" s="135">
        <v>3.9221224865863602E-2</v>
      </c>
      <c r="W1972" s="135">
        <v>3.8853105254750699E-2</v>
      </c>
      <c r="X1972" s="135">
        <v>4.00432537818948E-2</v>
      </c>
      <c r="Y1972" s="135">
        <v>4.1934375238353402E-2</v>
      </c>
      <c r="Z1972" s="135">
        <v>4.2981470620620098E-2</v>
      </c>
      <c r="AA1972" s="135">
        <v>4.8538762569812703E-2</v>
      </c>
      <c r="AB1972" s="135">
        <v>4.6612356542947098E-2</v>
      </c>
      <c r="AC1972" s="135">
        <v>4.4834461185171898E-2</v>
      </c>
      <c r="AD1972" s="135">
        <v>4.4191562253392797E-2</v>
      </c>
      <c r="AF1972" s="243">
        <f t="shared" si="36"/>
        <v>0.27915057959403006</v>
      </c>
      <c r="AG1972" s="275">
        <f t="shared" si="37"/>
        <v>0.52813178257153615</v>
      </c>
      <c r="AH1972" s="391">
        <f t="shared" si="38"/>
        <v>0.43802234235023069</v>
      </c>
      <c r="AI1972" s="135">
        <f t="shared" si="39"/>
        <v>0.96615412492176689</v>
      </c>
    </row>
    <row r="1973" spans="1:35" ht="12.6">
      <c r="A1973" s="10" t="s">
        <v>865</v>
      </c>
      <c r="B1973" s="10">
        <v>147</v>
      </c>
      <c r="C1973" s="10" t="s">
        <v>1513</v>
      </c>
      <c r="D1973" s="388">
        <v>45073</v>
      </c>
      <c r="E1973" s="389">
        <v>45073</v>
      </c>
      <c r="F1973" s="390" t="str">
        <f t="shared" si="35"/>
        <v>Whitegoods</v>
      </c>
      <c r="G1973" s="135">
        <v>3.8675030232270098E-2</v>
      </c>
      <c r="H1973" s="135">
        <v>3.55322612102002E-2</v>
      </c>
      <c r="I1973" s="135">
        <v>3.3139384245641598E-2</v>
      </c>
      <c r="J1973" s="135">
        <v>3.29804345361462E-2</v>
      </c>
      <c r="K1973" s="135">
        <v>3.3148795046366003E-2</v>
      </c>
      <c r="L1973" s="135">
        <v>3.2567491785127398E-2</v>
      </c>
      <c r="M1973" s="135">
        <v>3.5612089492824101E-2</v>
      </c>
      <c r="N1973" s="135">
        <v>3.7279529047746202E-2</v>
      </c>
      <c r="O1973" s="135">
        <v>4.6354250533552403E-2</v>
      </c>
      <c r="P1973" s="135">
        <v>5.7319514184018303E-2</v>
      </c>
      <c r="Q1973" s="135">
        <v>6.2861675919120105E-2</v>
      </c>
      <c r="R1973" s="135">
        <v>5.8319668956649098E-2</v>
      </c>
      <c r="S1973" s="135">
        <v>5.4658811056063801E-2</v>
      </c>
      <c r="T1973" s="135">
        <v>5.3825159445475598E-2</v>
      </c>
      <c r="U1973" s="135">
        <v>4.8807650489533699E-2</v>
      </c>
      <c r="V1973" s="135">
        <v>4.8574696442779897E-2</v>
      </c>
      <c r="W1973" s="135">
        <v>4.8080883677992903E-2</v>
      </c>
      <c r="X1973" s="135">
        <v>4.6774755070729403E-2</v>
      </c>
      <c r="Y1973" s="135">
        <v>4.7239808210564303E-2</v>
      </c>
      <c r="Z1973" s="135">
        <v>4.6088186903114003E-2</v>
      </c>
      <c r="AA1973" s="135">
        <v>4.9160191263616697E-2</v>
      </c>
      <c r="AB1973" s="135">
        <v>5.0427537739012603E-2</v>
      </c>
      <c r="AC1973" s="135">
        <v>4.4889667203693598E-2</v>
      </c>
      <c r="AD1973" s="135">
        <v>4.26482483628133E-2</v>
      </c>
      <c r="AF1973" s="243">
        <f t="shared" si="36"/>
        <v>0.37512854598761514</v>
      </c>
      <c r="AG1973" s="275">
        <f t="shared" si="37"/>
        <v>0.58314060322692851</v>
      </c>
      <c r="AH1973" s="391">
        <f t="shared" si="38"/>
        <v>0.50182511782812311</v>
      </c>
      <c r="AI1973" s="135">
        <f t="shared" si="39"/>
        <v>1.0849657210550516</v>
      </c>
    </row>
    <row r="1974" spans="1:35" ht="12.6">
      <c r="A1974" s="10" t="s">
        <v>865</v>
      </c>
      <c r="B1974" s="10">
        <v>148</v>
      </c>
      <c r="C1974" s="10" t="s">
        <v>1513</v>
      </c>
      <c r="D1974" s="388">
        <v>45074</v>
      </c>
      <c r="E1974" s="389">
        <v>45074</v>
      </c>
      <c r="F1974" s="390" t="str">
        <f t="shared" si="35"/>
        <v>Whitegoods</v>
      </c>
      <c r="G1974" s="135">
        <v>3.8675030232270098E-2</v>
      </c>
      <c r="H1974" s="135">
        <v>3.55322612102002E-2</v>
      </c>
      <c r="I1974" s="135">
        <v>3.3139384245641598E-2</v>
      </c>
      <c r="J1974" s="135">
        <v>3.29804345361462E-2</v>
      </c>
      <c r="K1974" s="135">
        <v>3.3148795046366003E-2</v>
      </c>
      <c r="L1974" s="135">
        <v>3.2567491785127398E-2</v>
      </c>
      <c r="M1974" s="135">
        <v>3.5612089492824101E-2</v>
      </c>
      <c r="N1974" s="135">
        <v>3.7279529047746202E-2</v>
      </c>
      <c r="O1974" s="135">
        <v>4.6354250533552403E-2</v>
      </c>
      <c r="P1974" s="135">
        <v>5.7319514184018303E-2</v>
      </c>
      <c r="Q1974" s="135">
        <v>6.2861675919120105E-2</v>
      </c>
      <c r="R1974" s="135">
        <v>5.8319668956649098E-2</v>
      </c>
      <c r="S1974" s="135">
        <v>5.4658811056063801E-2</v>
      </c>
      <c r="T1974" s="135">
        <v>5.3825159445475598E-2</v>
      </c>
      <c r="U1974" s="135">
        <v>4.8807650489533699E-2</v>
      </c>
      <c r="V1974" s="135">
        <v>4.8574696442779897E-2</v>
      </c>
      <c r="W1974" s="135">
        <v>4.8080883677992903E-2</v>
      </c>
      <c r="X1974" s="135">
        <v>4.6774755070729403E-2</v>
      </c>
      <c r="Y1974" s="135">
        <v>4.7239808210564303E-2</v>
      </c>
      <c r="Z1974" s="135">
        <v>4.6088186903114003E-2</v>
      </c>
      <c r="AA1974" s="135">
        <v>4.9160191263616697E-2</v>
      </c>
      <c r="AB1974" s="135">
        <v>5.0427537739012603E-2</v>
      </c>
      <c r="AC1974" s="135">
        <v>4.4889667203693598E-2</v>
      </c>
      <c r="AD1974" s="135">
        <v>4.26482483628133E-2</v>
      </c>
      <c r="AF1974" s="243">
        <f t="shared" si="36"/>
        <v>0.37512854598761514</v>
      </c>
      <c r="AG1974" s="275">
        <f t="shared" si="37"/>
        <v>0.58314060322692851</v>
      </c>
      <c r="AH1974" s="391">
        <f t="shared" si="38"/>
        <v>0.50182511782812311</v>
      </c>
      <c r="AI1974" s="135">
        <f t="shared" si="39"/>
        <v>1.0849657210550516</v>
      </c>
    </row>
    <row r="1975" spans="1:35" ht="12.6">
      <c r="A1975" s="10" t="s">
        <v>865</v>
      </c>
      <c r="B1975" s="10">
        <v>149</v>
      </c>
      <c r="C1975" s="10" t="s">
        <v>1513</v>
      </c>
      <c r="D1975" s="388">
        <v>45075</v>
      </c>
      <c r="E1975" s="389">
        <v>45075</v>
      </c>
      <c r="F1975" s="390" t="str">
        <f t="shared" si="35"/>
        <v>Whitegoods</v>
      </c>
      <c r="G1975" s="135">
        <v>3.9540899397851902E-2</v>
      </c>
      <c r="H1975" s="135">
        <v>3.4441117306073001E-2</v>
      </c>
      <c r="I1975" s="135">
        <v>3.2805054493349001E-2</v>
      </c>
      <c r="J1975" s="135">
        <v>3.2898878042348402E-2</v>
      </c>
      <c r="K1975" s="135">
        <v>3.2592638252061899E-2</v>
      </c>
      <c r="L1975" s="135">
        <v>3.32561900459694E-2</v>
      </c>
      <c r="M1975" s="135">
        <v>3.6408162039203197E-2</v>
      </c>
      <c r="N1975" s="135">
        <v>4.4167363588005402E-2</v>
      </c>
      <c r="O1975" s="135">
        <v>4.7160489113982101E-2</v>
      </c>
      <c r="P1975" s="135">
        <v>4.45965108566998E-2</v>
      </c>
      <c r="Q1975" s="135">
        <v>4.2018394690126498E-2</v>
      </c>
      <c r="R1975" s="135">
        <v>3.9969365347788798E-2</v>
      </c>
      <c r="S1975" s="135">
        <v>3.99658863599179E-2</v>
      </c>
      <c r="T1975" s="135">
        <v>3.9045081377494698E-2</v>
      </c>
      <c r="U1975" s="135">
        <v>4.0077521698087801E-2</v>
      </c>
      <c r="V1975" s="135">
        <v>3.9221224865863602E-2</v>
      </c>
      <c r="W1975" s="135">
        <v>3.8853105254750699E-2</v>
      </c>
      <c r="X1975" s="135">
        <v>4.00432537818948E-2</v>
      </c>
      <c r="Y1975" s="135">
        <v>4.1934375238353402E-2</v>
      </c>
      <c r="Z1975" s="135">
        <v>4.2981470620620098E-2</v>
      </c>
      <c r="AA1975" s="135">
        <v>4.8538762569812703E-2</v>
      </c>
      <c r="AB1975" s="135">
        <v>4.6612356542947098E-2</v>
      </c>
      <c r="AC1975" s="135">
        <v>4.4834461185171898E-2</v>
      </c>
      <c r="AD1975" s="135">
        <v>4.4191562253392797E-2</v>
      </c>
      <c r="AF1975" s="243">
        <f t="shared" si="36"/>
        <v>0.27915057959403006</v>
      </c>
      <c r="AG1975" s="275">
        <f t="shared" si="37"/>
        <v>0.52813178257153615</v>
      </c>
      <c r="AH1975" s="391">
        <f t="shared" si="38"/>
        <v>0.43802234235023069</v>
      </c>
      <c r="AI1975" s="135">
        <f t="shared" si="39"/>
        <v>0.96615412492176689</v>
      </c>
    </row>
    <row r="1976" spans="1:35" ht="12.6">
      <c r="A1976" s="10" t="s">
        <v>865</v>
      </c>
      <c r="B1976" s="10">
        <v>150</v>
      </c>
      <c r="C1976" s="10" t="s">
        <v>1513</v>
      </c>
      <c r="D1976" s="388">
        <v>45076</v>
      </c>
      <c r="E1976" s="389">
        <v>45076</v>
      </c>
      <c r="F1976" s="390" t="str">
        <f t="shared" si="35"/>
        <v>Whitegoods</v>
      </c>
      <c r="G1976" s="135">
        <v>3.9540899397851902E-2</v>
      </c>
      <c r="H1976" s="135">
        <v>3.4441117306073001E-2</v>
      </c>
      <c r="I1976" s="135">
        <v>3.2805054493349001E-2</v>
      </c>
      <c r="J1976" s="135">
        <v>3.2898878042348402E-2</v>
      </c>
      <c r="K1976" s="135">
        <v>3.2592638252061899E-2</v>
      </c>
      <c r="L1976" s="135">
        <v>3.32561900459694E-2</v>
      </c>
      <c r="M1976" s="135">
        <v>3.6408162039203197E-2</v>
      </c>
      <c r="N1976" s="135">
        <v>4.4167363588005402E-2</v>
      </c>
      <c r="O1976" s="135">
        <v>4.7160489113982101E-2</v>
      </c>
      <c r="P1976" s="135">
        <v>4.45965108566998E-2</v>
      </c>
      <c r="Q1976" s="135">
        <v>4.2018394690126498E-2</v>
      </c>
      <c r="R1976" s="135">
        <v>3.9969365347788798E-2</v>
      </c>
      <c r="S1976" s="135">
        <v>3.99658863599179E-2</v>
      </c>
      <c r="T1976" s="135">
        <v>3.9045081377494698E-2</v>
      </c>
      <c r="U1976" s="135">
        <v>4.0077521698087801E-2</v>
      </c>
      <c r="V1976" s="135">
        <v>3.9221224865863602E-2</v>
      </c>
      <c r="W1976" s="135">
        <v>3.8853105254750699E-2</v>
      </c>
      <c r="X1976" s="135">
        <v>4.00432537818948E-2</v>
      </c>
      <c r="Y1976" s="135">
        <v>4.1934375238353402E-2</v>
      </c>
      <c r="Z1976" s="135">
        <v>4.2981470620620098E-2</v>
      </c>
      <c r="AA1976" s="135">
        <v>4.8538762569812703E-2</v>
      </c>
      <c r="AB1976" s="135">
        <v>4.6612356542947098E-2</v>
      </c>
      <c r="AC1976" s="135">
        <v>4.4834461185171898E-2</v>
      </c>
      <c r="AD1976" s="135">
        <v>4.4191562253392797E-2</v>
      </c>
      <c r="AF1976" s="243">
        <f t="shared" si="36"/>
        <v>0.27915057959403006</v>
      </c>
      <c r="AG1976" s="275">
        <f t="shared" si="37"/>
        <v>0.52813178257153615</v>
      </c>
      <c r="AH1976" s="391">
        <f t="shared" si="38"/>
        <v>0.43802234235023069</v>
      </c>
      <c r="AI1976" s="135">
        <f t="shared" si="39"/>
        <v>0.96615412492176689</v>
      </c>
    </row>
    <row r="1977" spans="1:35" ht="12.6">
      <c r="A1977" s="10" t="s">
        <v>865</v>
      </c>
      <c r="B1977" s="10">
        <v>151</v>
      </c>
      <c r="C1977" s="10" t="s">
        <v>1513</v>
      </c>
      <c r="D1977" s="388">
        <v>45077</v>
      </c>
      <c r="E1977" s="389">
        <v>45077</v>
      </c>
      <c r="F1977" s="390" t="str">
        <f t="shared" si="35"/>
        <v>Whitegoods</v>
      </c>
      <c r="G1977" s="135">
        <v>3.9540899397851902E-2</v>
      </c>
      <c r="H1977" s="135">
        <v>3.4441117306073001E-2</v>
      </c>
      <c r="I1977" s="135">
        <v>3.2805054493349001E-2</v>
      </c>
      <c r="J1977" s="135">
        <v>3.2898878042348402E-2</v>
      </c>
      <c r="K1977" s="135">
        <v>3.2592638252061899E-2</v>
      </c>
      <c r="L1977" s="135">
        <v>3.32561900459694E-2</v>
      </c>
      <c r="M1977" s="135">
        <v>3.6408162039203197E-2</v>
      </c>
      <c r="N1977" s="135">
        <v>4.4167363588005402E-2</v>
      </c>
      <c r="O1977" s="135">
        <v>4.7160489113982101E-2</v>
      </c>
      <c r="P1977" s="135">
        <v>4.45965108566998E-2</v>
      </c>
      <c r="Q1977" s="135">
        <v>4.2018394690126498E-2</v>
      </c>
      <c r="R1977" s="135">
        <v>3.9969365347788798E-2</v>
      </c>
      <c r="S1977" s="135">
        <v>3.99658863599179E-2</v>
      </c>
      <c r="T1977" s="135">
        <v>3.9045081377494698E-2</v>
      </c>
      <c r="U1977" s="135">
        <v>4.0077521698087801E-2</v>
      </c>
      <c r="V1977" s="135">
        <v>3.9221224865863602E-2</v>
      </c>
      <c r="W1977" s="135">
        <v>3.8853105254750699E-2</v>
      </c>
      <c r="X1977" s="135">
        <v>4.00432537818948E-2</v>
      </c>
      <c r="Y1977" s="135">
        <v>4.1934375238353402E-2</v>
      </c>
      <c r="Z1977" s="135">
        <v>4.2981470620620098E-2</v>
      </c>
      <c r="AA1977" s="135">
        <v>4.8538762569812703E-2</v>
      </c>
      <c r="AB1977" s="135">
        <v>4.6612356542947098E-2</v>
      </c>
      <c r="AC1977" s="135">
        <v>4.4834461185171898E-2</v>
      </c>
      <c r="AD1977" s="135">
        <v>4.4191562253392797E-2</v>
      </c>
      <c r="AF1977" s="243">
        <f t="shared" si="36"/>
        <v>0.27915057959403006</v>
      </c>
      <c r="AG1977" s="275">
        <f t="shared" si="37"/>
        <v>0.52813178257153615</v>
      </c>
      <c r="AH1977" s="391">
        <f t="shared" si="38"/>
        <v>0.43802234235023069</v>
      </c>
      <c r="AI1977" s="135">
        <f t="shared" si="39"/>
        <v>0.96615412492176689</v>
      </c>
    </row>
    <row r="1978" spans="1:35" ht="12.6">
      <c r="A1978" s="10" t="s">
        <v>865</v>
      </c>
      <c r="B1978" s="10">
        <v>152</v>
      </c>
      <c r="C1978" s="10" t="s">
        <v>1514</v>
      </c>
      <c r="D1978" s="388">
        <v>45078</v>
      </c>
      <c r="E1978" s="389">
        <v>45078</v>
      </c>
      <c r="F1978" s="390" t="str">
        <f t="shared" si="35"/>
        <v>Whitegoods</v>
      </c>
      <c r="G1978" s="135">
        <v>4.03888180939386E-2</v>
      </c>
      <c r="H1978" s="135">
        <v>3.4721150267714197E-2</v>
      </c>
      <c r="I1978" s="135">
        <v>3.2897826566129502E-2</v>
      </c>
      <c r="J1978" s="135">
        <v>3.3067332280052E-2</v>
      </c>
      <c r="K1978" s="135">
        <v>3.2661688215700001E-2</v>
      </c>
      <c r="L1978" s="135">
        <v>3.3417143376560203E-2</v>
      </c>
      <c r="M1978" s="135">
        <v>3.6582320186360803E-2</v>
      </c>
      <c r="N1978" s="135">
        <v>4.5261807128611303E-2</v>
      </c>
      <c r="O1978" s="135">
        <v>4.9009772411002697E-2</v>
      </c>
      <c r="P1978" s="135">
        <v>4.5873836488933499E-2</v>
      </c>
      <c r="Q1978" s="135">
        <v>4.3035632336435897E-2</v>
      </c>
      <c r="R1978" s="135">
        <v>4.1252549683206997E-2</v>
      </c>
      <c r="S1978" s="135">
        <v>4.1217720676329901E-2</v>
      </c>
      <c r="T1978" s="135">
        <v>4.0398991550468201E-2</v>
      </c>
      <c r="U1978" s="135">
        <v>4.1506957492086903E-2</v>
      </c>
      <c r="V1978" s="135">
        <v>4.0257815048548598E-2</v>
      </c>
      <c r="W1978" s="135">
        <v>4.0331423346317202E-2</v>
      </c>
      <c r="X1978" s="135">
        <v>4.1947562730741302E-2</v>
      </c>
      <c r="Y1978" s="135">
        <v>4.3506044226965197E-2</v>
      </c>
      <c r="Z1978" s="135">
        <v>4.4479431999894903E-2</v>
      </c>
      <c r="AA1978" s="135">
        <v>5.0392162077871498E-2</v>
      </c>
      <c r="AB1978" s="135">
        <v>4.80877543106841E-2</v>
      </c>
      <c r="AC1978" s="135">
        <v>4.6467953456920202E-2</v>
      </c>
      <c r="AD1978" s="135">
        <v>4.5595058865232602E-2</v>
      </c>
      <c r="AF1978" s="243">
        <f t="shared" si="36"/>
        <v>0.2880010901333937</v>
      </c>
      <c r="AG1978" s="275">
        <f t="shared" si="37"/>
        <v>0.53951219942235906</v>
      </c>
      <c r="AH1978" s="391">
        <f t="shared" si="38"/>
        <v>0.45284655339434743</v>
      </c>
      <c r="AI1978" s="135">
        <f t="shared" si="39"/>
        <v>0.99235875281670649</v>
      </c>
    </row>
    <row r="1979" spans="1:35" ht="12.6">
      <c r="A1979" s="10" t="s">
        <v>865</v>
      </c>
      <c r="B1979" s="10">
        <v>153</v>
      </c>
      <c r="C1979" s="10" t="s">
        <v>1514</v>
      </c>
      <c r="D1979" s="388">
        <v>45079</v>
      </c>
      <c r="E1979" s="389">
        <v>45079</v>
      </c>
      <c r="F1979" s="390" t="str">
        <f t="shared" si="35"/>
        <v>Whitegoods</v>
      </c>
      <c r="G1979" s="135">
        <v>4.03888180939386E-2</v>
      </c>
      <c r="H1979" s="135">
        <v>3.4721150267714197E-2</v>
      </c>
      <c r="I1979" s="135">
        <v>3.2897826566129502E-2</v>
      </c>
      <c r="J1979" s="135">
        <v>3.3067332280052E-2</v>
      </c>
      <c r="K1979" s="135">
        <v>3.2661688215700001E-2</v>
      </c>
      <c r="L1979" s="135">
        <v>3.3417143376560203E-2</v>
      </c>
      <c r="M1979" s="135">
        <v>3.6582320186360803E-2</v>
      </c>
      <c r="N1979" s="135">
        <v>4.5261807128611303E-2</v>
      </c>
      <c r="O1979" s="135">
        <v>4.9009772411002697E-2</v>
      </c>
      <c r="P1979" s="135">
        <v>4.5873836488933499E-2</v>
      </c>
      <c r="Q1979" s="135">
        <v>4.3035632336435897E-2</v>
      </c>
      <c r="R1979" s="135">
        <v>4.1252549683206997E-2</v>
      </c>
      <c r="S1979" s="135">
        <v>4.1217720676329901E-2</v>
      </c>
      <c r="T1979" s="135">
        <v>4.0398991550468201E-2</v>
      </c>
      <c r="U1979" s="135">
        <v>4.1506957492086903E-2</v>
      </c>
      <c r="V1979" s="135">
        <v>4.0257815048548598E-2</v>
      </c>
      <c r="W1979" s="135">
        <v>4.0331423346317202E-2</v>
      </c>
      <c r="X1979" s="135">
        <v>4.1947562730741302E-2</v>
      </c>
      <c r="Y1979" s="135">
        <v>4.3506044226965197E-2</v>
      </c>
      <c r="Z1979" s="135">
        <v>4.4479431999894903E-2</v>
      </c>
      <c r="AA1979" s="135">
        <v>5.0392162077871498E-2</v>
      </c>
      <c r="AB1979" s="135">
        <v>4.80877543106841E-2</v>
      </c>
      <c r="AC1979" s="135">
        <v>4.6467953456920202E-2</v>
      </c>
      <c r="AD1979" s="135">
        <v>4.5595058865232602E-2</v>
      </c>
      <c r="AF1979" s="243">
        <f t="shared" si="36"/>
        <v>0.2880010901333937</v>
      </c>
      <c r="AG1979" s="275">
        <f t="shared" si="37"/>
        <v>0.53951219942235906</v>
      </c>
      <c r="AH1979" s="391">
        <f t="shared" si="38"/>
        <v>0.45284655339434743</v>
      </c>
      <c r="AI1979" s="135">
        <f t="shared" si="39"/>
        <v>0.99235875281670649</v>
      </c>
    </row>
    <row r="1980" spans="1:35" ht="12.6">
      <c r="A1980" s="10" t="s">
        <v>865</v>
      </c>
      <c r="B1980" s="10">
        <v>154</v>
      </c>
      <c r="C1980" s="10" t="s">
        <v>1514</v>
      </c>
      <c r="D1980" s="388">
        <v>45080</v>
      </c>
      <c r="E1980" s="389">
        <v>45080</v>
      </c>
      <c r="F1980" s="390" t="str">
        <f t="shared" si="35"/>
        <v>Whitegoods</v>
      </c>
      <c r="G1980" s="135">
        <v>3.9220598409435099E-2</v>
      </c>
      <c r="H1980" s="135">
        <v>3.5928285565185701E-2</v>
      </c>
      <c r="I1980" s="135">
        <v>3.3372860843523498E-2</v>
      </c>
      <c r="J1980" s="135">
        <v>3.3192059569502302E-2</v>
      </c>
      <c r="K1980" s="135">
        <v>3.3211061022444602E-2</v>
      </c>
      <c r="L1980" s="135">
        <v>3.2603971276099299E-2</v>
      </c>
      <c r="M1980" s="135">
        <v>3.5692146063479702E-2</v>
      </c>
      <c r="N1980" s="135">
        <v>3.7442683592071799E-2</v>
      </c>
      <c r="O1980" s="135">
        <v>4.7214051932639597E-2</v>
      </c>
      <c r="P1980" s="135">
        <v>5.89736356060169E-2</v>
      </c>
      <c r="Q1980" s="135">
        <v>6.5428543023601196E-2</v>
      </c>
      <c r="R1980" s="135">
        <v>6.1192570682109801E-2</v>
      </c>
      <c r="S1980" s="135">
        <v>5.6786675878954702E-2</v>
      </c>
      <c r="T1980" s="135">
        <v>5.6971661244791701E-2</v>
      </c>
      <c r="U1980" s="135">
        <v>5.1616052789039399E-2</v>
      </c>
      <c r="V1980" s="135">
        <v>5.1541568653881702E-2</v>
      </c>
      <c r="W1980" s="135">
        <v>5.1568839939440198E-2</v>
      </c>
      <c r="X1980" s="135">
        <v>4.9821293764804798E-2</v>
      </c>
      <c r="Y1980" s="135">
        <v>5.0291848596529097E-2</v>
      </c>
      <c r="Z1980" s="135">
        <v>4.82892346244094E-2</v>
      </c>
      <c r="AA1980" s="135">
        <v>5.1714475712134798E-2</v>
      </c>
      <c r="AB1980" s="135">
        <v>5.30075440255122E-2</v>
      </c>
      <c r="AC1980" s="135">
        <v>4.66726392394579E-2</v>
      </c>
      <c r="AD1980" s="135">
        <v>4.3799673969663701E-2</v>
      </c>
      <c r="AF1980" s="243">
        <f t="shared" si="36"/>
        <v>0.39510591221181868</v>
      </c>
      <c r="AG1980" s="275">
        <f t="shared" si="37"/>
        <v>0.60217809446489956</v>
      </c>
      <c r="AH1980" s="391">
        <f t="shared" si="38"/>
        <v>0.5233758815598295</v>
      </c>
      <c r="AI1980" s="135">
        <f t="shared" si="39"/>
        <v>1.1255539760247291</v>
      </c>
    </row>
    <row r="1981" spans="1:35" ht="12.6">
      <c r="A1981" s="10" t="s">
        <v>865</v>
      </c>
      <c r="B1981" s="10">
        <v>155</v>
      </c>
      <c r="C1981" s="10" t="s">
        <v>1514</v>
      </c>
      <c r="D1981" s="388">
        <v>45081</v>
      </c>
      <c r="E1981" s="389">
        <v>45081</v>
      </c>
      <c r="F1981" s="390" t="str">
        <f t="shared" si="35"/>
        <v>Whitegoods</v>
      </c>
      <c r="G1981" s="135">
        <v>3.9220598409435099E-2</v>
      </c>
      <c r="H1981" s="135">
        <v>3.5928285565185701E-2</v>
      </c>
      <c r="I1981" s="135">
        <v>3.3372860843523498E-2</v>
      </c>
      <c r="J1981" s="135">
        <v>3.3192059569502302E-2</v>
      </c>
      <c r="K1981" s="135">
        <v>3.3211061022444602E-2</v>
      </c>
      <c r="L1981" s="135">
        <v>3.2603971276099299E-2</v>
      </c>
      <c r="M1981" s="135">
        <v>3.5692146063479702E-2</v>
      </c>
      <c r="N1981" s="135">
        <v>3.7442683592071799E-2</v>
      </c>
      <c r="O1981" s="135">
        <v>4.7214051932639597E-2</v>
      </c>
      <c r="P1981" s="135">
        <v>5.89736356060169E-2</v>
      </c>
      <c r="Q1981" s="135">
        <v>6.5428543023601196E-2</v>
      </c>
      <c r="R1981" s="135">
        <v>6.1192570682109801E-2</v>
      </c>
      <c r="S1981" s="135">
        <v>5.6786675878954702E-2</v>
      </c>
      <c r="T1981" s="135">
        <v>5.6971661244791701E-2</v>
      </c>
      <c r="U1981" s="135">
        <v>5.1616052789039399E-2</v>
      </c>
      <c r="V1981" s="135">
        <v>5.1541568653881702E-2</v>
      </c>
      <c r="W1981" s="135">
        <v>5.1568839939440198E-2</v>
      </c>
      <c r="X1981" s="135">
        <v>4.9821293764804798E-2</v>
      </c>
      <c r="Y1981" s="135">
        <v>5.0291848596529097E-2</v>
      </c>
      <c r="Z1981" s="135">
        <v>4.82892346244094E-2</v>
      </c>
      <c r="AA1981" s="135">
        <v>5.1714475712134798E-2</v>
      </c>
      <c r="AB1981" s="135">
        <v>5.30075440255122E-2</v>
      </c>
      <c r="AC1981" s="135">
        <v>4.66726392394579E-2</v>
      </c>
      <c r="AD1981" s="135">
        <v>4.3799673969663701E-2</v>
      </c>
      <c r="AF1981" s="243">
        <f t="shared" si="36"/>
        <v>0.39510591221181868</v>
      </c>
      <c r="AG1981" s="275">
        <f t="shared" si="37"/>
        <v>0.60217809446489956</v>
      </c>
      <c r="AH1981" s="391">
        <f t="shared" si="38"/>
        <v>0.5233758815598295</v>
      </c>
      <c r="AI1981" s="135">
        <f t="shared" si="39"/>
        <v>1.1255539760247291</v>
      </c>
    </row>
    <row r="1982" spans="1:35" ht="12.6">
      <c r="A1982" s="10" t="s">
        <v>865</v>
      </c>
      <c r="B1982" s="10">
        <v>156</v>
      </c>
      <c r="C1982" s="10" t="s">
        <v>1514</v>
      </c>
      <c r="D1982" s="388">
        <v>45082</v>
      </c>
      <c r="E1982" s="389">
        <v>45082</v>
      </c>
      <c r="F1982" s="390" t="str">
        <f t="shared" si="35"/>
        <v>Whitegoods</v>
      </c>
      <c r="G1982" s="135">
        <v>4.03888180939386E-2</v>
      </c>
      <c r="H1982" s="135">
        <v>3.4721150267714197E-2</v>
      </c>
      <c r="I1982" s="135">
        <v>3.2897826566129502E-2</v>
      </c>
      <c r="J1982" s="135">
        <v>3.3067332280052E-2</v>
      </c>
      <c r="K1982" s="135">
        <v>3.2661688215700001E-2</v>
      </c>
      <c r="L1982" s="135">
        <v>3.3417143376560203E-2</v>
      </c>
      <c r="M1982" s="135">
        <v>3.6582320186360803E-2</v>
      </c>
      <c r="N1982" s="135">
        <v>4.5261807128611303E-2</v>
      </c>
      <c r="O1982" s="135">
        <v>4.9009772411002697E-2</v>
      </c>
      <c r="P1982" s="135">
        <v>4.5873836488933499E-2</v>
      </c>
      <c r="Q1982" s="135">
        <v>4.3035632336435897E-2</v>
      </c>
      <c r="R1982" s="135">
        <v>4.1252549683206997E-2</v>
      </c>
      <c r="S1982" s="135">
        <v>4.1217720676329901E-2</v>
      </c>
      <c r="T1982" s="135">
        <v>4.0398991550468201E-2</v>
      </c>
      <c r="U1982" s="135">
        <v>4.1506957492086903E-2</v>
      </c>
      <c r="V1982" s="135">
        <v>4.0257815048548598E-2</v>
      </c>
      <c r="W1982" s="135">
        <v>4.0331423346317202E-2</v>
      </c>
      <c r="X1982" s="135">
        <v>4.1947562730741302E-2</v>
      </c>
      <c r="Y1982" s="135">
        <v>4.3506044226965197E-2</v>
      </c>
      <c r="Z1982" s="135">
        <v>4.4479431999894903E-2</v>
      </c>
      <c r="AA1982" s="135">
        <v>5.0392162077871498E-2</v>
      </c>
      <c r="AB1982" s="135">
        <v>4.80877543106841E-2</v>
      </c>
      <c r="AC1982" s="135">
        <v>4.6467953456920202E-2</v>
      </c>
      <c r="AD1982" s="135">
        <v>4.5595058865232602E-2</v>
      </c>
      <c r="AF1982" s="243">
        <f t="shared" si="36"/>
        <v>0.2880010901333937</v>
      </c>
      <c r="AG1982" s="275">
        <f t="shared" si="37"/>
        <v>0.53951219942235906</v>
      </c>
      <c r="AH1982" s="391">
        <f t="shared" si="38"/>
        <v>0.45284655339434743</v>
      </c>
      <c r="AI1982" s="135">
        <f t="shared" si="39"/>
        <v>0.99235875281670649</v>
      </c>
    </row>
    <row r="1983" spans="1:35" ht="12.6">
      <c r="A1983" s="10" t="s">
        <v>865</v>
      </c>
      <c r="B1983" s="10">
        <v>157</v>
      </c>
      <c r="C1983" s="10" t="s">
        <v>1514</v>
      </c>
      <c r="D1983" s="388">
        <v>45083</v>
      </c>
      <c r="E1983" s="389">
        <v>45083</v>
      </c>
      <c r="F1983" s="390" t="str">
        <f t="shared" si="35"/>
        <v>Whitegoods</v>
      </c>
      <c r="G1983" s="135">
        <v>4.03888180939386E-2</v>
      </c>
      <c r="H1983" s="135">
        <v>3.4721150267714197E-2</v>
      </c>
      <c r="I1983" s="135">
        <v>3.2897826566129502E-2</v>
      </c>
      <c r="J1983" s="135">
        <v>3.3067332280052E-2</v>
      </c>
      <c r="K1983" s="135">
        <v>3.2661688215700001E-2</v>
      </c>
      <c r="L1983" s="135">
        <v>3.3417143376560203E-2</v>
      </c>
      <c r="M1983" s="135">
        <v>3.6582320186360803E-2</v>
      </c>
      <c r="N1983" s="135">
        <v>4.5261807128611303E-2</v>
      </c>
      <c r="O1983" s="135">
        <v>4.9009772411002697E-2</v>
      </c>
      <c r="P1983" s="135">
        <v>4.5873836488933499E-2</v>
      </c>
      <c r="Q1983" s="135">
        <v>4.3035632336435897E-2</v>
      </c>
      <c r="R1983" s="135">
        <v>4.1252549683206997E-2</v>
      </c>
      <c r="S1983" s="135">
        <v>4.1217720676329901E-2</v>
      </c>
      <c r="T1983" s="135">
        <v>4.0398991550468201E-2</v>
      </c>
      <c r="U1983" s="135">
        <v>4.1506957492086903E-2</v>
      </c>
      <c r="V1983" s="135">
        <v>4.0257815048548598E-2</v>
      </c>
      <c r="W1983" s="135">
        <v>4.0331423346317202E-2</v>
      </c>
      <c r="X1983" s="135">
        <v>4.1947562730741302E-2</v>
      </c>
      <c r="Y1983" s="135">
        <v>4.3506044226965197E-2</v>
      </c>
      <c r="Z1983" s="135">
        <v>4.4479431999894903E-2</v>
      </c>
      <c r="AA1983" s="135">
        <v>5.0392162077871498E-2</v>
      </c>
      <c r="AB1983" s="135">
        <v>4.80877543106841E-2</v>
      </c>
      <c r="AC1983" s="135">
        <v>4.6467953456920202E-2</v>
      </c>
      <c r="AD1983" s="135">
        <v>4.5595058865232602E-2</v>
      </c>
      <c r="AF1983" s="243">
        <f t="shared" si="36"/>
        <v>0.2880010901333937</v>
      </c>
      <c r="AG1983" s="275">
        <f t="shared" si="37"/>
        <v>0.53951219942235906</v>
      </c>
      <c r="AH1983" s="391">
        <f t="shared" si="38"/>
        <v>0.45284655339434743</v>
      </c>
      <c r="AI1983" s="135">
        <f t="shared" si="39"/>
        <v>0.99235875281670649</v>
      </c>
    </row>
    <row r="1984" spans="1:35" ht="12.6">
      <c r="A1984" s="10" t="s">
        <v>865</v>
      </c>
      <c r="B1984" s="10">
        <v>158</v>
      </c>
      <c r="C1984" s="10" t="s">
        <v>1514</v>
      </c>
      <c r="D1984" s="388">
        <v>45084</v>
      </c>
      <c r="E1984" s="389">
        <v>45084</v>
      </c>
      <c r="F1984" s="390" t="str">
        <f t="shared" si="35"/>
        <v>Whitegoods</v>
      </c>
      <c r="G1984" s="135">
        <v>4.03888180939386E-2</v>
      </c>
      <c r="H1984" s="135">
        <v>3.4721150267714197E-2</v>
      </c>
      <c r="I1984" s="135">
        <v>3.2897826566129502E-2</v>
      </c>
      <c r="J1984" s="135">
        <v>3.3067332280052E-2</v>
      </c>
      <c r="K1984" s="135">
        <v>3.2661688215700001E-2</v>
      </c>
      <c r="L1984" s="135">
        <v>3.3417143376560203E-2</v>
      </c>
      <c r="M1984" s="135">
        <v>3.6582320186360803E-2</v>
      </c>
      <c r="N1984" s="135">
        <v>4.5261807128611303E-2</v>
      </c>
      <c r="O1984" s="135">
        <v>4.9009772411002697E-2</v>
      </c>
      <c r="P1984" s="135">
        <v>4.5873836488933499E-2</v>
      </c>
      <c r="Q1984" s="135">
        <v>4.3035632336435897E-2</v>
      </c>
      <c r="R1984" s="135">
        <v>4.1252549683206997E-2</v>
      </c>
      <c r="S1984" s="135">
        <v>4.1217720676329901E-2</v>
      </c>
      <c r="T1984" s="135">
        <v>4.0398991550468201E-2</v>
      </c>
      <c r="U1984" s="135">
        <v>4.1506957492086903E-2</v>
      </c>
      <c r="V1984" s="135">
        <v>4.0257815048548598E-2</v>
      </c>
      <c r="W1984" s="135">
        <v>4.0331423346317202E-2</v>
      </c>
      <c r="X1984" s="135">
        <v>4.1947562730741302E-2</v>
      </c>
      <c r="Y1984" s="135">
        <v>4.3506044226965197E-2</v>
      </c>
      <c r="Z1984" s="135">
        <v>4.4479431999894903E-2</v>
      </c>
      <c r="AA1984" s="135">
        <v>5.0392162077871498E-2</v>
      </c>
      <c r="AB1984" s="135">
        <v>4.80877543106841E-2</v>
      </c>
      <c r="AC1984" s="135">
        <v>4.6467953456920202E-2</v>
      </c>
      <c r="AD1984" s="135">
        <v>4.5595058865232602E-2</v>
      </c>
      <c r="AF1984" s="243">
        <f t="shared" si="36"/>
        <v>0.2880010901333937</v>
      </c>
      <c r="AG1984" s="275">
        <f t="shared" si="37"/>
        <v>0.53951219942235906</v>
      </c>
      <c r="AH1984" s="391">
        <f t="shared" si="38"/>
        <v>0.45284655339434743</v>
      </c>
      <c r="AI1984" s="135">
        <f t="shared" si="39"/>
        <v>0.99235875281670649</v>
      </c>
    </row>
    <row r="1985" spans="1:35" ht="12.6">
      <c r="A1985" s="10" t="s">
        <v>865</v>
      </c>
      <c r="B1985" s="10">
        <v>159</v>
      </c>
      <c r="C1985" s="10" t="s">
        <v>1514</v>
      </c>
      <c r="D1985" s="388">
        <v>45085</v>
      </c>
      <c r="E1985" s="389">
        <v>45085</v>
      </c>
      <c r="F1985" s="390" t="str">
        <f t="shared" si="35"/>
        <v>Whitegoods</v>
      </c>
      <c r="G1985" s="135">
        <v>4.03888180939386E-2</v>
      </c>
      <c r="H1985" s="135">
        <v>3.4721150267714197E-2</v>
      </c>
      <c r="I1985" s="135">
        <v>3.2897826566129502E-2</v>
      </c>
      <c r="J1985" s="135">
        <v>3.3067332280052E-2</v>
      </c>
      <c r="K1985" s="135">
        <v>3.2661688215700001E-2</v>
      </c>
      <c r="L1985" s="135">
        <v>3.3417143376560203E-2</v>
      </c>
      <c r="M1985" s="135">
        <v>3.6582320186360803E-2</v>
      </c>
      <c r="N1985" s="135">
        <v>4.5261807128611303E-2</v>
      </c>
      <c r="O1985" s="135">
        <v>4.9009772411002697E-2</v>
      </c>
      <c r="P1985" s="135">
        <v>4.5873836488933499E-2</v>
      </c>
      <c r="Q1985" s="135">
        <v>4.3035632336435897E-2</v>
      </c>
      <c r="R1985" s="135">
        <v>4.1252549683206997E-2</v>
      </c>
      <c r="S1985" s="135">
        <v>4.1217720676329901E-2</v>
      </c>
      <c r="T1985" s="135">
        <v>4.0398991550468201E-2</v>
      </c>
      <c r="U1985" s="135">
        <v>4.1506957492086903E-2</v>
      </c>
      <c r="V1985" s="135">
        <v>4.0257815048548598E-2</v>
      </c>
      <c r="W1985" s="135">
        <v>4.0331423346317202E-2</v>
      </c>
      <c r="X1985" s="135">
        <v>4.1947562730741302E-2</v>
      </c>
      <c r="Y1985" s="135">
        <v>4.3506044226965197E-2</v>
      </c>
      <c r="Z1985" s="135">
        <v>4.4479431999894903E-2</v>
      </c>
      <c r="AA1985" s="135">
        <v>5.0392162077871498E-2</v>
      </c>
      <c r="AB1985" s="135">
        <v>4.80877543106841E-2</v>
      </c>
      <c r="AC1985" s="135">
        <v>4.6467953456920202E-2</v>
      </c>
      <c r="AD1985" s="135">
        <v>4.5595058865232602E-2</v>
      </c>
      <c r="AF1985" s="243">
        <f t="shared" si="36"/>
        <v>0.2880010901333937</v>
      </c>
      <c r="AG1985" s="275">
        <f t="shared" si="37"/>
        <v>0.53951219942235906</v>
      </c>
      <c r="AH1985" s="391">
        <f t="shared" si="38"/>
        <v>0.45284655339434743</v>
      </c>
      <c r="AI1985" s="135">
        <f t="shared" si="39"/>
        <v>0.99235875281670649</v>
      </c>
    </row>
    <row r="1986" spans="1:35" ht="12.6">
      <c r="A1986" s="10" t="s">
        <v>865</v>
      </c>
      <c r="B1986" s="10">
        <v>160</v>
      </c>
      <c r="C1986" s="10" t="s">
        <v>1514</v>
      </c>
      <c r="D1986" s="388">
        <v>45086</v>
      </c>
      <c r="E1986" s="389">
        <v>45086</v>
      </c>
      <c r="F1986" s="390" t="str">
        <f t="shared" si="35"/>
        <v>Whitegoods</v>
      </c>
      <c r="G1986" s="135">
        <v>4.03888180939386E-2</v>
      </c>
      <c r="H1986" s="135">
        <v>3.4721150267714197E-2</v>
      </c>
      <c r="I1986" s="135">
        <v>3.2897826566129502E-2</v>
      </c>
      <c r="J1986" s="135">
        <v>3.3067332280052E-2</v>
      </c>
      <c r="K1986" s="135">
        <v>3.2661688215700001E-2</v>
      </c>
      <c r="L1986" s="135">
        <v>3.3417143376560203E-2</v>
      </c>
      <c r="M1986" s="135">
        <v>3.6582320186360803E-2</v>
      </c>
      <c r="N1986" s="135">
        <v>4.5261807128611303E-2</v>
      </c>
      <c r="O1986" s="135">
        <v>4.9009772411002697E-2</v>
      </c>
      <c r="P1986" s="135">
        <v>4.5873836488933499E-2</v>
      </c>
      <c r="Q1986" s="135">
        <v>4.3035632336435897E-2</v>
      </c>
      <c r="R1986" s="135">
        <v>4.1252549683206997E-2</v>
      </c>
      <c r="S1986" s="135">
        <v>4.1217720676329901E-2</v>
      </c>
      <c r="T1986" s="135">
        <v>4.0398991550468201E-2</v>
      </c>
      <c r="U1986" s="135">
        <v>4.1506957492086903E-2</v>
      </c>
      <c r="V1986" s="135">
        <v>4.0257815048548598E-2</v>
      </c>
      <c r="W1986" s="135">
        <v>4.0331423346317202E-2</v>
      </c>
      <c r="X1986" s="135">
        <v>4.1947562730741302E-2</v>
      </c>
      <c r="Y1986" s="135">
        <v>4.3506044226965197E-2</v>
      </c>
      <c r="Z1986" s="135">
        <v>4.4479431999894903E-2</v>
      </c>
      <c r="AA1986" s="135">
        <v>5.0392162077871498E-2</v>
      </c>
      <c r="AB1986" s="135">
        <v>4.80877543106841E-2</v>
      </c>
      <c r="AC1986" s="135">
        <v>4.6467953456920202E-2</v>
      </c>
      <c r="AD1986" s="135">
        <v>4.5595058865232602E-2</v>
      </c>
      <c r="AF1986" s="243">
        <f t="shared" si="36"/>
        <v>0.2880010901333937</v>
      </c>
      <c r="AG1986" s="275">
        <f t="shared" si="37"/>
        <v>0.53951219942235906</v>
      </c>
      <c r="AH1986" s="391">
        <f t="shared" si="38"/>
        <v>0.45284655339434743</v>
      </c>
      <c r="AI1986" s="135">
        <f t="shared" si="39"/>
        <v>0.99235875281670649</v>
      </c>
    </row>
    <row r="1987" spans="1:35" ht="12.6">
      <c r="A1987" s="10" t="s">
        <v>865</v>
      </c>
      <c r="B1987" s="10">
        <v>161</v>
      </c>
      <c r="C1987" s="10" t="s">
        <v>1514</v>
      </c>
      <c r="D1987" s="388">
        <v>45087</v>
      </c>
      <c r="E1987" s="389">
        <v>45087</v>
      </c>
      <c r="F1987" s="390" t="str">
        <f t="shared" si="35"/>
        <v>Whitegoods</v>
      </c>
      <c r="G1987" s="135">
        <v>3.9220598409435099E-2</v>
      </c>
      <c r="H1987" s="135">
        <v>3.5928285565185701E-2</v>
      </c>
      <c r="I1987" s="135">
        <v>3.3372860843523498E-2</v>
      </c>
      <c r="J1987" s="135">
        <v>3.3192059569502302E-2</v>
      </c>
      <c r="K1987" s="135">
        <v>3.3211061022444602E-2</v>
      </c>
      <c r="L1987" s="135">
        <v>3.2603971276099299E-2</v>
      </c>
      <c r="M1987" s="135">
        <v>3.5692146063479702E-2</v>
      </c>
      <c r="N1987" s="135">
        <v>3.7442683592071799E-2</v>
      </c>
      <c r="O1987" s="135">
        <v>4.7214051932639597E-2</v>
      </c>
      <c r="P1987" s="135">
        <v>5.89736356060169E-2</v>
      </c>
      <c r="Q1987" s="135">
        <v>6.5428543023601196E-2</v>
      </c>
      <c r="R1987" s="135">
        <v>6.1192570682109801E-2</v>
      </c>
      <c r="S1987" s="135">
        <v>5.6786675878954702E-2</v>
      </c>
      <c r="T1987" s="135">
        <v>5.6971661244791701E-2</v>
      </c>
      <c r="U1987" s="135">
        <v>5.1616052789039399E-2</v>
      </c>
      <c r="V1987" s="135">
        <v>5.1541568653881702E-2</v>
      </c>
      <c r="W1987" s="135">
        <v>5.1568839939440198E-2</v>
      </c>
      <c r="X1987" s="135">
        <v>4.9821293764804798E-2</v>
      </c>
      <c r="Y1987" s="135">
        <v>5.0291848596529097E-2</v>
      </c>
      <c r="Z1987" s="135">
        <v>4.82892346244094E-2</v>
      </c>
      <c r="AA1987" s="135">
        <v>5.1714475712134798E-2</v>
      </c>
      <c r="AB1987" s="135">
        <v>5.30075440255122E-2</v>
      </c>
      <c r="AC1987" s="135">
        <v>4.66726392394579E-2</v>
      </c>
      <c r="AD1987" s="135">
        <v>4.3799673969663701E-2</v>
      </c>
      <c r="AF1987" s="243">
        <f t="shared" si="36"/>
        <v>0.39510591221181868</v>
      </c>
      <c r="AG1987" s="275">
        <f t="shared" si="37"/>
        <v>0.60217809446489956</v>
      </c>
      <c r="AH1987" s="391">
        <f t="shared" si="38"/>
        <v>0.5233758815598295</v>
      </c>
      <c r="AI1987" s="135">
        <f t="shared" si="39"/>
        <v>1.1255539760247291</v>
      </c>
    </row>
    <row r="1988" spans="1:35" ht="12.6">
      <c r="A1988" s="10" t="s">
        <v>865</v>
      </c>
      <c r="B1988" s="10">
        <v>162</v>
      </c>
      <c r="C1988" s="10" t="s">
        <v>1514</v>
      </c>
      <c r="D1988" s="388">
        <v>45088</v>
      </c>
      <c r="E1988" s="389">
        <v>45088</v>
      </c>
      <c r="F1988" s="390" t="str">
        <f t="shared" si="35"/>
        <v>Whitegoods</v>
      </c>
      <c r="G1988" s="135">
        <v>3.9220598409435099E-2</v>
      </c>
      <c r="H1988" s="135">
        <v>3.5928285565185701E-2</v>
      </c>
      <c r="I1988" s="135">
        <v>3.3372860843523498E-2</v>
      </c>
      <c r="J1988" s="135">
        <v>3.3192059569502302E-2</v>
      </c>
      <c r="K1988" s="135">
        <v>3.3211061022444602E-2</v>
      </c>
      <c r="L1988" s="135">
        <v>3.2603971276099299E-2</v>
      </c>
      <c r="M1988" s="135">
        <v>3.5692146063479702E-2</v>
      </c>
      <c r="N1988" s="135">
        <v>3.7442683592071799E-2</v>
      </c>
      <c r="O1988" s="135">
        <v>4.7214051932639597E-2</v>
      </c>
      <c r="P1988" s="135">
        <v>5.89736356060169E-2</v>
      </c>
      <c r="Q1988" s="135">
        <v>6.5428543023601196E-2</v>
      </c>
      <c r="R1988" s="135">
        <v>6.1192570682109801E-2</v>
      </c>
      <c r="S1988" s="135">
        <v>5.6786675878954702E-2</v>
      </c>
      <c r="T1988" s="135">
        <v>5.6971661244791701E-2</v>
      </c>
      <c r="U1988" s="135">
        <v>5.1616052789039399E-2</v>
      </c>
      <c r="V1988" s="135">
        <v>5.1541568653881702E-2</v>
      </c>
      <c r="W1988" s="135">
        <v>5.1568839939440198E-2</v>
      </c>
      <c r="X1988" s="135">
        <v>4.9821293764804798E-2</v>
      </c>
      <c r="Y1988" s="135">
        <v>5.0291848596529097E-2</v>
      </c>
      <c r="Z1988" s="135">
        <v>4.82892346244094E-2</v>
      </c>
      <c r="AA1988" s="135">
        <v>5.1714475712134798E-2</v>
      </c>
      <c r="AB1988" s="135">
        <v>5.30075440255122E-2</v>
      </c>
      <c r="AC1988" s="135">
        <v>4.66726392394579E-2</v>
      </c>
      <c r="AD1988" s="135">
        <v>4.3799673969663701E-2</v>
      </c>
      <c r="AF1988" s="243">
        <f t="shared" si="36"/>
        <v>0.39510591221181868</v>
      </c>
      <c r="AG1988" s="275">
        <f t="shared" si="37"/>
        <v>0.60217809446489956</v>
      </c>
      <c r="AH1988" s="391">
        <f t="shared" si="38"/>
        <v>0.5233758815598295</v>
      </c>
      <c r="AI1988" s="135">
        <f t="shared" si="39"/>
        <v>1.1255539760247291</v>
      </c>
    </row>
    <row r="1989" spans="1:35" ht="12.6">
      <c r="A1989" s="10" t="s">
        <v>865</v>
      </c>
      <c r="B1989" s="10">
        <v>163</v>
      </c>
      <c r="C1989" s="10" t="s">
        <v>1514</v>
      </c>
      <c r="D1989" s="388">
        <v>45089</v>
      </c>
      <c r="E1989" s="389">
        <v>45089</v>
      </c>
      <c r="F1989" s="390" t="str">
        <f t="shared" si="35"/>
        <v>Whitegoods</v>
      </c>
      <c r="G1989" s="135">
        <v>4.03888180939386E-2</v>
      </c>
      <c r="H1989" s="135">
        <v>3.4721150267714197E-2</v>
      </c>
      <c r="I1989" s="135">
        <v>3.2897826566129502E-2</v>
      </c>
      <c r="J1989" s="135">
        <v>3.3067332280052E-2</v>
      </c>
      <c r="K1989" s="135">
        <v>3.2661688215700001E-2</v>
      </c>
      <c r="L1989" s="135">
        <v>3.3417143376560203E-2</v>
      </c>
      <c r="M1989" s="135">
        <v>3.6582320186360803E-2</v>
      </c>
      <c r="N1989" s="135">
        <v>4.5261807128611303E-2</v>
      </c>
      <c r="O1989" s="135">
        <v>4.9009772411002697E-2</v>
      </c>
      <c r="P1989" s="135">
        <v>4.5873836488933499E-2</v>
      </c>
      <c r="Q1989" s="135">
        <v>4.3035632336435897E-2</v>
      </c>
      <c r="R1989" s="135">
        <v>4.1252549683206997E-2</v>
      </c>
      <c r="S1989" s="135">
        <v>4.1217720676329901E-2</v>
      </c>
      <c r="T1989" s="135">
        <v>4.0398991550468201E-2</v>
      </c>
      <c r="U1989" s="135">
        <v>4.1506957492086903E-2</v>
      </c>
      <c r="V1989" s="135">
        <v>4.0257815048548598E-2</v>
      </c>
      <c r="W1989" s="135">
        <v>4.0331423346317202E-2</v>
      </c>
      <c r="X1989" s="135">
        <v>4.1947562730741302E-2</v>
      </c>
      <c r="Y1989" s="135">
        <v>4.3506044226965197E-2</v>
      </c>
      <c r="Z1989" s="135">
        <v>4.4479431999894903E-2</v>
      </c>
      <c r="AA1989" s="135">
        <v>5.0392162077871498E-2</v>
      </c>
      <c r="AB1989" s="135">
        <v>4.80877543106841E-2</v>
      </c>
      <c r="AC1989" s="135">
        <v>4.6467953456920202E-2</v>
      </c>
      <c r="AD1989" s="135">
        <v>4.5595058865232602E-2</v>
      </c>
      <c r="AF1989" s="243">
        <f t="shared" si="36"/>
        <v>0.2880010901333937</v>
      </c>
      <c r="AG1989" s="275">
        <f t="shared" si="37"/>
        <v>0.53951219942235906</v>
      </c>
      <c r="AH1989" s="391">
        <f t="shared" si="38"/>
        <v>0.45284655339434743</v>
      </c>
      <c r="AI1989" s="135">
        <f t="shared" si="39"/>
        <v>0.99235875281670649</v>
      </c>
    </row>
    <row r="1990" spans="1:35" ht="12.6">
      <c r="A1990" s="10" t="s">
        <v>865</v>
      </c>
      <c r="B1990" s="10">
        <v>164</v>
      </c>
      <c r="C1990" s="10" t="s">
        <v>1514</v>
      </c>
      <c r="D1990" s="388">
        <v>45090</v>
      </c>
      <c r="E1990" s="389">
        <v>45090</v>
      </c>
      <c r="F1990" s="390" t="str">
        <f t="shared" si="35"/>
        <v>Whitegoods</v>
      </c>
      <c r="G1990" s="135">
        <v>4.03888180939386E-2</v>
      </c>
      <c r="H1990" s="135">
        <v>3.4721150267714197E-2</v>
      </c>
      <c r="I1990" s="135">
        <v>3.2897826566129502E-2</v>
      </c>
      <c r="J1990" s="135">
        <v>3.3067332280052E-2</v>
      </c>
      <c r="K1990" s="135">
        <v>3.2661688215700001E-2</v>
      </c>
      <c r="L1990" s="135">
        <v>3.3417143376560203E-2</v>
      </c>
      <c r="M1990" s="135">
        <v>3.6582320186360803E-2</v>
      </c>
      <c r="N1990" s="135">
        <v>4.5261807128611303E-2</v>
      </c>
      <c r="O1990" s="135">
        <v>4.9009772411002697E-2</v>
      </c>
      <c r="P1990" s="135">
        <v>4.5873836488933499E-2</v>
      </c>
      <c r="Q1990" s="135">
        <v>4.3035632336435897E-2</v>
      </c>
      <c r="R1990" s="135">
        <v>4.1252549683206997E-2</v>
      </c>
      <c r="S1990" s="135">
        <v>4.1217720676329901E-2</v>
      </c>
      <c r="T1990" s="135">
        <v>4.0398991550468201E-2</v>
      </c>
      <c r="U1990" s="135">
        <v>4.1506957492086903E-2</v>
      </c>
      <c r="V1990" s="135">
        <v>4.0257815048548598E-2</v>
      </c>
      <c r="W1990" s="135">
        <v>4.0331423346317202E-2</v>
      </c>
      <c r="X1990" s="135">
        <v>4.1947562730741302E-2</v>
      </c>
      <c r="Y1990" s="135">
        <v>4.3506044226965197E-2</v>
      </c>
      <c r="Z1990" s="135">
        <v>4.4479431999894903E-2</v>
      </c>
      <c r="AA1990" s="135">
        <v>5.0392162077871498E-2</v>
      </c>
      <c r="AB1990" s="135">
        <v>4.80877543106841E-2</v>
      </c>
      <c r="AC1990" s="135">
        <v>4.6467953456920202E-2</v>
      </c>
      <c r="AD1990" s="135">
        <v>4.5595058865232602E-2</v>
      </c>
      <c r="AF1990" s="243">
        <f t="shared" si="36"/>
        <v>0.2880010901333937</v>
      </c>
      <c r="AG1990" s="275">
        <f t="shared" si="37"/>
        <v>0.53951219942235906</v>
      </c>
      <c r="AH1990" s="391">
        <f t="shared" si="38"/>
        <v>0.45284655339434743</v>
      </c>
      <c r="AI1990" s="135">
        <f t="shared" si="39"/>
        <v>0.99235875281670649</v>
      </c>
    </row>
    <row r="1991" spans="1:35" ht="12.6">
      <c r="A1991" s="10" t="s">
        <v>865</v>
      </c>
      <c r="B1991" s="10">
        <v>165</v>
      </c>
      <c r="C1991" s="10" t="s">
        <v>1514</v>
      </c>
      <c r="D1991" s="388">
        <v>45091</v>
      </c>
      <c r="E1991" s="389">
        <v>45091</v>
      </c>
      <c r="F1991" s="390" t="str">
        <f t="shared" si="35"/>
        <v>Whitegoods</v>
      </c>
      <c r="G1991" s="135">
        <v>4.03888180939386E-2</v>
      </c>
      <c r="H1991" s="135">
        <v>3.4721150267714197E-2</v>
      </c>
      <c r="I1991" s="135">
        <v>3.2897826566129502E-2</v>
      </c>
      <c r="J1991" s="135">
        <v>3.3067332280052E-2</v>
      </c>
      <c r="K1991" s="135">
        <v>3.2661688215700001E-2</v>
      </c>
      <c r="L1991" s="135">
        <v>3.3417143376560203E-2</v>
      </c>
      <c r="M1991" s="135">
        <v>3.6582320186360803E-2</v>
      </c>
      <c r="N1991" s="135">
        <v>4.5261807128611303E-2</v>
      </c>
      <c r="O1991" s="135">
        <v>4.9009772411002697E-2</v>
      </c>
      <c r="P1991" s="135">
        <v>4.5873836488933499E-2</v>
      </c>
      <c r="Q1991" s="135">
        <v>4.3035632336435897E-2</v>
      </c>
      <c r="R1991" s="135">
        <v>4.1252549683206997E-2</v>
      </c>
      <c r="S1991" s="135">
        <v>4.1217720676329901E-2</v>
      </c>
      <c r="T1991" s="135">
        <v>4.0398991550468201E-2</v>
      </c>
      <c r="U1991" s="135">
        <v>4.1506957492086903E-2</v>
      </c>
      <c r="V1991" s="135">
        <v>4.0257815048548598E-2</v>
      </c>
      <c r="W1991" s="135">
        <v>4.0331423346317202E-2</v>
      </c>
      <c r="X1991" s="135">
        <v>4.1947562730741302E-2</v>
      </c>
      <c r="Y1991" s="135">
        <v>4.3506044226965197E-2</v>
      </c>
      <c r="Z1991" s="135">
        <v>4.4479431999894903E-2</v>
      </c>
      <c r="AA1991" s="135">
        <v>5.0392162077871498E-2</v>
      </c>
      <c r="AB1991" s="135">
        <v>4.80877543106841E-2</v>
      </c>
      <c r="AC1991" s="135">
        <v>4.6467953456920202E-2</v>
      </c>
      <c r="AD1991" s="135">
        <v>4.5595058865232602E-2</v>
      </c>
      <c r="AF1991" s="243">
        <f t="shared" si="36"/>
        <v>0.2880010901333937</v>
      </c>
      <c r="AG1991" s="275">
        <f t="shared" si="37"/>
        <v>0.53951219942235906</v>
      </c>
      <c r="AH1991" s="391">
        <f t="shared" si="38"/>
        <v>0.45284655339434743</v>
      </c>
      <c r="AI1991" s="135">
        <f t="shared" si="39"/>
        <v>0.99235875281670649</v>
      </c>
    </row>
    <row r="1992" spans="1:35" ht="12.6">
      <c r="A1992" s="10" t="s">
        <v>865</v>
      </c>
      <c r="B1992" s="10">
        <v>166</v>
      </c>
      <c r="C1992" s="10" t="s">
        <v>1514</v>
      </c>
      <c r="D1992" s="388">
        <v>45092</v>
      </c>
      <c r="E1992" s="389">
        <v>45092</v>
      </c>
      <c r="F1992" s="390" t="str">
        <f t="shared" si="35"/>
        <v>Whitegoods</v>
      </c>
      <c r="G1992" s="135">
        <v>4.03888180939386E-2</v>
      </c>
      <c r="H1992" s="135">
        <v>3.4721150267714197E-2</v>
      </c>
      <c r="I1992" s="135">
        <v>3.2897826566129502E-2</v>
      </c>
      <c r="J1992" s="135">
        <v>3.3067332280052E-2</v>
      </c>
      <c r="K1992" s="135">
        <v>3.2661688215700001E-2</v>
      </c>
      <c r="L1992" s="135">
        <v>3.3417143376560203E-2</v>
      </c>
      <c r="M1992" s="135">
        <v>3.6582320186360803E-2</v>
      </c>
      <c r="N1992" s="135">
        <v>4.5261807128611303E-2</v>
      </c>
      <c r="O1992" s="135">
        <v>4.9009772411002697E-2</v>
      </c>
      <c r="P1992" s="135">
        <v>4.5873836488933499E-2</v>
      </c>
      <c r="Q1992" s="135">
        <v>4.3035632336435897E-2</v>
      </c>
      <c r="R1992" s="135">
        <v>4.1252549683206997E-2</v>
      </c>
      <c r="S1992" s="135">
        <v>4.1217720676329901E-2</v>
      </c>
      <c r="T1992" s="135">
        <v>4.0398991550468201E-2</v>
      </c>
      <c r="U1992" s="135">
        <v>4.1506957492086903E-2</v>
      </c>
      <c r="V1992" s="135">
        <v>4.0257815048548598E-2</v>
      </c>
      <c r="W1992" s="135">
        <v>4.0331423346317202E-2</v>
      </c>
      <c r="X1992" s="135">
        <v>4.1947562730741302E-2</v>
      </c>
      <c r="Y1992" s="135">
        <v>4.3506044226965197E-2</v>
      </c>
      <c r="Z1992" s="135">
        <v>4.4479431999894903E-2</v>
      </c>
      <c r="AA1992" s="135">
        <v>5.0392162077871498E-2</v>
      </c>
      <c r="AB1992" s="135">
        <v>4.80877543106841E-2</v>
      </c>
      <c r="AC1992" s="135">
        <v>4.6467953456920202E-2</v>
      </c>
      <c r="AD1992" s="135">
        <v>4.5595058865232602E-2</v>
      </c>
      <c r="AF1992" s="243">
        <f t="shared" si="36"/>
        <v>0.2880010901333937</v>
      </c>
      <c r="AG1992" s="275">
        <f t="shared" si="37"/>
        <v>0.53951219942235906</v>
      </c>
      <c r="AH1992" s="391">
        <f t="shared" si="38"/>
        <v>0.45284655339434743</v>
      </c>
      <c r="AI1992" s="135">
        <f t="shared" si="39"/>
        <v>0.99235875281670649</v>
      </c>
    </row>
    <row r="1993" spans="1:35" ht="12.6">
      <c r="A1993" s="10" t="s">
        <v>865</v>
      </c>
      <c r="B1993" s="10">
        <v>167</v>
      </c>
      <c r="C1993" s="10" t="s">
        <v>1514</v>
      </c>
      <c r="D1993" s="388">
        <v>45093</v>
      </c>
      <c r="E1993" s="389">
        <v>45093</v>
      </c>
      <c r="F1993" s="390" t="str">
        <f t="shared" si="35"/>
        <v>Whitegoods</v>
      </c>
      <c r="G1993" s="135">
        <v>4.03888180939386E-2</v>
      </c>
      <c r="H1993" s="135">
        <v>3.4721150267714197E-2</v>
      </c>
      <c r="I1993" s="135">
        <v>3.2897826566129502E-2</v>
      </c>
      <c r="J1993" s="135">
        <v>3.3067332280052E-2</v>
      </c>
      <c r="K1993" s="135">
        <v>3.2661688215700001E-2</v>
      </c>
      <c r="L1993" s="135">
        <v>3.3417143376560203E-2</v>
      </c>
      <c r="M1993" s="135">
        <v>3.6582320186360803E-2</v>
      </c>
      <c r="N1993" s="135">
        <v>4.5261807128611303E-2</v>
      </c>
      <c r="O1993" s="135">
        <v>4.9009772411002697E-2</v>
      </c>
      <c r="P1993" s="135">
        <v>4.5873836488933499E-2</v>
      </c>
      <c r="Q1993" s="135">
        <v>4.3035632336435897E-2</v>
      </c>
      <c r="R1993" s="135">
        <v>4.1252549683206997E-2</v>
      </c>
      <c r="S1993" s="135">
        <v>4.1217720676329901E-2</v>
      </c>
      <c r="T1993" s="135">
        <v>4.0398991550468201E-2</v>
      </c>
      <c r="U1993" s="135">
        <v>4.1506957492086903E-2</v>
      </c>
      <c r="V1993" s="135">
        <v>4.0257815048548598E-2</v>
      </c>
      <c r="W1993" s="135">
        <v>4.0331423346317202E-2</v>
      </c>
      <c r="X1993" s="135">
        <v>4.1947562730741302E-2</v>
      </c>
      <c r="Y1993" s="135">
        <v>4.3506044226965197E-2</v>
      </c>
      <c r="Z1993" s="135">
        <v>4.4479431999894903E-2</v>
      </c>
      <c r="AA1993" s="135">
        <v>5.0392162077871498E-2</v>
      </c>
      <c r="AB1993" s="135">
        <v>4.80877543106841E-2</v>
      </c>
      <c r="AC1993" s="135">
        <v>4.6467953456920202E-2</v>
      </c>
      <c r="AD1993" s="135">
        <v>4.5595058865232602E-2</v>
      </c>
      <c r="AF1993" s="243">
        <f t="shared" si="36"/>
        <v>0.2880010901333937</v>
      </c>
      <c r="AG1993" s="275">
        <f t="shared" si="37"/>
        <v>0.53951219942235906</v>
      </c>
      <c r="AH1993" s="391">
        <f t="shared" si="38"/>
        <v>0.45284655339434743</v>
      </c>
      <c r="AI1993" s="135">
        <f t="shared" si="39"/>
        <v>0.99235875281670649</v>
      </c>
    </row>
    <row r="1994" spans="1:35" ht="12.6">
      <c r="A1994" s="10" t="s">
        <v>865</v>
      </c>
      <c r="B1994" s="10">
        <v>168</v>
      </c>
      <c r="C1994" s="10" t="s">
        <v>1514</v>
      </c>
      <c r="D1994" s="388">
        <v>45094</v>
      </c>
      <c r="E1994" s="389">
        <v>45094</v>
      </c>
      <c r="F1994" s="390" t="str">
        <f t="shared" si="35"/>
        <v>Whitegoods</v>
      </c>
      <c r="G1994" s="135">
        <v>3.9220598409435099E-2</v>
      </c>
      <c r="H1994" s="135">
        <v>3.5928285565185701E-2</v>
      </c>
      <c r="I1994" s="135">
        <v>3.3372860843523498E-2</v>
      </c>
      <c r="J1994" s="135">
        <v>3.3192059569502302E-2</v>
      </c>
      <c r="K1994" s="135">
        <v>3.3211061022444602E-2</v>
      </c>
      <c r="L1994" s="135">
        <v>3.2603971276099299E-2</v>
      </c>
      <c r="M1994" s="135">
        <v>3.5692146063479702E-2</v>
      </c>
      <c r="N1994" s="135">
        <v>3.7442683592071799E-2</v>
      </c>
      <c r="O1994" s="135">
        <v>4.7214051932639597E-2</v>
      </c>
      <c r="P1994" s="135">
        <v>5.89736356060169E-2</v>
      </c>
      <c r="Q1994" s="135">
        <v>6.5428543023601196E-2</v>
      </c>
      <c r="R1994" s="135">
        <v>6.1192570682109801E-2</v>
      </c>
      <c r="S1994" s="135">
        <v>5.6786675878954702E-2</v>
      </c>
      <c r="T1994" s="135">
        <v>5.6971661244791701E-2</v>
      </c>
      <c r="U1994" s="135">
        <v>5.1616052789039399E-2</v>
      </c>
      <c r="V1994" s="135">
        <v>5.1541568653881702E-2</v>
      </c>
      <c r="W1994" s="135">
        <v>5.1568839939440198E-2</v>
      </c>
      <c r="X1994" s="135">
        <v>4.9821293764804798E-2</v>
      </c>
      <c r="Y1994" s="135">
        <v>5.0291848596529097E-2</v>
      </c>
      <c r="Z1994" s="135">
        <v>4.82892346244094E-2</v>
      </c>
      <c r="AA1994" s="135">
        <v>5.1714475712134798E-2</v>
      </c>
      <c r="AB1994" s="135">
        <v>5.30075440255122E-2</v>
      </c>
      <c r="AC1994" s="135">
        <v>4.66726392394579E-2</v>
      </c>
      <c r="AD1994" s="135">
        <v>4.3799673969663701E-2</v>
      </c>
      <c r="AF1994" s="243">
        <f t="shared" si="36"/>
        <v>0.39510591221181868</v>
      </c>
      <c r="AG1994" s="275">
        <f t="shared" si="37"/>
        <v>0.60217809446489956</v>
      </c>
      <c r="AH1994" s="391">
        <f t="shared" si="38"/>
        <v>0.5233758815598295</v>
      </c>
      <c r="AI1994" s="135">
        <f t="shared" si="39"/>
        <v>1.1255539760247291</v>
      </c>
    </row>
    <row r="1995" spans="1:35" ht="12.6">
      <c r="A1995" s="10" t="s">
        <v>865</v>
      </c>
      <c r="B1995" s="10">
        <v>169</v>
      </c>
      <c r="C1995" s="10" t="s">
        <v>1514</v>
      </c>
      <c r="D1995" s="388">
        <v>45095</v>
      </c>
      <c r="E1995" s="389">
        <v>45095</v>
      </c>
      <c r="F1995" s="390" t="str">
        <f t="shared" si="35"/>
        <v>Whitegoods</v>
      </c>
      <c r="G1995" s="135">
        <v>3.9220598409435099E-2</v>
      </c>
      <c r="H1995" s="135">
        <v>3.5928285565185701E-2</v>
      </c>
      <c r="I1995" s="135">
        <v>3.3372860843523498E-2</v>
      </c>
      <c r="J1995" s="135">
        <v>3.3192059569502302E-2</v>
      </c>
      <c r="K1995" s="135">
        <v>3.3211061022444602E-2</v>
      </c>
      <c r="L1995" s="135">
        <v>3.2603971276099299E-2</v>
      </c>
      <c r="M1995" s="135">
        <v>3.5692146063479702E-2</v>
      </c>
      <c r="N1995" s="135">
        <v>3.7442683592071799E-2</v>
      </c>
      <c r="O1995" s="135">
        <v>4.7214051932639597E-2</v>
      </c>
      <c r="P1995" s="135">
        <v>5.89736356060169E-2</v>
      </c>
      <c r="Q1995" s="135">
        <v>6.5428543023601196E-2</v>
      </c>
      <c r="R1995" s="135">
        <v>6.1192570682109801E-2</v>
      </c>
      <c r="S1995" s="135">
        <v>5.6786675878954702E-2</v>
      </c>
      <c r="T1995" s="135">
        <v>5.6971661244791701E-2</v>
      </c>
      <c r="U1995" s="135">
        <v>5.1616052789039399E-2</v>
      </c>
      <c r="V1995" s="135">
        <v>5.1541568653881702E-2</v>
      </c>
      <c r="W1995" s="135">
        <v>5.1568839939440198E-2</v>
      </c>
      <c r="X1995" s="135">
        <v>4.9821293764804798E-2</v>
      </c>
      <c r="Y1995" s="135">
        <v>5.0291848596529097E-2</v>
      </c>
      <c r="Z1995" s="135">
        <v>4.82892346244094E-2</v>
      </c>
      <c r="AA1995" s="135">
        <v>5.1714475712134798E-2</v>
      </c>
      <c r="AB1995" s="135">
        <v>5.30075440255122E-2</v>
      </c>
      <c r="AC1995" s="135">
        <v>4.66726392394579E-2</v>
      </c>
      <c r="AD1995" s="135">
        <v>4.3799673969663701E-2</v>
      </c>
      <c r="AF1995" s="243">
        <f t="shared" si="36"/>
        <v>0.39510591221181868</v>
      </c>
      <c r="AG1995" s="275">
        <f t="shared" si="37"/>
        <v>0.60217809446489956</v>
      </c>
      <c r="AH1995" s="391">
        <f t="shared" si="38"/>
        <v>0.5233758815598295</v>
      </c>
      <c r="AI1995" s="135">
        <f t="shared" si="39"/>
        <v>1.1255539760247291</v>
      </c>
    </row>
    <row r="1996" spans="1:35" ht="12.6">
      <c r="A1996" s="10" t="s">
        <v>865</v>
      </c>
      <c r="B1996" s="10">
        <v>170</v>
      </c>
      <c r="C1996" s="10" t="s">
        <v>1514</v>
      </c>
      <c r="D1996" s="388">
        <v>45096</v>
      </c>
      <c r="E1996" s="389">
        <v>45096</v>
      </c>
      <c r="F1996" s="390" t="str">
        <f t="shared" si="35"/>
        <v>Whitegoods</v>
      </c>
      <c r="G1996" s="135">
        <v>4.03888180939386E-2</v>
      </c>
      <c r="H1996" s="135">
        <v>3.4721150267714197E-2</v>
      </c>
      <c r="I1996" s="135">
        <v>3.2897826566129502E-2</v>
      </c>
      <c r="J1996" s="135">
        <v>3.3067332280052E-2</v>
      </c>
      <c r="K1996" s="135">
        <v>3.2661688215700001E-2</v>
      </c>
      <c r="L1996" s="135">
        <v>3.3417143376560203E-2</v>
      </c>
      <c r="M1996" s="135">
        <v>3.6582320186360803E-2</v>
      </c>
      <c r="N1996" s="135">
        <v>4.5261807128611303E-2</v>
      </c>
      <c r="O1996" s="135">
        <v>4.9009772411002697E-2</v>
      </c>
      <c r="P1996" s="135">
        <v>4.5873836488933499E-2</v>
      </c>
      <c r="Q1996" s="135">
        <v>4.3035632336435897E-2</v>
      </c>
      <c r="R1996" s="135">
        <v>4.1252549683206997E-2</v>
      </c>
      <c r="S1996" s="135">
        <v>4.1217720676329901E-2</v>
      </c>
      <c r="T1996" s="135">
        <v>4.0398991550468201E-2</v>
      </c>
      <c r="U1996" s="135">
        <v>4.1506957492086903E-2</v>
      </c>
      <c r="V1996" s="135">
        <v>4.0257815048548598E-2</v>
      </c>
      <c r="W1996" s="135">
        <v>4.0331423346317202E-2</v>
      </c>
      <c r="X1996" s="135">
        <v>4.1947562730741302E-2</v>
      </c>
      <c r="Y1996" s="135">
        <v>4.3506044226965197E-2</v>
      </c>
      <c r="Z1996" s="135">
        <v>4.4479431999894903E-2</v>
      </c>
      <c r="AA1996" s="135">
        <v>5.0392162077871498E-2</v>
      </c>
      <c r="AB1996" s="135">
        <v>4.80877543106841E-2</v>
      </c>
      <c r="AC1996" s="135">
        <v>4.6467953456920202E-2</v>
      </c>
      <c r="AD1996" s="135">
        <v>4.5595058865232602E-2</v>
      </c>
      <c r="AF1996" s="243">
        <f t="shared" si="36"/>
        <v>0.2880010901333937</v>
      </c>
      <c r="AG1996" s="275">
        <f t="shared" si="37"/>
        <v>0.53951219942235906</v>
      </c>
      <c r="AH1996" s="391">
        <f t="shared" si="38"/>
        <v>0.45284655339434743</v>
      </c>
      <c r="AI1996" s="135">
        <f t="shared" si="39"/>
        <v>0.99235875281670649</v>
      </c>
    </row>
    <row r="1997" spans="1:35" ht="12.6">
      <c r="A1997" s="10" t="s">
        <v>865</v>
      </c>
      <c r="B1997" s="10">
        <v>171</v>
      </c>
      <c r="C1997" s="10" t="s">
        <v>1514</v>
      </c>
      <c r="D1997" s="388">
        <v>45097</v>
      </c>
      <c r="E1997" s="389">
        <v>45097</v>
      </c>
      <c r="F1997" s="390" t="str">
        <f t="shared" si="35"/>
        <v>Whitegoods</v>
      </c>
      <c r="G1997" s="135">
        <v>4.03888180939386E-2</v>
      </c>
      <c r="H1997" s="135">
        <v>3.4721150267714197E-2</v>
      </c>
      <c r="I1997" s="135">
        <v>3.2897826566129502E-2</v>
      </c>
      <c r="J1997" s="135">
        <v>3.3067332280052E-2</v>
      </c>
      <c r="K1997" s="135">
        <v>3.2661688215700001E-2</v>
      </c>
      <c r="L1997" s="135">
        <v>3.3417143376560203E-2</v>
      </c>
      <c r="M1997" s="135">
        <v>3.6582320186360803E-2</v>
      </c>
      <c r="N1997" s="135">
        <v>4.5261807128611303E-2</v>
      </c>
      <c r="O1997" s="135">
        <v>4.9009772411002697E-2</v>
      </c>
      <c r="P1997" s="135">
        <v>4.5873836488933499E-2</v>
      </c>
      <c r="Q1997" s="135">
        <v>4.3035632336435897E-2</v>
      </c>
      <c r="R1997" s="135">
        <v>4.1252549683206997E-2</v>
      </c>
      <c r="S1997" s="135">
        <v>4.1217720676329901E-2</v>
      </c>
      <c r="T1997" s="135">
        <v>4.0398991550468201E-2</v>
      </c>
      <c r="U1997" s="135">
        <v>4.1506957492086903E-2</v>
      </c>
      <c r="V1997" s="135">
        <v>4.0257815048548598E-2</v>
      </c>
      <c r="W1997" s="135">
        <v>4.0331423346317202E-2</v>
      </c>
      <c r="X1997" s="135">
        <v>4.1947562730741302E-2</v>
      </c>
      <c r="Y1997" s="135">
        <v>4.3506044226965197E-2</v>
      </c>
      <c r="Z1997" s="135">
        <v>4.4479431999894903E-2</v>
      </c>
      <c r="AA1997" s="135">
        <v>5.0392162077871498E-2</v>
      </c>
      <c r="AB1997" s="135">
        <v>4.80877543106841E-2</v>
      </c>
      <c r="AC1997" s="135">
        <v>4.6467953456920202E-2</v>
      </c>
      <c r="AD1997" s="135">
        <v>4.5595058865232602E-2</v>
      </c>
      <c r="AF1997" s="243">
        <f t="shared" si="36"/>
        <v>0.2880010901333937</v>
      </c>
      <c r="AG1997" s="275">
        <f t="shared" si="37"/>
        <v>0.53951219942235906</v>
      </c>
      <c r="AH1997" s="391">
        <f t="shared" si="38"/>
        <v>0.45284655339434743</v>
      </c>
      <c r="AI1997" s="135">
        <f t="shared" si="39"/>
        <v>0.99235875281670649</v>
      </c>
    </row>
    <row r="1998" spans="1:35" ht="12.6">
      <c r="A1998" s="10" t="s">
        <v>865</v>
      </c>
      <c r="B1998" s="10">
        <v>172</v>
      </c>
      <c r="C1998" s="10" t="s">
        <v>1514</v>
      </c>
      <c r="D1998" s="388">
        <v>45098</v>
      </c>
      <c r="E1998" s="389">
        <v>45098</v>
      </c>
      <c r="F1998" s="390" t="str">
        <f t="shared" si="35"/>
        <v>Whitegoods</v>
      </c>
      <c r="G1998" s="135">
        <v>4.03888180939386E-2</v>
      </c>
      <c r="H1998" s="135">
        <v>3.4721150267714197E-2</v>
      </c>
      <c r="I1998" s="135">
        <v>3.2897826566129502E-2</v>
      </c>
      <c r="J1998" s="135">
        <v>3.3067332280052E-2</v>
      </c>
      <c r="K1998" s="135">
        <v>3.2661688215700001E-2</v>
      </c>
      <c r="L1998" s="135">
        <v>3.3417143376560203E-2</v>
      </c>
      <c r="M1998" s="135">
        <v>3.6582320186360803E-2</v>
      </c>
      <c r="N1998" s="135">
        <v>4.5261807128611303E-2</v>
      </c>
      <c r="O1998" s="135">
        <v>4.9009772411002697E-2</v>
      </c>
      <c r="P1998" s="135">
        <v>4.5873836488933499E-2</v>
      </c>
      <c r="Q1998" s="135">
        <v>4.3035632336435897E-2</v>
      </c>
      <c r="R1998" s="135">
        <v>4.1252549683206997E-2</v>
      </c>
      <c r="S1998" s="135">
        <v>4.1217720676329901E-2</v>
      </c>
      <c r="T1998" s="135">
        <v>4.0398991550468201E-2</v>
      </c>
      <c r="U1998" s="135">
        <v>4.1506957492086903E-2</v>
      </c>
      <c r="V1998" s="135">
        <v>4.0257815048548598E-2</v>
      </c>
      <c r="W1998" s="135">
        <v>4.0331423346317202E-2</v>
      </c>
      <c r="X1998" s="135">
        <v>4.1947562730741302E-2</v>
      </c>
      <c r="Y1998" s="135">
        <v>4.3506044226965197E-2</v>
      </c>
      <c r="Z1998" s="135">
        <v>4.4479431999894903E-2</v>
      </c>
      <c r="AA1998" s="135">
        <v>5.0392162077871498E-2</v>
      </c>
      <c r="AB1998" s="135">
        <v>4.80877543106841E-2</v>
      </c>
      <c r="AC1998" s="135">
        <v>4.6467953456920202E-2</v>
      </c>
      <c r="AD1998" s="135">
        <v>4.5595058865232602E-2</v>
      </c>
      <c r="AF1998" s="243">
        <f t="shared" si="36"/>
        <v>0.2880010901333937</v>
      </c>
      <c r="AG1998" s="275">
        <f t="shared" si="37"/>
        <v>0.53951219942235906</v>
      </c>
      <c r="AH1998" s="391">
        <f t="shared" si="38"/>
        <v>0.45284655339434743</v>
      </c>
      <c r="AI1998" s="135">
        <f t="shared" si="39"/>
        <v>0.99235875281670649</v>
      </c>
    </row>
    <row r="1999" spans="1:35" ht="12.6">
      <c r="A1999" s="10" t="s">
        <v>865</v>
      </c>
      <c r="B1999" s="10">
        <v>173</v>
      </c>
      <c r="C1999" s="10" t="s">
        <v>1514</v>
      </c>
      <c r="D1999" s="388">
        <v>45099</v>
      </c>
      <c r="E1999" s="389">
        <v>45099</v>
      </c>
      <c r="F1999" s="390" t="str">
        <f t="shared" si="35"/>
        <v>Whitegoods</v>
      </c>
      <c r="G1999" s="135">
        <v>4.03888180939386E-2</v>
      </c>
      <c r="H1999" s="135">
        <v>3.4721150267714197E-2</v>
      </c>
      <c r="I1999" s="135">
        <v>3.2897826566129502E-2</v>
      </c>
      <c r="J1999" s="135">
        <v>3.3067332280052E-2</v>
      </c>
      <c r="K1999" s="135">
        <v>3.2661688215700001E-2</v>
      </c>
      <c r="L1999" s="135">
        <v>3.3417143376560203E-2</v>
      </c>
      <c r="M1999" s="135">
        <v>3.6582320186360803E-2</v>
      </c>
      <c r="N1999" s="135">
        <v>4.5261807128611303E-2</v>
      </c>
      <c r="O1999" s="135">
        <v>4.9009772411002697E-2</v>
      </c>
      <c r="P1999" s="135">
        <v>4.5873836488933499E-2</v>
      </c>
      <c r="Q1999" s="135">
        <v>4.3035632336435897E-2</v>
      </c>
      <c r="R1999" s="135">
        <v>4.1252549683206997E-2</v>
      </c>
      <c r="S1999" s="135">
        <v>4.1217720676329901E-2</v>
      </c>
      <c r="T1999" s="135">
        <v>4.0398991550468201E-2</v>
      </c>
      <c r="U1999" s="135">
        <v>4.1506957492086903E-2</v>
      </c>
      <c r="V1999" s="135">
        <v>4.0257815048548598E-2</v>
      </c>
      <c r="W1999" s="135">
        <v>4.0331423346317202E-2</v>
      </c>
      <c r="X1999" s="135">
        <v>4.1947562730741302E-2</v>
      </c>
      <c r="Y1999" s="135">
        <v>4.3506044226965197E-2</v>
      </c>
      <c r="Z1999" s="135">
        <v>4.4479431999894903E-2</v>
      </c>
      <c r="AA1999" s="135">
        <v>5.0392162077871498E-2</v>
      </c>
      <c r="AB1999" s="135">
        <v>4.80877543106841E-2</v>
      </c>
      <c r="AC1999" s="135">
        <v>4.6467953456920202E-2</v>
      </c>
      <c r="AD1999" s="135">
        <v>4.5595058865232602E-2</v>
      </c>
      <c r="AF1999" s="243">
        <f t="shared" si="36"/>
        <v>0.2880010901333937</v>
      </c>
      <c r="AG1999" s="275">
        <f t="shared" si="37"/>
        <v>0.53951219942235906</v>
      </c>
      <c r="AH1999" s="391">
        <f t="shared" si="38"/>
        <v>0.45284655339434743</v>
      </c>
      <c r="AI1999" s="135">
        <f t="shared" si="39"/>
        <v>0.99235875281670649</v>
      </c>
    </row>
    <row r="2000" spans="1:35" ht="12.6">
      <c r="A2000" s="10" t="s">
        <v>865</v>
      </c>
      <c r="B2000" s="10">
        <v>174</v>
      </c>
      <c r="C2000" s="10" t="s">
        <v>1514</v>
      </c>
      <c r="D2000" s="388">
        <v>45100</v>
      </c>
      <c r="E2000" s="389">
        <v>45100</v>
      </c>
      <c r="F2000" s="390" t="str">
        <f t="shared" si="35"/>
        <v>Whitegoods</v>
      </c>
      <c r="G2000" s="135">
        <v>4.03888180939386E-2</v>
      </c>
      <c r="H2000" s="135">
        <v>3.4721150267714197E-2</v>
      </c>
      <c r="I2000" s="135">
        <v>3.2897826566129502E-2</v>
      </c>
      <c r="J2000" s="135">
        <v>3.3067332280052E-2</v>
      </c>
      <c r="K2000" s="135">
        <v>3.2661688215700001E-2</v>
      </c>
      <c r="L2000" s="135">
        <v>3.3417143376560203E-2</v>
      </c>
      <c r="M2000" s="135">
        <v>3.6582320186360803E-2</v>
      </c>
      <c r="N2000" s="135">
        <v>4.5261807128611303E-2</v>
      </c>
      <c r="O2000" s="135">
        <v>4.9009772411002697E-2</v>
      </c>
      <c r="P2000" s="135">
        <v>4.5873836488933499E-2</v>
      </c>
      <c r="Q2000" s="135">
        <v>4.3035632336435897E-2</v>
      </c>
      <c r="R2000" s="135">
        <v>4.1252549683206997E-2</v>
      </c>
      <c r="S2000" s="135">
        <v>4.1217720676329901E-2</v>
      </c>
      <c r="T2000" s="135">
        <v>4.0398991550468201E-2</v>
      </c>
      <c r="U2000" s="135">
        <v>4.1506957492086903E-2</v>
      </c>
      <c r="V2000" s="135">
        <v>4.0257815048548598E-2</v>
      </c>
      <c r="W2000" s="135">
        <v>4.0331423346317202E-2</v>
      </c>
      <c r="X2000" s="135">
        <v>4.1947562730741302E-2</v>
      </c>
      <c r="Y2000" s="135">
        <v>4.3506044226965197E-2</v>
      </c>
      <c r="Z2000" s="135">
        <v>4.4479431999894903E-2</v>
      </c>
      <c r="AA2000" s="135">
        <v>5.0392162077871498E-2</v>
      </c>
      <c r="AB2000" s="135">
        <v>4.80877543106841E-2</v>
      </c>
      <c r="AC2000" s="135">
        <v>4.6467953456920202E-2</v>
      </c>
      <c r="AD2000" s="135">
        <v>4.5595058865232602E-2</v>
      </c>
      <c r="AF2000" s="243">
        <f t="shared" si="36"/>
        <v>0.2880010901333937</v>
      </c>
      <c r="AG2000" s="275">
        <f t="shared" si="37"/>
        <v>0.53951219942235906</v>
      </c>
      <c r="AH2000" s="391">
        <f t="shared" si="38"/>
        <v>0.45284655339434743</v>
      </c>
      <c r="AI2000" s="135">
        <f t="shared" si="39"/>
        <v>0.99235875281670649</v>
      </c>
    </row>
    <row r="2001" spans="1:35" ht="12.6">
      <c r="A2001" s="10" t="s">
        <v>865</v>
      </c>
      <c r="B2001" s="10">
        <v>175</v>
      </c>
      <c r="C2001" s="10" t="s">
        <v>1514</v>
      </c>
      <c r="D2001" s="388">
        <v>45101</v>
      </c>
      <c r="E2001" s="389">
        <v>45101</v>
      </c>
      <c r="F2001" s="390" t="str">
        <f t="shared" si="35"/>
        <v>Whitegoods</v>
      </c>
      <c r="G2001" s="135">
        <v>3.9220598409435099E-2</v>
      </c>
      <c r="H2001" s="135">
        <v>3.5928285565185701E-2</v>
      </c>
      <c r="I2001" s="135">
        <v>3.3372860843523498E-2</v>
      </c>
      <c r="J2001" s="135">
        <v>3.3192059569502302E-2</v>
      </c>
      <c r="K2001" s="135">
        <v>3.3211061022444602E-2</v>
      </c>
      <c r="L2001" s="135">
        <v>3.2603971276099299E-2</v>
      </c>
      <c r="M2001" s="135">
        <v>3.5692146063479702E-2</v>
      </c>
      <c r="N2001" s="135">
        <v>3.7442683592071799E-2</v>
      </c>
      <c r="O2001" s="135">
        <v>4.7214051932639597E-2</v>
      </c>
      <c r="P2001" s="135">
        <v>5.89736356060169E-2</v>
      </c>
      <c r="Q2001" s="135">
        <v>6.5428543023601196E-2</v>
      </c>
      <c r="R2001" s="135">
        <v>6.1192570682109801E-2</v>
      </c>
      <c r="S2001" s="135">
        <v>5.6786675878954702E-2</v>
      </c>
      <c r="T2001" s="135">
        <v>5.6971661244791701E-2</v>
      </c>
      <c r="U2001" s="135">
        <v>5.1616052789039399E-2</v>
      </c>
      <c r="V2001" s="135">
        <v>5.1541568653881702E-2</v>
      </c>
      <c r="W2001" s="135">
        <v>5.1568839939440198E-2</v>
      </c>
      <c r="X2001" s="135">
        <v>4.9821293764804798E-2</v>
      </c>
      <c r="Y2001" s="135">
        <v>5.0291848596529097E-2</v>
      </c>
      <c r="Z2001" s="135">
        <v>4.82892346244094E-2</v>
      </c>
      <c r="AA2001" s="135">
        <v>5.1714475712134798E-2</v>
      </c>
      <c r="AB2001" s="135">
        <v>5.30075440255122E-2</v>
      </c>
      <c r="AC2001" s="135">
        <v>4.66726392394579E-2</v>
      </c>
      <c r="AD2001" s="135">
        <v>4.3799673969663701E-2</v>
      </c>
      <c r="AF2001" s="243">
        <f t="shared" si="36"/>
        <v>0.39510591221181868</v>
      </c>
      <c r="AG2001" s="275">
        <f t="shared" si="37"/>
        <v>0.60217809446489956</v>
      </c>
      <c r="AH2001" s="391">
        <f t="shared" si="38"/>
        <v>0.5233758815598295</v>
      </c>
      <c r="AI2001" s="135">
        <f t="shared" si="39"/>
        <v>1.1255539760247291</v>
      </c>
    </row>
    <row r="2002" spans="1:35" ht="12.6">
      <c r="A2002" s="10" t="s">
        <v>865</v>
      </c>
      <c r="B2002" s="10">
        <v>176</v>
      </c>
      <c r="C2002" s="10" t="s">
        <v>1514</v>
      </c>
      <c r="D2002" s="388">
        <v>45102</v>
      </c>
      <c r="E2002" s="389">
        <v>45102</v>
      </c>
      <c r="F2002" s="390" t="str">
        <f t="shared" si="35"/>
        <v>Whitegoods</v>
      </c>
      <c r="G2002" s="135">
        <v>3.9220598409435099E-2</v>
      </c>
      <c r="H2002" s="135">
        <v>3.5928285565185701E-2</v>
      </c>
      <c r="I2002" s="135">
        <v>3.3372860843523498E-2</v>
      </c>
      <c r="J2002" s="135">
        <v>3.3192059569502302E-2</v>
      </c>
      <c r="K2002" s="135">
        <v>3.3211061022444602E-2</v>
      </c>
      <c r="L2002" s="135">
        <v>3.2603971276099299E-2</v>
      </c>
      <c r="M2002" s="135">
        <v>3.5692146063479702E-2</v>
      </c>
      <c r="N2002" s="135">
        <v>3.7442683592071799E-2</v>
      </c>
      <c r="O2002" s="135">
        <v>4.7214051932639597E-2</v>
      </c>
      <c r="P2002" s="135">
        <v>5.89736356060169E-2</v>
      </c>
      <c r="Q2002" s="135">
        <v>6.5428543023601196E-2</v>
      </c>
      <c r="R2002" s="135">
        <v>6.1192570682109801E-2</v>
      </c>
      <c r="S2002" s="135">
        <v>5.6786675878954702E-2</v>
      </c>
      <c r="T2002" s="135">
        <v>5.6971661244791701E-2</v>
      </c>
      <c r="U2002" s="135">
        <v>5.1616052789039399E-2</v>
      </c>
      <c r="V2002" s="135">
        <v>5.1541568653881702E-2</v>
      </c>
      <c r="W2002" s="135">
        <v>5.1568839939440198E-2</v>
      </c>
      <c r="X2002" s="135">
        <v>4.9821293764804798E-2</v>
      </c>
      <c r="Y2002" s="135">
        <v>5.0291848596529097E-2</v>
      </c>
      <c r="Z2002" s="135">
        <v>4.82892346244094E-2</v>
      </c>
      <c r="AA2002" s="135">
        <v>5.1714475712134798E-2</v>
      </c>
      <c r="AB2002" s="135">
        <v>5.30075440255122E-2</v>
      </c>
      <c r="AC2002" s="135">
        <v>4.66726392394579E-2</v>
      </c>
      <c r="AD2002" s="135">
        <v>4.3799673969663701E-2</v>
      </c>
      <c r="AF2002" s="243">
        <f t="shared" si="36"/>
        <v>0.39510591221181868</v>
      </c>
      <c r="AG2002" s="275">
        <f t="shared" si="37"/>
        <v>0.60217809446489956</v>
      </c>
      <c r="AH2002" s="391">
        <f t="shared" si="38"/>
        <v>0.5233758815598295</v>
      </c>
      <c r="AI2002" s="135">
        <f t="shared" si="39"/>
        <v>1.1255539760247291</v>
      </c>
    </row>
    <row r="2003" spans="1:35" ht="12.6">
      <c r="A2003" s="10" t="s">
        <v>865</v>
      </c>
      <c r="B2003" s="10">
        <v>177</v>
      </c>
      <c r="C2003" s="10" t="s">
        <v>1514</v>
      </c>
      <c r="D2003" s="388">
        <v>45103</v>
      </c>
      <c r="E2003" s="389">
        <v>45103</v>
      </c>
      <c r="F2003" s="390" t="str">
        <f t="shared" si="35"/>
        <v>Whitegoods</v>
      </c>
      <c r="G2003" s="135">
        <v>4.03888180939386E-2</v>
      </c>
      <c r="H2003" s="135">
        <v>3.4721150267714197E-2</v>
      </c>
      <c r="I2003" s="135">
        <v>3.2897826566129502E-2</v>
      </c>
      <c r="J2003" s="135">
        <v>3.3067332280052E-2</v>
      </c>
      <c r="K2003" s="135">
        <v>3.2661688215700001E-2</v>
      </c>
      <c r="L2003" s="135">
        <v>3.3417143376560203E-2</v>
      </c>
      <c r="M2003" s="135">
        <v>3.6582320186360803E-2</v>
      </c>
      <c r="N2003" s="135">
        <v>4.5261807128611303E-2</v>
      </c>
      <c r="O2003" s="135">
        <v>4.9009772411002697E-2</v>
      </c>
      <c r="P2003" s="135">
        <v>4.5873836488933499E-2</v>
      </c>
      <c r="Q2003" s="135">
        <v>4.3035632336435897E-2</v>
      </c>
      <c r="R2003" s="135">
        <v>4.1252549683206997E-2</v>
      </c>
      <c r="S2003" s="135">
        <v>4.1217720676329901E-2</v>
      </c>
      <c r="T2003" s="135">
        <v>4.0398991550468201E-2</v>
      </c>
      <c r="U2003" s="135">
        <v>4.1506957492086903E-2</v>
      </c>
      <c r="V2003" s="135">
        <v>4.0257815048548598E-2</v>
      </c>
      <c r="W2003" s="135">
        <v>4.0331423346317202E-2</v>
      </c>
      <c r="X2003" s="135">
        <v>4.1947562730741302E-2</v>
      </c>
      <c r="Y2003" s="135">
        <v>4.3506044226965197E-2</v>
      </c>
      <c r="Z2003" s="135">
        <v>4.4479431999894903E-2</v>
      </c>
      <c r="AA2003" s="135">
        <v>5.0392162077871498E-2</v>
      </c>
      <c r="AB2003" s="135">
        <v>4.80877543106841E-2</v>
      </c>
      <c r="AC2003" s="135">
        <v>4.6467953456920202E-2</v>
      </c>
      <c r="AD2003" s="135">
        <v>4.5595058865232602E-2</v>
      </c>
      <c r="AF2003" s="243">
        <f t="shared" si="36"/>
        <v>0.2880010901333937</v>
      </c>
      <c r="AG2003" s="275">
        <f t="shared" si="37"/>
        <v>0.53951219942235906</v>
      </c>
      <c r="AH2003" s="391">
        <f t="shared" si="38"/>
        <v>0.45284655339434743</v>
      </c>
      <c r="AI2003" s="135">
        <f t="shared" si="39"/>
        <v>0.99235875281670649</v>
      </c>
    </row>
    <row r="2004" spans="1:35" ht="12.6">
      <c r="A2004" s="10" t="s">
        <v>865</v>
      </c>
      <c r="B2004" s="10">
        <v>178</v>
      </c>
      <c r="C2004" s="10" t="s">
        <v>1514</v>
      </c>
      <c r="D2004" s="388">
        <v>45104</v>
      </c>
      <c r="E2004" s="389">
        <v>45104</v>
      </c>
      <c r="F2004" s="390" t="str">
        <f t="shared" si="35"/>
        <v>Whitegoods</v>
      </c>
      <c r="G2004" s="135">
        <v>4.03888180939386E-2</v>
      </c>
      <c r="H2004" s="135">
        <v>3.4721150267714197E-2</v>
      </c>
      <c r="I2004" s="135">
        <v>3.2897826566129502E-2</v>
      </c>
      <c r="J2004" s="135">
        <v>3.3067332280052E-2</v>
      </c>
      <c r="K2004" s="135">
        <v>3.2661688215700001E-2</v>
      </c>
      <c r="L2004" s="135">
        <v>3.3417143376560203E-2</v>
      </c>
      <c r="M2004" s="135">
        <v>3.6582320186360803E-2</v>
      </c>
      <c r="N2004" s="135">
        <v>4.5261807128611303E-2</v>
      </c>
      <c r="O2004" s="135">
        <v>4.9009772411002697E-2</v>
      </c>
      <c r="P2004" s="135">
        <v>4.5873836488933499E-2</v>
      </c>
      <c r="Q2004" s="135">
        <v>4.3035632336435897E-2</v>
      </c>
      <c r="R2004" s="135">
        <v>4.1252549683206997E-2</v>
      </c>
      <c r="S2004" s="135">
        <v>4.1217720676329901E-2</v>
      </c>
      <c r="T2004" s="135">
        <v>4.0398991550468201E-2</v>
      </c>
      <c r="U2004" s="135">
        <v>4.1506957492086903E-2</v>
      </c>
      <c r="V2004" s="135">
        <v>4.0257815048548598E-2</v>
      </c>
      <c r="W2004" s="135">
        <v>4.0331423346317202E-2</v>
      </c>
      <c r="X2004" s="135">
        <v>4.1947562730741302E-2</v>
      </c>
      <c r="Y2004" s="135">
        <v>4.3506044226965197E-2</v>
      </c>
      <c r="Z2004" s="135">
        <v>4.4479431999894903E-2</v>
      </c>
      <c r="AA2004" s="135">
        <v>5.0392162077871498E-2</v>
      </c>
      <c r="AB2004" s="135">
        <v>4.80877543106841E-2</v>
      </c>
      <c r="AC2004" s="135">
        <v>4.6467953456920202E-2</v>
      </c>
      <c r="AD2004" s="135">
        <v>4.5595058865232602E-2</v>
      </c>
      <c r="AF2004" s="243">
        <f t="shared" si="36"/>
        <v>0.2880010901333937</v>
      </c>
      <c r="AG2004" s="275">
        <f t="shared" si="37"/>
        <v>0.53951219942235906</v>
      </c>
      <c r="AH2004" s="391">
        <f t="shared" si="38"/>
        <v>0.45284655339434743</v>
      </c>
      <c r="AI2004" s="135">
        <f t="shared" si="39"/>
        <v>0.99235875281670649</v>
      </c>
    </row>
    <row r="2005" spans="1:35" ht="12.6">
      <c r="A2005" s="10" t="s">
        <v>865</v>
      </c>
      <c r="B2005" s="10">
        <v>179</v>
      </c>
      <c r="C2005" s="10" t="s">
        <v>1514</v>
      </c>
      <c r="D2005" s="388">
        <v>45105</v>
      </c>
      <c r="E2005" s="389">
        <v>45105</v>
      </c>
      <c r="F2005" s="390" t="str">
        <f t="shared" si="35"/>
        <v>Whitegoods</v>
      </c>
      <c r="G2005" s="135">
        <v>4.03888180939386E-2</v>
      </c>
      <c r="H2005" s="135">
        <v>3.4721150267714197E-2</v>
      </c>
      <c r="I2005" s="135">
        <v>3.2897826566129502E-2</v>
      </c>
      <c r="J2005" s="135">
        <v>3.3067332280052E-2</v>
      </c>
      <c r="K2005" s="135">
        <v>3.2661688215700001E-2</v>
      </c>
      <c r="L2005" s="135">
        <v>3.3417143376560203E-2</v>
      </c>
      <c r="M2005" s="135">
        <v>3.6582320186360803E-2</v>
      </c>
      <c r="N2005" s="135">
        <v>4.5261807128611303E-2</v>
      </c>
      <c r="O2005" s="135">
        <v>4.9009772411002697E-2</v>
      </c>
      <c r="P2005" s="135">
        <v>4.5873836488933499E-2</v>
      </c>
      <c r="Q2005" s="135">
        <v>4.3035632336435897E-2</v>
      </c>
      <c r="R2005" s="135">
        <v>4.1252549683206997E-2</v>
      </c>
      <c r="S2005" s="135">
        <v>4.1217720676329901E-2</v>
      </c>
      <c r="T2005" s="135">
        <v>4.0398991550468201E-2</v>
      </c>
      <c r="U2005" s="135">
        <v>4.1506957492086903E-2</v>
      </c>
      <c r="V2005" s="135">
        <v>4.0257815048548598E-2</v>
      </c>
      <c r="W2005" s="135">
        <v>4.0331423346317202E-2</v>
      </c>
      <c r="X2005" s="135">
        <v>4.1947562730741302E-2</v>
      </c>
      <c r="Y2005" s="135">
        <v>4.3506044226965197E-2</v>
      </c>
      <c r="Z2005" s="135">
        <v>4.4479431999894903E-2</v>
      </c>
      <c r="AA2005" s="135">
        <v>5.0392162077871498E-2</v>
      </c>
      <c r="AB2005" s="135">
        <v>4.80877543106841E-2</v>
      </c>
      <c r="AC2005" s="135">
        <v>4.6467953456920202E-2</v>
      </c>
      <c r="AD2005" s="135">
        <v>4.5595058865232602E-2</v>
      </c>
      <c r="AF2005" s="243">
        <f t="shared" si="36"/>
        <v>0.2880010901333937</v>
      </c>
      <c r="AG2005" s="275">
        <f t="shared" si="37"/>
        <v>0.53951219942235906</v>
      </c>
      <c r="AH2005" s="391">
        <f t="shared" si="38"/>
        <v>0.45284655339434743</v>
      </c>
      <c r="AI2005" s="135">
        <f t="shared" si="39"/>
        <v>0.99235875281670649</v>
      </c>
    </row>
    <row r="2006" spans="1:35" ht="12.6">
      <c r="A2006" s="10" t="s">
        <v>865</v>
      </c>
      <c r="B2006" s="10">
        <v>180</v>
      </c>
      <c r="C2006" s="10" t="s">
        <v>1514</v>
      </c>
      <c r="D2006" s="388">
        <v>45106</v>
      </c>
      <c r="E2006" s="389">
        <v>45106</v>
      </c>
      <c r="F2006" s="390" t="str">
        <f t="shared" si="35"/>
        <v>Whitegoods</v>
      </c>
      <c r="G2006" s="135">
        <v>4.03888180939386E-2</v>
      </c>
      <c r="H2006" s="135">
        <v>3.4721150267714197E-2</v>
      </c>
      <c r="I2006" s="135">
        <v>3.2897826566129502E-2</v>
      </c>
      <c r="J2006" s="135">
        <v>3.3067332280052E-2</v>
      </c>
      <c r="K2006" s="135">
        <v>3.2661688215700001E-2</v>
      </c>
      <c r="L2006" s="135">
        <v>3.3417143376560203E-2</v>
      </c>
      <c r="M2006" s="135">
        <v>3.6582320186360803E-2</v>
      </c>
      <c r="N2006" s="135">
        <v>4.5261807128611303E-2</v>
      </c>
      <c r="O2006" s="135">
        <v>4.9009772411002697E-2</v>
      </c>
      <c r="P2006" s="135">
        <v>4.5873836488933499E-2</v>
      </c>
      <c r="Q2006" s="135">
        <v>4.3035632336435897E-2</v>
      </c>
      <c r="R2006" s="135">
        <v>4.1252549683206997E-2</v>
      </c>
      <c r="S2006" s="135">
        <v>4.1217720676329901E-2</v>
      </c>
      <c r="T2006" s="135">
        <v>4.0398991550468201E-2</v>
      </c>
      <c r="U2006" s="135">
        <v>4.1506957492086903E-2</v>
      </c>
      <c r="V2006" s="135">
        <v>4.0257815048548598E-2</v>
      </c>
      <c r="W2006" s="135">
        <v>4.0331423346317202E-2</v>
      </c>
      <c r="X2006" s="135">
        <v>4.1947562730741302E-2</v>
      </c>
      <c r="Y2006" s="135">
        <v>4.3506044226965197E-2</v>
      </c>
      <c r="Z2006" s="135">
        <v>4.4479431999894903E-2</v>
      </c>
      <c r="AA2006" s="135">
        <v>5.0392162077871498E-2</v>
      </c>
      <c r="AB2006" s="135">
        <v>4.80877543106841E-2</v>
      </c>
      <c r="AC2006" s="135">
        <v>4.6467953456920202E-2</v>
      </c>
      <c r="AD2006" s="135">
        <v>4.5595058865232602E-2</v>
      </c>
      <c r="AF2006" s="243">
        <f t="shared" si="36"/>
        <v>0.2880010901333937</v>
      </c>
      <c r="AG2006" s="275">
        <f t="shared" si="37"/>
        <v>0.53951219942235906</v>
      </c>
      <c r="AH2006" s="391">
        <f t="shared" si="38"/>
        <v>0.45284655339434743</v>
      </c>
      <c r="AI2006" s="135">
        <f t="shared" si="39"/>
        <v>0.99235875281670649</v>
      </c>
    </row>
    <row r="2007" spans="1:35" ht="12.6">
      <c r="A2007" s="10" t="s">
        <v>865</v>
      </c>
      <c r="B2007" s="10">
        <v>181</v>
      </c>
      <c r="C2007" s="10" t="s">
        <v>1514</v>
      </c>
      <c r="D2007" s="388">
        <v>45107</v>
      </c>
      <c r="E2007" s="389">
        <v>45107</v>
      </c>
      <c r="F2007" s="390" t="str">
        <f t="shared" si="35"/>
        <v>Whitegoods</v>
      </c>
      <c r="G2007" s="135">
        <v>4.03888180939386E-2</v>
      </c>
      <c r="H2007" s="135">
        <v>3.4721150267714197E-2</v>
      </c>
      <c r="I2007" s="135">
        <v>3.2897826566129502E-2</v>
      </c>
      <c r="J2007" s="135">
        <v>3.3067332280052E-2</v>
      </c>
      <c r="K2007" s="135">
        <v>3.2661688215700001E-2</v>
      </c>
      <c r="L2007" s="135">
        <v>3.3417143376560203E-2</v>
      </c>
      <c r="M2007" s="135">
        <v>3.6582320186360803E-2</v>
      </c>
      <c r="N2007" s="135">
        <v>4.5261807128611303E-2</v>
      </c>
      <c r="O2007" s="135">
        <v>4.9009772411002697E-2</v>
      </c>
      <c r="P2007" s="135">
        <v>4.5873836488933499E-2</v>
      </c>
      <c r="Q2007" s="135">
        <v>4.3035632336435897E-2</v>
      </c>
      <c r="R2007" s="135">
        <v>4.1252549683206997E-2</v>
      </c>
      <c r="S2007" s="135">
        <v>4.1217720676329901E-2</v>
      </c>
      <c r="T2007" s="135">
        <v>4.0398991550468201E-2</v>
      </c>
      <c r="U2007" s="135">
        <v>4.1506957492086903E-2</v>
      </c>
      <c r="V2007" s="135">
        <v>4.0257815048548598E-2</v>
      </c>
      <c r="W2007" s="135">
        <v>4.0331423346317202E-2</v>
      </c>
      <c r="X2007" s="135">
        <v>4.1947562730741302E-2</v>
      </c>
      <c r="Y2007" s="135">
        <v>4.3506044226965197E-2</v>
      </c>
      <c r="Z2007" s="135">
        <v>4.4479431999894903E-2</v>
      </c>
      <c r="AA2007" s="135">
        <v>5.0392162077871498E-2</v>
      </c>
      <c r="AB2007" s="135">
        <v>4.80877543106841E-2</v>
      </c>
      <c r="AC2007" s="135">
        <v>4.6467953456920202E-2</v>
      </c>
      <c r="AD2007" s="135">
        <v>4.5595058865232602E-2</v>
      </c>
      <c r="AF2007" s="243">
        <f t="shared" si="36"/>
        <v>0.2880010901333937</v>
      </c>
      <c r="AG2007" s="275">
        <f t="shared" si="37"/>
        <v>0.53951219942235906</v>
      </c>
      <c r="AH2007" s="391">
        <f t="shared" si="38"/>
        <v>0.45284655339434743</v>
      </c>
      <c r="AI2007" s="135">
        <f t="shared" si="39"/>
        <v>0.99235875281670649</v>
      </c>
    </row>
    <row r="2008" spans="1:35" ht="12.6">
      <c r="A2008" s="10" t="s">
        <v>865</v>
      </c>
      <c r="B2008" s="10">
        <v>182</v>
      </c>
      <c r="C2008" s="10" t="s">
        <v>1514</v>
      </c>
      <c r="D2008" s="388">
        <v>45108</v>
      </c>
      <c r="E2008" s="389">
        <v>45108</v>
      </c>
      <c r="F2008" s="390" t="str">
        <f t="shared" si="35"/>
        <v>Whitegoods</v>
      </c>
      <c r="G2008" s="135">
        <v>3.9220598409435099E-2</v>
      </c>
      <c r="H2008" s="135">
        <v>3.5928285565185701E-2</v>
      </c>
      <c r="I2008" s="135">
        <v>3.3372860843523498E-2</v>
      </c>
      <c r="J2008" s="135">
        <v>3.3192059569502302E-2</v>
      </c>
      <c r="K2008" s="135">
        <v>3.3211061022444602E-2</v>
      </c>
      <c r="L2008" s="135">
        <v>3.2603971276099299E-2</v>
      </c>
      <c r="M2008" s="135">
        <v>3.5692146063479702E-2</v>
      </c>
      <c r="N2008" s="135">
        <v>3.7442683592071799E-2</v>
      </c>
      <c r="O2008" s="135">
        <v>4.7214051932639597E-2</v>
      </c>
      <c r="P2008" s="135">
        <v>5.89736356060169E-2</v>
      </c>
      <c r="Q2008" s="135">
        <v>6.5428543023601196E-2</v>
      </c>
      <c r="R2008" s="135">
        <v>6.1192570682109801E-2</v>
      </c>
      <c r="S2008" s="135">
        <v>5.6786675878954702E-2</v>
      </c>
      <c r="T2008" s="135">
        <v>5.6971661244791701E-2</v>
      </c>
      <c r="U2008" s="135">
        <v>5.1616052789039399E-2</v>
      </c>
      <c r="V2008" s="135">
        <v>5.1541568653881702E-2</v>
      </c>
      <c r="W2008" s="135">
        <v>5.1568839939440198E-2</v>
      </c>
      <c r="X2008" s="135">
        <v>4.9821293764804798E-2</v>
      </c>
      <c r="Y2008" s="135">
        <v>5.0291848596529097E-2</v>
      </c>
      <c r="Z2008" s="135">
        <v>4.82892346244094E-2</v>
      </c>
      <c r="AA2008" s="135">
        <v>5.1714475712134798E-2</v>
      </c>
      <c r="AB2008" s="135">
        <v>5.30075440255122E-2</v>
      </c>
      <c r="AC2008" s="135">
        <v>4.66726392394579E-2</v>
      </c>
      <c r="AD2008" s="135">
        <v>4.3799673969663701E-2</v>
      </c>
      <c r="AF2008" s="243">
        <f t="shared" si="36"/>
        <v>0.39510591221181868</v>
      </c>
      <c r="AG2008" s="275">
        <f t="shared" si="37"/>
        <v>0.60217809446489956</v>
      </c>
      <c r="AH2008" s="391">
        <f t="shared" si="38"/>
        <v>0.5233758815598295</v>
      </c>
      <c r="AI2008" s="135">
        <f t="shared" si="39"/>
        <v>1.1255539760247291</v>
      </c>
    </row>
    <row r="2009" spans="1:35" ht="12.6">
      <c r="A2009" s="10" t="s">
        <v>865</v>
      </c>
      <c r="B2009" s="10">
        <v>183</v>
      </c>
      <c r="C2009" s="10" t="s">
        <v>1514</v>
      </c>
      <c r="D2009" s="388">
        <v>45109</v>
      </c>
      <c r="E2009" s="389">
        <v>45109</v>
      </c>
      <c r="F2009" s="390" t="str">
        <f t="shared" si="35"/>
        <v>Whitegoods</v>
      </c>
      <c r="G2009" s="135">
        <v>3.9220598409435099E-2</v>
      </c>
      <c r="H2009" s="135">
        <v>3.5928285565185701E-2</v>
      </c>
      <c r="I2009" s="135">
        <v>3.3372860843523498E-2</v>
      </c>
      <c r="J2009" s="135">
        <v>3.3192059569502302E-2</v>
      </c>
      <c r="K2009" s="135">
        <v>3.3211061022444602E-2</v>
      </c>
      <c r="L2009" s="135">
        <v>3.2603971276099299E-2</v>
      </c>
      <c r="M2009" s="135">
        <v>3.5692146063479702E-2</v>
      </c>
      <c r="N2009" s="135">
        <v>3.7442683592071799E-2</v>
      </c>
      <c r="O2009" s="135">
        <v>4.7214051932639597E-2</v>
      </c>
      <c r="P2009" s="135">
        <v>5.89736356060169E-2</v>
      </c>
      <c r="Q2009" s="135">
        <v>6.5428543023601196E-2</v>
      </c>
      <c r="R2009" s="135">
        <v>6.1192570682109801E-2</v>
      </c>
      <c r="S2009" s="135">
        <v>5.6786675878954702E-2</v>
      </c>
      <c r="T2009" s="135">
        <v>5.6971661244791701E-2</v>
      </c>
      <c r="U2009" s="135">
        <v>5.1616052789039399E-2</v>
      </c>
      <c r="V2009" s="135">
        <v>5.1541568653881702E-2</v>
      </c>
      <c r="W2009" s="135">
        <v>5.1568839939440198E-2</v>
      </c>
      <c r="X2009" s="135">
        <v>4.9821293764804798E-2</v>
      </c>
      <c r="Y2009" s="135">
        <v>5.0291848596529097E-2</v>
      </c>
      <c r="Z2009" s="135">
        <v>4.82892346244094E-2</v>
      </c>
      <c r="AA2009" s="135">
        <v>5.1714475712134798E-2</v>
      </c>
      <c r="AB2009" s="135">
        <v>5.30075440255122E-2</v>
      </c>
      <c r="AC2009" s="135">
        <v>4.66726392394579E-2</v>
      </c>
      <c r="AD2009" s="135">
        <v>4.3799673969663701E-2</v>
      </c>
      <c r="AF2009" s="243">
        <f t="shared" si="36"/>
        <v>0.39510591221181868</v>
      </c>
      <c r="AG2009" s="275">
        <f t="shared" si="37"/>
        <v>0.60217809446489956</v>
      </c>
      <c r="AH2009" s="391">
        <f t="shared" si="38"/>
        <v>0.5233758815598295</v>
      </c>
      <c r="AI2009" s="135">
        <f t="shared" si="39"/>
        <v>1.1255539760247291</v>
      </c>
    </row>
    <row r="2010" spans="1:35" ht="12.6">
      <c r="A2010" s="10" t="s">
        <v>865</v>
      </c>
      <c r="B2010" s="10">
        <v>184</v>
      </c>
      <c r="C2010" s="10" t="s">
        <v>1514</v>
      </c>
      <c r="D2010" s="388">
        <v>45110</v>
      </c>
      <c r="E2010" s="389">
        <v>45110</v>
      </c>
      <c r="F2010" s="390" t="str">
        <f t="shared" si="35"/>
        <v>Whitegoods</v>
      </c>
      <c r="G2010" s="135">
        <v>4.03888180939386E-2</v>
      </c>
      <c r="H2010" s="135">
        <v>3.4721150267714197E-2</v>
      </c>
      <c r="I2010" s="135">
        <v>3.2897826566129502E-2</v>
      </c>
      <c r="J2010" s="135">
        <v>3.3067332280052E-2</v>
      </c>
      <c r="K2010" s="135">
        <v>3.2661688215700001E-2</v>
      </c>
      <c r="L2010" s="135">
        <v>3.3417143376560203E-2</v>
      </c>
      <c r="M2010" s="135">
        <v>3.6582320186360803E-2</v>
      </c>
      <c r="N2010" s="135">
        <v>4.5261807128611303E-2</v>
      </c>
      <c r="O2010" s="135">
        <v>4.9009772411002697E-2</v>
      </c>
      <c r="P2010" s="135">
        <v>4.5873836488933499E-2</v>
      </c>
      <c r="Q2010" s="135">
        <v>4.3035632336435897E-2</v>
      </c>
      <c r="R2010" s="135">
        <v>4.1252549683206997E-2</v>
      </c>
      <c r="S2010" s="135">
        <v>4.1217720676329901E-2</v>
      </c>
      <c r="T2010" s="135">
        <v>4.0398991550468201E-2</v>
      </c>
      <c r="U2010" s="135">
        <v>4.1506957492086903E-2</v>
      </c>
      <c r="V2010" s="135">
        <v>4.0257815048548598E-2</v>
      </c>
      <c r="W2010" s="135">
        <v>4.0331423346317202E-2</v>
      </c>
      <c r="X2010" s="135">
        <v>4.1947562730741302E-2</v>
      </c>
      <c r="Y2010" s="135">
        <v>4.3506044226965197E-2</v>
      </c>
      <c r="Z2010" s="135">
        <v>4.4479431999894903E-2</v>
      </c>
      <c r="AA2010" s="135">
        <v>5.0392162077871498E-2</v>
      </c>
      <c r="AB2010" s="135">
        <v>4.80877543106841E-2</v>
      </c>
      <c r="AC2010" s="135">
        <v>4.6467953456920202E-2</v>
      </c>
      <c r="AD2010" s="135">
        <v>4.5595058865232602E-2</v>
      </c>
      <c r="AF2010" s="243">
        <f t="shared" si="36"/>
        <v>0.2880010901333937</v>
      </c>
      <c r="AG2010" s="275">
        <f t="shared" si="37"/>
        <v>0.53951219942235906</v>
      </c>
      <c r="AH2010" s="391">
        <f t="shared" si="38"/>
        <v>0.45284655339434743</v>
      </c>
      <c r="AI2010" s="135">
        <f t="shared" si="39"/>
        <v>0.99235875281670649</v>
      </c>
    </row>
    <row r="2011" spans="1:35" ht="12.6">
      <c r="A2011" s="10" t="s">
        <v>865</v>
      </c>
      <c r="B2011" s="10">
        <v>185</v>
      </c>
      <c r="C2011" s="10" t="s">
        <v>1514</v>
      </c>
      <c r="D2011" s="388">
        <v>45111</v>
      </c>
      <c r="E2011" s="389">
        <v>45111</v>
      </c>
      <c r="F2011" s="390" t="str">
        <f t="shared" si="35"/>
        <v>Whitegoods</v>
      </c>
      <c r="G2011" s="135">
        <v>4.03888180939386E-2</v>
      </c>
      <c r="H2011" s="135">
        <v>3.4721150267714197E-2</v>
      </c>
      <c r="I2011" s="135">
        <v>3.2897826566129502E-2</v>
      </c>
      <c r="J2011" s="135">
        <v>3.3067332280052E-2</v>
      </c>
      <c r="K2011" s="135">
        <v>3.2661688215700001E-2</v>
      </c>
      <c r="L2011" s="135">
        <v>3.3417143376560203E-2</v>
      </c>
      <c r="M2011" s="135">
        <v>3.6582320186360803E-2</v>
      </c>
      <c r="N2011" s="135">
        <v>4.5261807128611303E-2</v>
      </c>
      <c r="O2011" s="135">
        <v>4.9009772411002697E-2</v>
      </c>
      <c r="P2011" s="135">
        <v>4.5873836488933499E-2</v>
      </c>
      <c r="Q2011" s="135">
        <v>4.3035632336435897E-2</v>
      </c>
      <c r="R2011" s="135">
        <v>4.1252549683206997E-2</v>
      </c>
      <c r="S2011" s="135">
        <v>4.1217720676329901E-2</v>
      </c>
      <c r="T2011" s="135">
        <v>4.0398991550468201E-2</v>
      </c>
      <c r="U2011" s="135">
        <v>4.1506957492086903E-2</v>
      </c>
      <c r="V2011" s="135">
        <v>4.0257815048548598E-2</v>
      </c>
      <c r="W2011" s="135">
        <v>4.0331423346317202E-2</v>
      </c>
      <c r="X2011" s="135">
        <v>4.1947562730741302E-2</v>
      </c>
      <c r="Y2011" s="135">
        <v>4.3506044226965197E-2</v>
      </c>
      <c r="Z2011" s="135">
        <v>4.4479431999894903E-2</v>
      </c>
      <c r="AA2011" s="135">
        <v>5.0392162077871498E-2</v>
      </c>
      <c r="AB2011" s="135">
        <v>4.80877543106841E-2</v>
      </c>
      <c r="AC2011" s="135">
        <v>4.6467953456920202E-2</v>
      </c>
      <c r="AD2011" s="135">
        <v>4.5595058865232602E-2</v>
      </c>
      <c r="AF2011" s="243">
        <f t="shared" si="36"/>
        <v>0.2880010901333937</v>
      </c>
      <c r="AG2011" s="275">
        <f t="shared" si="37"/>
        <v>0.53951219942235906</v>
      </c>
      <c r="AH2011" s="391">
        <f t="shared" si="38"/>
        <v>0.45284655339434743</v>
      </c>
      <c r="AI2011" s="135">
        <f t="shared" si="39"/>
        <v>0.99235875281670649</v>
      </c>
    </row>
    <row r="2012" spans="1:35" ht="12.6">
      <c r="A2012" s="10" t="s">
        <v>865</v>
      </c>
      <c r="B2012" s="10">
        <v>186</v>
      </c>
      <c r="C2012" s="10" t="s">
        <v>1514</v>
      </c>
      <c r="D2012" s="388">
        <v>45112</v>
      </c>
      <c r="E2012" s="389">
        <v>45112</v>
      </c>
      <c r="F2012" s="390" t="str">
        <f t="shared" si="35"/>
        <v>Whitegoods</v>
      </c>
      <c r="G2012" s="135">
        <v>4.03888180939386E-2</v>
      </c>
      <c r="H2012" s="135">
        <v>3.4721150267714197E-2</v>
      </c>
      <c r="I2012" s="135">
        <v>3.2897826566129502E-2</v>
      </c>
      <c r="J2012" s="135">
        <v>3.3067332280052E-2</v>
      </c>
      <c r="K2012" s="135">
        <v>3.2661688215700001E-2</v>
      </c>
      <c r="L2012" s="135">
        <v>3.3417143376560203E-2</v>
      </c>
      <c r="M2012" s="135">
        <v>3.6582320186360803E-2</v>
      </c>
      <c r="N2012" s="135">
        <v>4.5261807128611303E-2</v>
      </c>
      <c r="O2012" s="135">
        <v>4.9009772411002697E-2</v>
      </c>
      <c r="P2012" s="135">
        <v>4.5873836488933499E-2</v>
      </c>
      <c r="Q2012" s="135">
        <v>4.3035632336435897E-2</v>
      </c>
      <c r="R2012" s="135">
        <v>4.1252549683206997E-2</v>
      </c>
      <c r="S2012" s="135">
        <v>4.1217720676329901E-2</v>
      </c>
      <c r="T2012" s="135">
        <v>4.0398991550468201E-2</v>
      </c>
      <c r="U2012" s="135">
        <v>4.1506957492086903E-2</v>
      </c>
      <c r="V2012" s="135">
        <v>4.0257815048548598E-2</v>
      </c>
      <c r="W2012" s="135">
        <v>4.0331423346317202E-2</v>
      </c>
      <c r="X2012" s="135">
        <v>4.1947562730741302E-2</v>
      </c>
      <c r="Y2012" s="135">
        <v>4.3506044226965197E-2</v>
      </c>
      <c r="Z2012" s="135">
        <v>4.4479431999894903E-2</v>
      </c>
      <c r="AA2012" s="135">
        <v>5.0392162077871498E-2</v>
      </c>
      <c r="AB2012" s="135">
        <v>4.80877543106841E-2</v>
      </c>
      <c r="AC2012" s="135">
        <v>4.6467953456920202E-2</v>
      </c>
      <c r="AD2012" s="135">
        <v>4.5595058865232602E-2</v>
      </c>
      <c r="AF2012" s="243">
        <f t="shared" si="36"/>
        <v>0.2880010901333937</v>
      </c>
      <c r="AG2012" s="275">
        <f t="shared" si="37"/>
        <v>0.53951219942235906</v>
      </c>
      <c r="AH2012" s="391">
        <f t="shared" si="38"/>
        <v>0.45284655339434743</v>
      </c>
      <c r="AI2012" s="135">
        <f t="shared" si="39"/>
        <v>0.99235875281670649</v>
      </c>
    </row>
    <row r="2013" spans="1:35" ht="12.6">
      <c r="A2013" s="10" t="s">
        <v>865</v>
      </c>
      <c r="B2013" s="10">
        <v>187</v>
      </c>
      <c r="C2013" s="10" t="s">
        <v>1514</v>
      </c>
      <c r="D2013" s="388">
        <v>45113</v>
      </c>
      <c r="E2013" s="389">
        <v>45113</v>
      </c>
      <c r="F2013" s="390" t="str">
        <f t="shared" si="35"/>
        <v>Whitegoods</v>
      </c>
      <c r="G2013" s="135">
        <v>4.03888180939386E-2</v>
      </c>
      <c r="H2013" s="135">
        <v>3.4721150267714197E-2</v>
      </c>
      <c r="I2013" s="135">
        <v>3.2897826566129502E-2</v>
      </c>
      <c r="J2013" s="135">
        <v>3.3067332280052E-2</v>
      </c>
      <c r="K2013" s="135">
        <v>3.2661688215700001E-2</v>
      </c>
      <c r="L2013" s="135">
        <v>3.3417143376560203E-2</v>
      </c>
      <c r="M2013" s="135">
        <v>3.6582320186360803E-2</v>
      </c>
      <c r="N2013" s="135">
        <v>4.5261807128611303E-2</v>
      </c>
      <c r="O2013" s="135">
        <v>4.9009772411002697E-2</v>
      </c>
      <c r="P2013" s="135">
        <v>4.5873836488933499E-2</v>
      </c>
      <c r="Q2013" s="135">
        <v>4.3035632336435897E-2</v>
      </c>
      <c r="R2013" s="135">
        <v>4.1252549683206997E-2</v>
      </c>
      <c r="S2013" s="135">
        <v>4.1217720676329901E-2</v>
      </c>
      <c r="T2013" s="135">
        <v>4.0398991550468201E-2</v>
      </c>
      <c r="U2013" s="135">
        <v>4.1506957492086903E-2</v>
      </c>
      <c r="V2013" s="135">
        <v>4.0257815048548598E-2</v>
      </c>
      <c r="W2013" s="135">
        <v>4.0331423346317202E-2</v>
      </c>
      <c r="X2013" s="135">
        <v>4.1947562730741302E-2</v>
      </c>
      <c r="Y2013" s="135">
        <v>4.3506044226965197E-2</v>
      </c>
      <c r="Z2013" s="135">
        <v>4.4479431999894903E-2</v>
      </c>
      <c r="AA2013" s="135">
        <v>5.0392162077871498E-2</v>
      </c>
      <c r="AB2013" s="135">
        <v>4.80877543106841E-2</v>
      </c>
      <c r="AC2013" s="135">
        <v>4.6467953456920202E-2</v>
      </c>
      <c r="AD2013" s="135">
        <v>4.5595058865232602E-2</v>
      </c>
      <c r="AF2013" s="243">
        <f t="shared" si="36"/>
        <v>0.2880010901333937</v>
      </c>
      <c r="AG2013" s="275">
        <f t="shared" si="37"/>
        <v>0.53951219942235906</v>
      </c>
      <c r="AH2013" s="391">
        <f t="shared" si="38"/>
        <v>0.45284655339434743</v>
      </c>
      <c r="AI2013" s="135">
        <f t="shared" si="39"/>
        <v>0.99235875281670649</v>
      </c>
    </row>
    <row r="2014" spans="1:35" ht="12.6">
      <c r="A2014" s="10" t="s">
        <v>865</v>
      </c>
      <c r="B2014" s="10">
        <v>188</v>
      </c>
      <c r="C2014" s="10" t="s">
        <v>1514</v>
      </c>
      <c r="D2014" s="388">
        <v>45114</v>
      </c>
      <c r="E2014" s="389">
        <v>45114</v>
      </c>
      <c r="F2014" s="390" t="str">
        <f t="shared" si="35"/>
        <v>Whitegoods</v>
      </c>
      <c r="G2014" s="135">
        <v>4.03888180939386E-2</v>
      </c>
      <c r="H2014" s="135">
        <v>3.4721150267714197E-2</v>
      </c>
      <c r="I2014" s="135">
        <v>3.2897826566129502E-2</v>
      </c>
      <c r="J2014" s="135">
        <v>3.3067332280052E-2</v>
      </c>
      <c r="K2014" s="135">
        <v>3.2661688215700001E-2</v>
      </c>
      <c r="L2014" s="135">
        <v>3.3417143376560203E-2</v>
      </c>
      <c r="M2014" s="135">
        <v>3.6582320186360803E-2</v>
      </c>
      <c r="N2014" s="135">
        <v>4.5261807128611303E-2</v>
      </c>
      <c r="O2014" s="135">
        <v>4.9009772411002697E-2</v>
      </c>
      <c r="P2014" s="135">
        <v>4.5873836488933499E-2</v>
      </c>
      <c r="Q2014" s="135">
        <v>4.3035632336435897E-2</v>
      </c>
      <c r="R2014" s="135">
        <v>4.1252549683206997E-2</v>
      </c>
      <c r="S2014" s="135">
        <v>4.1217720676329901E-2</v>
      </c>
      <c r="T2014" s="135">
        <v>4.0398991550468201E-2</v>
      </c>
      <c r="U2014" s="135">
        <v>4.1506957492086903E-2</v>
      </c>
      <c r="V2014" s="135">
        <v>4.0257815048548598E-2</v>
      </c>
      <c r="W2014" s="135">
        <v>4.0331423346317202E-2</v>
      </c>
      <c r="X2014" s="135">
        <v>4.1947562730741302E-2</v>
      </c>
      <c r="Y2014" s="135">
        <v>4.3506044226965197E-2</v>
      </c>
      <c r="Z2014" s="135">
        <v>4.4479431999894903E-2</v>
      </c>
      <c r="AA2014" s="135">
        <v>5.0392162077871498E-2</v>
      </c>
      <c r="AB2014" s="135">
        <v>4.80877543106841E-2</v>
      </c>
      <c r="AC2014" s="135">
        <v>4.6467953456920202E-2</v>
      </c>
      <c r="AD2014" s="135">
        <v>4.5595058865232602E-2</v>
      </c>
      <c r="AF2014" s="243">
        <f t="shared" si="36"/>
        <v>0.2880010901333937</v>
      </c>
      <c r="AG2014" s="275">
        <f t="shared" si="37"/>
        <v>0.53951219942235906</v>
      </c>
      <c r="AH2014" s="391">
        <f t="shared" si="38"/>
        <v>0.45284655339434743</v>
      </c>
      <c r="AI2014" s="135">
        <f t="shared" si="39"/>
        <v>0.99235875281670649</v>
      </c>
    </row>
    <row r="2015" spans="1:35" ht="12.6">
      <c r="A2015" s="10" t="s">
        <v>865</v>
      </c>
      <c r="B2015" s="10">
        <v>189</v>
      </c>
      <c r="C2015" s="10" t="s">
        <v>1514</v>
      </c>
      <c r="D2015" s="388">
        <v>45115</v>
      </c>
      <c r="E2015" s="389">
        <v>45115</v>
      </c>
      <c r="F2015" s="390" t="str">
        <f t="shared" si="35"/>
        <v>Whitegoods</v>
      </c>
      <c r="G2015" s="135">
        <v>3.9220598409435099E-2</v>
      </c>
      <c r="H2015" s="135">
        <v>3.5928285565185701E-2</v>
      </c>
      <c r="I2015" s="135">
        <v>3.3372860843523498E-2</v>
      </c>
      <c r="J2015" s="135">
        <v>3.3192059569502302E-2</v>
      </c>
      <c r="K2015" s="135">
        <v>3.3211061022444602E-2</v>
      </c>
      <c r="L2015" s="135">
        <v>3.2603971276099299E-2</v>
      </c>
      <c r="M2015" s="135">
        <v>3.5692146063479702E-2</v>
      </c>
      <c r="N2015" s="135">
        <v>3.7442683592071799E-2</v>
      </c>
      <c r="O2015" s="135">
        <v>4.7214051932639597E-2</v>
      </c>
      <c r="P2015" s="135">
        <v>5.89736356060169E-2</v>
      </c>
      <c r="Q2015" s="135">
        <v>6.5428543023601196E-2</v>
      </c>
      <c r="R2015" s="135">
        <v>6.1192570682109801E-2</v>
      </c>
      <c r="S2015" s="135">
        <v>5.6786675878954702E-2</v>
      </c>
      <c r="T2015" s="135">
        <v>5.6971661244791701E-2</v>
      </c>
      <c r="U2015" s="135">
        <v>5.1616052789039399E-2</v>
      </c>
      <c r="V2015" s="135">
        <v>5.1541568653881702E-2</v>
      </c>
      <c r="W2015" s="135">
        <v>5.1568839939440198E-2</v>
      </c>
      <c r="X2015" s="135">
        <v>4.9821293764804798E-2</v>
      </c>
      <c r="Y2015" s="135">
        <v>5.0291848596529097E-2</v>
      </c>
      <c r="Z2015" s="135">
        <v>4.82892346244094E-2</v>
      </c>
      <c r="AA2015" s="135">
        <v>5.1714475712134798E-2</v>
      </c>
      <c r="AB2015" s="135">
        <v>5.30075440255122E-2</v>
      </c>
      <c r="AC2015" s="135">
        <v>4.66726392394579E-2</v>
      </c>
      <c r="AD2015" s="135">
        <v>4.3799673969663701E-2</v>
      </c>
      <c r="AF2015" s="243">
        <f t="shared" si="36"/>
        <v>0.39510591221181868</v>
      </c>
      <c r="AG2015" s="275">
        <f t="shared" si="37"/>
        <v>0.60217809446489956</v>
      </c>
      <c r="AH2015" s="391">
        <f t="shared" si="38"/>
        <v>0.5233758815598295</v>
      </c>
      <c r="AI2015" s="135">
        <f t="shared" si="39"/>
        <v>1.1255539760247291</v>
      </c>
    </row>
    <row r="2016" spans="1:35" ht="12.6">
      <c r="A2016" s="10" t="s">
        <v>865</v>
      </c>
      <c r="B2016" s="10">
        <v>190</v>
      </c>
      <c r="C2016" s="10" t="s">
        <v>1514</v>
      </c>
      <c r="D2016" s="388">
        <v>45116</v>
      </c>
      <c r="E2016" s="389">
        <v>45116</v>
      </c>
      <c r="F2016" s="390" t="str">
        <f t="shared" si="35"/>
        <v>Whitegoods</v>
      </c>
      <c r="G2016" s="135">
        <v>3.9220598409435099E-2</v>
      </c>
      <c r="H2016" s="135">
        <v>3.5928285565185701E-2</v>
      </c>
      <c r="I2016" s="135">
        <v>3.3372860843523498E-2</v>
      </c>
      <c r="J2016" s="135">
        <v>3.3192059569502302E-2</v>
      </c>
      <c r="K2016" s="135">
        <v>3.3211061022444602E-2</v>
      </c>
      <c r="L2016" s="135">
        <v>3.2603971276099299E-2</v>
      </c>
      <c r="M2016" s="135">
        <v>3.5692146063479702E-2</v>
      </c>
      <c r="N2016" s="135">
        <v>3.7442683592071799E-2</v>
      </c>
      <c r="O2016" s="135">
        <v>4.7214051932639597E-2</v>
      </c>
      <c r="P2016" s="135">
        <v>5.89736356060169E-2</v>
      </c>
      <c r="Q2016" s="135">
        <v>6.5428543023601196E-2</v>
      </c>
      <c r="R2016" s="135">
        <v>6.1192570682109801E-2</v>
      </c>
      <c r="S2016" s="135">
        <v>5.6786675878954702E-2</v>
      </c>
      <c r="T2016" s="135">
        <v>5.6971661244791701E-2</v>
      </c>
      <c r="U2016" s="135">
        <v>5.1616052789039399E-2</v>
      </c>
      <c r="V2016" s="135">
        <v>5.1541568653881702E-2</v>
      </c>
      <c r="W2016" s="135">
        <v>5.1568839939440198E-2</v>
      </c>
      <c r="X2016" s="135">
        <v>4.9821293764804798E-2</v>
      </c>
      <c r="Y2016" s="135">
        <v>5.0291848596529097E-2</v>
      </c>
      <c r="Z2016" s="135">
        <v>4.82892346244094E-2</v>
      </c>
      <c r="AA2016" s="135">
        <v>5.1714475712134798E-2</v>
      </c>
      <c r="AB2016" s="135">
        <v>5.30075440255122E-2</v>
      </c>
      <c r="AC2016" s="135">
        <v>4.66726392394579E-2</v>
      </c>
      <c r="AD2016" s="135">
        <v>4.3799673969663701E-2</v>
      </c>
      <c r="AF2016" s="243">
        <f t="shared" si="36"/>
        <v>0.39510591221181868</v>
      </c>
      <c r="AG2016" s="275">
        <f t="shared" si="37"/>
        <v>0.60217809446489956</v>
      </c>
      <c r="AH2016" s="391">
        <f t="shared" si="38"/>
        <v>0.5233758815598295</v>
      </c>
      <c r="AI2016" s="135">
        <f t="shared" si="39"/>
        <v>1.1255539760247291</v>
      </c>
    </row>
    <row r="2017" spans="1:35" ht="12.6">
      <c r="A2017" s="10" t="s">
        <v>865</v>
      </c>
      <c r="B2017" s="10">
        <v>191</v>
      </c>
      <c r="C2017" s="10" t="s">
        <v>1514</v>
      </c>
      <c r="D2017" s="388">
        <v>45117</v>
      </c>
      <c r="E2017" s="389">
        <v>45117</v>
      </c>
      <c r="F2017" s="390" t="str">
        <f t="shared" si="35"/>
        <v>Whitegoods</v>
      </c>
      <c r="G2017" s="135">
        <v>4.03888180939386E-2</v>
      </c>
      <c r="H2017" s="135">
        <v>3.4721150267714197E-2</v>
      </c>
      <c r="I2017" s="135">
        <v>3.2897826566129502E-2</v>
      </c>
      <c r="J2017" s="135">
        <v>3.3067332280052E-2</v>
      </c>
      <c r="K2017" s="135">
        <v>3.2661688215700001E-2</v>
      </c>
      <c r="L2017" s="135">
        <v>3.3417143376560203E-2</v>
      </c>
      <c r="M2017" s="135">
        <v>3.6582320186360803E-2</v>
      </c>
      <c r="N2017" s="135">
        <v>4.5261807128611303E-2</v>
      </c>
      <c r="O2017" s="135">
        <v>4.9009772411002697E-2</v>
      </c>
      <c r="P2017" s="135">
        <v>4.5873836488933499E-2</v>
      </c>
      <c r="Q2017" s="135">
        <v>4.3035632336435897E-2</v>
      </c>
      <c r="R2017" s="135">
        <v>4.1252549683206997E-2</v>
      </c>
      <c r="S2017" s="135">
        <v>4.1217720676329901E-2</v>
      </c>
      <c r="T2017" s="135">
        <v>4.0398991550468201E-2</v>
      </c>
      <c r="U2017" s="135">
        <v>4.1506957492086903E-2</v>
      </c>
      <c r="V2017" s="135">
        <v>4.0257815048548598E-2</v>
      </c>
      <c r="W2017" s="135">
        <v>4.0331423346317202E-2</v>
      </c>
      <c r="X2017" s="135">
        <v>4.1947562730741302E-2</v>
      </c>
      <c r="Y2017" s="135">
        <v>4.3506044226965197E-2</v>
      </c>
      <c r="Z2017" s="135">
        <v>4.4479431999894903E-2</v>
      </c>
      <c r="AA2017" s="135">
        <v>5.0392162077871498E-2</v>
      </c>
      <c r="AB2017" s="135">
        <v>4.80877543106841E-2</v>
      </c>
      <c r="AC2017" s="135">
        <v>4.6467953456920202E-2</v>
      </c>
      <c r="AD2017" s="135">
        <v>4.5595058865232602E-2</v>
      </c>
      <c r="AF2017" s="243">
        <f t="shared" si="36"/>
        <v>0.2880010901333937</v>
      </c>
      <c r="AG2017" s="275">
        <f t="shared" si="37"/>
        <v>0.53951219942235906</v>
      </c>
      <c r="AH2017" s="391">
        <f t="shared" si="38"/>
        <v>0.45284655339434743</v>
      </c>
      <c r="AI2017" s="135">
        <f t="shared" si="39"/>
        <v>0.99235875281670649</v>
      </c>
    </row>
    <row r="2018" spans="1:35" ht="12.6">
      <c r="A2018" s="10" t="s">
        <v>865</v>
      </c>
      <c r="B2018" s="10">
        <v>192</v>
      </c>
      <c r="C2018" s="10" t="s">
        <v>1514</v>
      </c>
      <c r="D2018" s="388">
        <v>45118</v>
      </c>
      <c r="E2018" s="389">
        <v>45118</v>
      </c>
      <c r="F2018" s="390" t="str">
        <f t="shared" si="35"/>
        <v>Whitegoods</v>
      </c>
      <c r="G2018" s="135">
        <v>4.03888180939386E-2</v>
      </c>
      <c r="H2018" s="135">
        <v>3.4721150267714197E-2</v>
      </c>
      <c r="I2018" s="135">
        <v>3.2897826566129502E-2</v>
      </c>
      <c r="J2018" s="135">
        <v>3.3067332280052E-2</v>
      </c>
      <c r="K2018" s="135">
        <v>3.2661688215700001E-2</v>
      </c>
      <c r="L2018" s="135">
        <v>3.3417143376560203E-2</v>
      </c>
      <c r="M2018" s="135">
        <v>3.6582320186360803E-2</v>
      </c>
      <c r="N2018" s="135">
        <v>4.5261807128611303E-2</v>
      </c>
      <c r="O2018" s="135">
        <v>4.9009772411002697E-2</v>
      </c>
      <c r="P2018" s="135">
        <v>4.5873836488933499E-2</v>
      </c>
      <c r="Q2018" s="135">
        <v>4.3035632336435897E-2</v>
      </c>
      <c r="R2018" s="135">
        <v>4.1252549683206997E-2</v>
      </c>
      <c r="S2018" s="135">
        <v>4.1217720676329901E-2</v>
      </c>
      <c r="T2018" s="135">
        <v>4.0398991550468201E-2</v>
      </c>
      <c r="U2018" s="135">
        <v>4.1506957492086903E-2</v>
      </c>
      <c r="V2018" s="135">
        <v>4.0257815048548598E-2</v>
      </c>
      <c r="W2018" s="135">
        <v>4.0331423346317202E-2</v>
      </c>
      <c r="X2018" s="135">
        <v>4.1947562730741302E-2</v>
      </c>
      <c r="Y2018" s="135">
        <v>4.3506044226965197E-2</v>
      </c>
      <c r="Z2018" s="135">
        <v>4.4479431999894903E-2</v>
      </c>
      <c r="AA2018" s="135">
        <v>5.0392162077871498E-2</v>
      </c>
      <c r="AB2018" s="135">
        <v>4.80877543106841E-2</v>
      </c>
      <c r="AC2018" s="135">
        <v>4.6467953456920202E-2</v>
      </c>
      <c r="AD2018" s="135">
        <v>4.5595058865232602E-2</v>
      </c>
      <c r="AF2018" s="243">
        <f t="shared" si="36"/>
        <v>0.2880010901333937</v>
      </c>
      <c r="AG2018" s="275">
        <f t="shared" si="37"/>
        <v>0.53951219942235906</v>
      </c>
      <c r="AH2018" s="391">
        <f t="shared" si="38"/>
        <v>0.45284655339434743</v>
      </c>
      <c r="AI2018" s="135">
        <f t="shared" si="39"/>
        <v>0.99235875281670649</v>
      </c>
    </row>
    <row r="2019" spans="1:35" ht="12.6">
      <c r="A2019" s="10" t="s">
        <v>865</v>
      </c>
      <c r="B2019" s="10">
        <v>193</v>
      </c>
      <c r="C2019" s="10" t="s">
        <v>1514</v>
      </c>
      <c r="D2019" s="388">
        <v>45119</v>
      </c>
      <c r="E2019" s="389">
        <v>45119</v>
      </c>
      <c r="F2019" s="390" t="str">
        <f t="shared" si="35"/>
        <v>Whitegoods</v>
      </c>
      <c r="G2019" s="135">
        <v>4.03888180939386E-2</v>
      </c>
      <c r="H2019" s="135">
        <v>3.4721150267714197E-2</v>
      </c>
      <c r="I2019" s="135">
        <v>3.2897826566129502E-2</v>
      </c>
      <c r="J2019" s="135">
        <v>3.3067332280052E-2</v>
      </c>
      <c r="K2019" s="135">
        <v>3.2661688215700001E-2</v>
      </c>
      <c r="L2019" s="135">
        <v>3.3417143376560203E-2</v>
      </c>
      <c r="M2019" s="135">
        <v>3.6582320186360803E-2</v>
      </c>
      <c r="N2019" s="135">
        <v>4.5261807128611303E-2</v>
      </c>
      <c r="O2019" s="135">
        <v>4.9009772411002697E-2</v>
      </c>
      <c r="P2019" s="135">
        <v>4.5873836488933499E-2</v>
      </c>
      <c r="Q2019" s="135">
        <v>4.3035632336435897E-2</v>
      </c>
      <c r="R2019" s="135">
        <v>4.1252549683206997E-2</v>
      </c>
      <c r="S2019" s="135">
        <v>4.1217720676329901E-2</v>
      </c>
      <c r="T2019" s="135">
        <v>4.0398991550468201E-2</v>
      </c>
      <c r="U2019" s="135">
        <v>4.1506957492086903E-2</v>
      </c>
      <c r="V2019" s="135">
        <v>4.0257815048548598E-2</v>
      </c>
      <c r="W2019" s="135">
        <v>4.0331423346317202E-2</v>
      </c>
      <c r="X2019" s="135">
        <v>4.1947562730741302E-2</v>
      </c>
      <c r="Y2019" s="135">
        <v>4.3506044226965197E-2</v>
      </c>
      <c r="Z2019" s="135">
        <v>4.4479431999894903E-2</v>
      </c>
      <c r="AA2019" s="135">
        <v>5.0392162077871498E-2</v>
      </c>
      <c r="AB2019" s="135">
        <v>4.80877543106841E-2</v>
      </c>
      <c r="AC2019" s="135">
        <v>4.6467953456920202E-2</v>
      </c>
      <c r="AD2019" s="135">
        <v>4.5595058865232602E-2</v>
      </c>
      <c r="AF2019" s="243">
        <f t="shared" si="36"/>
        <v>0.2880010901333937</v>
      </c>
      <c r="AG2019" s="275">
        <f t="shared" si="37"/>
        <v>0.53951219942235906</v>
      </c>
      <c r="AH2019" s="391">
        <f t="shared" si="38"/>
        <v>0.45284655339434743</v>
      </c>
      <c r="AI2019" s="135">
        <f t="shared" si="39"/>
        <v>0.99235875281670649</v>
      </c>
    </row>
    <row r="2020" spans="1:35" ht="12.6">
      <c r="A2020" s="10" t="s">
        <v>865</v>
      </c>
      <c r="B2020" s="10">
        <v>194</v>
      </c>
      <c r="C2020" s="10" t="s">
        <v>1514</v>
      </c>
      <c r="D2020" s="388">
        <v>45120</v>
      </c>
      <c r="E2020" s="389">
        <v>45120</v>
      </c>
      <c r="F2020" s="390" t="str">
        <f t="shared" si="35"/>
        <v>Whitegoods</v>
      </c>
      <c r="G2020" s="135">
        <v>4.03888180939386E-2</v>
      </c>
      <c r="H2020" s="135">
        <v>3.4721150267714197E-2</v>
      </c>
      <c r="I2020" s="135">
        <v>3.2897826566129502E-2</v>
      </c>
      <c r="J2020" s="135">
        <v>3.3067332280052E-2</v>
      </c>
      <c r="K2020" s="135">
        <v>3.2661688215700001E-2</v>
      </c>
      <c r="L2020" s="135">
        <v>3.3417143376560203E-2</v>
      </c>
      <c r="M2020" s="135">
        <v>3.6582320186360803E-2</v>
      </c>
      <c r="N2020" s="135">
        <v>4.5261807128611303E-2</v>
      </c>
      <c r="O2020" s="135">
        <v>4.9009772411002697E-2</v>
      </c>
      <c r="P2020" s="135">
        <v>4.5873836488933499E-2</v>
      </c>
      <c r="Q2020" s="135">
        <v>4.3035632336435897E-2</v>
      </c>
      <c r="R2020" s="135">
        <v>4.1252549683206997E-2</v>
      </c>
      <c r="S2020" s="135">
        <v>4.1217720676329901E-2</v>
      </c>
      <c r="T2020" s="135">
        <v>4.0398991550468201E-2</v>
      </c>
      <c r="U2020" s="135">
        <v>4.1506957492086903E-2</v>
      </c>
      <c r="V2020" s="135">
        <v>4.0257815048548598E-2</v>
      </c>
      <c r="W2020" s="135">
        <v>4.0331423346317202E-2</v>
      </c>
      <c r="X2020" s="135">
        <v>4.1947562730741302E-2</v>
      </c>
      <c r="Y2020" s="135">
        <v>4.3506044226965197E-2</v>
      </c>
      <c r="Z2020" s="135">
        <v>4.4479431999894903E-2</v>
      </c>
      <c r="AA2020" s="135">
        <v>5.0392162077871498E-2</v>
      </c>
      <c r="AB2020" s="135">
        <v>4.80877543106841E-2</v>
      </c>
      <c r="AC2020" s="135">
        <v>4.6467953456920202E-2</v>
      </c>
      <c r="AD2020" s="135">
        <v>4.5595058865232602E-2</v>
      </c>
      <c r="AF2020" s="243">
        <f t="shared" si="36"/>
        <v>0.2880010901333937</v>
      </c>
      <c r="AG2020" s="275">
        <f t="shared" si="37"/>
        <v>0.53951219942235906</v>
      </c>
      <c r="AH2020" s="391">
        <f t="shared" si="38"/>
        <v>0.45284655339434743</v>
      </c>
      <c r="AI2020" s="135">
        <f t="shared" si="39"/>
        <v>0.99235875281670649</v>
      </c>
    </row>
    <row r="2021" spans="1:35" ht="12.6">
      <c r="A2021" s="10" t="s">
        <v>865</v>
      </c>
      <c r="B2021" s="10">
        <v>195</v>
      </c>
      <c r="C2021" s="10" t="s">
        <v>1514</v>
      </c>
      <c r="D2021" s="388">
        <v>45121</v>
      </c>
      <c r="E2021" s="389">
        <v>45121</v>
      </c>
      <c r="F2021" s="390" t="str">
        <f t="shared" si="35"/>
        <v>Whitegoods</v>
      </c>
      <c r="G2021" s="135">
        <v>4.03888180939386E-2</v>
      </c>
      <c r="H2021" s="135">
        <v>3.4721150267714197E-2</v>
      </c>
      <c r="I2021" s="135">
        <v>3.2897826566129502E-2</v>
      </c>
      <c r="J2021" s="135">
        <v>3.3067332280052E-2</v>
      </c>
      <c r="K2021" s="135">
        <v>3.2661688215700001E-2</v>
      </c>
      <c r="L2021" s="135">
        <v>3.3417143376560203E-2</v>
      </c>
      <c r="M2021" s="135">
        <v>3.6582320186360803E-2</v>
      </c>
      <c r="N2021" s="135">
        <v>4.5261807128611303E-2</v>
      </c>
      <c r="O2021" s="135">
        <v>4.9009772411002697E-2</v>
      </c>
      <c r="P2021" s="135">
        <v>4.5873836488933499E-2</v>
      </c>
      <c r="Q2021" s="135">
        <v>4.3035632336435897E-2</v>
      </c>
      <c r="R2021" s="135">
        <v>4.1252549683206997E-2</v>
      </c>
      <c r="S2021" s="135">
        <v>4.1217720676329901E-2</v>
      </c>
      <c r="T2021" s="135">
        <v>4.0398991550468201E-2</v>
      </c>
      <c r="U2021" s="135">
        <v>4.1506957492086903E-2</v>
      </c>
      <c r="V2021" s="135">
        <v>4.0257815048548598E-2</v>
      </c>
      <c r="W2021" s="135">
        <v>4.0331423346317202E-2</v>
      </c>
      <c r="X2021" s="135">
        <v>4.1947562730741302E-2</v>
      </c>
      <c r="Y2021" s="135">
        <v>4.3506044226965197E-2</v>
      </c>
      <c r="Z2021" s="135">
        <v>4.4479431999894903E-2</v>
      </c>
      <c r="AA2021" s="135">
        <v>5.0392162077871498E-2</v>
      </c>
      <c r="AB2021" s="135">
        <v>4.80877543106841E-2</v>
      </c>
      <c r="AC2021" s="135">
        <v>4.6467953456920202E-2</v>
      </c>
      <c r="AD2021" s="135">
        <v>4.5595058865232602E-2</v>
      </c>
      <c r="AF2021" s="243">
        <f t="shared" si="36"/>
        <v>0.2880010901333937</v>
      </c>
      <c r="AG2021" s="275">
        <f t="shared" si="37"/>
        <v>0.53951219942235906</v>
      </c>
      <c r="AH2021" s="391">
        <f t="shared" si="38"/>
        <v>0.45284655339434743</v>
      </c>
      <c r="AI2021" s="135">
        <f t="shared" si="39"/>
        <v>0.99235875281670649</v>
      </c>
    </row>
    <row r="2022" spans="1:35" ht="12.6">
      <c r="A2022" s="10" t="s">
        <v>865</v>
      </c>
      <c r="B2022" s="10">
        <v>196</v>
      </c>
      <c r="C2022" s="10" t="s">
        <v>1514</v>
      </c>
      <c r="D2022" s="388">
        <v>45122</v>
      </c>
      <c r="E2022" s="389">
        <v>45122</v>
      </c>
      <c r="F2022" s="390" t="str">
        <f t="shared" si="35"/>
        <v>Whitegoods</v>
      </c>
      <c r="G2022" s="135">
        <v>3.9220598409435099E-2</v>
      </c>
      <c r="H2022" s="135">
        <v>3.5928285565185701E-2</v>
      </c>
      <c r="I2022" s="135">
        <v>3.3372860843523498E-2</v>
      </c>
      <c r="J2022" s="135">
        <v>3.3192059569502302E-2</v>
      </c>
      <c r="K2022" s="135">
        <v>3.3211061022444602E-2</v>
      </c>
      <c r="L2022" s="135">
        <v>3.2603971276099299E-2</v>
      </c>
      <c r="M2022" s="135">
        <v>3.5692146063479702E-2</v>
      </c>
      <c r="N2022" s="135">
        <v>3.7442683592071799E-2</v>
      </c>
      <c r="O2022" s="135">
        <v>4.7214051932639597E-2</v>
      </c>
      <c r="P2022" s="135">
        <v>5.89736356060169E-2</v>
      </c>
      <c r="Q2022" s="135">
        <v>6.5428543023601196E-2</v>
      </c>
      <c r="R2022" s="135">
        <v>6.1192570682109801E-2</v>
      </c>
      <c r="S2022" s="135">
        <v>5.6786675878954702E-2</v>
      </c>
      <c r="T2022" s="135">
        <v>5.6971661244791701E-2</v>
      </c>
      <c r="U2022" s="135">
        <v>5.1616052789039399E-2</v>
      </c>
      <c r="V2022" s="135">
        <v>5.1541568653881702E-2</v>
      </c>
      <c r="W2022" s="135">
        <v>5.1568839939440198E-2</v>
      </c>
      <c r="X2022" s="135">
        <v>4.9821293764804798E-2</v>
      </c>
      <c r="Y2022" s="135">
        <v>5.0291848596529097E-2</v>
      </c>
      <c r="Z2022" s="135">
        <v>4.82892346244094E-2</v>
      </c>
      <c r="AA2022" s="135">
        <v>5.1714475712134798E-2</v>
      </c>
      <c r="AB2022" s="135">
        <v>5.30075440255122E-2</v>
      </c>
      <c r="AC2022" s="135">
        <v>4.66726392394579E-2</v>
      </c>
      <c r="AD2022" s="135">
        <v>4.3799673969663701E-2</v>
      </c>
      <c r="AF2022" s="243">
        <f t="shared" si="36"/>
        <v>0.39510591221181868</v>
      </c>
      <c r="AG2022" s="275">
        <f t="shared" si="37"/>
        <v>0.60217809446489956</v>
      </c>
      <c r="AH2022" s="391">
        <f t="shared" si="38"/>
        <v>0.5233758815598295</v>
      </c>
      <c r="AI2022" s="135">
        <f t="shared" si="39"/>
        <v>1.1255539760247291</v>
      </c>
    </row>
    <row r="2023" spans="1:35" ht="12.6">
      <c r="A2023" s="10" t="s">
        <v>865</v>
      </c>
      <c r="B2023" s="10">
        <v>197</v>
      </c>
      <c r="C2023" s="10" t="s">
        <v>1514</v>
      </c>
      <c r="D2023" s="388">
        <v>45123</v>
      </c>
      <c r="E2023" s="389">
        <v>45123</v>
      </c>
      <c r="F2023" s="390" t="str">
        <f t="shared" si="35"/>
        <v>Whitegoods</v>
      </c>
      <c r="G2023" s="135">
        <v>3.9220598409435099E-2</v>
      </c>
      <c r="H2023" s="135">
        <v>3.5928285565185701E-2</v>
      </c>
      <c r="I2023" s="135">
        <v>3.3372860843523498E-2</v>
      </c>
      <c r="J2023" s="135">
        <v>3.3192059569502302E-2</v>
      </c>
      <c r="K2023" s="135">
        <v>3.3211061022444602E-2</v>
      </c>
      <c r="L2023" s="135">
        <v>3.2603971276099299E-2</v>
      </c>
      <c r="M2023" s="135">
        <v>3.5692146063479702E-2</v>
      </c>
      <c r="N2023" s="135">
        <v>3.7442683592071799E-2</v>
      </c>
      <c r="O2023" s="135">
        <v>4.7214051932639597E-2</v>
      </c>
      <c r="P2023" s="135">
        <v>5.89736356060169E-2</v>
      </c>
      <c r="Q2023" s="135">
        <v>6.5428543023601196E-2</v>
      </c>
      <c r="R2023" s="135">
        <v>6.1192570682109801E-2</v>
      </c>
      <c r="S2023" s="135">
        <v>5.6786675878954702E-2</v>
      </c>
      <c r="T2023" s="135">
        <v>5.6971661244791701E-2</v>
      </c>
      <c r="U2023" s="135">
        <v>5.1616052789039399E-2</v>
      </c>
      <c r="V2023" s="135">
        <v>5.1541568653881702E-2</v>
      </c>
      <c r="W2023" s="135">
        <v>5.1568839939440198E-2</v>
      </c>
      <c r="X2023" s="135">
        <v>4.9821293764804798E-2</v>
      </c>
      <c r="Y2023" s="135">
        <v>5.0291848596529097E-2</v>
      </c>
      <c r="Z2023" s="135">
        <v>4.82892346244094E-2</v>
      </c>
      <c r="AA2023" s="135">
        <v>5.1714475712134798E-2</v>
      </c>
      <c r="AB2023" s="135">
        <v>5.30075440255122E-2</v>
      </c>
      <c r="AC2023" s="135">
        <v>4.66726392394579E-2</v>
      </c>
      <c r="AD2023" s="135">
        <v>4.3799673969663701E-2</v>
      </c>
      <c r="AF2023" s="243">
        <f t="shared" si="36"/>
        <v>0.39510591221181868</v>
      </c>
      <c r="AG2023" s="275">
        <f t="shared" si="37"/>
        <v>0.60217809446489956</v>
      </c>
      <c r="AH2023" s="391">
        <f t="shared" si="38"/>
        <v>0.5233758815598295</v>
      </c>
      <c r="AI2023" s="135">
        <f t="shared" si="39"/>
        <v>1.1255539760247291</v>
      </c>
    </row>
    <row r="2024" spans="1:35" ht="12.6">
      <c r="A2024" s="10" t="s">
        <v>865</v>
      </c>
      <c r="B2024" s="10">
        <v>198</v>
      </c>
      <c r="C2024" s="10" t="s">
        <v>1514</v>
      </c>
      <c r="D2024" s="388">
        <v>45124</v>
      </c>
      <c r="E2024" s="389">
        <v>45124</v>
      </c>
      <c r="F2024" s="390" t="str">
        <f t="shared" si="35"/>
        <v>Whitegoods</v>
      </c>
      <c r="G2024" s="135">
        <v>4.03888180939386E-2</v>
      </c>
      <c r="H2024" s="135">
        <v>3.4721150267714197E-2</v>
      </c>
      <c r="I2024" s="135">
        <v>3.2897826566129502E-2</v>
      </c>
      <c r="J2024" s="135">
        <v>3.3067332280052E-2</v>
      </c>
      <c r="K2024" s="135">
        <v>3.2661688215700001E-2</v>
      </c>
      <c r="L2024" s="135">
        <v>3.3417143376560203E-2</v>
      </c>
      <c r="M2024" s="135">
        <v>3.6582320186360803E-2</v>
      </c>
      <c r="N2024" s="135">
        <v>4.5261807128611303E-2</v>
      </c>
      <c r="O2024" s="135">
        <v>4.9009772411002697E-2</v>
      </c>
      <c r="P2024" s="135">
        <v>4.5873836488933499E-2</v>
      </c>
      <c r="Q2024" s="135">
        <v>4.3035632336435897E-2</v>
      </c>
      <c r="R2024" s="135">
        <v>4.1252549683206997E-2</v>
      </c>
      <c r="S2024" s="135">
        <v>4.1217720676329901E-2</v>
      </c>
      <c r="T2024" s="135">
        <v>4.0398991550468201E-2</v>
      </c>
      <c r="U2024" s="135">
        <v>4.1506957492086903E-2</v>
      </c>
      <c r="V2024" s="135">
        <v>4.0257815048548598E-2</v>
      </c>
      <c r="W2024" s="135">
        <v>4.0331423346317202E-2</v>
      </c>
      <c r="X2024" s="135">
        <v>4.1947562730741302E-2</v>
      </c>
      <c r="Y2024" s="135">
        <v>4.3506044226965197E-2</v>
      </c>
      <c r="Z2024" s="135">
        <v>4.4479431999894903E-2</v>
      </c>
      <c r="AA2024" s="135">
        <v>5.0392162077871498E-2</v>
      </c>
      <c r="AB2024" s="135">
        <v>4.80877543106841E-2</v>
      </c>
      <c r="AC2024" s="135">
        <v>4.6467953456920202E-2</v>
      </c>
      <c r="AD2024" s="135">
        <v>4.5595058865232602E-2</v>
      </c>
      <c r="AF2024" s="243">
        <f t="shared" si="36"/>
        <v>0.2880010901333937</v>
      </c>
      <c r="AG2024" s="275">
        <f t="shared" si="37"/>
        <v>0.53951219942235906</v>
      </c>
      <c r="AH2024" s="391">
        <f t="shared" si="38"/>
        <v>0.45284655339434743</v>
      </c>
      <c r="AI2024" s="135">
        <f t="shared" si="39"/>
        <v>0.99235875281670649</v>
      </c>
    </row>
    <row r="2025" spans="1:35" ht="12.6">
      <c r="A2025" s="10" t="s">
        <v>865</v>
      </c>
      <c r="B2025" s="10">
        <v>199</v>
      </c>
      <c r="C2025" s="10" t="s">
        <v>1514</v>
      </c>
      <c r="D2025" s="388">
        <v>45125</v>
      </c>
      <c r="E2025" s="389">
        <v>45125</v>
      </c>
      <c r="F2025" s="390" t="str">
        <f t="shared" si="35"/>
        <v>Whitegoods</v>
      </c>
      <c r="G2025" s="135">
        <v>4.03888180939386E-2</v>
      </c>
      <c r="H2025" s="135">
        <v>3.4721150267714197E-2</v>
      </c>
      <c r="I2025" s="135">
        <v>3.2897826566129502E-2</v>
      </c>
      <c r="J2025" s="135">
        <v>3.3067332280052E-2</v>
      </c>
      <c r="K2025" s="135">
        <v>3.2661688215700001E-2</v>
      </c>
      <c r="L2025" s="135">
        <v>3.3417143376560203E-2</v>
      </c>
      <c r="M2025" s="135">
        <v>3.6582320186360803E-2</v>
      </c>
      <c r="N2025" s="135">
        <v>4.5261807128611303E-2</v>
      </c>
      <c r="O2025" s="135">
        <v>4.9009772411002697E-2</v>
      </c>
      <c r="P2025" s="135">
        <v>4.5873836488933499E-2</v>
      </c>
      <c r="Q2025" s="135">
        <v>4.3035632336435897E-2</v>
      </c>
      <c r="R2025" s="135">
        <v>4.1252549683206997E-2</v>
      </c>
      <c r="S2025" s="135">
        <v>4.1217720676329901E-2</v>
      </c>
      <c r="T2025" s="135">
        <v>4.0398991550468201E-2</v>
      </c>
      <c r="U2025" s="135">
        <v>4.1506957492086903E-2</v>
      </c>
      <c r="V2025" s="135">
        <v>4.0257815048548598E-2</v>
      </c>
      <c r="W2025" s="135">
        <v>4.0331423346317202E-2</v>
      </c>
      <c r="X2025" s="135">
        <v>4.1947562730741302E-2</v>
      </c>
      <c r="Y2025" s="135">
        <v>4.3506044226965197E-2</v>
      </c>
      <c r="Z2025" s="135">
        <v>4.4479431999894903E-2</v>
      </c>
      <c r="AA2025" s="135">
        <v>5.0392162077871498E-2</v>
      </c>
      <c r="AB2025" s="135">
        <v>4.80877543106841E-2</v>
      </c>
      <c r="AC2025" s="135">
        <v>4.6467953456920202E-2</v>
      </c>
      <c r="AD2025" s="135">
        <v>4.5595058865232602E-2</v>
      </c>
      <c r="AF2025" s="243">
        <f t="shared" si="36"/>
        <v>0.2880010901333937</v>
      </c>
      <c r="AG2025" s="275">
        <f t="shared" si="37"/>
        <v>0.53951219942235906</v>
      </c>
      <c r="AH2025" s="391">
        <f t="shared" si="38"/>
        <v>0.45284655339434743</v>
      </c>
      <c r="AI2025" s="135">
        <f t="shared" si="39"/>
        <v>0.99235875281670649</v>
      </c>
    </row>
    <row r="2026" spans="1:35" ht="12.6">
      <c r="A2026" s="10" t="s">
        <v>865</v>
      </c>
      <c r="B2026" s="10">
        <v>200</v>
      </c>
      <c r="C2026" s="10" t="s">
        <v>1514</v>
      </c>
      <c r="D2026" s="388">
        <v>45126</v>
      </c>
      <c r="E2026" s="389">
        <v>45126</v>
      </c>
      <c r="F2026" s="390" t="str">
        <f t="shared" si="35"/>
        <v>Whitegoods</v>
      </c>
      <c r="G2026" s="135">
        <v>4.03888180939386E-2</v>
      </c>
      <c r="H2026" s="135">
        <v>3.4721150267714197E-2</v>
      </c>
      <c r="I2026" s="135">
        <v>3.2897826566129502E-2</v>
      </c>
      <c r="J2026" s="135">
        <v>3.3067332280052E-2</v>
      </c>
      <c r="K2026" s="135">
        <v>3.2661688215700001E-2</v>
      </c>
      <c r="L2026" s="135">
        <v>3.3417143376560203E-2</v>
      </c>
      <c r="M2026" s="135">
        <v>3.6582320186360803E-2</v>
      </c>
      <c r="N2026" s="135">
        <v>4.5261807128611303E-2</v>
      </c>
      <c r="O2026" s="135">
        <v>4.9009772411002697E-2</v>
      </c>
      <c r="P2026" s="135">
        <v>4.5873836488933499E-2</v>
      </c>
      <c r="Q2026" s="135">
        <v>4.3035632336435897E-2</v>
      </c>
      <c r="R2026" s="135">
        <v>4.1252549683206997E-2</v>
      </c>
      <c r="S2026" s="135">
        <v>4.1217720676329901E-2</v>
      </c>
      <c r="T2026" s="135">
        <v>4.0398991550468201E-2</v>
      </c>
      <c r="U2026" s="135">
        <v>4.1506957492086903E-2</v>
      </c>
      <c r="V2026" s="135">
        <v>4.0257815048548598E-2</v>
      </c>
      <c r="W2026" s="135">
        <v>4.0331423346317202E-2</v>
      </c>
      <c r="X2026" s="135">
        <v>4.1947562730741302E-2</v>
      </c>
      <c r="Y2026" s="135">
        <v>4.3506044226965197E-2</v>
      </c>
      <c r="Z2026" s="135">
        <v>4.4479431999894903E-2</v>
      </c>
      <c r="AA2026" s="135">
        <v>5.0392162077871498E-2</v>
      </c>
      <c r="AB2026" s="135">
        <v>4.80877543106841E-2</v>
      </c>
      <c r="AC2026" s="135">
        <v>4.6467953456920202E-2</v>
      </c>
      <c r="AD2026" s="135">
        <v>4.5595058865232602E-2</v>
      </c>
      <c r="AF2026" s="243">
        <f t="shared" si="36"/>
        <v>0.2880010901333937</v>
      </c>
      <c r="AG2026" s="275">
        <f t="shared" si="37"/>
        <v>0.53951219942235906</v>
      </c>
      <c r="AH2026" s="391">
        <f t="shared" si="38"/>
        <v>0.45284655339434743</v>
      </c>
      <c r="AI2026" s="135">
        <f t="shared" si="39"/>
        <v>0.99235875281670649</v>
      </c>
    </row>
    <row r="2027" spans="1:35" ht="12.6">
      <c r="A2027" s="10" t="s">
        <v>865</v>
      </c>
      <c r="B2027" s="10">
        <v>201</v>
      </c>
      <c r="C2027" s="10" t="s">
        <v>1514</v>
      </c>
      <c r="D2027" s="388">
        <v>45127</v>
      </c>
      <c r="E2027" s="389">
        <v>45127</v>
      </c>
      <c r="F2027" s="390" t="str">
        <f t="shared" si="35"/>
        <v>Whitegoods</v>
      </c>
      <c r="G2027" s="135">
        <v>4.03888180939386E-2</v>
      </c>
      <c r="H2027" s="135">
        <v>3.4721150267714197E-2</v>
      </c>
      <c r="I2027" s="135">
        <v>3.2897826566129502E-2</v>
      </c>
      <c r="J2027" s="135">
        <v>3.3067332280052E-2</v>
      </c>
      <c r="K2027" s="135">
        <v>3.2661688215700001E-2</v>
      </c>
      <c r="L2027" s="135">
        <v>3.3417143376560203E-2</v>
      </c>
      <c r="M2027" s="135">
        <v>3.6582320186360803E-2</v>
      </c>
      <c r="N2027" s="135">
        <v>4.5261807128611303E-2</v>
      </c>
      <c r="O2027" s="135">
        <v>4.9009772411002697E-2</v>
      </c>
      <c r="P2027" s="135">
        <v>4.5873836488933499E-2</v>
      </c>
      <c r="Q2027" s="135">
        <v>4.3035632336435897E-2</v>
      </c>
      <c r="R2027" s="135">
        <v>4.1252549683206997E-2</v>
      </c>
      <c r="S2027" s="135">
        <v>4.1217720676329901E-2</v>
      </c>
      <c r="T2027" s="135">
        <v>4.0398991550468201E-2</v>
      </c>
      <c r="U2027" s="135">
        <v>4.1506957492086903E-2</v>
      </c>
      <c r="V2027" s="135">
        <v>4.0257815048548598E-2</v>
      </c>
      <c r="W2027" s="135">
        <v>4.0331423346317202E-2</v>
      </c>
      <c r="X2027" s="135">
        <v>4.1947562730741302E-2</v>
      </c>
      <c r="Y2027" s="135">
        <v>4.3506044226965197E-2</v>
      </c>
      <c r="Z2027" s="135">
        <v>4.4479431999894903E-2</v>
      </c>
      <c r="AA2027" s="135">
        <v>5.0392162077871498E-2</v>
      </c>
      <c r="AB2027" s="135">
        <v>4.80877543106841E-2</v>
      </c>
      <c r="AC2027" s="135">
        <v>4.6467953456920202E-2</v>
      </c>
      <c r="AD2027" s="135">
        <v>4.5595058865232602E-2</v>
      </c>
      <c r="AF2027" s="243">
        <f t="shared" si="36"/>
        <v>0.2880010901333937</v>
      </c>
      <c r="AG2027" s="275">
        <f t="shared" si="37"/>
        <v>0.53951219942235906</v>
      </c>
      <c r="AH2027" s="391">
        <f t="shared" si="38"/>
        <v>0.45284655339434743</v>
      </c>
      <c r="AI2027" s="135">
        <f t="shared" si="39"/>
        <v>0.99235875281670649</v>
      </c>
    </row>
    <row r="2028" spans="1:35" ht="12.6">
      <c r="A2028" s="10" t="s">
        <v>865</v>
      </c>
      <c r="B2028" s="10">
        <v>202</v>
      </c>
      <c r="C2028" s="10" t="s">
        <v>1514</v>
      </c>
      <c r="D2028" s="388">
        <v>45128</v>
      </c>
      <c r="E2028" s="389">
        <v>45128</v>
      </c>
      <c r="F2028" s="390" t="str">
        <f t="shared" si="35"/>
        <v>Whitegoods</v>
      </c>
      <c r="G2028" s="135">
        <v>4.03888180939386E-2</v>
      </c>
      <c r="H2028" s="135">
        <v>3.4721150267714197E-2</v>
      </c>
      <c r="I2028" s="135">
        <v>3.2897826566129502E-2</v>
      </c>
      <c r="J2028" s="135">
        <v>3.3067332280052E-2</v>
      </c>
      <c r="K2028" s="135">
        <v>3.2661688215700001E-2</v>
      </c>
      <c r="L2028" s="135">
        <v>3.3417143376560203E-2</v>
      </c>
      <c r="M2028" s="135">
        <v>3.6582320186360803E-2</v>
      </c>
      <c r="N2028" s="135">
        <v>4.5261807128611303E-2</v>
      </c>
      <c r="O2028" s="135">
        <v>4.9009772411002697E-2</v>
      </c>
      <c r="P2028" s="135">
        <v>4.5873836488933499E-2</v>
      </c>
      <c r="Q2028" s="135">
        <v>4.3035632336435897E-2</v>
      </c>
      <c r="R2028" s="135">
        <v>4.1252549683206997E-2</v>
      </c>
      <c r="S2028" s="135">
        <v>4.1217720676329901E-2</v>
      </c>
      <c r="T2028" s="135">
        <v>4.0398991550468201E-2</v>
      </c>
      <c r="U2028" s="135">
        <v>4.1506957492086903E-2</v>
      </c>
      <c r="V2028" s="135">
        <v>4.0257815048548598E-2</v>
      </c>
      <c r="W2028" s="135">
        <v>4.0331423346317202E-2</v>
      </c>
      <c r="X2028" s="135">
        <v>4.1947562730741302E-2</v>
      </c>
      <c r="Y2028" s="135">
        <v>4.3506044226965197E-2</v>
      </c>
      <c r="Z2028" s="135">
        <v>4.4479431999894903E-2</v>
      </c>
      <c r="AA2028" s="135">
        <v>5.0392162077871498E-2</v>
      </c>
      <c r="AB2028" s="135">
        <v>4.80877543106841E-2</v>
      </c>
      <c r="AC2028" s="135">
        <v>4.6467953456920202E-2</v>
      </c>
      <c r="AD2028" s="135">
        <v>4.5595058865232602E-2</v>
      </c>
      <c r="AF2028" s="243">
        <f t="shared" si="36"/>
        <v>0.2880010901333937</v>
      </c>
      <c r="AG2028" s="275">
        <f t="shared" si="37"/>
        <v>0.53951219942235906</v>
      </c>
      <c r="AH2028" s="391">
        <f t="shared" si="38"/>
        <v>0.45284655339434743</v>
      </c>
      <c r="AI2028" s="135">
        <f t="shared" si="39"/>
        <v>0.99235875281670649</v>
      </c>
    </row>
    <row r="2029" spans="1:35" ht="12.6">
      <c r="A2029" s="10" t="s">
        <v>865</v>
      </c>
      <c r="B2029" s="10">
        <v>203</v>
      </c>
      <c r="C2029" s="10" t="s">
        <v>1514</v>
      </c>
      <c r="D2029" s="388">
        <v>45129</v>
      </c>
      <c r="E2029" s="389">
        <v>45129</v>
      </c>
      <c r="F2029" s="390" t="str">
        <f t="shared" si="35"/>
        <v>Whitegoods</v>
      </c>
      <c r="G2029" s="135">
        <v>3.9220598409435099E-2</v>
      </c>
      <c r="H2029" s="135">
        <v>3.5928285565185701E-2</v>
      </c>
      <c r="I2029" s="135">
        <v>3.3372860843523498E-2</v>
      </c>
      <c r="J2029" s="135">
        <v>3.3192059569502302E-2</v>
      </c>
      <c r="K2029" s="135">
        <v>3.3211061022444602E-2</v>
      </c>
      <c r="L2029" s="135">
        <v>3.2603971276099299E-2</v>
      </c>
      <c r="M2029" s="135">
        <v>3.5692146063479702E-2</v>
      </c>
      <c r="N2029" s="135">
        <v>3.7442683592071799E-2</v>
      </c>
      <c r="O2029" s="135">
        <v>4.7214051932639597E-2</v>
      </c>
      <c r="P2029" s="135">
        <v>5.89736356060169E-2</v>
      </c>
      <c r="Q2029" s="135">
        <v>6.5428543023601196E-2</v>
      </c>
      <c r="R2029" s="135">
        <v>6.1192570682109801E-2</v>
      </c>
      <c r="S2029" s="135">
        <v>5.6786675878954702E-2</v>
      </c>
      <c r="T2029" s="135">
        <v>5.6971661244791701E-2</v>
      </c>
      <c r="U2029" s="135">
        <v>5.1616052789039399E-2</v>
      </c>
      <c r="V2029" s="135">
        <v>5.1541568653881702E-2</v>
      </c>
      <c r="W2029" s="135">
        <v>5.1568839939440198E-2</v>
      </c>
      <c r="X2029" s="135">
        <v>4.9821293764804798E-2</v>
      </c>
      <c r="Y2029" s="135">
        <v>5.0291848596529097E-2</v>
      </c>
      <c r="Z2029" s="135">
        <v>4.82892346244094E-2</v>
      </c>
      <c r="AA2029" s="135">
        <v>5.1714475712134798E-2</v>
      </c>
      <c r="AB2029" s="135">
        <v>5.30075440255122E-2</v>
      </c>
      <c r="AC2029" s="135">
        <v>4.66726392394579E-2</v>
      </c>
      <c r="AD2029" s="135">
        <v>4.3799673969663701E-2</v>
      </c>
      <c r="AF2029" s="243">
        <f t="shared" si="36"/>
        <v>0.39510591221181868</v>
      </c>
      <c r="AG2029" s="275">
        <f t="shared" si="37"/>
        <v>0.60217809446489956</v>
      </c>
      <c r="AH2029" s="391">
        <f t="shared" si="38"/>
        <v>0.5233758815598295</v>
      </c>
      <c r="AI2029" s="135">
        <f t="shared" si="39"/>
        <v>1.1255539760247291</v>
      </c>
    </row>
    <row r="2030" spans="1:35" ht="12.6">
      <c r="A2030" s="10" t="s">
        <v>865</v>
      </c>
      <c r="B2030" s="10">
        <v>204</v>
      </c>
      <c r="C2030" s="10" t="s">
        <v>1514</v>
      </c>
      <c r="D2030" s="388">
        <v>45130</v>
      </c>
      <c r="E2030" s="389">
        <v>45130</v>
      </c>
      <c r="F2030" s="390" t="str">
        <f t="shared" si="35"/>
        <v>Whitegoods</v>
      </c>
      <c r="G2030" s="135">
        <v>3.9220598409435099E-2</v>
      </c>
      <c r="H2030" s="135">
        <v>3.5928285565185701E-2</v>
      </c>
      <c r="I2030" s="135">
        <v>3.3372860843523498E-2</v>
      </c>
      <c r="J2030" s="135">
        <v>3.3192059569502302E-2</v>
      </c>
      <c r="K2030" s="135">
        <v>3.3211061022444602E-2</v>
      </c>
      <c r="L2030" s="135">
        <v>3.2603971276099299E-2</v>
      </c>
      <c r="M2030" s="135">
        <v>3.5692146063479702E-2</v>
      </c>
      <c r="N2030" s="135">
        <v>3.7442683592071799E-2</v>
      </c>
      <c r="O2030" s="135">
        <v>4.7214051932639597E-2</v>
      </c>
      <c r="P2030" s="135">
        <v>5.89736356060169E-2</v>
      </c>
      <c r="Q2030" s="135">
        <v>6.5428543023601196E-2</v>
      </c>
      <c r="R2030" s="135">
        <v>6.1192570682109801E-2</v>
      </c>
      <c r="S2030" s="135">
        <v>5.6786675878954702E-2</v>
      </c>
      <c r="T2030" s="135">
        <v>5.6971661244791701E-2</v>
      </c>
      <c r="U2030" s="135">
        <v>5.1616052789039399E-2</v>
      </c>
      <c r="V2030" s="135">
        <v>5.1541568653881702E-2</v>
      </c>
      <c r="W2030" s="135">
        <v>5.1568839939440198E-2</v>
      </c>
      <c r="X2030" s="135">
        <v>4.9821293764804798E-2</v>
      </c>
      <c r="Y2030" s="135">
        <v>5.0291848596529097E-2</v>
      </c>
      <c r="Z2030" s="135">
        <v>4.82892346244094E-2</v>
      </c>
      <c r="AA2030" s="135">
        <v>5.1714475712134798E-2</v>
      </c>
      <c r="AB2030" s="135">
        <v>5.30075440255122E-2</v>
      </c>
      <c r="AC2030" s="135">
        <v>4.66726392394579E-2</v>
      </c>
      <c r="AD2030" s="135">
        <v>4.3799673969663701E-2</v>
      </c>
      <c r="AF2030" s="243">
        <f t="shared" si="36"/>
        <v>0.39510591221181868</v>
      </c>
      <c r="AG2030" s="275">
        <f t="shared" si="37"/>
        <v>0.60217809446489956</v>
      </c>
      <c r="AH2030" s="391">
        <f t="shared" si="38"/>
        <v>0.5233758815598295</v>
      </c>
      <c r="AI2030" s="135">
        <f t="shared" si="39"/>
        <v>1.1255539760247291</v>
      </c>
    </row>
    <row r="2031" spans="1:35" ht="12.6">
      <c r="A2031" s="10" t="s">
        <v>865</v>
      </c>
      <c r="B2031" s="10">
        <v>205</v>
      </c>
      <c r="C2031" s="10" t="s">
        <v>1514</v>
      </c>
      <c r="D2031" s="388">
        <v>45131</v>
      </c>
      <c r="E2031" s="389">
        <v>45131</v>
      </c>
      <c r="F2031" s="390" t="str">
        <f t="shared" si="35"/>
        <v>Whitegoods</v>
      </c>
      <c r="G2031" s="135">
        <v>4.03888180939386E-2</v>
      </c>
      <c r="H2031" s="135">
        <v>3.4721150267714197E-2</v>
      </c>
      <c r="I2031" s="135">
        <v>3.2897826566129502E-2</v>
      </c>
      <c r="J2031" s="135">
        <v>3.3067332280052E-2</v>
      </c>
      <c r="K2031" s="135">
        <v>3.2661688215700001E-2</v>
      </c>
      <c r="L2031" s="135">
        <v>3.3417143376560203E-2</v>
      </c>
      <c r="M2031" s="135">
        <v>3.6582320186360803E-2</v>
      </c>
      <c r="N2031" s="135">
        <v>4.5261807128611303E-2</v>
      </c>
      <c r="O2031" s="135">
        <v>4.9009772411002697E-2</v>
      </c>
      <c r="P2031" s="135">
        <v>4.5873836488933499E-2</v>
      </c>
      <c r="Q2031" s="135">
        <v>4.3035632336435897E-2</v>
      </c>
      <c r="R2031" s="135">
        <v>4.1252549683206997E-2</v>
      </c>
      <c r="S2031" s="135">
        <v>4.1217720676329901E-2</v>
      </c>
      <c r="T2031" s="135">
        <v>4.0398991550468201E-2</v>
      </c>
      <c r="U2031" s="135">
        <v>4.1506957492086903E-2</v>
      </c>
      <c r="V2031" s="135">
        <v>4.0257815048548598E-2</v>
      </c>
      <c r="W2031" s="135">
        <v>4.0331423346317202E-2</v>
      </c>
      <c r="X2031" s="135">
        <v>4.1947562730741302E-2</v>
      </c>
      <c r="Y2031" s="135">
        <v>4.3506044226965197E-2</v>
      </c>
      <c r="Z2031" s="135">
        <v>4.4479431999894903E-2</v>
      </c>
      <c r="AA2031" s="135">
        <v>5.0392162077871498E-2</v>
      </c>
      <c r="AB2031" s="135">
        <v>4.80877543106841E-2</v>
      </c>
      <c r="AC2031" s="135">
        <v>4.6467953456920202E-2</v>
      </c>
      <c r="AD2031" s="135">
        <v>4.5595058865232602E-2</v>
      </c>
      <c r="AF2031" s="243">
        <f t="shared" si="36"/>
        <v>0.2880010901333937</v>
      </c>
      <c r="AG2031" s="275">
        <f t="shared" si="37"/>
        <v>0.53951219942235906</v>
      </c>
      <c r="AH2031" s="391">
        <f t="shared" si="38"/>
        <v>0.45284655339434743</v>
      </c>
      <c r="AI2031" s="135">
        <f t="shared" si="39"/>
        <v>0.99235875281670649</v>
      </c>
    </row>
    <row r="2032" spans="1:35" ht="12.6">
      <c r="A2032" s="10" t="s">
        <v>865</v>
      </c>
      <c r="B2032" s="10">
        <v>206</v>
      </c>
      <c r="C2032" s="10" t="s">
        <v>1514</v>
      </c>
      <c r="D2032" s="388">
        <v>45132</v>
      </c>
      <c r="E2032" s="389">
        <v>45132</v>
      </c>
      <c r="F2032" s="390" t="str">
        <f t="shared" si="35"/>
        <v>Whitegoods</v>
      </c>
      <c r="G2032" s="135">
        <v>4.03888180939386E-2</v>
      </c>
      <c r="H2032" s="135">
        <v>3.4721150267714197E-2</v>
      </c>
      <c r="I2032" s="135">
        <v>3.2897826566129502E-2</v>
      </c>
      <c r="J2032" s="135">
        <v>3.3067332280052E-2</v>
      </c>
      <c r="K2032" s="135">
        <v>3.2661688215700001E-2</v>
      </c>
      <c r="L2032" s="135">
        <v>3.3417143376560203E-2</v>
      </c>
      <c r="M2032" s="135">
        <v>3.6582320186360803E-2</v>
      </c>
      <c r="N2032" s="135">
        <v>4.5261807128611303E-2</v>
      </c>
      <c r="O2032" s="135">
        <v>4.9009772411002697E-2</v>
      </c>
      <c r="P2032" s="135">
        <v>4.5873836488933499E-2</v>
      </c>
      <c r="Q2032" s="135">
        <v>4.3035632336435897E-2</v>
      </c>
      <c r="R2032" s="135">
        <v>4.1252549683206997E-2</v>
      </c>
      <c r="S2032" s="135">
        <v>4.1217720676329901E-2</v>
      </c>
      <c r="T2032" s="135">
        <v>4.0398991550468201E-2</v>
      </c>
      <c r="U2032" s="135">
        <v>4.1506957492086903E-2</v>
      </c>
      <c r="V2032" s="135">
        <v>4.0257815048548598E-2</v>
      </c>
      <c r="W2032" s="135">
        <v>4.0331423346317202E-2</v>
      </c>
      <c r="X2032" s="135">
        <v>4.1947562730741302E-2</v>
      </c>
      <c r="Y2032" s="135">
        <v>4.3506044226965197E-2</v>
      </c>
      <c r="Z2032" s="135">
        <v>4.4479431999894903E-2</v>
      </c>
      <c r="AA2032" s="135">
        <v>5.0392162077871498E-2</v>
      </c>
      <c r="AB2032" s="135">
        <v>4.80877543106841E-2</v>
      </c>
      <c r="AC2032" s="135">
        <v>4.6467953456920202E-2</v>
      </c>
      <c r="AD2032" s="135">
        <v>4.5595058865232602E-2</v>
      </c>
      <c r="AF2032" s="243">
        <f t="shared" si="36"/>
        <v>0.2880010901333937</v>
      </c>
      <c r="AG2032" s="275">
        <f t="shared" si="37"/>
        <v>0.53951219942235906</v>
      </c>
      <c r="AH2032" s="391">
        <f t="shared" si="38"/>
        <v>0.45284655339434743</v>
      </c>
      <c r="AI2032" s="135">
        <f t="shared" si="39"/>
        <v>0.99235875281670649</v>
      </c>
    </row>
    <row r="2033" spans="1:35" ht="12.6">
      <c r="A2033" s="10" t="s">
        <v>865</v>
      </c>
      <c r="B2033" s="10">
        <v>207</v>
      </c>
      <c r="C2033" s="10" t="s">
        <v>1514</v>
      </c>
      <c r="D2033" s="388">
        <v>45133</v>
      </c>
      <c r="E2033" s="389">
        <v>45133</v>
      </c>
      <c r="F2033" s="390" t="str">
        <f t="shared" si="35"/>
        <v>Whitegoods</v>
      </c>
      <c r="G2033" s="135">
        <v>4.03888180939386E-2</v>
      </c>
      <c r="H2033" s="135">
        <v>3.4721150267714197E-2</v>
      </c>
      <c r="I2033" s="135">
        <v>3.2897826566129502E-2</v>
      </c>
      <c r="J2033" s="135">
        <v>3.3067332280052E-2</v>
      </c>
      <c r="K2033" s="135">
        <v>3.2661688215700001E-2</v>
      </c>
      <c r="L2033" s="135">
        <v>3.3417143376560203E-2</v>
      </c>
      <c r="M2033" s="135">
        <v>3.6582320186360803E-2</v>
      </c>
      <c r="N2033" s="135">
        <v>4.5261807128611303E-2</v>
      </c>
      <c r="O2033" s="135">
        <v>4.9009772411002697E-2</v>
      </c>
      <c r="P2033" s="135">
        <v>4.5873836488933499E-2</v>
      </c>
      <c r="Q2033" s="135">
        <v>4.3035632336435897E-2</v>
      </c>
      <c r="R2033" s="135">
        <v>4.1252549683206997E-2</v>
      </c>
      <c r="S2033" s="135">
        <v>4.1217720676329901E-2</v>
      </c>
      <c r="T2033" s="135">
        <v>4.0398991550468201E-2</v>
      </c>
      <c r="U2033" s="135">
        <v>4.1506957492086903E-2</v>
      </c>
      <c r="V2033" s="135">
        <v>4.0257815048548598E-2</v>
      </c>
      <c r="W2033" s="135">
        <v>4.0331423346317202E-2</v>
      </c>
      <c r="X2033" s="135">
        <v>4.1947562730741302E-2</v>
      </c>
      <c r="Y2033" s="135">
        <v>4.3506044226965197E-2</v>
      </c>
      <c r="Z2033" s="135">
        <v>4.4479431999894903E-2</v>
      </c>
      <c r="AA2033" s="135">
        <v>5.0392162077871498E-2</v>
      </c>
      <c r="AB2033" s="135">
        <v>4.80877543106841E-2</v>
      </c>
      <c r="AC2033" s="135">
        <v>4.6467953456920202E-2</v>
      </c>
      <c r="AD2033" s="135">
        <v>4.5595058865232602E-2</v>
      </c>
      <c r="AF2033" s="243">
        <f t="shared" si="36"/>
        <v>0.2880010901333937</v>
      </c>
      <c r="AG2033" s="275">
        <f t="shared" si="37"/>
        <v>0.53951219942235906</v>
      </c>
      <c r="AH2033" s="391">
        <f t="shared" si="38"/>
        <v>0.45284655339434743</v>
      </c>
      <c r="AI2033" s="135">
        <f t="shared" si="39"/>
        <v>0.99235875281670649</v>
      </c>
    </row>
    <row r="2034" spans="1:35" ht="12.6">
      <c r="A2034" s="10" t="s">
        <v>865</v>
      </c>
      <c r="B2034" s="10">
        <v>208</v>
      </c>
      <c r="C2034" s="10" t="s">
        <v>1514</v>
      </c>
      <c r="D2034" s="388">
        <v>45134</v>
      </c>
      <c r="E2034" s="389">
        <v>45134</v>
      </c>
      <c r="F2034" s="390" t="str">
        <f t="shared" si="35"/>
        <v>Whitegoods</v>
      </c>
      <c r="G2034" s="135">
        <v>4.03888180939386E-2</v>
      </c>
      <c r="H2034" s="135">
        <v>3.4721150267714197E-2</v>
      </c>
      <c r="I2034" s="135">
        <v>3.2897826566129502E-2</v>
      </c>
      <c r="J2034" s="135">
        <v>3.3067332280052E-2</v>
      </c>
      <c r="K2034" s="135">
        <v>3.2661688215700001E-2</v>
      </c>
      <c r="L2034" s="135">
        <v>3.3417143376560203E-2</v>
      </c>
      <c r="M2034" s="135">
        <v>3.6582320186360803E-2</v>
      </c>
      <c r="N2034" s="135">
        <v>4.5261807128611303E-2</v>
      </c>
      <c r="O2034" s="135">
        <v>4.9009772411002697E-2</v>
      </c>
      <c r="P2034" s="135">
        <v>4.5873836488933499E-2</v>
      </c>
      <c r="Q2034" s="135">
        <v>4.3035632336435897E-2</v>
      </c>
      <c r="R2034" s="135">
        <v>4.1252549683206997E-2</v>
      </c>
      <c r="S2034" s="135">
        <v>4.1217720676329901E-2</v>
      </c>
      <c r="T2034" s="135">
        <v>4.0398991550468201E-2</v>
      </c>
      <c r="U2034" s="135">
        <v>4.1506957492086903E-2</v>
      </c>
      <c r="V2034" s="135">
        <v>4.0257815048548598E-2</v>
      </c>
      <c r="W2034" s="135">
        <v>4.0331423346317202E-2</v>
      </c>
      <c r="X2034" s="135">
        <v>4.1947562730741302E-2</v>
      </c>
      <c r="Y2034" s="135">
        <v>4.3506044226965197E-2</v>
      </c>
      <c r="Z2034" s="135">
        <v>4.4479431999894903E-2</v>
      </c>
      <c r="AA2034" s="135">
        <v>5.0392162077871498E-2</v>
      </c>
      <c r="AB2034" s="135">
        <v>4.80877543106841E-2</v>
      </c>
      <c r="AC2034" s="135">
        <v>4.6467953456920202E-2</v>
      </c>
      <c r="AD2034" s="135">
        <v>4.5595058865232602E-2</v>
      </c>
      <c r="AF2034" s="243">
        <f t="shared" si="36"/>
        <v>0.2880010901333937</v>
      </c>
      <c r="AG2034" s="275">
        <f t="shared" si="37"/>
        <v>0.53951219942235906</v>
      </c>
      <c r="AH2034" s="391">
        <f t="shared" si="38"/>
        <v>0.45284655339434743</v>
      </c>
      <c r="AI2034" s="135">
        <f t="shared" si="39"/>
        <v>0.99235875281670649</v>
      </c>
    </row>
    <row r="2035" spans="1:35" ht="12.6">
      <c r="A2035" s="10" t="s">
        <v>865</v>
      </c>
      <c r="B2035" s="10">
        <v>209</v>
      </c>
      <c r="C2035" s="10" t="s">
        <v>1514</v>
      </c>
      <c r="D2035" s="388">
        <v>45135</v>
      </c>
      <c r="E2035" s="389">
        <v>45135</v>
      </c>
      <c r="F2035" s="390" t="str">
        <f t="shared" si="35"/>
        <v>Whitegoods</v>
      </c>
      <c r="G2035" s="135">
        <v>4.03888180939386E-2</v>
      </c>
      <c r="H2035" s="135">
        <v>3.4721150267714197E-2</v>
      </c>
      <c r="I2035" s="135">
        <v>3.2897826566129502E-2</v>
      </c>
      <c r="J2035" s="135">
        <v>3.3067332280052E-2</v>
      </c>
      <c r="K2035" s="135">
        <v>3.2661688215700001E-2</v>
      </c>
      <c r="L2035" s="135">
        <v>3.3417143376560203E-2</v>
      </c>
      <c r="M2035" s="135">
        <v>3.6582320186360803E-2</v>
      </c>
      <c r="N2035" s="135">
        <v>4.5261807128611303E-2</v>
      </c>
      <c r="O2035" s="135">
        <v>4.9009772411002697E-2</v>
      </c>
      <c r="P2035" s="135">
        <v>4.5873836488933499E-2</v>
      </c>
      <c r="Q2035" s="135">
        <v>4.3035632336435897E-2</v>
      </c>
      <c r="R2035" s="135">
        <v>4.1252549683206997E-2</v>
      </c>
      <c r="S2035" s="135">
        <v>4.1217720676329901E-2</v>
      </c>
      <c r="T2035" s="135">
        <v>4.0398991550468201E-2</v>
      </c>
      <c r="U2035" s="135">
        <v>4.1506957492086903E-2</v>
      </c>
      <c r="V2035" s="135">
        <v>4.0257815048548598E-2</v>
      </c>
      <c r="W2035" s="135">
        <v>4.0331423346317202E-2</v>
      </c>
      <c r="X2035" s="135">
        <v>4.1947562730741302E-2</v>
      </c>
      <c r="Y2035" s="135">
        <v>4.3506044226965197E-2</v>
      </c>
      <c r="Z2035" s="135">
        <v>4.4479431999894903E-2</v>
      </c>
      <c r="AA2035" s="135">
        <v>5.0392162077871498E-2</v>
      </c>
      <c r="AB2035" s="135">
        <v>4.80877543106841E-2</v>
      </c>
      <c r="AC2035" s="135">
        <v>4.6467953456920202E-2</v>
      </c>
      <c r="AD2035" s="135">
        <v>4.5595058865232602E-2</v>
      </c>
      <c r="AF2035" s="243">
        <f t="shared" si="36"/>
        <v>0.2880010901333937</v>
      </c>
      <c r="AG2035" s="275">
        <f t="shared" si="37"/>
        <v>0.53951219942235906</v>
      </c>
      <c r="AH2035" s="391">
        <f t="shared" si="38"/>
        <v>0.45284655339434743</v>
      </c>
      <c r="AI2035" s="135">
        <f t="shared" si="39"/>
        <v>0.99235875281670649</v>
      </c>
    </row>
    <row r="2036" spans="1:35" ht="12.6">
      <c r="A2036" s="10" t="s">
        <v>865</v>
      </c>
      <c r="B2036" s="10">
        <v>210</v>
      </c>
      <c r="C2036" s="10" t="s">
        <v>1514</v>
      </c>
      <c r="D2036" s="388">
        <v>45136</v>
      </c>
      <c r="E2036" s="389">
        <v>45136</v>
      </c>
      <c r="F2036" s="390" t="str">
        <f t="shared" si="35"/>
        <v>Whitegoods</v>
      </c>
      <c r="G2036" s="135">
        <v>3.9220598409435099E-2</v>
      </c>
      <c r="H2036" s="135">
        <v>3.5928285565185701E-2</v>
      </c>
      <c r="I2036" s="135">
        <v>3.3372860843523498E-2</v>
      </c>
      <c r="J2036" s="135">
        <v>3.3192059569502302E-2</v>
      </c>
      <c r="K2036" s="135">
        <v>3.3211061022444602E-2</v>
      </c>
      <c r="L2036" s="135">
        <v>3.2603971276099299E-2</v>
      </c>
      <c r="M2036" s="135">
        <v>3.5692146063479702E-2</v>
      </c>
      <c r="N2036" s="135">
        <v>3.7442683592071799E-2</v>
      </c>
      <c r="O2036" s="135">
        <v>4.7214051932639597E-2</v>
      </c>
      <c r="P2036" s="135">
        <v>5.89736356060169E-2</v>
      </c>
      <c r="Q2036" s="135">
        <v>6.5428543023601196E-2</v>
      </c>
      <c r="R2036" s="135">
        <v>6.1192570682109801E-2</v>
      </c>
      <c r="S2036" s="135">
        <v>5.6786675878954702E-2</v>
      </c>
      <c r="T2036" s="135">
        <v>5.6971661244791701E-2</v>
      </c>
      <c r="U2036" s="135">
        <v>5.1616052789039399E-2</v>
      </c>
      <c r="V2036" s="135">
        <v>5.1541568653881702E-2</v>
      </c>
      <c r="W2036" s="135">
        <v>5.1568839939440198E-2</v>
      </c>
      <c r="X2036" s="135">
        <v>4.9821293764804798E-2</v>
      </c>
      <c r="Y2036" s="135">
        <v>5.0291848596529097E-2</v>
      </c>
      <c r="Z2036" s="135">
        <v>4.82892346244094E-2</v>
      </c>
      <c r="AA2036" s="135">
        <v>5.1714475712134798E-2</v>
      </c>
      <c r="AB2036" s="135">
        <v>5.30075440255122E-2</v>
      </c>
      <c r="AC2036" s="135">
        <v>4.66726392394579E-2</v>
      </c>
      <c r="AD2036" s="135">
        <v>4.3799673969663701E-2</v>
      </c>
      <c r="AF2036" s="243">
        <f t="shared" si="36"/>
        <v>0.39510591221181868</v>
      </c>
      <c r="AG2036" s="275">
        <f t="shared" si="37"/>
        <v>0.60217809446489956</v>
      </c>
      <c r="AH2036" s="391">
        <f t="shared" si="38"/>
        <v>0.5233758815598295</v>
      </c>
      <c r="AI2036" s="135">
        <f t="shared" si="39"/>
        <v>1.1255539760247291</v>
      </c>
    </row>
    <row r="2037" spans="1:35" ht="12.6">
      <c r="A2037" s="10" t="s">
        <v>865</v>
      </c>
      <c r="B2037" s="10">
        <v>211</v>
      </c>
      <c r="C2037" s="10" t="s">
        <v>1514</v>
      </c>
      <c r="D2037" s="388">
        <v>45137</v>
      </c>
      <c r="E2037" s="389">
        <v>45137</v>
      </c>
      <c r="F2037" s="390" t="str">
        <f t="shared" si="35"/>
        <v>Whitegoods</v>
      </c>
      <c r="G2037" s="135">
        <v>3.9220598409435099E-2</v>
      </c>
      <c r="H2037" s="135">
        <v>3.5928285565185701E-2</v>
      </c>
      <c r="I2037" s="135">
        <v>3.3372860843523498E-2</v>
      </c>
      <c r="J2037" s="135">
        <v>3.3192059569502302E-2</v>
      </c>
      <c r="K2037" s="135">
        <v>3.3211061022444602E-2</v>
      </c>
      <c r="L2037" s="135">
        <v>3.2603971276099299E-2</v>
      </c>
      <c r="M2037" s="135">
        <v>3.5692146063479702E-2</v>
      </c>
      <c r="N2037" s="135">
        <v>3.7442683592071799E-2</v>
      </c>
      <c r="O2037" s="135">
        <v>4.7214051932639597E-2</v>
      </c>
      <c r="P2037" s="135">
        <v>5.89736356060169E-2</v>
      </c>
      <c r="Q2037" s="135">
        <v>6.5428543023601196E-2</v>
      </c>
      <c r="R2037" s="135">
        <v>6.1192570682109801E-2</v>
      </c>
      <c r="S2037" s="135">
        <v>5.6786675878954702E-2</v>
      </c>
      <c r="T2037" s="135">
        <v>5.6971661244791701E-2</v>
      </c>
      <c r="U2037" s="135">
        <v>5.1616052789039399E-2</v>
      </c>
      <c r="V2037" s="135">
        <v>5.1541568653881702E-2</v>
      </c>
      <c r="W2037" s="135">
        <v>5.1568839939440198E-2</v>
      </c>
      <c r="X2037" s="135">
        <v>4.9821293764804798E-2</v>
      </c>
      <c r="Y2037" s="135">
        <v>5.0291848596529097E-2</v>
      </c>
      <c r="Z2037" s="135">
        <v>4.82892346244094E-2</v>
      </c>
      <c r="AA2037" s="135">
        <v>5.1714475712134798E-2</v>
      </c>
      <c r="AB2037" s="135">
        <v>5.30075440255122E-2</v>
      </c>
      <c r="AC2037" s="135">
        <v>4.66726392394579E-2</v>
      </c>
      <c r="AD2037" s="135">
        <v>4.3799673969663701E-2</v>
      </c>
      <c r="AF2037" s="243">
        <f t="shared" si="36"/>
        <v>0.39510591221181868</v>
      </c>
      <c r="AG2037" s="275">
        <f t="shared" si="37"/>
        <v>0.60217809446489956</v>
      </c>
      <c r="AH2037" s="391">
        <f t="shared" si="38"/>
        <v>0.5233758815598295</v>
      </c>
      <c r="AI2037" s="135">
        <f t="shared" si="39"/>
        <v>1.1255539760247291</v>
      </c>
    </row>
    <row r="2038" spans="1:35" ht="12.6">
      <c r="A2038" s="10" t="s">
        <v>865</v>
      </c>
      <c r="B2038" s="10">
        <v>212</v>
      </c>
      <c r="C2038" s="10" t="s">
        <v>1514</v>
      </c>
      <c r="D2038" s="388">
        <v>45138</v>
      </c>
      <c r="E2038" s="389">
        <v>45138</v>
      </c>
      <c r="F2038" s="390" t="str">
        <f t="shared" si="35"/>
        <v>Whitegoods</v>
      </c>
      <c r="G2038" s="135">
        <v>4.03888180939386E-2</v>
      </c>
      <c r="H2038" s="135">
        <v>3.4721150267714197E-2</v>
      </c>
      <c r="I2038" s="135">
        <v>3.2897826566129502E-2</v>
      </c>
      <c r="J2038" s="135">
        <v>3.3067332280052E-2</v>
      </c>
      <c r="K2038" s="135">
        <v>3.2661688215700001E-2</v>
      </c>
      <c r="L2038" s="135">
        <v>3.3417143376560203E-2</v>
      </c>
      <c r="M2038" s="135">
        <v>3.6582320186360803E-2</v>
      </c>
      <c r="N2038" s="135">
        <v>4.5261807128611303E-2</v>
      </c>
      <c r="O2038" s="135">
        <v>4.9009772411002697E-2</v>
      </c>
      <c r="P2038" s="135">
        <v>4.5873836488933499E-2</v>
      </c>
      <c r="Q2038" s="135">
        <v>4.3035632336435897E-2</v>
      </c>
      <c r="R2038" s="135">
        <v>4.1252549683206997E-2</v>
      </c>
      <c r="S2038" s="135">
        <v>4.1217720676329901E-2</v>
      </c>
      <c r="T2038" s="135">
        <v>4.0398991550468201E-2</v>
      </c>
      <c r="U2038" s="135">
        <v>4.1506957492086903E-2</v>
      </c>
      <c r="V2038" s="135">
        <v>4.0257815048548598E-2</v>
      </c>
      <c r="W2038" s="135">
        <v>4.0331423346317202E-2</v>
      </c>
      <c r="X2038" s="135">
        <v>4.1947562730741302E-2</v>
      </c>
      <c r="Y2038" s="135">
        <v>4.3506044226965197E-2</v>
      </c>
      <c r="Z2038" s="135">
        <v>4.4479431999894903E-2</v>
      </c>
      <c r="AA2038" s="135">
        <v>5.0392162077871498E-2</v>
      </c>
      <c r="AB2038" s="135">
        <v>4.80877543106841E-2</v>
      </c>
      <c r="AC2038" s="135">
        <v>4.6467953456920202E-2</v>
      </c>
      <c r="AD2038" s="135">
        <v>4.5595058865232602E-2</v>
      </c>
      <c r="AF2038" s="243">
        <f t="shared" si="36"/>
        <v>0.2880010901333937</v>
      </c>
      <c r="AG2038" s="275">
        <f t="shared" si="37"/>
        <v>0.53951219942235906</v>
      </c>
      <c r="AH2038" s="391">
        <f t="shared" si="38"/>
        <v>0.45284655339434743</v>
      </c>
      <c r="AI2038" s="135">
        <f t="shared" si="39"/>
        <v>0.99235875281670649</v>
      </c>
    </row>
    <row r="2039" spans="1:35" ht="12.6">
      <c r="A2039" s="10" t="s">
        <v>865</v>
      </c>
      <c r="B2039" s="10">
        <v>213</v>
      </c>
      <c r="C2039" s="10" t="s">
        <v>1514</v>
      </c>
      <c r="D2039" s="388">
        <v>45139</v>
      </c>
      <c r="E2039" s="389">
        <v>45139</v>
      </c>
      <c r="F2039" s="390" t="str">
        <f t="shared" si="35"/>
        <v>Whitegoods</v>
      </c>
      <c r="G2039" s="135">
        <v>4.03888180939386E-2</v>
      </c>
      <c r="H2039" s="135">
        <v>3.4721150267714197E-2</v>
      </c>
      <c r="I2039" s="135">
        <v>3.2897826566129502E-2</v>
      </c>
      <c r="J2039" s="135">
        <v>3.3067332280052E-2</v>
      </c>
      <c r="K2039" s="135">
        <v>3.2661688215700001E-2</v>
      </c>
      <c r="L2039" s="135">
        <v>3.3417143376560203E-2</v>
      </c>
      <c r="M2039" s="135">
        <v>3.6582320186360803E-2</v>
      </c>
      <c r="N2039" s="135">
        <v>4.5261807128611303E-2</v>
      </c>
      <c r="O2039" s="135">
        <v>4.9009772411002697E-2</v>
      </c>
      <c r="P2039" s="135">
        <v>4.5873836488933499E-2</v>
      </c>
      <c r="Q2039" s="135">
        <v>4.3035632336435897E-2</v>
      </c>
      <c r="R2039" s="135">
        <v>4.1252549683206997E-2</v>
      </c>
      <c r="S2039" s="135">
        <v>4.1217720676329901E-2</v>
      </c>
      <c r="T2039" s="135">
        <v>4.0398991550468201E-2</v>
      </c>
      <c r="U2039" s="135">
        <v>4.1506957492086903E-2</v>
      </c>
      <c r="V2039" s="135">
        <v>4.0257815048548598E-2</v>
      </c>
      <c r="W2039" s="135">
        <v>4.0331423346317202E-2</v>
      </c>
      <c r="X2039" s="135">
        <v>4.1947562730741302E-2</v>
      </c>
      <c r="Y2039" s="135">
        <v>4.3506044226965197E-2</v>
      </c>
      <c r="Z2039" s="135">
        <v>4.4479431999894903E-2</v>
      </c>
      <c r="AA2039" s="135">
        <v>5.0392162077871498E-2</v>
      </c>
      <c r="AB2039" s="135">
        <v>4.80877543106841E-2</v>
      </c>
      <c r="AC2039" s="135">
        <v>4.6467953456920202E-2</v>
      </c>
      <c r="AD2039" s="135">
        <v>4.5595058865232602E-2</v>
      </c>
      <c r="AF2039" s="243">
        <f t="shared" si="36"/>
        <v>0.2880010901333937</v>
      </c>
      <c r="AG2039" s="275">
        <f t="shared" si="37"/>
        <v>0.53951219942235906</v>
      </c>
      <c r="AH2039" s="391">
        <f t="shared" si="38"/>
        <v>0.45284655339434743</v>
      </c>
      <c r="AI2039" s="135">
        <f t="shared" si="39"/>
        <v>0.99235875281670649</v>
      </c>
    </row>
    <row r="2040" spans="1:35" ht="12.6">
      <c r="A2040" s="10" t="s">
        <v>865</v>
      </c>
      <c r="B2040" s="10">
        <v>214</v>
      </c>
      <c r="C2040" s="10" t="s">
        <v>1514</v>
      </c>
      <c r="D2040" s="388">
        <v>45140</v>
      </c>
      <c r="E2040" s="389">
        <v>45140</v>
      </c>
      <c r="F2040" s="390" t="str">
        <f t="shared" si="35"/>
        <v>Whitegoods</v>
      </c>
      <c r="G2040" s="135">
        <v>4.03888180939386E-2</v>
      </c>
      <c r="H2040" s="135">
        <v>3.4721150267714197E-2</v>
      </c>
      <c r="I2040" s="135">
        <v>3.2897826566129502E-2</v>
      </c>
      <c r="J2040" s="135">
        <v>3.3067332280052E-2</v>
      </c>
      <c r="K2040" s="135">
        <v>3.2661688215700001E-2</v>
      </c>
      <c r="L2040" s="135">
        <v>3.3417143376560203E-2</v>
      </c>
      <c r="M2040" s="135">
        <v>3.6582320186360803E-2</v>
      </c>
      <c r="N2040" s="135">
        <v>4.5261807128611303E-2</v>
      </c>
      <c r="O2040" s="135">
        <v>4.9009772411002697E-2</v>
      </c>
      <c r="P2040" s="135">
        <v>4.5873836488933499E-2</v>
      </c>
      <c r="Q2040" s="135">
        <v>4.3035632336435897E-2</v>
      </c>
      <c r="R2040" s="135">
        <v>4.1252549683206997E-2</v>
      </c>
      <c r="S2040" s="135">
        <v>4.1217720676329901E-2</v>
      </c>
      <c r="T2040" s="135">
        <v>4.0398991550468201E-2</v>
      </c>
      <c r="U2040" s="135">
        <v>4.1506957492086903E-2</v>
      </c>
      <c r="V2040" s="135">
        <v>4.0257815048548598E-2</v>
      </c>
      <c r="W2040" s="135">
        <v>4.0331423346317202E-2</v>
      </c>
      <c r="X2040" s="135">
        <v>4.1947562730741302E-2</v>
      </c>
      <c r="Y2040" s="135">
        <v>4.3506044226965197E-2</v>
      </c>
      <c r="Z2040" s="135">
        <v>4.4479431999894903E-2</v>
      </c>
      <c r="AA2040" s="135">
        <v>5.0392162077871498E-2</v>
      </c>
      <c r="AB2040" s="135">
        <v>4.80877543106841E-2</v>
      </c>
      <c r="AC2040" s="135">
        <v>4.6467953456920202E-2</v>
      </c>
      <c r="AD2040" s="135">
        <v>4.5595058865232602E-2</v>
      </c>
      <c r="AF2040" s="243">
        <f t="shared" si="36"/>
        <v>0.2880010901333937</v>
      </c>
      <c r="AG2040" s="275">
        <f t="shared" si="37"/>
        <v>0.53951219942235906</v>
      </c>
      <c r="AH2040" s="391">
        <f t="shared" si="38"/>
        <v>0.45284655339434743</v>
      </c>
      <c r="AI2040" s="135">
        <f t="shared" si="39"/>
        <v>0.99235875281670649</v>
      </c>
    </row>
    <row r="2041" spans="1:35" ht="12.6">
      <c r="A2041" s="10" t="s">
        <v>865</v>
      </c>
      <c r="B2041" s="10">
        <v>215</v>
      </c>
      <c r="C2041" s="10" t="s">
        <v>1514</v>
      </c>
      <c r="D2041" s="388">
        <v>45141</v>
      </c>
      <c r="E2041" s="389">
        <v>45141</v>
      </c>
      <c r="F2041" s="390" t="str">
        <f t="shared" ref="F2041:F2191" si="40">A2041</f>
        <v>Whitegoods</v>
      </c>
      <c r="G2041" s="135">
        <v>4.03888180939386E-2</v>
      </c>
      <c r="H2041" s="135">
        <v>3.4721150267714197E-2</v>
      </c>
      <c r="I2041" s="135">
        <v>3.2897826566129502E-2</v>
      </c>
      <c r="J2041" s="135">
        <v>3.3067332280052E-2</v>
      </c>
      <c r="K2041" s="135">
        <v>3.2661688215700001E-2</v>
      </c>
      <c r="L2041" s="135">
        <v>3.3417143376560203E-2</v>
      </c>
      <c r="M2041" s="135">
        <v>3.6582320186360803E-2</v>
      </c>
      <c r="N2041" s="135">
        <v>4.5261807128611303E-2</v>
      </c>
      <c r="O2041" s="135">
        <v>4.9009772411002697E-2</v>
      </c>
      <c r="P2041" s="135">
        <v>4.5873836488933499E-2</v>
      </c>
      <c r="Q2041" s="135">
        <v>4.3035632336435897E-2</v>
      </c>
      <c r="R2041" s="135">
        <v>4.1252549683206997E-2</v>
      </c>
      <c r="S2041" s="135">
        <v>4.1217720676329901E-2</v>
      </c>
      <c r="T2041" s="135">
        <v>4.0398991550468201E-2</v>
      </c>
      <c r="U2041" s="135">
        <v>4.1506957492086903E-2</v>
      </c>
      <c r="V2041" s="135">
        <v>4.0257815048548598E-2</v>
      </c>
      <c r="W2041" s="135">
        <v>4.0331423346317202E-2</v>
      </c>
      <c r="X2041" s="135">
        <v>4.1947562730741302E-2</v>
      </c>
      <c r="Y2041" s="135">
        <v>4.3506044226965197E-2</v>
      </c>
      <c r="Z2041" s="135">
        <v>4.4479431999894903E-2</v>
      </c>
      <c r="AA2041" s="135">
        <v>5.0392162077871498E-2</v>
      </c>
      <c r="AB2041" s="135">
        <v>4.80877543106841E-2</v>
      </c>
      <c r="AC2041" s="135">
        <v>4.6467953456920202E-2</v>
      </c>
      <c r="AD2041" s="135">
        <v>4.5595058865232602E-2</v>
      </c>
      <c r="AF2041" s="243">
        <f t="shared" si="36"/>
        <v>0.2880010901333937</v>
      </c>
      <c r="AG2041" s="275">
        <f t="shared" si="37"/>
        <v>0.53951219942235906</v>
      </c>
      <c r="AH2041" s="391">
        <f t="shared" si="38"/>
        <v>0.45284655339434743</v>
      </c>
      <c r="AI2041" s="135">
        <f t="shared" si="39"/>
        <v>0.99235875281670649</v>
      </c>
    </row>
    <row r="2042" spans="1:35" ht="12.6">
      <c r="A2042" s="10" t="s">
        <v>865</v>
      </c>
      <c r="B2042" s="10">
        <v>216</v>
      </c>
      <c r="C2042" s="10" t="s">
        <v>1514</v>
      </c>
      <c r="D2042" s="388">
        <v>45142</v>
      </c>
      <c r="E2042" s="389">
        <v>45142</v>
      </c>
      <c r="F2042" s="390" t="str">
        <f t="shared" si="40"/>
        <v>Whitegoods</v>
      </c>
      <c r="G2042" s="135">
        <v>4.03888180939386E-2</v>
      </c>
      <c r="H2042" s="135">
        <v>3.4721150267714197E-2</v>
      </c>
      <c r="I2042" s="135">
        <v>3.2897826566129502E-2</v>
      </c>
      <c r="J2042" s="135">
        <v>3.3067332280052E-2</v>
      </c>
      <c r="K2042" s="135">
        <v>3.2661688215700001E-2</v>
      </c>
      <c r="L2042" s="135">
        <v>3.3417143376560203E-2</v>
      </c>
      <c r="M2042" s="135">
        <v>3.6582320186360803E-2</v>
      </c>
      <c r="N2042" s="135">
        <v>4.5261807128611303E-2</v>
      </c>
      <c r="O2042" s="135">
        <v>4.9009772411002697E-2</v>
      </c>
      <c r="P2042" s="135">
        <v>4.5873836488933499E-2</v>
      </c>
      <c r="Q2042" s="135">
        <v>4.3035632336435897E-2</v>
      </c>
      <c r="R2042" s="135">
        <v>4.1252549683206997E-2</v>
      </c>
      <c r="S2042" s="135">
        <v>4.1217720676329901E-2</v>
      </c>
      <c r="T2042" s="135">
        <v>4.0398991550468201E-2</v>
      </c>
      <c r="U2042" s="135">
        <v>4.1506957492086903E-2</v>
      </c>
      <c r="V2042" s="135">
        <v>4.0257815048548598E-2</v>
      </c>
      <c r="W2042" s="135">
        <v>4.0331423346317202E-2</v>
      </c>
      <c r="X2042" s="135">
        <v>4.1947562730741302E-2</v>
      </c>
      <c r="Y2042" s="135">
        <v>4.3506044226965197E-2</v>
      </c>
      <c r="Z2042" s="135">
        <v>4.4479431999894903E-2</v>
      </c>
      <c r="AA2042" s="135">
        <v>5.0392162077871498E-2</v>
      </c>
      <c r="AB2042" s="135">
        <v>4.80877543106841E-2</v>
      </c>
      <c r="AC2042" s="135">
        <v>4.6467953456920202E-2</v>
      </c>
      <c r="AD2042" s="135">
        <v>4.5595058865232602E-2</v>
      </c>
      <c r="AF2042" s="243">
        <f t="shared" ref="AF2042:AF2191" si="41">SUM(Q2042:W2042)</f>
        <v>0.2880010901333937</v>
      </c>
      <c r="AG2042" s="275">
        <f t="shared" ref="AG2042:AG2191" si="42">SUM(G2042:AD2042)-AH2042</f>
        <v>0.53951219942235906</v>
      </c>
      <c r="AH2042" s="391">
        <f t="shared" ref="AH2042:AH2191" si="43">SUM(N2042:R2042,X2042:AB2042)</f>
        <v>0.45284655339434743</v>
      </c>
      <c r="AI2042" s="135">
        <f t="shared" ref="AI2042:AI2191" si="44">SUM(G2042:AD2042)</f>
        <v>0.99235875281670649</v>
      </c>
    </row>
    <row r="2043" spans="1:35" ht="12.6">
      <c r="A2043" s="10" t="s">
        <v>865</v>
      </c>
      <c r="B2043" s="10">
        <v>217</v>
      </c>
      <c r="C2043" s="10" t="s">
        <v>1514</v>
      </c>
      <c r="D2043" s="388">
        <v>45143</v>
      </c>
      <c r="E2043" s="389">
        <v>45143</v>
      </c>
      <c r="F2043" s="390" t="str">
        <f t="shared" si="40"/>
        <v>Whitegoods</v>
      </c>
      <c r="G2043" s="135">
        <v>3.9220598409435099E-2</v>
      </c>
      <c r="H2043" s="135">
        <v>3.5928285565185701E-2</v>
      </c>
      <c r="I2043" s="135">
        <v>3.3372860843523498E-2</v>
      </c>
      <c r="J2043" s="135">
        <v>3.3192059569502302E-2</v>
      </c>
      <c r="K2043" s="135">
        <v>3.3211061022444602E-2</v>
      </c>
      <c r="L2043" s="135">
        <v>3.2603971276099299E-2</v>
      </c>
      <c r="M2043" s="135">
        <v>3.5692146063479702E-2</v>
      </c>
      <c r="N2043" s="135">
        <v>3.7442683592071799E-2</v>
      </c>
      <c r="O2043" s="135">
        <v>4.7214051932639597E-2</v>
      </c>
      <c r="P2043" s="135">
        <v>5.89736356060169E-2</v>
      </c>
      <c r="Q2043" s="135">
        <v>6.5428543023601196E-2</v>
      </c>
      <c r="R2043" s="135">
        <v>6.1192570682109801E-2</v>
      </c>
      <c r="S2043" s="135">
        <v>5.6786675878954702E-2</v>
      </c>
      <c r="T2043" s="135">
        <v>5.6971661244791701E-2</v>
      </c>
      <c r="U2043" s="135">
        <v>5.1616052789039399E-2</v>
      </c>
      <c r="V2043" s="135">
        <v>5.1541568653881702E-2</v>
      </c>
      <c r="W2043" s="135">
        <v>5.1568839939440198E-2</v>
      </c>
      <c r="X2043" s="135">
        <v>4.9821293764804798E-2</v>
      </c>
      <c r="Y2043" s="135">
        <v>5.0291848596529097E-2</v>
      </c>
      <c r="Z2043" s="135">
        <v>4.82892346244094E-2</v>
      </c>
      <c r="AA2043" s="135">
        <v>5.1714475712134798E-2</v>
      </c>
      <c r="AB2043" s="135">
        <v>5.30075440255122E-2</v>
      </c>
      <c r="AC2043" s="135">
        <v>4.66726392394579E-2</v>
      </c>
      <c r="AD2043" s="135">
        <v>4.3799673969663701E-2</v>
      </c>
      <c r="AF2043" s="243">
        <f t="shared" si="41"/>
        <v>0.39510591221181868</v>
      </c>
      <c r="AG2043" s="275">
        <f t="shared" si="42"/>
        <v>0.60217809446489956</v>
      </c>
      <c r="AH2043" s="391">
        <f t="shared" si="43"/>
        <v>0.5233758815598295</v>
      </c>
      <c r="AI2043" s="135">
        <f t="shared" si="44"/>
        <v>1.1255539760247291</v>
      </c>
    </row>
    <row r="2044" spans="1:35" ht="12.6">
      <c r="A2044" s="10" t="s">
        <v>865</v>
      </c>
      <c r="B2044" s="10">
        <v>218</v>
      </c>
      <c r="C2044" s="10" t="s">
        <v>1514</v>
      </c>
      <c r="D2044" s="388">
        <v>45144</v>
      </c>
      <c r="E2044" s="389">
        <v>45144</v>
      </c>
      <c r="F2044" s="390" t="str">
        <f t="shared" si="40"/>
        <v>Whitegoods</v>
      </c>
      <c r="G2044" s="135">
        <v>3.9220598409435099E-2</v>
      </c>
      <c r="H2044" s="135">
        <v>3.5928285565185701E-2</v>
      </c>
      <c r="I2044" s="135">
        <v>3.3372860843523498E-2</v>
      </c>
      <c r="J2044" s="135">
        <v>3.3192059569502302E-2</v>
      </c>
      <c r="K2044" s="135">
        <v>3.3211061022444602E-2</v>
      </c>
      <c r="L2044" s="135">
        <v>3.2603971276099299E-2</v>
      </c>
      <c r="M2044" s="135">
        <v>3.5692146063479702E-2</v>
      </c>
      <c r="N2044" s="135">
        <v>3.7442683592071799E-2</v>
      </c>
      <c r="O2044" s="135">
        <v>4.7214051932639597E-2</v>
      </c>
      <c r="P2044" s="135">
        <v>5.89736356060169E-2</v>
      </c>
      <c r="Q2044" s="135">
        <v>6.5428543023601196E-2</v>
      </c>
      <c r="R2044" s="135">
        <v>6.1192570682109801E-2</v>
      </c>
      <c r="S2044" s="135">
        <v>5.6786675878954702E-2</v>
      </c>
      <c r="T2044" s="135">
        <v>5.6971661244791701E-2</v>
      </c>
      <c r="U2044" s="135">
        <v>5.1616052789039399E-2</v>
      </c>
      <c r="V2044" s="135">
        <v>5.1541568653881702E-2</v>
      </c>
      <c r="W2044" s="135">
        <v>5.1568839939440198E-2</v>
      </c>
      <c r="X2044" s="135">
        <v>4.9821293764804798E-2</v>
      </c>
      <c r="Y2044" s="135">
        <v>5.0291848596529097E-2</v>
      </c>
      <c r="Z2044" s="135">
        <v>4.82892346244094E-2</v>
      </c>
      <c r="AA2044" s="135">
        <v>5.1714475712134798E-2</v>
      </c>
      <c r="AB2044" s="135">
        <v>5.30075440255122E-2</v>
      </c>
      <c r="AC2044" s="135">
        <v>4.66726392394579E-2</v>
      </c>
      <c r="AD2044" s="135">
        <v>4.3799673969663701E-2</v>
      </c>
      <c r="AF2044" s="243">
        <f t="shared" si="41"/>
        <v>0.39510591221181868</v>
      </c>
      <c r="AG2044" s="275">
        <f t="shared" si="42"/>
        <v>0.60217809446489956</v>
      </c>
      <c r="AH2044" s="391">
        <f t="shared" si="43"/>
        <v>0.5233758815598295</v>
      </c>
      <c r="AI2044" s="135">
        <f t="shared" si="44"/>
        <v>1.1255539760247291</v>
      </c>
    </row>
    <row r="2045" spans="1:35" ht="12.6">
      <c r="A2045" s="10" t="s">
        <v>865</v>
      </c>
      <c r="B2045" s="10">
        <v>219</v>
      </c>
      <c r="C2045" s="10" t="s">
        <v>1514</v>
      </c>
      <c r="D2045" s="388">
        <v>45145</v>
      </c>
      <c r="E2045" s="389">
        <v>45145</v>
      </c>
      <c r="F2045" s="390" t="str">
        <f t="shared" si="40"/>
        <v>Whitegoods</v>
      </c>
      <c r="G2045" s="135">
        <v>4.03888180939386E-2</v>
      </c>
      <c r="H2045" s="135">
        <v>3.4721150267714197E-2</v>
      </c>
      <c r="I2045" s="135">
        <v>3.2897826566129502E-2</v>
      </c>
      <c r="J2045" s="135">
        <v>3.3067332280052E-2</v>
      </c>
      <c r="K2045" s="135">
        <v>3.2661688215700001E-2</v>
      </c>
      <c r="L2045" s="135">
        <v>3.3417143376560203E-2</v>
      </c>
      <c r="M2045" s="135">
        <v>3.6582320186360803E-2</v>
      </c>
      <c r="N2045" s="135">
        <v>4.5261807128611303E-2</v>
      </c>
      <c r="O2045" s="135">
        <v>4.9009772411002697E-2</v>
      </c>
      <c r="P2045" s="135">
        <v>4.5873836488933499E-2</v>
      </c>
      <c r="Q2045" s="135">
        <v>4.3035632336435897E-2</v>
      </c>
      <c r="R2045" s="135">
        <v>4.1252549683206997E-2</v>
      </c>
      <c r="S2045" s="135">
        <v>4.1217720676329901E-2</v>
      </c>
      <c r="T2045" s="135">
        <v>4.0398991550468201E-2</v>
      </c>
      <c r="U2045" s="135">
        <v>4.1506957492086903E-2</v>
      </c>
      <c r="V2045" s="135">
        <v>4.0257815048548598E-2</v>
      </c>
      <c r="W2045" s="135">
        <v>4.0331423346317202E-2</v>
      </c>
      <c r="X2045" s="135">
        <v>4.1947562730741302E-2</v>
      </c>
      <c r="Y2045" s="135">
        <v>4.3506044226965197E-2</v>
      </c>
      <c r="Z2045" s="135">
        <v>4.4479431999894903E-2</v>
      </c>
      <c r="AA2045" s="135">
        <v>5.0392162077871498E-2</v>
      </c>
      <c r="AB2045" s="135">
        <v>4.80877543106841E-2</v>
      </c>
      <c r="AC2045" s="135">
        <v>4.6467953456920202E-2</v>
      </c>
      <c r="AD2045" s="135">
        <v>4.5595058865232602E-2</v>
      </c>
      <c r="AF2045" s="243">
        <f t="shared" si="41"/>
        <v>0.2880010901333937</v>
      </c>
      <c r="AG2045" s="275">
        <f t="shared" si="42"/>
        <v>0.53951219942235906</v>
      </c>
      <c r="AH2045" s="391">
        <f t="shared" si="43"/>
        <v>0.45284655339434743</v>
      </c>
      <c r="AI2045" s="135">
        <f t="shared" si="44"/>
        <v>0.99235875281670649</v>
      </c>
    </row>
    <row r="2046" spans="1:35" ht="12.6">
      <c r="A2046" s="10" t="s">
        <v>865</v>
      </c>
      <c r="B2046" s="10">
        <v>220</v>
      </c>
      <c r="C2046" s="10" t="s">
        <v>1514</v>
      </c>
      <c r="D2046" s="388">
        <v>45146</v>
      </c>
      <c r="E2046" s="389">
        <v>45146</v>
      </c>
      <c r="F2046" s="390" t="str">
        <f t="shared" si="40"/>
        <v>Whitegoods</v>
      </c>
      <c r="G2046" s="135">
        <v>4.03888180939386E-2</v>
      </c>
      <c r="H2046" s="135">
        <v>3.4721150267714197E-2</v>
      </c>
      <c r="I2046" s="135">
        <v>3.2897826566129502E-2</v>
      </c>
      <c r="J2046" s="135">
        <v>3.3067332280052E-2</v>
      </c>
      <c r="K2046" s="135">
        <v>3.2661688215700001E-2</v>
      </c>
      <c r="L2046" s="135">
        <v>3.3417143376560203E-2</v>
      </c>
      <c r="M2046" s="135">
        <v>3.6582320186360803E-2</v>
      </c>
      <c r="N2046" s="135">
        <v>4.5261807128611303E-2</v>
      </c>
      <c r="O2046" s="135">
        <v>4.9009772411002697E-2</v>
      </c>
      <c r="P2046" s="135">
        <v>4.5873836488933499E-2</v>
      </c>
      <c r="Q2046" s="135">
        <v>4.3035632336435897E-2</v>
      </c>
      <c r="R2046" s="135">
        <v>4.1252549683206997E-2</v>
      </c>
      <c r="S2046" s="135">
        <v>4.1217720676329901E-2</v>
      </c>
      <c r="T2046" s="135">
        <v>4.0398991550468201E-2</v>
      </c>
      <c r="U2046" s="135">
        <v>4.1506957492086903E-2</v>
      </c>
      <c r="V2046" s="135">
        <v>4.0257815048548598E-2</v>
      </c>
      <c r="W2046" s="135">
        <v>4.0331423346317202E-2</v>
      </c>
      <c r="X2046" s="135">
        <v>4.1947562730741302E-2</v>
      </c>
      <c r="Y2046" s="135">
        <v>4.3506044226965197E-2</v>
      </c>
      <c r="Z2046" s="135">
        <v>4.4479431999894903E-2</v>
      </c>
      <c r="AA2046" s="135">
        <v>5.0392162077871498E-2</v>
      </c>
      <c r="AB2046" s="135">
        <v>4.80877543106841E-2</v>
      </c>
      <c r="AC2046" s="135">
        <v>4.6467953456920202E-2</v>
      </c>
      <c r="AD2046" s="135">
        <v>4.5595058865232602E-2</v>
      </c>
      <c r="AF2046" s="243">
        <f t="shared" si="41"/>
        <v>0.2880010901333937</v>
      </c>
      <c r="AG2046" s="275">
        <f t="shared" si="42"/>
        <v>0.53951219942235906</v>
      </c>
      <c r="AH2046" s="391">
        <f t="shared" si="43"/>
        <v>0.45284655339434743</v>
      </c>
      <c r="AI2046" s="135">
        <f t="shared" si="44"/>
        <v>0.99235875281670649</v>
      </c>
    </row>
    <row r="2047" spans="1:35" ht="12.6">
      <c r="A2047" s="10" t="s">
        <v>865</v>
      </c>
      <c r="B2047" s="10">
        <v>221</v>
      </c>
      <c r="C2047" s="10" t="s">
        <v>1514</v>
      </c>
      <c r="D2047" s="388">
        <v>45147</v>
      </c>
      <c r="E2047" s="389">
        <v>45147</v>
      </c>
      <c r="F2047" s="390" t="str">
        <f t="shared" si="40"/>
        <v>Whitegoods</v>
      </c>
      <c r="G2047" s="135">
        <v>4.03888180939386E-2</v>
      </c>
      <c r="H2047" s="135">
        <v>3.4721150267714197E-2</v>
      </c>
      <c r="I2047" s="135">
        <v>3.2897826566129502E-2</v>
      </c>
      <c r="J2047" s="135">
        <v>3.3067332280052E-2</v>
      </c>
      <c r="K2047" s="135">
        <v>3.2661688215700001E-2</v>
      </c>
      <c r="L2047" s="135">
        <v>3.3417143376560203E-2</v>
      </c>
      <c r="M2047" s="135">
        <v>3.6582320186360803E-2</v>
      </c>
      <c r="N2047" s="135">
        <v>4.5261807128611303E-2</v>
      </c>
      <c r="O2047" s="135">
        <v>4.9009772411002697E-2</v>
      </c>
      <c r="P2047" s="135">
        <v>4.5873836488933499E-2</v>
      </c>
      <c r="Q2047" s="135">
        <v>4.3035632336435897E-2</v>
      </c>
      <c r="R2047" s="135">
        <v>4.1252549683206997E-2</v>
      </c>
      <c r="S2047" s="135">
        <v>4.1217720676329901E-2</v>
      </c>
      <c r="T2047" s="135">
        <v>4.0398991550468201E-2</v>
      </c>
      <c r="U2047" s="135">
        <v>4.1506957492086903E-2</v>
      </c>
      <c r="V2047" s="135">
        <v>4.0257815048548598E-2</v>
      </c>
      <c r="W2047" s="135">
        <v>4.0331423346317202E-2</v>
      </c>
      <c r="X2047" s="135">
        <v>4.1947562730741302E-2</v>
      </c>
      <c r="Y2047" s="135">
        <v>4.3506044226965197E-2</v>
      </c>
      <c r="Z2047" s="135">
        <v>4.4479431999894903E-2</v>
      </c>
      <c r="AA2047" s="135">
        <v>5.0392162077871498E-2</v>
      </c>
      <c r="AB2047" s="135">
        <v>4.80877543106841E-2</v>
      </c>
      <c r="AC2047" s="135">
        <v>4.6467953456920202E-2</v>
      </c>
      <c r="AD2047" s="135">
        <v>4.5595058865232602E-2</v>
      </c>
      <c r="AF2047" s="243">
        <f t="shared" si="41"/>
        <v>0.2880010901333937</v>
      </c>
      <c r="AG2047" s="275">
        <f t="shared" si="42"/>
        <v>0.53951219942235906</v>
      </c>
      <c r="AH2047" s="391">
        <f t="shared" si="43"/>
        <v>0.45284655339434743</v>
      </c>
      <c r="AI2047" s="135">
        <f t="shared" si="44"/>
        <v>0.99235875281670649</v>
      </c>
    </row>
    <row r="2048" spans="1:35" ht="12.6">
      <c r="A2048" s="10" t="s">
        <v>865</v>
      </c>
      <c r="B2048" s="10">
        <v>222</v>
      </c>
      <c r="C2048" s="10" t="s">
        <v>1514</v>
      </c>
      <c r="D2048" s="388">
        <v>45148</v>
      </c>
      <c r="E2048" s="389">
        <v>45148</v>
      </c>
      <c r="F2048" s="390" t="str">
        <f t="shared" si="40"/>
        <v>Whitegoods</v>
      </c>
      <c r="G2048" s="135">
        <v>4.03888180939386E-2</v>
      </c>
      <c r="H2048" s="135">
        <v>3.4721150267714197E-2</v>
      </c>
      <c r="I2048" s="135">
        <v>3.2897826566129502E-2</v>
      </c>
      <c r="J2048" s="135">
        <v>3.3067332280052E-2</v>
      </c>
      <c r="K2048" s="135">
        <v>3.2661688215700001E-2</v>
      </c>
      <c r="L2048" s="135">
        <v>3.3417143376560203E-2</v>
      </c>
      <c r="M2048" s="135">
        <v>3.6582320186360803E-2</v>
      </c>
      <c r="N2048" s="135">
        <v>4.5261807128611303E-2</v>
      </c>
      <c r="O2048" s="135">
        <v>4.9009772411002697E-2</v>
      </c>
      <c r="P2048" s="135">
        <v>4.5873836488933499E-2</v>
      </c>
      <c r="Q2048" s="135">
        <v>4.3035632336435897E-2</v>
      </c>
      <c r="R2048" s="135">
        <v>4.1252549683206997E-2</v>
      </c>
      <c r="S2048" s="135">
        <v>4.1217720676329901E-2</v>
      </c>
      <c r="T2048" s="135">
        <v>4.0398991550468201E-2</v>
      </c>
      <c r="U2048" s="135">
        <v>4.1506957492086903E-2</v>
      </c>
      <c r="V2048" s="135">
        <v>4.0257815048548598E-2</v>
      </c>
      <c r="W2048" s="135">
        <v>4.0331423346317202E-2</v>
      </c>
      <c r="X2048" s="135">
        <v>4.1947562730741302E-2</v>
      </c>
      <c r="Y2048" s="135">
        <v>4.3506044226965197E-2</v>
      </c>
      <c r="Z2048" s="135">
        <v>4.4479431999894903E-2</v>
      </c>
      <c r="AA2048" s="135">
        <v>5.0392162077871498E-2</v>
      </c>
      <c r="AB2048" s="135">
        <v>4.80877543106841E-2</v>
      </c>
      <c r="AC2048" s="135">
        <v>4.6467953456920202E-2</v>
      </c>
      <c r="AD2048" s="135">
        <v>4.5595058865232602E-2</v>
      </c>
      <c r="AF2048" s="243">
        <f t="shared" si="41"/>
        <v>0.2880010901333937</v>
      </c>
      <c r="AG2048" s="275">
        <f t="shared" si="42"/>
        <v>0.53951219942235906</v>
      </c>
      <c r="AH2048" s="391">
        <f t="shared" si="43"/>
        <v>0.45284655339434743</v>
      </c>
      <c r="AI2048" s="135">
        <f t="shared" si="44"/>
        <v>0.99235875281670649</v>
      </c>
    </row>
    <row r="2049" spans="1:35" ht="12.6">
      <c r="A2049" s="10" t="s">
        <v>865</v>
      </c>
      <c r="B2049" s="10">
        <v>223</v>
      </c>
      <c r="C2049" s="10" t="s">
        <v>1514</v>
      </c>
      <c r="D2049" s="388">
        <v>45149</v>
      </c>
      <c r="E2049" s="389">
        <v>45149</v>
      </c>
      <c r="F2049" s="390" t="str">
        <f t="shared" si="40"/>
        <v>Whitegoods</v>
      </c>
      <c r="G2049" s="135">
        <v>4.03888180939386E-2</v>
      </c>
      <c r="H2049" s="135">
        <v>3.4721150267714197E-2</v>
      </c>
      <c r="I2049" s="135">
        <v>3.2897826566129502E-2</v>
      </c>
      <c r="J2049" s="135">
        <v>3.3067332280052E-2</v>
      </c>
      <c r="K2049" s="135">
        <v>3.2661688215700001E-2</v>
      </c>
      <c r="L2049" s="135">
        <v>3.3417143376560203E-2</v>
      </c>
      <c r="M2049" s="135">
        <v>3.6582320186360803E-2</v>
      </c>
      <c r="N2049" s="135">
        <v>4.5261807128611303E-2</v>
      </c>
      <c r="O2049" s="135">
        <v>4.9009772411002697E-2</v>
      </c>
      <c r="P2049" s="135">
        <v>4.5873836488933499E-2</v>
      </c>
      <c r="Q2049" s="135">
        <v>4.3035632336435897E-2</v>
      </c>
      <c r="R2049" s="135">
        <v>4.1252549683206997E-2</v>
      </c>
      <c r="S2049" s="135">
        <v>4.1217720676329901E-2</v>
      </c>
      <c r="T2049" s="135">
        <v>4.0398991550468201E-2</v>
      </c>
      <c r="U2049" s="135">
        <v>4.1506957492086903E-2</v>
      </c>
      <c r="V2049" s="135">
        <v>4.0257815048548598E-2</v>
      </c>
      <c r="W2049" s="135">
        <v>4.0331423346317202E-2</v>
      </c>
      <c r="X2049" s="135">
        <v>4.1947562730741302E-2</v>
      </c>
      <c r="Y2049" s="135">
        <v>4.3506044226965197E-2</v>
      </c>
      <c r="Z2049" s="135">
        <v>4.4479431999894903E-2</v>
      </c>
      <c r="AA2049" s="135">
        <v>5.0392162077871498E-2</v>
      </c>
      <c r="AB2049" s="135">
        <v>4.80877543106841E-2</v>
      </c>
      <c r="AC2049" s="135">
        <v>4.6467953456920202E-2</v>
      </c>
      <c r="AD2049" s="135">
        <v>4.5595058865232602E-2</v>
      </c>
      <c r="AF2049" s="243">
        <f t="shared" si="41"/>
        <v>0.2880010901333937</v>
      </c>
      <c r="AG2049" s="275">
        <f t="shared" si="42"/>
        <v>0.53951219942235906</v>
      </c>
      <c r="AH2049" s="391">
        <f t="shared" si="43"/>
        <v>0.45284655339434743</v>
      </c>
      <c r="AI2049" s="135">
        <f t="shared" si="44"/>
        <v>0.99235875281670649</v>
      </c>
    </row>
    <row r="2050" spans="1:35" ht="12.6">
      <c r="A2050" s="10" t="s">
        <v>865</v>
      </c>
      <c r="B2050" s="10">
        <v>224</v>
      </c>
      <c r="C2050" s="10" t="s">
        <v>1514</v>
      </c>
      <c r="D2050" s="388">
        <v>45150</v>
      </c>
      <c r="E2050" s="389">
        <v>45150</v>
      </c>
      <c r="F2050" s="390" t="str">
        <f t="shared" si="40"/>
        <v>Whitegoods</v>
      </c>
      <c r="G2050" s="135">
        <v>3.9220598409435099E-2</v>
      </c>
      <c r="H2050" s="135">
        <v>3.5928285565185701E-2</v>
      </c>
      <c r="I2050" s="135">
        <v>3.3372860843523498E-2</v>
      </c>
      <c r="J2050" s="135">
        <v>3.3192059569502302E-2</v>
      </c>
      <c r="K2050" s="135">
        <v>3.3211061022444602E-2</v>
      </c>
      <c r="L2050" s="135">
        <v>3.2603971276099299E-2</v>
      </c>
      <c r="M2050" s="135">
        <v>3.5692146063479702E-2</v>
      </c>
      <c r="N2050" s="135">
        <v>3.7442683592071799E-2</v>
      </c>
      <c r="O2050" s="135">
        <v>4.7214051932639597E-2</v>
      </c>
      <c r="P2050" s="135">
        <v>5.89736356060169E-2</v>
      </c>
      <c r="Q2050" s="135">
        <v>6.5428543023601196E-2</v>
      </c>
      <c r="R2050" s="135">
        <v>6.1192570682109801E-2</v>
      </c>
      <c r="S2050" s="135">
        <v>5.6786675878954702E-2</v>
      </c>
      <c r="T2050" s="135">
        <v>5.6971661244791701E-2</v>
      </c>
      <c r="U2050" s="135">
        <v>5.1616052789039399E-2</v>
      </c>
      <c r="V2050" s="135">
        <v>5.1541568653881702E-2</v>
      </c>
      <c r="W2050" s="135">
        <v>5.1568839939440198E-2</v>
      </c>
      <c r="X2050" s="135">
        <v>4.9821293764804798E-2</v>
      </c>
      <c r="Y2050" s="135">
        <v>5.0291848596529097E-2</v>
      </c>
      <c r="Z2050" s="135">
        <v>4.82892346244094E-2</v>
      </c>
      <c r="AA2050" s="135">
        <v>5.1714475712134798E-2</v>
      </c>
      <c r="AB2050" s="135">
        <v>5.30075440255122E-2</v>
      </c>
      <c r="AC2050" s="135">
        <v>4.66726392394579E-2</v>
      </c>
      <c r="AD2050" s="135">
        <v>4.3799673969663701E-2</v>
      </c>
      <c r="AF2050" s="243">
        <f t="shared" si="41"/>
        <v>0.39510591221181868</v>
      </c>
      <c r="AG2050" s="275">
        <f t="shared" si="42"/>
        <v>0.60217809446489956</v>
      </c>
      <c r="AH2050" s="391">
        <f t="shared" si="43"/>
        <v>0.5233758815598295</v>
      </c>
      <c r="AI2050" s="135">
        <f t="shared" si="44"/>
        <v>1.1255539760247291</v>
      </c>
    </row>
    <row r="2051" spans="1:35" ht="12.6">
      <c r="A2051" s="10" t="s">
        <v>865</v>
      </c>
      <c r="B2051" s="10">
        <v>225</v>
      </c>
      <c r="C2051" s="10" t="s">
        <v>1514</v>
      </c>
      <c r="D2051" s="388">
        <v>45151</v>
      </c>
      <c r="E2051" s="389">
        <v>45151</v>
      </c>
      <c r="F2051" s="390" t="str">
        <f t="shared" si="40"/>
        <v>Whitegoods</v>
      </c>
      <c r="G2051" s="135">
        <v>3.9220598409435099E-2</v>
      </c>
      <c r="H2051" s="135">
        <v>3.5928285565185701E-2</v>
      </c>
      <c r="I2051" s="135">
        <v>3.3372860843523498E-2</v>
      </c>
      <c r="J2051" s="135">
        <v>3.3192059569502302E-2</v>
      </c>
      <c r="K2051" s="135">
        <v>3.3211061022444602E-2</v>
      </c>
      <c r="L2051" s="135">
        <v>3.2603971276099299E-2</v>
      </c>
      <c r="M2051" s="135">
        <v>3.5692146063479702E-2</v>
      </c>
      <c r="N2051" s="135">
        <v>3.7442683592071799E-2</v>
      </c>
      <c r="O2051" s="135">
        <v>4.7214051932639597E-2</v>
      </c>
      <c r="P2051" s="135">
        <v>5.89736356060169E-2</v>
      </c>
      <c r="Q2051" s="135">
        <v>6.5428543023601196E-2</v>
      </c>
      <c r="R2051" s="135">
        <v>6.1192570682109801E-2</v>
      </c>
      <c r="S2051" s="135">
        <v>5.6786675878954702E-2</v>
      </c>
      <c r="T2051" s="135">
        <v>5.6971661244791701E-2</v>
      </c>
      <c r="U2051" s="135">
        <v>5.1616052789039399E-2</v>
      </c>
      <c r="V2051" s="135">
        <v>5.1541568653881702E-2</v>
      </c>
      <c r="W2051" s="135">
        <v>5.1568839939440198E-2</v>
      </c>
      <c r="X2051" s="135">
        <v>4.9821293764804798E-2</v>
      </c>
      <c r="Y2051" s="135">
        <v>5.0291848596529097E-2</v>
      </c>
      <c r="Z2051" s="135">
        <v>4.82892346244094E-2</v>
      </c>
      <c r="AA2051" s="135">
        <v>5.1714475712134798E-2</v>
      </c>
      <c r="AB2051" s="135">
        <v>5.30075440255122E-2</v>
      </c>
      <c r="AC2051" s="135">
        <v>4.66726392394579E-2</v>
      </c>
      <c r="AD2051" s="135">
        <v>4.3799673969663701E-2</v>
      </c>
      <c r="AF2051" s="243">
        <f t="shared" si="41"/>
        <v>0.39510591221181868</v>
      </c>
      <c r="AG2051" s="275">
        <f t="shared" si="42"/>
        <v>0.60217809446489956</v>
      </c>
      <c r="AH2051" s="391">
        <f t="shared" si="43"/>
        <v>0.5233758815598295</v>
      </c>
      <c r="AI2051" s="135">
        <f t="shared" si="44"/>
        <v>1.1255539760247291</v>
      </c>
    </row>
    <row r="2052" spans="1:35" ht="12.6">
      <c r="A2052" s="10" t="s">
        <v>865</v>
      </c>
      <c r="B2052" s="10">
        <v>226</v>
      </c>
      <c r="C2052" s="10" t="s">
        <v>1514</v>
      </c>
      <c r="D2052" s="388">
        <v>45152</v>
      </c>
      <c r="E2052" s="389">
        <v>45152</v>
      </c>
      <c r="F2052" s="390" t="str">
        <f t="shared" si="40"/>
        <v>Whitegoods</v>
      </c>
      <c r="G2052" s="135">
        <v>4.03888180939386E-2</v>
      </c>
      <c r="H2052" s="135">
        <v>3.4721150267714197E-2</v>
      </c>
      <c r="I2052" s="135">
        <v>3.2897826566129502E-2</v>
      </c>
      <c r="J2052" s="135">
        <v>3.3067332280052E-2</v>
      </c>
      <c r="K2052" s="135">
        <v>3.2661688215700001E-2</v>
      </c>
      <c r="L2052" s="135">
        <v>3.3417143376560203E-2</v>
      </c>
      <c r="M2052" s="135">
        <v>3.6582320186360803E-2</v>
      </c>
      <c r="N2052" s="135">
        <v>4.5261807128611303E-2</v>
      </c>
      <c r="O2052" s="135">
        <v>4.9009772411002697E-2</v>
      </c>
      <c r="P2052" s="135">
        <v>4.5873836488933499E-2</v>
      </c>
      <c r="Q2052" s="135">
        <v>4.3035632336435897E-2</v>
      </c>
      <c r="R2052" s="135">
        <v>4.1252549683206997E-2</v>
      </c>
      <c r="S2052" s="135">
        <v>4.1217720676329901E-2</v>
      </c>
      <c r="T2052" s="135">
        <v>4.0398991550468201E-2</v>
      </c>
      <c r="U2052" s="135">
        <v>4.1506957492086903E-2</v>
      </c>
      <c r="V2052" s="135">
        <v>4.0257815048548598E-2</v>
      </c>
      <c r="W2052" s="135">
        <v>4.0331423346317202E-2</v>
      </c>
      <c r="X2052" s="135">
        <v>4.1947562730741302E-2</v>
      </c>
      <c r="Y2052" s="135">
        <v>4.3506044226965197E-2</v>
      </c>
      <c r="Z2052" s="135">
        <v>4.4479431999894903E-2</v>
      </c>
      <c r="AA2052" s="135">
        <v>5.0392162077871498E-2</v>
      </c>
      <c r="AB2052" s="135">
        <v>4.80877543106841E-2</v>
      </c>
      <c r="AC2052" s="135">
        <v>4.6467953456920202E-2</v>
      </c>
      <c r="AD2052" s="135">
        <v>4.5595058865232602E-2</v>
      </c>
      <c r="AF2052" s="243">
        <f t="shared" si="41"/>
        <v>0.2880010901333937</v>
      </c>
      <c r="AG2052" s="275">
        <f t="shared" si="42"/>
        <v>0.53951219942235906</v>
      </c>
      <c r="AH2052" s="391">
        <f t="shared" si="43"/>
        <v>0.45284655339434743</v>
      </c>
      <c r="AI2052" s="135">
        <f t="shared" si="44"/>
        <v>0.99235875281670649</v>
      </c>
    </row>
    <row r="2053" spans="1:35" ht="12.6">
      <c r="A2053" s="10" t="s">
        <v>865</v>
      </c>
      <c r="B2053" s="10">
        <v>227</v>
      </c>
      <c r="C2053" s="10" t="s">
        <v>1514</v>
      </c>
      <c r="D2053" s="388">
        <v>45153</v>
      </c>
      <c r="E2053" s="389">
        <v>45153</v>
      </c>
      <c r="F2053" s="390" t="str">
        <f t="shared" si="40"/>
        <v>Whitegoods</v>
      </c>
      <c r="G2053" s="135">
        <v>4.03888180939386E-2</v>
      </c>
      <c r="H2053" s="135">
        <v>3.4721150267714197E-2</v>
      </c>
      <c r="I2053" s="135">
        <v>3.2897826566129502E-2</v>
      </c>
      <c r="J2053" s="135">
        <v>3.3067332280052E-2</v>
      </c>
      <c r="K2053" s="135">
        <v>3.2661688215700001E-2</v>
      </c>
      <c r="L2053" s="135">
        <v>3.3417143376560203E-2</v>
      </c>
      <c r="M2053" s="135">
        <v>3.6582320186360803E-2</v>
      </c>
      <c r="N2053" s="135">
        <v>4.5261807128611303E-2</v>
      </c>
      <c r="O2053" s="135">
        <v>4.9009772411002697E-2</v>
      </c>
      <c r="P2053" s="135">
        <v>4.5873836488933499E-2</v>
      </c>
      <c r="Q2053" s="135">
        <v>4.3035632336435897E-2</v>
      </c>
      <c r="R2053" s="135">
        <v>4.1252549683206997E-2</v>
      </c>
      <c r="S2053" s="135">
        <v>4.1217720676329901E-2</v>
      </c>
      <c r="T2053" s="135">
        <v>4.0398991550468201E-2</v>
      </c>
      <c r="U2053" s="135">
        <v>4.1506957492086903E-2</v>
      </c>
      <c r="V2053" s="135">
        <v>4.0257815048548598E-2</v>
      </c>
      <c r="W2053" s="135">
        <v>4.0331423346317202E-2</v>
      </c>
      <c r="X2053" s="135">
        <v>4.1947562730741302E-2</v>
      </c>
      <c r="Y2053" s="135">
        <v>4.3506044226965197E-2</v>
      </c>
      <c r="Z2053" s="135">
        <v>4.4479431999894903E-2</v>
      </c>
      <c r="AA2053" s="135">
        <v>5.0392162077871498E-2</v>
      </c>
      <c r="AB2053" s="135">
        <v>4.80877543106841E-2</v>
      </c>
      <c r="AC2053" s="135">
        <v>4.6467953456920202E-2</v>
      </c>
      <c r="AD2053" s="135">
        <v>4.5595058865232602E-2</v>
      </c>
      <c r="AF2053" s="243">
        <f t="shared" si="41"/>
        <v>0.2880010901333937</v>
      </c>
      <c r="AG2053" s="275">
        <f t="shared" si="42"/>
        <v>0.53951219942235906</v>
      </c>
      <c r="AH2053" s="391">
        <f t="shared" si="43"/>
        <v>0.45284655339434743</v>
      </c>
      <c r="AI2053" s="135">
        <f t="shared" si="44"/>
        <v>0.99235875281670649</v>
      </c>
    </row>
    <row r="2054" spans="1:35" ht="12.6">
      <c r="A2054" s="10" t="s">
        <v>865</v>
      </c>
      <c r="B2054" s="10">
        <v>228</v>
      </c>
      <c r="C2054" s="10" t="s">
        <v>1514</v>
      </c>
      <c r="D2054" s="388">
        <v>45154</v>
      </c>
      <c r="E2054" s="389">
        <v>45154</v>
      </c>
      <c r="F2054" s="390" t="str">
        <f t="shared" si="40"/>
        <v>Whitegoods</v>
      </c>
      <c r="G2054" s="135">
        <v>4.03888180939386E-2</v>
      </c>
      <c r="H2054" s="135">
        <v>3.4721150267714197E-2</v>
      </c>
      <c r="I2054" s="135">
        <v>3.2897826566129502E-2</v>
      </c>
      <c r="J2054" s="135">
        <v>3.3067332280052E-2</v>
      </c>
      <c r="K2054" s="135">
        <v>3.2661688215700001E-2</v>
      </c>
      <c r="L2054" s="135">
        <v>3.3417143376560203E-2</v>
      </c>
      <c r="M2054" s="135">
        <v>3.6582320186360803E-2</v>
      </c>
      <c r="N2054" s="135">
        <v>4.5261807128611303E-2</v>
      </c>
      <c r="O2054" s="135">
        <v>4.9009772411002697E-2</v>
      </c>
      <c r="P2054" s="135">
        <v>4.5873836488933499E-2</v>
      </c>
      <c r="Q2054" s="135">
        <v>4.3035632336435897E-2</v>
      </c>
      <c r="R2054" s="135">
        <v>4.1252549683206997E-2</v>
      </c>
      <c r="S2054" s="135">
        <v>4.1217720676329901E-2</v>
      </c>
      <c r="T2054" s="135">
        <v>4.0398991550468201E-2</v>
      </c>
      <c r="U2054" s="135">
        <v>4.1506957492086903E-2</v>
      </c>
      <c r="V2054" s="135">
        <v>4.0257815048548598E-2</v>
      </c>
      <c r="W2054" s="135">
        <v>4.0331423346317202E-2</v>
      </c>
      <c r="X2054" s="135">
        <v>4.1947562730741302E-2</v>
      </c>
      <c r="Y2054" s="135">
        <v>4.3506044226965197E-2</v>
      </c>
      <c r="Z2054" s="135">
        <v>4.4479431999894903E-2</v>
      </c>
      <c r="AA2054" s="135">
        <v>5.0392162077871498E-2</v>
      </c>
      <c r="AB2054" s="135">
        <v>4.80877543106841E-2</v>
      </c>
      <c r="AC2054" s="135">
        <v>4.6467953456920202E-2</v>
      </c>
      <c r="AD2054" s="135">
        <v>4.5595058865232602E-2</v>
      </c>
      <c r="AF2054" s="243">
        <f t="shared" si="41"/>
        <v>0.2880010901333937</v>
      </c>
      <c r="AG2054" s="275">
        <f t="shared" si="42"/>
        <v>0.53951219942235906</v>
      </c>
      <c r="AH2054" s="391">
        <f t="shared" si="43"/>
        <v>0.45284655339434743</v>
      </c>
      <c r="AI2054" s="135">
        <f t="shared" si="44"/>
        <v>0.99235875281670649</v>
      </c>
    </row>
    <row r="2055" spans="1:35" ht="12.6">
      <c r="A2055" s="10" t="s">
        <v>865</v>
      </c>
      <c r="B2055" s="10">
        <v>229</v>
      </c>
      <c r="C2055" s="10" t="s">
        <v>1514</v>
      </c>
      <c r="D2055" s="388">
        <v>45155</v>
      </c>
      <c r="E2055" s="389">
        <v>45155</v>
      </c>
      <c r="F2055" s="390" t="str">
        <f t="shared" si="40"/>
        <v>Whitegoods</v>
      </c>
      <c r="G2055" s="135">
        <v>4.03888180939386E-2</v>
      </c>
      <c r="H2055" s="135">
        <v>3.4721150267714197E-2</v>
      </c>
      <c r="I2055" s="135">
        <v>3.2897826566129502E-2</v>
      </c>
      <c r="J2055" s="135">
        <v>3.3067332280052E-2</v>
      </c>
      <c r="K2055" s="135">
        <v>3.2661688215700001E-2</v>
      </c>
      <c r="L2055" s="135">
        <v>3.3417143376560203E-2</v>
      </c>
      <c r="M2055" s="135">
        <v>3.6582320186360803E-2</v>
      </c>
      <c r="N2055" s="135">
        <v>4.5261807128611303E-2</v>
      </c>
      <c r="O2055" s="135">
        <v>4.9009772411002697E-2</v>
      </c>
      <c r="P2055" s="135">
        <v>4.5873836488933499E-2</v>
      </c>
      <c r="Q2055" s="135">
        <v>4.3035632336435897E-2</v>
      </c>
      <c r="R2055" s="135">
        <v>4.1252549683206997E-2</v>
      </c>
      <c r="S2055" s="135">
        <v>4.1217720676329901E-2</v>
      </c>
      <c r="T2055" s="135">
        <v>4.0398991550468201E-2</v>
      </c>
      <c r="U2055" s="135">
        <v>4.1506957492086903E-2</v>
      </c>
      <c r="V2055" s="135">
        <v>4.0257815048548598E-2</v>
      </c>
      <c r="W2055" s="135">
        <v>4.0331423346317202E-2</v>
      </c>
      <c r="X2055" s="135">
        <v>4.1947562730741302E-2</v>
      </c>
      <c r="Y2055" s="135">
        <v>4.3506044226965197E-2</v>
      </c>
      <c r="Z2055" s="135">
        <v>4.4479431999894903E-2</v>
      </c>
      <c r="AA2055" s="135">
        <v>5.0392162077871498E-2</v>
      </c>
      <c r="AB2055" s="135">
        <v>4.80877543106841E-2</v>
      </c>
      <c r="AC2055" s="135">
        <v>4.6467953456920202E-2</v>
      </c>
      <c r="AD2055" s="135">
        <v>4.5595058865232602E-2</v>
      </c>
      <c r="AF2055" s="243">
        <f t="shared" si="41"/>
        <v>0.2880010901333937</v>
      </c>
      <c r="AG2055" s="275">
        <f t="shared" si="42"/>
        <v>0.53951219942235906</v>
      </c>
      <c r="AH2055" s="391">
        <f t="shared" si="43"/>
        <v>0.45284655339434743</v>
      </c>
      <c r="AI2055" s="135">
        <f t="shared" si="44"/>
        <v>0.99235875281670649</v>
      </c>
    </row>
    <row r="2056" spans="1:35" ht="12.6">
      <c r="A2056" s="10" t="s">
        <v>865</v>
      </c>
      <c r="B2056" s="10">
        <v>230</v>
      </c>
      <c r="C2056" s="10" t="s">
        <v>1514</v>
      </c>
      <c r="D2056" s="388">
        <v>45156</v>
      </c>
      <c r="E2056" s="389">
        <v>45156</v>
      </c>
      <c r="F2056" s="390" t="str">
        <f t="shared" si="40"/>
        <v>Whitegoods</v>
      </c>
      <c r="G2056" s="135">
        <v>4.03888180939386E-2</v>
      </c>
      <c r="H2056" s="135">
        <v>3.4721150267714197E-2</v>
      </c>
      <c r="I2056" s="135">
        <v>3.2897826566129502E-2</v>
      </c>
      <c r="J2056" s="135">
        <v>3.3067332280052E-2</v>
      </c>
      <c r="K2056" s="135">
        <v>3.2661688215700001E-2</v>
      </c>
      <c r="L2056" s="135">
        <v>3.3417143376560203E-2</v>
      </c>
      <c r="M2056" s="135">
        <v>3.6582320186360803E-2</v>
      </c>
      <c r="N2056" s="135">
        <v>4.5261807128611303E-2</v>
      </c>
      <c r="O2056" s="135">
        <v>4.9009772411002697E-2</v>
      </c>
      <c r="P2056" s="135">
        <v>4.5873836488933499E-2</v>
      </c>
      <c r="Q2056" s="135">
        <v>4.3035632336435897E-2</v>
      </c>
      <c r="R2056" s="135">
        <v>4.1252549683206997E-2</v>
      </c>
      <c r="S2056" s="135">
        <v>4.1217720676329901E-2</v>
      </c>
      <c r="T2056" s="135">
        <v>4.0398991550468201E-2</v>
      </c>
      <c r="U2056" s="135">
        <v>4.1506957492086903E-2</v>
      </c>
      <c r="V2056" s="135">
        <v>4.0257815048548598E-2</v>
      </c>
      <c r="W2056" s="135">
        <v>4.0331423346317202E-2</v>
      </c>
      <c r="X2056" s="135">
        <v>4.1947562730741302E-2</v>
      </c>
      <c r="Y2056" s="135">
        <v>4.3506044226965197E-2</v>
      </c>
      <c r="Z2056" s="135">
        <v>4.4479431999894903E-2</v>
      </c>
      <c r="AA2056" s="135">
        <v>5.0392162077871498E-2</v>
      </c>
      <c r="AB2056" s="135">
        <v>4.80877543106841E-2</v>
      </c>
      <c r="AC2056" s="135">
        <v>4.6467953456920202E-2</v>
      </c>
      <c r="AD2056" s="135">
        <v>4.5595058865232602E-2</v>
      </c>
      <c r="AF2056" s="243">
        <f t="shared" si="41"/>
        <v>0.2880010901333937</v>
      </c>
      <c r="AG2056" s="275">
        <f t="shared" si="42"/>
        <v>0.53951219942235906</v>
      </c>
      <c r="AH2056" s="391">
        <f t="shared" si="43"/>
        <v>0.45284655339434743</v>
      </c>
      <c r="AI2056" s="135">
        <f t="shared" si="44"/>
        <v>0.99235875281670649</v>
      </c>
    </row>
    <row r="2057" spans="1:35" ht="12.6">
      <c r="A2057" s="10" t="s">
        <v>865</v>
      </c>
      <c r="B2057" s="10">
        <v>231</v>
      </c>
      <c r="C2057" s="10" t="s">
        <v>1514</v>
      </c>
      <c r="D2057" s="388">
        <v>45157</v>
      </c>
      <c r="E2057" s="389">
        <v>45157</v>
      </c>
      <c r="F2057" s="390" t="str">
        <f t="shared" si="40"/>
        <v>Whitegoods</v>
      </c>
      <c r="G2057" s="135">
        <v>3.9220598409435099E-2</v>
      </c>
      <c r="H2057" s="135">
        <v>3.5928285565185701E-2</v>
      </c>
      <c r="I2057" s="135">
        <v>3.3372860843523498E-2</v>
      </c>
      <c r="J2057" s="135">
        <v>3.3192059569502302E-2</v>
      </c>
      <c r="K2057" s="135">
        <v>3.3211061022444602E-2</v>
      </c>
      <c r="L2057" s="135">
        <v>3.2603971276099299E-2</v>
      </c>
      <c r="M2057" s="135">
        <v>3.5692146063479702E-2</v>
      </c>
      <c r="N2057" s="135">
        <v>3.7442683592071799E-2</v>
      </c>
      <c r="O2057" s="135">
        <v>4.7214051932639597E-2</v>
      </c>
      <c r="P2057" s="135">
        <v>5.89736356060169E-2</v>
      </c>
      <c r="Q2057" s="135">
        <v>6.5428543023601196E-2</v>
      </c>
      <c r="R2057" s="135">
        <v>6.1192570682109801E-2</v>
      </c>
      <c r="S2057" s="135">
        <v>5.6786675878954702E-2</v>
      </c>
      <c r="T2057" s="135">
        <v>5.6971661244791701E-2</v>
      </c>
      <c r="U2057" s="135">
        <v>5.1616052789039399E-2</v>
      </c>
      <c r="V2057" s="135">
        <v>5.1541568653881702E-2</v>
      </c>
      <c r="W2057" s="135">
        <v>5.1568839939440198E-2</v>
      </c>
      <c r="X2057" s="135">
        <v>4.9821293764804798E-2</v>
      </c>
      <c r="Y2057" s="135">
        <v>5.0291848596529097E-2</v>
      </c>
      <c r="Z2057" s="135">
        <v>4.82892346244094E-2</v>
      </c>
      <c r="AA2057" s="135">
        <v>5.1714475712134798E-2</v>
      </c>
      <c r="AB2057" s="135">
        <v>5.30075440255122E-2</v>
      </c>
      <c r="AC2057" s="135">
        <v>4.66726392394579E-2</v>
      </c>
      <c r="AD2057" s="135">
        <v>4.3799673969663701E-2</v>
      </c>
      <c r="AF2057" s="243">
        <f t="shared" si="41"/>
        <v>0.39510591221181868</v>
      </c>
      <c r="AG2057" s="275">
        <f t="shared" si="42"/>
        <v>0.60217809446489956</v>
      </c>
      <c r="AH2057" s="391">
        <f t="shared" si="43"/>
        <v>0.5233758815598295</v>
      </c>
      <c r="AI2057" s="135">
        <f t="shared" si="44"/>
        <v>1.1255539760247291</v>
      </c>
    </row>
    <row r="2058" spans="1:35" ht="12.6">
      <c r="A2058" s="10" t="s">
        <v>865</v>
      </c>
      <c r="B2058" s="10">
        <v>232</v>
      </c>
      <c r="C2058" s="10" t="s">
        <v>1514</v>
      </c>
      <c r="D2058" s="388">
        <v>45158</v>
      </c>
      <c r="E2058" s="389">
        <v>45158</v>
      </c>
      <c r="F2058" s="390" t="str">
        <f t="shared" si="40"/>
        <v>Whitegoods</v>
      </c>
      <c r="G2058" s="135">
        <v>3.9220598409435099E-2</v>
      </c>
      <c r="H2058" s="135">
        <v>3.5928285565185701E-2</v>
      </c>
      <c r="I2058" s="135">
        <v>3.3372860843523498E-2</v>
      </c>
      <c r="J2058" s="135">
        <v>3.3192059569502302E-2</v>
      </c>
      <c r="K2058" s="135">
        <v>3.3211061022444602E-2</v>
      </c>
      <c r="L2058" s="135">
        <v>3.2603971276099299E-2</v>
      </c>
      <c r="M2058" s="135">
        <v>3.5692146063479702E-2</v>
      </c>
      <c r="N2058" s="135">
        <v>3.7442683592071799E-2</v>
      </c>
      <c r="O2058" s="135">
        <v>4.7214051932639597E-2</v>
      </c>
      <c r="P2058" s="135">
        <v>5.89736356060169E-2</v>
      </c>
      <c r="Q2058" s="135">
        <v>6.5428543023601196E-2</v>
      </c>
      <c r="R2058" s="135">
        <v>6.1192570682109801E-2</v>
      </c>
      <c r="S2058" s="135">
        <v>5.6786675878954702E-2</v>
      </c>
      <c r="T2058" s="135">
        <v>5.6971661244791701E-2</v>
      </c>
      <c r="U2058" s="135">
        <v>5.1616052789039399E-2</v>
      </c>
      <c r="V2058" s="135">
        <v>5.1541568653881702E-2</v>
      </c>
      <c r="W2058" s="135">
        <v>5.1568839939440198E-2</v>
      </c>
      <c r="X2058" s="135">
        <v>4.9821293764804798E-2</v>
      </c>
      <c r="Y2058" s="135">
        <v>5.0291848596529097E-2</v>
      </c>
      <c r="Z2058" s="135">
        <v>4.82892346244094E-2</v>
      </c>
      <c r="AA2058" s="135">
        <v>5.1714475712134798E-2</v>
      </c>
      <c r="AB2058" s="135">
        <v>5.30075440255122E-2</v>
      </c>
      <c r="AC2058" s="135">
        <v>4.66726392394579E-2</v>
      </c>
      <c r="AD2058" s="135">
        <v>4.3799673969663701E-2</v>
      </c>
      <c r="AF2058" s="243">
        <f t="shared" si="41"/>
        <v>0.39510591221181868</v>
      </c>
      <c r="AG2058" s="275">
        <f t="shared" si="42"/>
        <v>0.60217809446489956</v>
      </c>
      <c r="AH2058" s="391">
        <f t="shared" si="43"/>
        <v>0.5233758815598295</v>
      </c>
      <c r="AI2058" s="135">
        <f t="shared" si="44"/>
        <v>1.1255539760247291</v>
      </c>
    </row>
    <row r="2059" spans="1:35" ht="12.6">
      <c r="A2059" s="10" t="s">
        <v>865</v>
      </c>
      <c r="B2059" s="10">
        <v>233</v>
      </c>
      <c r="C2059" s="10" t="s">
        <v>1514</v>
      </c>
      <c r="D2059" s="388">
        <v>45159</v>
      </c>
      <c r="E2059" s="389">
        <v>45159</v>
      </c>
      <c r="F2059" s="390" t="str">
        <f t="shared" si="40"/>
        <v>Whitegoods</v>
      </c>
      <c r="G2059" s="135">
        <v>4.03888180939386E-2</v>
      </c>
      <c r="H2059" s="135">
        <v>3.4721150267714197E-2</v>
      </c>
      <c r="I2059" s="135">
        <v>3.2897826566129502E-2</v>
      </c>
      <c r="J2059" s="135">
        <v>3.3067332280052E-2</v>
      </c>
      <c r="K2059" s="135">
        <v>3.2661688215700001E-2</v>
      </c>
      <c r="L2059" s="135">
        <v>3.3417143376560203E-2</v>
      </c>
      <c r="M2059" s="135">
        <v>3.6582320186360803E-2</v>
      </c>
      <c r="N2059" s="135">
        <v>4.5261807128611303E-2</v>
      </c>
      <c r="O2059" s="135">
        <v>4.9009772411002697E-2</v>
      </c>
      <c r="P2059" s="135">
        <v>4.5873836488933499E-2</v>
      </c>
      <c r="Q2059" s="135">
        <v>4.3035632336435897E-2</v>
      </c>
      <c r="R2059" s="135">
        <v>4.1252549683206997E-2</v>
      </c>
      <c r="S2059" s="135">
        <v>4.1217720676329901E-2</v>
      </c>
      <c r="T2059" s="135">
        <v>4.0398991550468201E-2</v>
      </c>
      <c r="U2059" s="135">
        <v>4.1506957492086903E-2</v>
      </c>
      <c r="V2059" s="135">
        <v>4.0257815048548598E-2</v>
      </c>
      <c r="W2059" s="135">
        <v>4.0331423346317202E-2</v>
      </c>
      <c r="X2059" s="135">
        <v>4.1947562730741302E-2</v>
      </c>
      <c r="Y2059" s="135">
        <v>4.3506044226965197E-2</v>
      </c>
      <c r="Z2059" s="135">
        <v>4.4479431999894903E-2</v>
      </c>
      <c r="AA2059" s="135">
        <v>5.0392162077871498E-2</v>
      </c>
      <c r="AB2059" s="135">
        <v>4.80877543106841E-2</v>
      </c>
      <c r="AC2059" s="135">
        <v>4.6467953456920202E-2</v>
      </c>
      <c r="AD2059" s="135">
        <v>4.5595058865232602E-2</v>
      </c>
      <c r="AF2059" s="243">
        <f t="shared" si="41"/>
        <v>0.2880010901333937</v>
      </c>
      <c r="AG2059" s="275">
        <f t="shared" si="42"/>
        <v>0.53951219942235906</v>
      </c>
      <c r="AH2059" s="391">
        <f t="shared" si="43"/>
        <v>0.45284655339434743</v>
      </c>
      <c r="AI2059" s="135">
        <f t="shared" si="44"/>
        <v>0.99235875281670649</v>
      </c>
    </row>
    <row r="2060" spans="1:35" ht="12.6">
      <c r="A2060" s="10" t="s">
        <v>865</v>
      </c>
      <c r="B2060" s="10">
        <v>234</v>
      </c>
      <c r="C2060" s="10" t="s">
        <v>1514</v>
      </c>
      <c r="D2060" s="388">
        <v>45160</v>
      </c>
      <c r="E2060" s="389">
        <v>45160</v>
      </c>
      <c r="F2060" s="390" t="str">
        <f t="shared" si="40"/>
        <v>Whitegoods</v>
      </c>
      <c r="G2060" s="135">
        <v>4.03888180939386E-2</v>
      </c>
      <c r="H2060" s="135">
        <v>3.4721150267714197E-2</v>
      </c>
      <c r="I2060" s="135">
        <v>3.2897826566129502E-2</v>
      </c>
      <c r="J2060" s="135">
        <v>3.3067332280052E-2</v>
      </c>
      <c r="K2060" s="135">
        <v>3.2661688215700001E-2</v>
      </c>
      <c r="L2060" s="135">
        <v>3.3417143376560203E-2</v>
      </c>
      <c r="M2060" s="135">
        <v>3.6582320186360803E-2</v>
      </c>
      <c r="N2060" s="135">
        <v>4.5261807128611303E-2</v>
      </c>
      <c r="O2060" s="135">
        <v>4.9009772411002697E-2</v>
      </c>
      <c r="P2060" s="135">
        <v>4.5873836488933499E-2</v>
      </c>
      <c r="Q2060" s="135">
        <v>4.3035632336435897E-2</v>
      </c>
      <c r="R2060" s="135">
        <v>4.1252549683206997E-2</v>
      </c>
      <c r="S2060" s="135">
        <v>4.1217720676329901E-2</v>
      </c>
      <c r="T2060" s="135">
        <v>4.0398991550468201E-2</v>
      </c>
      <c r="U2060" s="135">
        <v>4.1506957492086903E-2</v>
      </c>
      <c r="V2060" s="135">
        <v>4.0257815048548598E-2</v>
      </c>
      <c r="W2060" s="135">
        <v>4.0331423346317202E-2</v>
      </c>
      <c r="X2060" s="135">
        <v>4.1947562730741302E-2</v>
      </c>
      <c r="Y2060" s="135">
        <v>4.3506044226965197E-2</v>
      </c>
      <c r="Z2060" s="135">
        <v>4.4479431999894903E-2</v>
      </c>
      <c r="AA2060" s="135">
        <v>5.0392162077871498E-2</v>
      </c>
      <c r="AB2060" s="135">
        <v>4.80877543106841E-2</v>
      </c>
      <c r="AC2060" s="135">
        <v>4.6467953456920202E-2</v>
      </c>
      <c r="AD2060" s="135">
        <v>4.5595058865232602E-2</v>
      </c>
      <c r="AF2060" s="243">
        <f t="shared" si="41"/>
        <v>0.2880010901333937</v>
      </c>
      <c r="AG2060" s="275">
        <f t="shared" si="42"/>
        <v>0.53951219942235906</v>
      </c>
      <c r="AH2060" s="391">
        <f t="shared" si="43"/>
        <v>0.45284655339434743</v>
      </c>
      <c r="AI2060" s="135">
        <f t="shared" si="44"/>
        <v>0.99235875281670649</v>
      </c>
    </row>
    <row r="2061" spans="1:35" ht="12.6">
      <c r="A2061" s="10" t="s">
        <v>865</v>
      </c>
      <c r="B2061" s="10">
        <v>235</v>
      </c>
      <c r="C2061" s="10" t="s">
        <v>1514</v>
      </c>
      <c r="D2061" s="388">
        <v>45161</v>
      </c>
      <c r="E2061" s="389">
        <v>45161</v>
      </c>
      <c r="F2061" s="390" t="str">
        <f t="shared" si="40"/>
        <v>Whitegoods</v>
      </c>
      <c r="G2061" s="135">
        <v>4.03888180939386E-2</v>
      </c>
      <c r="H2061" s="135">
        <v>3.4721150267714197E-2</v>
      </c>
      <c r="I2061" s="135">
        <v>3.2897826566129502E-2</v>
      </c>
      <c r="J2061" s="135">
        <v>3.3067332280052E-2</v>
      </c>
      <c r="K2061" s="135">
        <v>3.2661688215700001E-2</v>
      </c>
      <c r="L2061" s="135">
        <v>3.3417143376560203E-2</v>
      </c>
      <c r="M2061" s="135">
        <v>3.6582320186360803E-2</v>
      </c>
      <c r="N2061" s="135">
        <v>4.5261807128611303E-2</v>
      </c>
      <c r="O2061" s="135">
        <v>4.9009772411002697E-2</v>
      </c>
      <c r="P2061" s="135">
        <v>4.5873836488933499E-2</v>
      </c>
      <c r="Q2061" s="135">
        <v>4.3035632336435897E-2</v>
      </c>
      <c r="R2061" s="135">
        <v>4.1252549683206997E-2</v>
      </c>
      <c r="S2061" s="135">
        <v>4.1217720676329901E-2</v>
      </c>
      <c r="T2061" s="135">
        <v>4.0398991550468201E-2</v>
      </c>
      <c r="U2061" s="135">
        <v>4.1506957492086903E-2</v>
      </c>
      <c r="V2061" s="135">
        <v>4.0257815048548598E-2</v>
      </c>
      <c r="W2061" s="135">
        <v>4.0331423346317202E-2</v>
      </c>
      <c r="X2061" s="135">
        <v>4.1947562730741302E-2</v>
      </c>
      <c r="Y2061" s="135">
        <v>4.3506044226965197E-2</v>
      </c>
      <c r="Z2061" s="135">
        <v>4.4479431999894903E-2</v>
      </c>
      <c r="AA2061" s="135">
        <v>5.0392162077871498E-2</v>
      </c>
      <c r="AB2061" s="135">
        <v>4.80877543106841E-2</v>
      </c>
      <c r="AC2061" s="135">
        <v>4.6467953456920202E-2</v>
      </c>
      <c r="AD2061" s="135">
        <v>4.5595058865232602E-2</v>
      </c>
      <c r="AF2061" s="243">
        <f t="shared" si="41"/>
        <v>0.2880010901333937</v>
      </c>
      <c r="AG2061" s="275">
        <f t="shared" si="42"/>
        <v>0.53951219942235906</v>
      </c>
      <c r="AH2061" s="391">
        <f t="shared" si="43"/>
        <v>0.45284655339434743</v>
      </c>
      <c r="AI2061" s="135">
        <f t="shared" si="44"/>
        <v>0.99235875281670649</v>
      </c>
    </row>
    <row r="2062" spans="1:35" ht="12.6">
      <c r="A2062" s="10" t="s">
        <v>865</v>
      </c>
      <c r="B2062" s="10">
        <v>236</v>
      </c>
      <c r="C2062" s="10" t="s">
        <v>1514</v>
      </c>
      <c r="D2062" s="388">
        <v>45162</v>
      </c>
      <c r="E2062" s="389">
        <v>45162</v>
      </c>
      <c r="F2062" s="390" t="str">
        <f t="shared" si="40"/>
        <v>Whitegoods</v>
      </c>
      <c r="G2062" s="135">
        <v>4.03888180939386E-2</v>
      </c>
      <c r="H2062" s="135">
        <v>3.4721150267714197E-2</v>
      </c>
      <c r="I2062" s="135">
        <v>3.2897826566129502E-2</v>
      </c>
      <c r="J2062" s="135">
        <v>3.3067332280052E-2</v>
      </c>
      <c r="K2062" s="135">
        <v>3.2661688215700001E-2</v>
      </c>
      <c r="L2062" s="135">
        <v>3.3417143376560203E-2</v>
      </c>
      <c r="M2062" s="135">
        <v>3.6582320186360803E-2</v>
      </c>
      <c r="N2062" s="135">
        <v>4.5261807128611303E-2</v>
      </c>
      <c r="O2062" s="135">
        <v>4.9009772411002697E-2</v>
      </c>
      <c r="P2062" s="135">
        <v>4.5873836488933499E-2</v>
      </c>
      <c r="Q2062" s="135">
        <v>4.3035632336435897E-2</v>
      </c>
      <c r="R2062" s="135">
        <v>4.1252549683206997E-2</v>
      </c>
      <c r="S2062" s="135">
        <v>4.1217720676329901E-2</v>
      </c>
      <c r="T2062" s="135">
        <v>4.0398991550468201E-2</v>
      </c>
      <c r="U2062" s="135">
        <v>4.1506957492086903E-2</v>
      </c>
      <c r="V2062" s="135">
        <v>4.0257815048548598E-2</v>
      </c>
      <c r="W2062" s="135">
        <v>4.0331423346317202E-2</v>
      </c>
      <c r="X2062" s="135">
        <v>4.1947562730741302E-2</v>
      </c>
      <c r="Y2062" s="135">
        <v>4.3506044226965197E-2</v>
      </c>
      <c r="Z2062" s="135">
        <v>4.4479431999894903E-2</v>
      </c>
      <c r="AA2062" s="135">
        <v>5.0392162077871498E-2</v>
      </c>
      <c r="AB2062" s="135">
        <v>4.80877543106841E-2</v>
      </c>
      <c r="AC2062" s="135">
        <v>4.6467953456920202E-2</v>
      </c>
      <c r="AD2062" s="135">
        <v>4.5595058865232602E-2</v>
      </c>
      <c r="AF2062" s="243">
        <f t="shared" si="41"/>
        <v>0.2880010901333937</v>
      </c>
      <c r="AG2062" s="275">
        <f t="shared" si="42"/>
        <v>0.53951219942235906</v>
      </c>
      <c r="AH2062" s="391">
        <f t="shared" si="43"/>
        <v>0.45284655339434743</v>
      </c>
      <c r="AI2062" s="135">
        <f t="shared" si="44"/>
        <v>0.99235875281670649</v>
      </c>
    </row>
    <row r="2063" spans="1:35" ht="12.6">
      <c r="A2063" s="10" t="s">
        <v>865</v>
      </c>
      <c r="B2063" s="10">
        <v>237</v>
      </c>
      <c r="C2063" s="10" t="s">
        <v>1514</v>
      </c>
      <c r="D2063" s="388">
        <v>45163</v>
      </c>
      <c r="E2063" s="389">
        <v>45163</v>
      </c>
      <c r="F2063" s="390" t="str">
        <f t="shared" si="40"/>
        <v>Whitegoods</v>
      </c>
      <c r="G2063" s="135">
        <v>4.03888180939386E-2</v>
      </c>
      <c r="H2063" s="135">
        <v>3.4721150267714197E-2</v>
      </c>
      <c r="I2063" s="135">
        <v>3.2897826566129502E-2</v>
      </c>
      <c r="J2063" s="135">
        <v>3.3067332280052E-2</v>
      </c>
      <c r="K2063" s="135">
        <v>3.2661688215700001E-2</v>
      </c>
      <c r="L2063" s="135">
        <v>3.3417143376560203E-2</v>
      </c>
      <c r="M2063" s="135">
        <v>3.6582320186360803E-2</v>
      </c>
      <c r="N2063" s="135">
        <v>4.5261807128611303E-2</v>
      </c>
      <c r="O2063" s="135">
        <v>4.9009772411002697E-2</v>
      </c>
      <c r="P2063" s="135">
        <v>4.5873836488933499E-2</v>
      </c>
      <c r="Q2063" s="135">
        <v>4.3035632336435897E-2</v>
      </c>
      <c r="R2063" s="135">
        <v>4.1252549683206997E-2</v>
      </c>
      <c r="S2063" s="135">
        <v>4.1217720676329901E-2</v>
      </c>
      <c r="T2063" s="135">
        <v>4.0398991550468201E-2</v>
      </c>
      <c r="U2063" s="135">
        <v>4.1506957492086903E-2</v>
      </c>
      <c r="V2063" s="135">
        <v>4.0257815048548598E-2</v>
      </c>
      <c r="W2063" s="135">
        <v>4.0331423346317202E-2</v>
      </c>
      <c r="X2063" s="135">
        <v>4.1947562730741302E-2</v>
      </c>
      <c r="Y2063" s="135">
        <v>4.3506044226965197E-2</v>
      </c>
      <c r="Z2063" s="135">
        <v>4.4479431999894903E-2</v>
      </c>
      <c r="AA2063" s="135">
        <v>5.0392162077871498E-2</v>
      </c>
      <c r="AB2063" s="135">
        <v>4.80877543106841E-2</v>
      </c>
      <c r="AC2063" s="135">
        <v>4.6467953456920202E-2</v>
      </c>
      <c r="AD2063" s="135">
        <v>4.5595058865232602E-2</v>
      </c>
      <c r="AF2063" s="243">
        <f t="shared" si="41"/>
        <v>0.2880010901333937</v>
      </c>
      <c r="AG2063" s="275">
        <f t="shared" si="42"/>
        <v>0.53951219942235906</v>
      </c>
      <c r="AH2063" s="391">
        <f t="shared" si="43"/>
        <v>0.45284655339434743</v>
      </c>
      <c r="AI2063" s="135">
        <f t="shared" si="44"/>
        <v>0.99235875281670649</v>
      </c>
    </row>
    <row r="2064" spans="1:35" ht="12.6">
      <c r="A2064" s="10" t="s">
        <v>865</v>
      </c>
      <c r="B2064" s="10">
        <v>238</v>
      </c>
      <c r="C2064" s="10" t="s">
        <v>1514</v>
      </c>
      <c r="D2064" s="388">
        <v>45164</v>
      </c>
      <c r="E2064" s="389">
        <v>45164</v>
      </c>
      <c r="F2064" s="390" t="str">
        <f t="shared" si="40"/>
        <v>Whitegoods</v>
      </c>
      <c r="G2064" s="135">
        <v>3.9220598409435099E-2</v>
      </c>
      <c r="H2064" s="135">
        <v>3.5928285565185701E-2</v>
      </c>
      <c r="I2064" s="135">
        <v>3.3372860843523498E-2</v>
      </c>
      <c r="J2064" s="135">
        <v>3.3192059569502302E-2</v>
      </c>
      <c r="K2064" s="135">
        <v>3.3211061022444602E-2</v>
      </c>
      <c r="L2064" s="135">
        <v>3.2603971276099299E-2</v>
      </c>
      <c r="M2064" s="135">
        <v>3.5692146063479702E-2</v>
      </c>
      <c r="N2064" s="135">
        <v>3.7442683592071799E-2</v>
      </c>
      <c r="O2064" s="135">
        <v>4.7214051932639597E-2</v>
      </c>
      <c r="P2064" s="135">
        <v>5.89736356060169E-2</v>
      </c>
      <c r="Q2064" s="135">
        <v>6.5428543023601196E-2</v>
      </c>
      <c r="R2064" s="135">
        <v>6.1192570682109801E-2</v>
      </c>
      <c r="S2064" s="135">
        <v>5.6786675878954702E-2</v>
      </c>
      <c r="T2064" s="135">
        <v>5.6971661244791701E-2</v>
      </c>
      <c r="U2064" s="135">
        <v>5.1616052789039399E-2</v>
      </c>
      <c r="V2064" s="135">
        <v>5.1541568653881702E-2</v>
      </c>
      <c r="W2064" s="135">
        <v>5.1568839939440198E-2</v>
      </c>
      <c r="X2064" s="135">
        <v>4.9821293764804798E-2</v>
      </c>
      <c r="Y2064" s="135">
        <v>5.0291848596529097E-2</v>
      </c>
      <c r="Z2064" s="135">
        <v>4.82892346244094E-2</v>
      </c>
      <c r="AA2064" s="135">
        <v>5.1714475712134798E-2</v>
      </c>
      <c r="AB2064" s="135">
        <v>5.30075440255122E-2</v>
      </c>
      <c r="AC2064" s="135">
        <v>4.66726392394579E-2</v>
      </c>
      <c r="AD2064" s="135">
        <v>4.3799673969663701E-2</v>
      </c>
      <c r="AF2064" s="243">
        <f t="shared" si="41"/>
        <v>0.39510591221181868</v>
      </c>
      <c r="AG2064" s="275">
        <f t="shared" si="42"/>
        <v>0.60217809446489956</v>
      </c>
      <c r="AH2064" s="391">
        <f t="shared" si="43"/>
        <v>0.5233758815598295</v>
      </c>
      <c r="AI2064" s="135">
        <f t="shared" si="44"/>
        <v>1.1255539760247291</v>
      </c>
    </row>
    <row r="2065" spans="1:35" ht="12.6">
      <c r="A2065" s="10" t="s">
        <v>865</v>
      </c>
      <c r="B2065" s="10">
        <v>239</v>
      </c>
      <c r="C2065" s="10" t="s">
        <v>1514</v>
      </c>
      <c r="D2065" s="388">
        <v>45165</v>
      </c>
      <c r="E2065" s="389">
        <v>45165</v>
      </c>
      <c r="F2065" s="390" t="str">
        <f t="shared" si="40"/>
        <v>Whitegoods</v>
      </c>
      <c r="G2065" s="135">
        <v>3.9220598409435099E-2</v>
      </c>
      <c r="H2065" s="135">
        <v>3.5928285565185701E-2</v>
      </c>
      <c r="I2065" s="135">
        <v>3.3372860843523498E-2</v>
      </c>
      <c r="J2065" s="135">
        <v>3.3192059569502302E-2</v>
      </c>
      <c r="K2065" s="135">
        <v>3.3211061022444602E-2</v>
      </c>
      <c r="L2065" s="135">
        <v>3.2603971276099299E-2</v>
      </c>
      <c r="M2065" s="135">
        <v>3.5692146063479702E-2</v>
      </c>
      <c r="N2065" s="135">
        <v>3.7442683592071799E-2</v>
      </c>
      <c r="O2065" s="135">
        <v>4.7214051932639597E-2</v>
      </c>
      <c r="P2065" s="135">
        <v>5.89736356060169E-2</v>
      </c>
      <c r="Q2065" s="135">
        <v>6.5428543023601196E-2</v>
      </c>
      <c r="R2065" s="135">
        <v>6.1192570682109801E-2</v>
      </c>
      <c r="S2065" s="135">
        <v>5.6786675878954702E-2</v>
      </c>
      <c r="T2065" s="135">
        <v>5.6971661244791701E-2</v>
      </c>
      <c r="U2065" s="135">
        <v>5.1616052789039399E-2</v>
      </c>
      <c r="V2065" s="135">
        <v>5.1541568653881702E-2</v>
      </c>
      <c r="W2065" s="135">
        <v>5.1568839939440198E-2</v>
      </c>
      <c r="X2065" s="135">
        <v>4.9821293764804798E-2</v>
      </c>
      <c r="Y2065" s="135">
        <v>5.0291848596529097E-2</v>
      </c>
      <c r="Z2065" s="135">
        <v>4.82892346244094E-2</v>
      </c>
      <c r="AA2065" s="135">
        <v>5.1714475712134798E-2</v>
      </c>
      <c r="AB2065" s="135">
        <v>5.30075440255122E-2</v>
      </c>
      <c r="AC2065" s="135">
        <v>4.66726392394579E-2</v>
      </c>
      <c r="AD2065" s="135">
        <v>4.3799673969663701E-2</v>
      </c>
      <c r="AF2065" s="243">
        <f t="shared" si="41"/>
        <v>0.39510591221181868</v>
      </c>
      <c r="AG2065" s="275">
        <f t="shared" si="42"/>
        <v>0.60217809446489956</v>
      </c>
      <c r="AH2065" s="391">
        <f t="shared" si="43"/>
        <v>0.5233758815598295</v>
      </c>
      <c r="AI2065" s="135">
        <f t="shared" si="44"/>
        <v>1.1255539760247291</v>
      </c>
    </row>
    <row r="2066" spans="1:35" ht="12.6">
      <c r="A2066" s="10" t="s">
        <v>865</v>
      </c>
      <c r="B2066" s="10">
        <v>240</v>
      </c>
      <c r="C2066" s="10" t="s">
        <v>1514</v>
      </c>
      <c r="D2066" s="388">
        <v>45166</v>
      </c>
      <c r="E2066" s="389">
        <v>45166</v>
      </c>
      <c r="F2066" s="390" t="str">
        <f t="shared" si="40"/>
        <v>Whitegoods</v>
      </c>
      <c r="G2066" s="135">
        <v>4.03888180939386E-2</v>
      </c>
      <c r="H2066" s="135">
        <v>3.4721150267714197E-2</v>
      </c>
      <c r="I2066" s="135">
        <v>3.2897826566129502E-2</v>
      </c>
      <c r="J2066" s="135">
        <v>3.3067332280052E-2</v>
      </c>
      <c r="K2066" s="135">
        <v>3.2661688215700001E-2</v>
      </c>
      <c r="L2066" s="135">
        <v>3.3417143376560203E-2</v>
      </c>
      <c r="M2066" s="135">
        <v>3.6582320186360803E-2</v>
      </c>
      <c r="N2066" s="135">
        <v>4.5261807128611303E-2</v>
      </c>
      <c r="O2066" s="135">
        <v>4.9009772411002697E-2</v>
      </c>
      <c r="P2066" s="135">
        <v>4.5873836488933499E-2</v>
      </c>
      <c r="Q2066" s="135">
        <v>4.3035632336435897E-2</v>
      </c>
      <c r="R2066" s="135">
        <v>4.1252549683206997E-2</v>
      </c>
      <c r="S2066" s="135">
        <v>4.1217720676329901E-2</v>
      </c>
      <c r="T2066" s="135">
        <v>4.0398991550468201E-2</v>
      </c>
      <c r="U2066" s="135">
        <v>4.1506957492086903E-2</v>
      </c>
      <c r="V2066" s="135">
        <v>4.0257815048548598E-2</v>
      </c>
      <c r="W2066" s="135">
        <v>4.0331423346317202E-2</v>
      </c>
      <c r="X2066" s="135">
        <v>4.1947562730741302E-2</v>
      </c>
      <c r="Y2066" s="135">
        <v>4.3506044226965197E-2</v>
      </c>
      <c r="Z2066" s="135">
        <v>4.4479431999894903E-2</v>
      </c>
      <c r="AA2066" s="135">
        <v>5.0392162077871498E-2</v>
      </c>
      <c r="AB2066" s="135">
        <v>4.80877543106841E-2</v>
      </c>
      <c r="AC2066" s="135">
        <v>4.6467953456920202E-2</v>
      </c>
      <c r="AD2066" s="135">
        <v>4.5595058865232602E-2</v>
      </c>
      <c r="AF2066" s="243">
        <f t="shared" si="41"/>
        <v>0.2880010901333937</v>
      </c>
      <c r="AG2066" s="275">
        <f t="shared" si="42"/>
        <v>0.53951219942235906</v>
      </c>
      <c r="AH2066" s="391">
        <f t="shared" si="43"/>
        <v>0.45284655339434743</v>
      </c>
      <c r="AI2066" s="135">
        <f t="shared" si="44"/>
        <v>0.99235875281670649</v>
      </c>
    </row>
    <row r="2067" spans="1:35" ht="12.6">
      <c r="A2067" s="10" t="s">
        <v>865</v>
      </c>
      <c r="B2067" s="10">
        <v>241</v>
      </c>
      <c r="C2067" s="10" t="s">
        <v>1514</v>
      </c>
      <c r="D2067" s="388">
        <v>45167</v>
      </c>
      <c r="E2067" s="389">
        <v>45167</v>
      </c>
      <c r="F2067" s="390" t="str">
        <f t="shared" si="40"/>
        <v>Whitegoods</v>
      </c>
      <c r="G2067" s="135">
        <v>4.03888180939386E-2</v>
      </c>
      <c r="H2067" s="135">
        <v>3.4721150267714197E-2</v>
      </c>
      <c r="I2067" s="135">
        <v>3.2897826566129502E-2</v>
      </c>
      <c r="J2067" s="135">
        <v>3.3067332280052E-2</v>
      </c>
      <c r="K2067" s="135">
        <v>3.2661688215700001E-2</v>
      </c>
      <c r="L2067" s="135">
        <v>3.3417143376560203E-2</v>
      </c>
      <c r="M2067" s="135">
        <v>3.6582320186360803E-2</v>
      </c>
      <c r="N2067" s="135">
        <v>4.5261807128611303E-2</v>
      </c>
      <c r="O2067" s="135">
        <v>4.9009772411002697E-2</v>
      </c>
      <c r="P2067" s="135">
        <v>4.5873836488933499E-2</v>
      </c>
      <c r="Q2067" s="135">
        <v>4.3035632336435897E-2</v>
      </c>
      <c r="R2067" s="135">
        <v>4.1252549683206997E-2</v>
      </c>
      <c r="S2067" s="135">
        <v>4.1217720676329901E-2</v>
      </c>
      <c r="T2067" s="135">
        <v>4.0398991550468201E-2</v>
      </c>
      <c r="U2067" s="135">
        <v>4.1506957492086903E-2</v>
      </c>
      <c r="V2067" s="135">
        <v>4.0257815048548598E-2</v>
      </c>
      <c r="W2067" s="135">
        <v>4.0331423346317202E-2</v>
      </c>
      <c r="X2067" s="135">
        <v>4.1947562730741302E-2</v>
      </c>
      <c r="Y2067" s="135">
        <v>4.3506044226965197E-2</v>
      </c>
      <c r="Z2067" s="135">
        <v>4.4479431999894903E-2</v>
      </c>
      <c r="AA2067" s="135">
        <v>5.0392162077871498E-2</v>
      </c>
      <c r="AB2067" s="135">
        <v>4.80877543106841E-2</v>
      </c>
      <c r="AC2067" s="135">
        <v>4.6467953456920202E-2</v>
      </c>
      <c r="AD2067" s="135">
        <v>4.5595058865232602E-2</v>
      </c>
      <c r="AF2067" s="243">
        <f t="shared" si="41"/>
        <v>0.2880010901333937</v>
      </c>
      <c r="AG2067" s="275">
        <f t="shared" si="42"/>
        <v>0.53951219942235906</v>
      </c>
      <c r="AH2067" s="391">
        <f t="shared" si="43"/>
        <v>0.45284655339434743</v>
      </c>
      <c r="AI2067" s="135">
        <f t="shared" si="44"/>
        <v>0.99235875281670649</v>
      </c>
    </row>
    <row r="2068" spans="1:35" ht="12.6">
      <c r="A2068" s="10" t="s">
        <v>865</v>
      </c>
      <c r="B2068" s="10">
        <v>242</v>
      </c>
      <c r="C2068" s="10" t="s">
        <v>1514</v>
      </c>
      <c r="D2068" s="388">
        <v>45168</v>
      </c>
      <c r="E2068" s="389">
        <v>45168</v>
      </c>
      <c r="F2068" s="390" t="str">
        <f t="shared" si="40"/>
        <v>Whitegoods</v>
      </c>
      <c r="G2068" s="135">
        <v>4.03888180939386E-2</v>
      </c>
      <c r="H2068" s="135">
        <v>3.4721150267714197E-2</v>
      </c>
      <c r="I2068" s="135">
        <v>3.2897826566129502E-2</v>
      </c>
      <c r="J2068" s="135">
        <v>3.3067332280052E-2</v>
      </c>
      <c r="K2068" s="135">
        <v>3.2661688215700001E-2</v>
      </c>
      <c r="L2068" s="135">
        <v>3.3417143376560203E-2</v>
      </c>
      <c r="M2068" s="135">
        <v>3.6582320186360803E-2</v>
      </c>
      <c r="N2068" s="135">
        <v>4.5261807128611303E-2</v>
      </c>
      <c r="O2068" s="135">
        <v>4.9009772411002697E-2</v>
      </c>
      <c r="P2068" s="135">
        <v>4.5873836488933499E-2</v>
      </c>
      <c r="Q2068" s="135">
        <v>4.3035632336435897E-2</v>
      </c>
      <c r="R2068" s="135">
        <v>4.1252549683206997E-2</v>
      </c>
      <c r="S2068" s="135">
        <v>4.1217720676329901E-2</v>
      </c>
      <c r="T2068" s="135">
        <v>4.0398991550468201E-2</v>
      </c>
      <c r="U2068" s="135">
        <v>4.1506957492086903E-2</v>
      </c>
      <c r="V2068" s="135">
        <v>4.0257815048548598E-2</v>
      </c>
      <c r="W2068" s="135">
        <v>4.0331423346317202E-2</v>
      </c>
      <c r="X2068" s="135">
        <v>4.1947562730741302E-2</v>
      </c>
      <c r="Y2068" s="135">
        <v>4.3506044226965197E-2</v>
      </c>
      <c r="Z2068" s="135">
        <v>4.4479431999894903E-2</v>
      </c>
      <c r="AA2068" s="135">
        <v>5.0392162077871498E-2</v>
      </c>
      <c r="AB2068" s="135">
        <v>4.80877543106841E-2</v>
      </c>
      <c r="AC2068" s="135">
        <v>4.6467953456920202E-2</v>
      </c>
      <c r="AD2068" s="135">
        <v>4.5595058865232602E-2</v>
      </c>
      <c r="AF2068" s="243">
        <f t="shared" si="41"/>
        <v>0.2880010901333937</v>
      </c>
      <c r="AG2068" s="275">
        <f t="shared" si="42"/>
        <v>0.53951219942235906</v>
      </c>
      <c r="AH2068" s="391">
        <f t="shared" si="43"/>
        <v>0.45284655339434743</v>
      </c>
      <c r="AI2068" s="135">
        <f t="shared" si="44"/>
        <v>0.99235875281670649</v>
      </c>
    </row>
    <row r="2069" spans="1:35" ht="12.6">
      <c r="A2069" s="10" t="s">
        <v>865</v>
      </c>
      <c r="B2069" s="10">
        <v>243</v>
      </c>
      <c r="C2069" s="10" t="s">
        <v>1514</v>
      </c>
      <c r="D2069" s="388">
        <v>45169</v>
      </c>
      <c r="E2069" s="389">
        <v>45169</v>
      </c>
      <c r="F2069" s="390" t="str">
        <f t="shared" si="40"/>
        <v>Whitegoods</v>
      </c>
      <c r="G2069" s="135">
        <v>4.03888180939386E-2</v>
      </c>
      <c r="H2069" s="135">
        <v>3.4721150267714197E-2</v>
      </c>
      <c r="I2069" s="135">
        <v>3.2897826566129502E-2</v>
      </c>
      <c r="J2069" s="135">
        <v>3.3067332280052E-2</v>
      </c>
      <c r="K2069" s="135">
        <v>3.2661688215700001E-2</v>
      </c>
      <c r="L2069" s="135">
        <v>3.3417143376560203E-2</v>
      </c>
      <c r="M2069" s="135">
        <v>3.6582320186360803E-2</v>
      </c>
      <c r="N2069" s="135">
        <v>4.5261807128611303E-2</v>
      </c>
      <c r="O2069" s="135">
        <v>4.9009772411002697E-2</v>
      </c>
      <c r="P2069" s="135">
        <v>4.5873836488933499E-2</v>
      </c>
      <c r="Q2069" s="135">
        <v>4.3035632336435897E-2</v>
      </c>
      <c r="R2069" s="135">
        <v>4.1252549683206997E-2</v>
      </c>
      <c r="S2069" s="135">
        <v>4.1217720676329901E-2</v>
      </c>
      <c r="T2069" s="135">
        <v>4.0398991550468201E-2</v>
      </c>
      <c r="U2069" s="135">
        <v>4.1506957492086903E-2</v>
      </c>
      <c r="V2069" s="135">
        <v>4.0257815048548598E-2</v>
      </c>
      <c r="W2069" s="135">
        <v>4.0331423346317202E-2</v>
      </c>
      <c r="X2069" s="135">
        <v>4.1947562730741302E-2</v>
      </c>
      <c r="Y2069" s="135">
        <v>4.3506044226965197E-2</v>
      </c>
      <c r="Z2069" s="135">
        <v>4.4479431999894903E-2</v>
      </c>
      <c r="AA2069" s="135">
        <v>5.0392162077871498E-2</v>
      </c>
      <c r="AB2069" s="135">
        <v>4.80877543106841E-2</v>
      </c>
      <c r="AC2069" s="135">
        <v>4.6467953456920202E-2</v>
      </c>
      <c r="AD2069" s="135">
        <v>4.5595058865232602E-2</v>
      </c>
      <c r="AF2069" s="243">
        <f t="shared" si="41"/>
        <v>0.2880010901333937</v>
      </c>
      <c r="AG2069" s="275">
        <f t="shared" si="42"/>
        <v>0.53951219942235906</v>
      </c>
      <c r="AH2069" s="391">
        <f t="shared" si="43"/>
        <v>0.45284655339434743</v>
      </c>
      <c r="AI2069" s="135">
        <f t="shared" si="44"/>
        <v>0.99235875281670649</v>
      </c>
    </row>
    <row r="2070" spans="1:35" ht="12.6">
      <c r="A2070" s="10" t="s">
        <v>865</v>
      </c>
      <c r="B2070" s="10">
        <v>244</v>
      </c>
      <c r="C2070" s="10" t="s">
        <v>1515</v>
      </c>
      <c r="D2070" s="388">
        <v>45170</v>
      </c>
      <c r="E2070" s="389">
        <v>45170</v>
      </c>
      <c r="F2070" s="390" t="str">
        <f t="shared" si="40"/>
        <v>Whitegoods</v>
      </c>
      <c r="G2070" s="135">
        <v>3.9381167944555602E-2</v>
      </c>
      <c r="H2070" s="135">
        <v>3.4395068080626298E-2</v>
      </c>
      <c r="I2070" s="135">
        <v>3.2797612393347698E-2</v>
      </c>
      <c r="J2070" s="135">
        <v>3.2891604244034998E-2</v>
      </c>
      <c r="K2070" s="135">
        <v>3.2587993038964598E-2</v>
      </c>
      <c r="L2070" s="135">
        <v>3.3250142434698801E-2</v>
      </c>
      <c r="M2070" s="135">
        <v>3.6387108395412399E-2</v>
      </c>
      <c r="N2070" s="135">
        <v>4.40760017692719E-2</v>
      </c>
      <c r="O2070" s="135">
        <v>4.7010779051335098E-2</v>
      </c>
      <c r="P2070" s="135">
        <v>4.4489904261028702E-2</v>
      </c>
      <c r="Q2070" s="135">
        <v>4.1961942195663099E-2</v>
      </c>
      <c r="R2070" s="135">
        <v>3.9925356757035603E-2</v>
      </c>
      <c r="S2070" s="135">
        <v>3.9918343999765502E-2</v>
      </c>
      <c r="T2070" s="135">
        <v>3.9006415466365997E-2</v>
      </c>
      <c r="U2070" s="135">
        <v>4.0018565372155097E-2</v>
      </c>
      <c r="V2070" s="135">
        <v>3.9148664027195003E-2</v>
      </c>
      <c r="W2070" s="135">
        <v>3.8797596733387299E-2</v>
      </c>
      <c r="X2070" s="135">
        <v>3.9955740683471103E-2</v>
      </c>
      <c r="Y2070" s="135">
        <v>4.1822901320133499E-2</v>
      </c>
      <c r="Z2070" s="135">
        <v>4.2866830304389203E-2</v>
      </c>
      <c r="AA2070" s="135">
        <v>4.8267942996821703E-2</v>
      </c>
      <c r="AB2070" s="135">
        <v>4.6335668033314799E-2</v>
      </c>
      <c r="AC2070" s="135">
        <v>4.4583089490291203E-2</v>
      </c>
      <c r="AD2070" s="135">
        <v>4.3936710095159502E-2</v>
      </c>
      <c r="AF2070" s="243">
        <f t="shared" si="41"/>
        <v>0.27877688455156757</v>
      </c>
      <c r="AG2070" s="275">
        <f t="shared" si="42"/>
        <v>0.5271000817159599</v>
      </c>
      <c r="AH2070" s="391">
        <f t="shared" si="43"/>
        <v>0.43671306737246468</v>
      </c>
      <c r="AI2070" s="135">
        <f t="shared" si="44"/>
        <v>0.96381314908842464</v>
      </c>
    </row>
    <row r="2071" spans="1:35" ht="12.6">
      <c r="A2071" s="10" t="s">
        <v>865</v>
      </c>
      <c r="B2071" s="10">
        <v>245</v>
      </c>
      <c r="C2071" s="10" t="s">
        <v>1515</v>
      </c>
      <c r="D2071" s="388">
        <v>45171</v>
      </c>
      <c r="E2071" s="389">
        <v>45171</v>
      </c>
      <c r="F2071" s="390" t="str">
        <f t="shared" si="40"/>
        <v>Whitegoods</v>
      </c>
      <c r="G2071" s="135">
        <v>3.8535262095771503E-2</v>
      </c>
      <c r="H2071" s="135">
        <v>3.5465927679192599E-2</v>
      </c>
      <c r="I2071" s="135">
        <v>3.3125984884627098E-2</v>
      </c>
      <c r="J2071" s="135">
        <v>3.29712181137162E-2</v>
      </c>
      <c r="K2071" s="135">
        <v>3.3144357596896303E-2</v>
      </c>
      <c r="L2071" s="135">
        <v>3.2563494598871298E-2</v>
      </c>
      <c r="M2071" s="135">
        <v>3.5586465002270203E-2</v>
      </c>
      <c r="N2071" s="135">
        <v>3.7260407524796299E-2</v>
      </c>
      <c r="O2071" s="135">
        <v>4.62859145861787E-2</v>
      </c>
      <c r="P2071" s="135">
        <v>5.7110893330062799E-2</v>
      </c>
      <c r="Q2071" s="135">
        <v>6.2575431461735595E-2</v>
      </c>
      <c r="R2071" s="135">
        <v>5.80935496211826E-2</v>
      </c>
      <c r="S2071" s="135">
        <v>5.4524523794811403E-2</v>
      </c>
      <c r="T2071" s="135">
        <v>5.3654928024098901E-2</v>
      </c>
      <c r="U2071" s="135">
        <v>4.8651547271370402E-2</v>
      </c>
      <c r="V2071" s="135">
        <v>4.8437758263377498E-2</v>
      </c>
      <c r="W2071" s="135">
        <v>4.7941556668017402E-2</v>
      </c>
      <c r="X2071" s="135">
        <v>4.6658721534051699E-2</v>
      </c>
      <c r="Y2071" s="135">
        <v>4.70658494655724E-2</v>
      </c>
      <c r="Z2071" s="135">
        <v>4.5920212807112497E-2</v>
      </c>
      <c r="AA2071" s="135">
        <v>4.8865623062725697E-2</v>
      </c>
      <c r="AB2071" s="135">
        <v>5.0090207667482699E-2</v>
      </c>
      <c r="AC2071" s="135">
        <v>4.4638219426981499E-2</v>
      </c>
      <c r="AD2071" s="135">
        <v>4.2418019103301098E-2</v>
      </c>
      <c r="AF2071" s="243">
        <f t="shared" si="41"/>
        <v>0.37387929510459383</v>
      </c>
      <c r="AG2071" s="275">
        <f t="shared" si="42"/>
        <v>0.58165926252330324</v>
      </c>
      <c r="AH2071" s="391">
        <f t="shared" si="43"/>
        <v>0.49992681106090092</v>
      </c>
      <c r="AI2071" s="135">
        <f t="shared" si="44"/>
        <v>1.0815860735842042</v>
      </c>
    </row>
    <row r="2072" spans="1:35" ht="12.6">
      <c r="A2072" s="10" t="s">
        <v>865</v>
      </c>
      <c r="B2072" s="10">
        <v>246</v>
      </c>
      <c r="C2072" s="10" t="s">
        <v>1515</v>
      </c>
      <c r="D2072" s="388">
        <v>45172</v>
      </c>
      <c r="E2072" s="389">
        <v>45172</v>
      </c>
      <c r="F2072" s="390" t="str">
        <f t="shared" si="40"/>
        <v>Whitegoods</v>
      </c>
      <c r="G2072" s="135">
        <v>3.8535262095771503E-2</v>
      </c>
      <c r="H2072" s="135">
        <v>3.5465927679192599E-2</v>
      </c>
      <c r="I2072" s="135">
        <v>3.3125984884627098E-2</v>
      </c>
      <c r="J2072" s="135">
        <v>3.29712181137162E-2</v>
      </c>
      <c r="K2072" s="135">
        <v>3.3144357596896303E-2</v>
      </c>
      <c r="L2072" s="135">
        <v>3.2563494598871298E-2</v>
      </c>
      <c r="M2072" s="135">
        <v>3.5586465002270203E-2</v>
      </c>
      <c r="N2072" s="135">
        <v>3.7260407524796299E-2</v>
      </c>
      <c r="O2072" s="135">
        <v>4.62859145861787E-2</v>
      </c>
      <c r="P2072" s="135">
        <v>5.7110893330062799E-2</v>
      </c>
      <c r="Q2072" s="135">
        <v>6.2575431461735595E-2</v>
      </c>
      <c r="R2072" s="135">
        <v>5.80935496211826E-2</v>
      </c>
      <c r="S2072" s="135">
        <v>5.4524523794811403E-2</v>
      </c>
      <c r="T2072" s="135">
        <v>5.3654928024098901E-2</v>
      </c>
      <c r="U2072" s="135">
        <v>4.8651547271370402E-2</v>
      </c>
      <c r="V2072" s="135">
        <v>4.8437758263377498E-2</v>
      </c>
      <c r="W2072" s="135">
        <v>4.7941556668017402E-2</v>
      </c>
      <c r="X2072" s="135">
        <v>4.6658721534051699E-2</v>
      </c>
      <c r="Y2072" s="135">
        <v>4.70658494655724E-2</v>
      </c>
      <c r="Z2072" s="135">
        <v>4.5920212807112497E-2</v>
      </c>
      <c r="AA2072" s="135">
        <v>4.8865623062725697E-2</v>
      </c>
      <c r="AB2072" s="135">
        <v>5.0090207667482699E-2</v>
      </c>
      <c r="AC2072" s="135">
        <v>4.4638219426981499E-2</v>
      </c>
      <c r="AD2072" s="135">
        <v>4.2418019103301098E-2</v>
      </c>
      <c r="AF2072" s="243">
        <f t="shared" si="41"/>
        <v>0.37387929510459383</v>
      </c>
      <c r="AG2072" s="275">
        <f t="shared" si="42"/>
        <v>0.58165926252330324</v>
      </c>
      <c r="AH2072" s="391">
        <f t="shared" si="43"/>
        <v>0.49992681106090092</v>
      </c>
      <c r="AI2072" s="135">
        <f t="shared" si="44"/>
        <v>1.0815860735842042</v>
      </c>
    </row>
    <row r="2073" spans="1:35" ht="12.6">
      <c r="A2073" s="10" t="s">
        <v>865</v>
      </c>
      <c r="B2073" s="10">
        <v>247</v>
      </c>
      <c r="C2073" s="10" t="s">
        <v>1515</v>
      </c>
      <c r="D2073" s="388">
        <v>45173</v>
      </c>
      <c r="E2073" s="389">
        <v>45173</v>
      </c>
      <c r="F2073" s="390" t="str">
        <f t="shared" si="40"/>
        <v>Whitegoods</v>
      </c>
      <c r="G2073" s="135">
        <v>3.9381167944555602E-2</v>
      </c>
      <c r="H2073" s="135">
        <v>3.4395068080626298E-2</v>
      </c>
      <c r="I2073" s="135">
        <v>3.2797612393347698E-2</v>
      </c>
      <c r="J2073" s="135">
        <v>3.2891604244034998E-2</v>
      </c>
      <c r="K2073" s="135">
        <v>3.2587993038964598E-2</v>
      </c>
      <c r="L2073" s="135">
        <v>3.3250142434698801E-2</v>
      </c>
      <c r="M2073" s="135">
        <v>3.6387108395412399E-2</v>
      </c>
      <c r="N2073" s="135">
        <v>4.40760017692719E-2</v>
      </c>
      <c r="O2073" s="135">
        <v>4.7010779051335098E-2</v>
      </c>
      <c r="P2073" s="135">
        <v>4.4489904261028702E-2</v>
      </c>
      <c r="Q2073" s="135">
        <v>4.1961942195663099E-2</v>
      </c>
      <c r="R2073" s="135">
        <v>3.9925356757035603E-2</v>
      </c>
      <c r="S2073" s="135">
        <v>3.9918343999765502E-2</v>
      </c>
      <c r="T2073" s="135">
        <v>3.9006415466365997E-2</v>
      </c>
      <c r="U2073" s="135">
        <v>4.0018565372155097E-2</v>
      </c>
      <c r="V2073" s="135">
        <v>3.9148664027195003E-2</v>
      </c>
      <c r="W2073" s="135">
        <v>3.8797596733387299E-2</v>
      </c>
      <c r="X2073" s="135">
        <v>3.9955740683471103E-2</v>
      </c>
      <c r="Y2073" s="135">
        <v>4.1822901320133499E-2</v>
      </c>
      <c r="Z2073" s="135">
        <v>4.2866830304389203E-2</v>
      </c>
      <c r="AA2073" s="135">
        <v>4.8267942996821703E-2</v>
      </c>
      <c r="AB2073" s="135">
        <v>4.6335668033314799E-2</v>
      </c>
      <c r="AC2073" s="135">
        <v>4.4583089490291203E-2</v>
      </c>
      <c r="AD2073" s="135">
        <v>4.3936710095159502E-2</v>
      </c>
      <c r="AF2073" s="243">
        <f t="shared" si="41"/>
        <v>0.27877688455156757</v>
      </c>
      <c r="AG2073" s="275">
        <f t="shared" si="42"/>
        <v>0.5271000817159599</v>
      </c>
      <c r="AH2073" s="391">
        <f t="shared" si="43"/>
        <v>0.43671306737246468</v>
      </c>
      <c r="AI2073" s="135">
        <f t="shared" si="44"/>
        <v>0.96381314908842464</v>
      </c>
    </row>
    <row r="2074" spans="1:35" ht="12.6">
      <c r="A2074" s="10" t="s">
        <v>865</v>
      </c>
      <c r="B2074" s="10">
        <v>248</v>
      </c>
      <c r="C2074" s="10" t="s">
        <v>1515</v>
      </c>
      <c r="D2074" s="388">
        <v>45174</v>
      </c>
      <c r="E2074" s="389">
        <v>45174</v>
      </c>
      <c r="F2074" s="390" t="str">
        <f t="shared" si="40"/>
        <v>Whitegoods</v>
      </c>
      <c r="G2074" s="135">
        <v>3.9381167944555602E-2</v>
      </c>
      <c r="H2074" s="135">
        <v>3.4395068080626298E-2</v>
      </c>
      <c r="I2074" s="135">
        <v>3.2797612393347698E-2</v>
      </c>
      <c r="J2074" s="135">
        <v>3.2891604244034998E-2</v>
      </c>
      <c r="K2074" s="135">
        <v>3.2587993038964598E-2</v>
      </c>
      <c r="L2074" s="135">
        <v>3.3250142434698801E-2</v>
      </c>
      <c r="M2074" s="135">
        <v>3.6387108395412399E-2</v>
      </c>
      <c r="N2074" s="135">
        <v>4.40760017692719E-2</v>
      </c>
      <c r="O2074" s="135">
        <v>4.7010779051335098E-2</v>
      </c>
      <c r="P2074" s="135">
        <v>4.4489904261028702E-2</v>
      </c>
      <c r="Q2074" s="135">
        <v>4.1961942195663099E-2</v>
      </c>
      <c r="R2074" s="135">
        <v>3.9925356757035603E-2</v>
      </c>
      <c r="S2074" s="135">
        <v>3.9918343999765502E-2</v>
      </c>
      <c r="T2074" s="135">
        <v>3.9006415466365997E-2</v>
      </c>
      <c r="U2074" s="135">
        <v>4.0018565372155097E-2</v>
      </c>
      <c r="V2074" s="135">
        <v>3.9148664027195003E-2</v>
      </c>
      <c r="W2074" s="135">
        <v>3.8797596733387299E-2</v>
      </c>
      <c r="X2074" s="135">
        <v>3.9955740683471103E-2</v>
      </c>
      <c r="Y2074" s="135">
        <v>4.1822901320133499E-2</v>
      </c>
      <c r="Z2074" s="135">
        <v>4.2866830304389203E-2</v>
      </c>
      <c r="AA2074" s="135">
        <v>4.8267942996821703E-2</v>
      </c>
      <c r="AB2074" s="135">
        <v>4.6335668033314799E-2</v>
      </c>
      <c r="AC2074" s="135">
        <v>4.4583089490291203E-2</v>
      </c>
      <c r="AD2074" s="135">
        <v>4.3936710095159502E-2</v>
      </c>
      <c r="AF2074" s="243">
        <f t="shared" si="41"/>
        <v>0.27877688455156757</v>
      </c>
      <c r="AG2074" s="275">
        <f t="shared" si="42"/>
        <v>0.5271000817159599</v>
      </c>
      <c r="AH2074" s="391">
        <f t="shared" si="43"/>
        <v>0.43671306737246468</v>
      </c>
      <c r="AI2074" s="135">
        <f t="shared" si="44"/>
        <v>0.96381314908842464</v>
      </c>
    </row>
    <row r="2075" spans="1:35" ht="12.6">
      <c r="A2075" s="10" t="s">
        <v>865</v>
      </c>
      <c r="B2075" s="10">
        <v>249</v>
      </c>
      <c r="C2075" s="10" t="s">
        <v>1515</v>
      </c>
      <c r="D2075" s="388">
        <v>45175</v>
      </c>
      <c r="E2075" s="389">
        <v>45175</v>
      </c>
      <c r="F2075" s="390" t="str">
        <f t="shared" si="40"/>
        <v>Whitegoods</v>
      </c>
      <c r="G2075" s="135">
        <v>3.9381167944555602E-2</v>
      </c>
      <c r="H2075" s="135">
        <v>3.4395068080626298E-2</v>
      </c>
      <c r="I2075" s="135">
        <v>3.2797612393347698E-2</v>
      </c>
      <c r="J2075" s="135">
        <v>3.2891604244034998E-2</v>
      </c>
      <c r="K2075" s="135">
        <v>3.2587993038964598E-2</v>
      </c>
      <c r="L2075" s="135">
        <v>3.3250142434698801E-2</v>
      </c>
      <c r="M2075" s="135">
        <v>3.6387108395412399E-2</v>
      </c>
      <c r="N2075" s="135">
        <v>4.40760017692719E-2</v>
      </c>
      <c r="O2075" s="135">
        <v>4.7010779051335098E-2</v>
      </c>
      <c r="P2075" s="135">
        <v>4.4489904261028702E-2</v>
      </c>
      <c r="Q2075" s="135">
        <v>4.1961942195663099E-2</v>
      </c>
      <c r="R2075" s="135">
        <v>3.9925356757035603E-2</v>
      </c>
      <c r="S2075" s="135">
        <v>3.9918343999765502E-2</v>
      </c>
      <c r="T2075" s="135">
        <v>3.9006415466365997E-2</v>
      </c>
      <c r="U2075" s="135">
        <v>4.0018565372155097E-2</v>
      </c>
      <c r="V2075" s="135">
        <v>3.9148664027195003E-2</v>
      </c>
      <c r="W2075" s="135">
        <v>3.8797596733387299E-2</v>
      </c>
      <c r="X2075" s="135">
        <v>3.9955740683471103E-2</v>
      </c>
      <c r="Y2075" s="135">
        <v>4.1822901320133499E-2</v>
      </c>
      <c r="Z2075" s="135">
        <v>4.2866830304389203E-2</v>
      </c>
      <c r="AA2075" s="135">
        <v>4.8267942996821703E-2</v>
      </c>
      <c r="AB2075" s="135">
        <v>4.6335668033314799E-2</v>
      </c>
      <c r="AC2075" s="135">
        <v>4.4583089490291203E-2</v>
      </c>
      <c r="AD2075" s="135">
        <v>4.3936710095159502E-2</v>
      </c>
      <c r="AF2075" s="243">
        <f t="shared" si="41"/>
        <v>0.27877688455156757</v>
      </c>
      <c r="AG2075" s="275">
        <f t="shared" si="42"/>
        <v>0.5271000817159599</v>
      </c>
      <c r="AH2075" s="391">
        <f t="shared" si="43"/>
        <v>0.43671306737246468</v>
      </c>
      <c r="AI2075" s="135">
        <f t="shared" si="44"/>
        <v>0.96381314908842464</v>
      </c>
    </row>
    <row r="2076" spans="1:35" ht="12.6">
      <c r="A2076" s="10" t="s">
        <v>865</v>
      </c>
      <c r="B2076" s="10">
        <v>250</v>
      </c>
      <c r="C2076" s="10" t="s">
        <v>1515</v>
      </c>
      <c r="D2076" s="388">
        <v>45176</v>
      </c>
      <c r="E2076" s="389">
        <v>45176</v>
      </c>
      <c r="F2076" s="390" t="str">
        <f t="shared" si="40"/>
        <v>Whitegoods</v>
      </c>
      <c r="G2076" s="135">
        <v>3.9381167944555602E-2</v>
      </c>
      <c r="H2076" s="135">
        <v>3.4395068080626298E-2</v>
      </c>
      <c r="I2076" s="135">
        <v>3.2797612393347698E-2</v>
      </c>
      <c r="J2076" s="135">
        <v>3.2891604244034998E-2</v>
      </c>
      <c r="K2076" s="135">
        <v>3.2587993038964598E-2</v>
      </c>
      <c r="L2076" s="135">
        <v>3.3250142434698801E-2</v>
      </c>
      <c r="M2076" s="135">
        <v>3.6387108395412399E-2</v>
      </c>
      <c r="N2076" s="135">
        <v>4.40760017692719E-2</v>
      </c>
      <c r="O2076" s="135">
        <v>4.7010779051335098E-2</v>
      </c>
      <c r="P2076" s="135">
        <v>4.4489904261028702E-2</v>
      </c>
      <c r="Q2076" s="135">
        <v>4.1961942195663099E-2</v>
      </c>
      <c r="R2076" s="135">
        <v>3.9925356757035603E-2</v>
      </c>
      <c r="S2076" s="135">
        <v>3.9918343999765502E-2</v>
      </c>
      <c r="T2076" s="135">
        <v>3.9006415466365997E-2</v>
      </c>
      <c r="U2076" s="135">
        <v>4.0018565372155097E-2</v>
      </c>
      <c r="V2076" s="135">
        <v>3.9148664027195003E-2</v>
      </c>
      <c r="W2076" s="135">
        <v>3.8797596733387299E-2</v>
      </c>
      <c r="X2076" s="135">
        <v>3.9955740683471103E-2</v>
      </c>
      <c r="Y2076" s="135">
        <v>4.1822901320133499E-2</v>
      </c>
      <c r="Z2076" s="135">
        <v>4.2866830304389203E-2</v>
      </c>
      <c r="AA2076" s="135">
        <v>4.8267942996821703E-2</v>
      </c>
      <c r="AB2076" s="135">
        <v>4.6335668033314799E-2</v>
      </c>
      <c r="AC2076" s="135">
        <v>4.4583089490291203E-2</v>
      </c>
      <c r="AD2076" s="135">
        <v>4.3936710095159502E-2</v>
      </c>
      <c r="AF2076" s="243">
        <f t="shared" si="41"/>
        <v>0.27877688455156757</v>
      </c>
      <c r="AG2076" s="275">
        <f t="shared" si="42"/>
        <v>0.5271000817159599</v>
      </c>
      <c r="AH2076" s="391">
        <f t="shared" si="43"/>
        <v>0.43671306737246468</v>
      </c>
      <c r="AI2076" s="135">
        <f t="shared" si="44"/>
        <v>0.96381314908842464</v>
      </c>
    </row>
    <row r="2077" spans="1:35" ht="12.6">
      <c r="A2077" s="10" t="s">
        <v>865</v>
      </c>
      <c r="B2077" s="10">
        <v>251</v>
      </c>
      <c r="C2077" s="10" t="s">
        <v>1515</v>
      </c>
      <c r="D2077" s="388">
        <v>45177</v>
      </c>
      <c r="E2077" s="389">
        <v>45177</v>
      </c>
      <c r="F2077" s="390" t="str">
        <f t="shared" si="40"/>
        <v>Whitegoods</v>
      </c>
      <c r="G2077" s="135">
        <v>3.9381167944555602E-2</v>
      </c>
      <c r="H2077" s="135">
        <v>3.4395068080626298E-2</v>
      </c>
      <c r="I2077" s="135">
        <v>3.2797612393347698E-2</v>
      </c>
      <c r="J2077" s="135">
        <v>3.2891604244034998E-2</v>
      </c>
      <c r="K2077" s="135">
        <v>3.2587993038964598E-2</v>
      </c>
      <c r="L2077" s="135">
        <v>3.3250142434698801E-2</v>
      </c>
      <c r="M2077" s="135">
        <v>3.6387108395412399E-2</v>
      </c>
      <c r="N2077" s="135">
        <v>4.40760017692719E-2</v>
      </c>
      <c r="O2077" s="135">
        <v>4.7010779051335098E-2</v>
      </c>
      <c r="P2077" s="135">
        <v>4.4489904261028702E-2</v>
      </c>
      <c r="Q2077" s="135">
        <v>4.1961942195663099E-2</v>
      </c>
      <c r="R2077" s="135">
        <v>3.9925356757035603E-2</v>
      </c>
      <c r="S2077" s="135">
        <v>3.9918343999765502E-2</v>
      </c>
      <c r="T2077" s="135">
        <v>3.9006415466365997E-2</v>
      </c>
      <c r="U2077" s="135">
        <v>4.0018565372155097E-2</v>
      </c>
      <c r="V2077" s="135">
        <v>3.9148664027195003E-2</v>
      </c>
      <c r="W2077" s="135">
        <v>3.8797596733387299E-2</v>
      </c>
      <c r="X2077" s="135">
        <v>3.9955740683471103E-2</v>
      </c>
      <c r="Y2077" s="135">
        <v>4.1822901320133499E-2</v>
      </c>
      <c r="Z2077" s="135">
        <v>4.2866830304389203E-2</v>
      </c>
      <c r="AA2077" s="135">
        <v>4.8267942996821703E-2</v>
      </c>
      <c r="AB2077" s="135">
        <v>4.6335668033314799E-2</v>
      </c>
      <c r="AC2077" s="135">
        <v>4.4583089490291203E-2</v>
      </c>
      <c r="AD2077" s="135">
        <v>4.3936710095159502E-2</v>
      </c>
      <c r="AF2077" s="243">
        <f t="shared" si="41"/>
        <v>0.27877688455156757</v>
      </c>
      <c r="AG2077" s="275">
        <f t="shared" si="42"/>
        <v>0.5271000817159599</v>
      </c>
      <c r="AH2077" s="391">
        <f t="shared" si="43"/>
        <v>0.43671306737246468</v>
      </c>
      <c r="AI2077" s="135">
        <f t="shared" si="44"/>
        <v>0.96381314908842464</v>
      </c>
    </row>
    <row r="2078" spans="1:35" ht="12.6">
      <c r="A2078" s="10" t="s">
        <v>865</v>
      </c>
      <c r="B2078" s="10">
        <v>252</v>
      </c>
      <c r="C2078" s="10" t="s">
        <v>1515</v>
      </c>
      <c r="D2078" s="388">
        <v>45178</v>
      </c>
      <c r="E2078" s="389">
        <v>45178</v>
      </c>
      <c r="F2078" s="390" t="str">
        <f t="shared" si="40"/>
        <v>Whitegoods</v>
      </c>
      <c r="G2078" s="135">
        <v>3.8535262095771503E-2</v>
      </c>
      <c r="H2078" s="135">
        <v>3.5465927679192599E-2</v>
      </c>
      <c r="I2078" s="135">
        <v>3.3125984884627098E-2</v>
      </c>
      <c r="J2078" s="135">
        <v>3.29712181137162E-2</v>
      </c>
      <c r="K2078" s="135">
        <v>3.3144357596896303E-2</v>
      </c>
      <c r="L2078" s="135">
        <v>3.2563494598871298E-2</v>
      </c>
      <c r="M2078" s="135">
        <v>3.5586465002270203E-2</v>
      </c>
      <c r="N2078" s="135">
        <v>3.7260407524796299E-2</v>
      </c>
      <c r="O2078" s="135">
        <v>4.62859145861787E-2</v>
      </c>
      <c r="P2078" s="135">
        <v>5.7110893330062799E-2</v>
      </c>
      <c r="Q2078" s="135">
        <v>6.2575431461735595E-2</v>
      </c>
      <c r="R2078" s="135">
        <v>5.80935496211826E-2</v>
      </c>
      <c r="S2078" s="135">
        <v>5.4524523794811403E-2</v>
      </c>
      <c r="T2078" s="135">
        <v>5.3654928024098901E-2</v>
      </c>
      <c r="U2078" s="135">
        <v>4.8651547271370402E-2</v>
      </c>
      <c r="V2078" s="135">
        <v>4.8437758263377498E-2</v>
      </c>
      <c r="W2078" s="135">
        <v>4.7941556668017402E-2</v>
      </c>
      <c r="X2078" s="135">
        <v>4.6658721534051699E-2</v>
      </c>
      <c r="Y2078" s="135">
        <v>4.70658494655724E-2</v>
      </c>
      <c r="Z2078" s="135">
        <v>4.5920212807112497E-2</v>
      </c>
      <c r="AA2078" s="135">
        <v>4.8865623062725697E-2</v>
      </c>
      <c r="AB2078" s="135">
        <v>5.0090207667482699E-2</v>
      </c>
      <c r="AC2078" s="135">
        <v>4.4638219426981499E-2</v>
      </c>
      <c r="AD2078" s="135">
        <v>4.2418019103301098E-2</v>
      </c>
      <c r="AF2078" s="243">
        <f t="shared" si="41"/>
        <v>0.37387929510459383</v>
      </c>
      <c r="AG2078" s="275">
        <f t="shared" si="42"/>
        <v>0.58165926252330324</v>
      </c>
      <c r="AH2078" s="391">
        <f t="shared" si="43"/>
        <v>0.49992681106090092</v>
      </c>
      <c r="AI2078" s="135">
        <f t="shared" si="44"/>
        <v>1.0815860735842042</v>
      </c>
    </row>
    <row r="2079" spans="1:35" ht="12.6">
      <c r="A2079" s="10" t="s">
        <v>865</v>
      </c>
      <c r="B2079" s="10">
        <v>253</v>
      </c>
      <c r="C2079" s="10" t="s">
        <v>1515</v>
      </c>
      <c r="D2079" s="388">
        <v>45179</v>
      </c>
      <c r="E2079" s="389">
        <v>45179</v>
      </c>
      <c r="F2079" s="390" t="str">
        <f t="shared" si="40"/>
        <v>Whitegoods</v>
      </c>
      <c r="G2079" s="135">
        <v>3.8535262095771503E-2</v>
      </c>
      <c r="H2079" s="135">
        <v>3.5465927679192599E-2</v>
      </c>
      <c r="I2079" s="135">
        <v>3.3125984884627098E-2</v>
      </c>
      <c r="J2079" s="135">
        <v>3.29712181137162E-2</v>
      </c>
      <c r="K2079" s="135">
        <v>3.3144357596896303E-2</v>
      </c>
      <c r="L2079" s="135">
        <v>3.2563494598871298E-2</v>
      </c>
      <c r="M2079" s="135">
        <v>3.5586465002270203E-2</v>
      </c>
      <c r="N2079" s="135">
        <v>3.7260407524796299E-2</v>
      </c>
      <c r="O2079" s="135">
        <v>4.62859145861787E-2</v>
      </c>
      <c r="P2079" s="135">
        <v>5.7110893330062799E-2</v>
      </c>
      <c r="Q2079" s="135">
        <v>6.2575431461735595E-2</v>
      </c>
      <c r="R2079" s="135">
        <v>5.80935496211826E-2</v>
      </c>
      <c r="S2079" s="135">
        <v>5.4524523794811403E-2</v>
      </c>
      <c r="T2079" s="135">
        <v>5.3654928024098901E-2</v>
      </c>
      <c r="U2079" s="135">
        <v>4.8651547271370402E-2</v>
      </c>
      <c r="V2079" s="135">
        <v>4.8437758263377498E-2</v>
      </c>
      <c r="W2079" s="135">
        <v>4.7941556668017402E-2</v>
      </c>
      <c r="X2079" s="135">
        <v>4.6658721534051699E-2</v>
      </c>
      <c r="Y2079" s="135">
        <v>4.70658494655724E-2</v>
      </c>
      <c r="Z2079" s="135">
        <v>4.5920212807112497E-2</v>
      </c>
      <c r="AA2079" s="135">
        <v>4.8865623062725697E-2</v>
      </c>
      <c r="AB2079" s="135">
        <v>5.0090207667482699E-2</v>
      </c>
      <c r="AC2079" s="135">
        <v>4.4638219426981499E-2</v>
      </c>
      <c r="AD2079" s="135">
        <v>4.2418019103301098E-2</v>
      </c>
      <c r="AF2079" s="243">
        <f t="shared" si="41"/>
        <v>0.37387929510459383</v>
      </c>
      <c r="AG2079" s="275">
        <f t="shared" si="42"/>
        <v>0.58165926252330324</v>
      </c>
      <c r="AH2079" s="391">
        <f t="shared" si="43"/>
        <v>0.49992681106090092</v>
      </c>
      <c r="AI2079" s="135">
        <f t="shared" si="44"/>
        <v>1.0815860735842042</v>
      </c>
    </row>
    <row r="2080" spans="1:35" ht="12.6">
      <c r="A2080" s="10" t="s">
        <v>865</v>
      </c>
      <c r="B2080" s="10">
        <v>254</v>
      </c>
      <c r="C2080" s="10" t="s">
        <v>1515</v>
      </c>
      <c r="D2080" s="388">
        <v>45180</v>
      </c>
      <c r="E2080" s="389">
        <v>45180</v>
      </c>
      <c r="F2080" s="390" t="str">
        <f t="shared" si="40"/>
        <v>Whitegoods</v>
      </c>
      <c r="G2080" s="135">
        <v>3.9381167944555602E-2</v>
      </c>
      <c r="H2080" s="135">
        <v>3.4395068080626298E-2</v>
      </c>
      <c r="I2080" s="135">
        <v>3.2797612393347698E-2</v>
      </c>
      <c r="J2080" s="135">
        <v>3.2891604244034998E-2</v>
      </c>
      <c r="K2080" s="135">
        <v>3.2587993038964598E-2</v>
      </c>
      <c r="L2080" s="135">
        <v>3.3250142434698801E-2</v>
      </c>
      <c r="M2080" s="135">
        <v>3.6387108395412399E-2</v>
      </c>
      <c r="N2080" s="135">
        <v>4.40760017692719E-2</v>
      </c>
      <c r="O2080" s="135">
        <v>4.7010779051335098E-2</v>
      </c>
      <c r="P2080" s="135">
        <v>4.4489904261028702E-2</v>
      </c>
      <c r="Q2080" s="135">
        <v>4.1961942195663099E-2</v>
      </c>
      <c r="R2080" s="135">
        <v>3.9925356757035603E-2</v>
      </c>
      <c r="S2080" s="135">
        <v>3.9918343999765502E-2</v>
      </c>
      <c r="T2080" s="135">
        <v>3.9006415466365997E-2</v>
      </c>
      <c r="U2080" s="135">
        <v>4.0018565372155097E-2</v>
      </c>
      <c r="V2080" s="135">
        <v>3.9148664027195003E-2</v>
      </c>
      <c r="W2080" s="135">
        <v>3.8797596733387299E-2</v>
      </c>
      <c r="X2080" s="135">
        <v>3.9955740683471103E-2</v>
      </c>
      <c r="Y2080" s="135">
        <v>4.1822901320133499E-2</v>
      </c>
      <c r="Z2080" s="135">
        <v>4.2866830304389203E-2</v>
      </c>
      <c r="AA2080" s="135">
        <v>4.8267942996821703E-2</v>
      </c>
      <c r="AB2080" s="135">
        <v>4.6335668033314799E-2</v>
      </c>
      <c r="AC2080" s="135">
        <v>4.4583089490291203E-2</v>
      </c>
      <c r="AD2080" s="135">
        <v>4.3936710095159502E-2</v>
      </c>
      <c r="AF2080" s="243">
        <f t="shared" si="41"/>
        <v>0.27877688455156757</v>
      </c>
      <c r="AG2080" s="275">
        <f t="shared" si="42"/>
        <v>0.5271000817159599</v>
      </c>
      <c r="AH2080" s="391">
        <f t="shared" si="43"/>
        <v>0.43671306737246468</v>
      </c>
      <c r="AI2080" s="135">
        <f t="shared" si="44"/>
        <v>0.96381314908842464</v>
      </c>
    </row>
    <row r="2081" spans="1:35" ht="12.6">
      <c r="A2081" s="10" t="s">
        <v>865</v>
      </c>
      <c r="B2081" s="10">
        <v>255</v>
      </c>
      <c r="C2081" s="10" t="s">
        <v>1515</v>
      </c>
      <c r="D2081" s="388">
        <v>45181</v>
      </c>
      <c r="E2081" s="389">
        <v>45181</v>
      </c>
      <c r="F2081" s="390" t="str">
        <f t="shared" si="40"/>
        <v>Whitegoods</v>
      </c>
      <c r="G2081" s="135">
        <v>3.9381167944555602E-2</v>
      </c>
      <c r="H2081" s="135">
        <v>3.4395068080626298E-2</v>
      </c>
      <c r="I2081" s="135">
        <v>3.2797612393347698E-2</v>
      </c>
      <c r="J2081" s="135">
        <v>3.2891604244034998E-2</v>
      </c>
      <c r="K2081" s="135">
        <v>3.2587993038964598E-2</v>
      </c>
      <c r="L2081" s="135">
        <v>3.3250142434698801E-2</v>
      </c>
      <c r="M2081" s="135">
        <v>3.6387108395412399E-2</v>
      </c>
      <c r="N2081" s="135">
        <v>4.40760017692719E-2</v>
      </c>
      <c r="O2081" s="135">
        <v>4.7010779051335098E-2</v>
      </c>
      <c r="P2081" s="135">
        <v>4.4489904261028702E-2</v>
      </c>
      <c r="Q2081" s="135">
        <v>4.1961942195663099E-2</v>
      </c>
      <c r="R2081" s="135">
        <v>3.9925356757035603E-2</v>
      </c>
      <c r="S2081" s="135">
        <v>3.9918343999765502E-2</v>
      </c>
      <c r="T2081" s="135">
        <v>3.9006415466365997E-2</v>
      </c>
      <c r="U2081" s="135">
        <v>4.0018565372155097E-2</v>
      </c>
      <c r="V2081" s="135">
        <v>3.9148664027195003E-2</v>
      </c>
      <c r="W2081" s="135">
        <v>3.8797596733387299E-2</v>
      </c>
      <c r="X2081" s="135">
        <v>3.9955740683471103E-2</v>
      </c>
      <c r="Y2081" s="135">
        <v>4.1822901320133499E-2</v>
      </c>
      <c r="Z2081" s="135">
        <v>4.2866830304389203E-2</v>
      </c>
      <c r="AA2081" s="135">
        <v>4.8267942996821703E-2</v>
      </c>
      <c r="AB2081" s="135">
        <v>4.6335668033314799E-2</v>
      </c>
      <c r="AC2081" s="135">
        <v>4.4583089490291203E-2</v>
      </c>
      <c r="AD2081" s="135">
        <v>4.3936710095159502E-2</v>
      </c>
      <c r="AF2081" s="243">
        <f t="shared" si="41"/>
        <v>0.27877688455156757</v>
      </c>
      <c r="AG2081" s="275">
        <f t="shared" si="42"/>
        <v>0.5271000817159599</v>
      </c>
      <c r="AH2081" s="391">
        <f t="shared" si="43"/>
        <v>0.43671306737246468</v>
      </c>
      <c r="AI2081" s="135">
        <f t="shared" si="44"/>
        <v>0.96381314908842464</v>
      </c>
    </row>
    <row r="2082" spans="1:35" ht="12.6">
      <c r="A2082" s="10" t="s">
        <v>865</v>
      </c>
      <c r="B2082" s="10">
        <v>256</v>
      </c>
      <c r="C2082" s="10" t="s">
        <v>1515</v>
      </c>
      <c r="D2082" s="388">
        <v>45182</v>
      </c>
      <c r="E2082" s="389">
        <v>45182</v>
      </c>
      <c r="F2082" s="390" t="str">
        <f t="shared" si="40"/>
        <v>Whitegoods</v>
      </c>
      <c r="G2082" s="135">
        <v>3.9381167944555602E-2</v>
      </c>
      <c r="H2082" s="135">
        <v>3.4395068080626298E-2</v>
      </c>
      <c r="I2082" s="135">
        <v>3.2797612393347698E-2</v>
      </c>
      <c r="J2082" s="135">
        <v>3.2891604244034998E-2</v>
      </c>
      <c r="K2082" s="135">
        <v>3.2587993038964598E-2</v>
      </c>
      <c r="L2082" s="135">
        <v>3.3250142434698801E-2</v>
      </c>
      <c r="M2082" s="135">
        <v>3.6387108395412399E-2</v>
      </c>
      <c r="N2082" s="135">
        <v>4.40760017692719E-2</v>
      </c>
      <c r="O2082" s="135">
        <v>4.7010779051335098E-2</v>
      </c>
      <c r="P2082" s="135">
        <v>4.4489904261028702E-2</v>
      </c>
      <c r="Q2082" s="135">
        <v>4.1961942195663099E-2</v>
      </c>
      <c r="R2082" s="135">
        <v>3.9925356757035603E-2</v>
      </c>
      <c r="S2082" s="135">
        <v>3.9918343999765502E-2</v>
      </c>
      <c r="T2082" s="135">
        <v>3.9006415466365997E-2</v>
      </c>
      <c r="U2082" s="135">
        <v>4.0018565372155097E-2</v>
      </c>
      <c r="V2082" s="135">
        <v>3.9148664027195003E-2</v>
      </c>
      <c r="W2082" s="135">
        <v>3.8797596733387299E-2</v>
      </c>
      <c r="X2082" s="135">
        <v>3.9955740683471103E-2</v>
      </c>
      <c r="Y2082" s="135">
        <v>4.1822901320133499E-2</v>
      </c>
      <c r="Z2082" s="135">
        <v>4.2866830304389203E-2</v>
      </c>
      <c r="AA2082" s="135">
        <v>4.8267942996821703E-2</v>
      </c>
      <c r="AB2082" s="135">
        <v>4.6335668033314799E-2</v>
      </c>
      <c r="AC2082" s="135">
        <v>4.4583089490291203E-2</v>
      </c>
      <c r="AD2082" s="135">
        <v>4.3936710095159502E-2</v>
      </c>
      <c r="AF2082" s="243">
        <f t="shared" si="41"/>
        <v>0.27877688455156757</v>
      </c>
      <c r="AG2082" s="275">
        <f t="shared" si="42"/>
        <v>0.5271000817159599</v>
      </c>
      <c r="AH2082" s="391">
        <f t="shared" si="43"/>
        <v>0.43671306737246468</v>
      </c>
      <c r="AI2082" s="135">
        <f t="shared" si="44"/>
        <v>0.96381314908842464</v>
      </c>
    </row>
    <row r="2083" spans="1:35" ht="12.6">
      <c r="A2083" s="10" t="s">
        <v>865</v>
      </c>
      <c r="B2083" s="10">
        <v>257</v>
      </c>
      <c r="C2083" s="10" t="s">
        <v>1515</v>
      </c>
      <c r="D2083" s="388">
        <v>45183</v>
      </c>
      <c r="E2083" s="389">
        <v>45183</v>
      </c>
      <c r="F2083" s="390" t="str">
        <f t="shared" si="40"/>
        <v>Whitegoods</v>
      </c>
      <c r="G2083" s="135">
        <v>3.9381167944555602E-2</v>
      </c>
      <c r="H2083" s="135">
        <v>3.4395068080626298E-2</v>
      </c>
      <c r="I2083" s="135">
        <v>3.2797612393347698E-2</v>
      </c>
      <c r="J2083" s="135">
        <v>3.2891604244034998E-2</v>
      </c>
      <c r="K2083" s="135">
        <v>3.2587993038964598E-2</v>
      </c>
      <c r="L2083" s="135">
        <v>3.3250142434698801E-2</v>
      </c>
      <c r="M2083" s="135">
        <v>3.6387108395412399E-2</v>
      </c>
      <c r="N2083" s="135">
        <v>4.40760017692719E-2</v>
      </c>
      <c r="O2083" s="135">
        <v>4.7010779051335098E-2</v>
      </c>
      <c r="P2083" s="135">
        <v>4.4489904261028702E-2</v>
      </c>
      <c r="Q2083" s="135">
        <v>4.1961942195663099E-2</v>
      </c>
      <c r="R2083" s="135">
        <v>3.9925356757035603E-2</v>
      </c>
      <c r="S2083" s="135">
        <v>3.9918343999765502E-2</v>
      </c>
      <c r="T2083" s="135">
        <v>3.9006415466365997E-2</v>
      </c>
      <c r="U2083" s="135">
        <v>4.0018565372155097E-2</v>
      </c>
      <c r="V2083" s="135">
        <v>3.9148664027195003E-2</v>
      </c>
      <c r="W2083" s="135">
        <v>3.8797596733387299E-2</v>
      </c>
      <c r="X2083" s="135">
        <v>3.9955740683471103E-2</v>
      </c>
      <c r="Y2083" s="135">
        <v>4.1822901320133499E-2</v>
      </c>
      <c r="Z2083" s="135">
        <v>4.2866830304389203E-2</v>
      </c>
      <c r="AA2083" s="135">
        <v>4.8267942996821703E-2</v>
      </c>
      <c r="AB2083" s="135">
        <v>4.6335668033314799E-2</v>
      </c>
      <c r="AC2083" s="135">
        <v>4.4583089490291203E-2</v>
      </c>
      <c r="AD2083" s="135">
        <v>4.3936710095159502E-2</v>
      </c>
      <c r="AF2083" s="243">
        <f t="shared" si="41"/>
        <v>0.27877688455156757</v>
      </c>
      <c r="AG2083" s="275">
        <f t="shared" si="42"/>
        <v>0.5271000817159599</v>
      </c>
      <c r="AH2083" s="391">
        <f t="shared" si="43"/>
        <v>0.43671306737246468</v>
      </c>
      <c r="AI2083" s="135">
        <f t="shared" si="44"/>
        <v>0.96381314908842464</v>
      </c>
    </row>
    <row r="2084" spans="1:35" ht="12.6">
      <c r="A2084" s="10" t="s">
        <v>865</v>
      </c>
      <c r="B2084" s="10">
        <v>258</v>
      </c>
      <c r="C2084" s="10" t="s">
        <v>1515</v>
      </c>
      <c r="D2084" s="388">
        <v>45184</v>
      </c>
      <c r="E2084" s="389">
        <v>45184</v>
      </c>
      <c r="F2084" s="390" t="str">
        <f t="shared" si="40"/>
        <v>Whitegoods</v>
      </c>
      <c r="G2084" s="135">
        <v>3.9381167944555602E-2</v>
      </c>
      <c r="H2084" s="135">
        <v>3.4395068080626298E-2</v>
      </c>
      <c r="I2084" s="135">
        <v>3.2797612393347698E-2</v>
      </c>
      <c r="J2084" s="135">
        <v>3.2891604244034998E-2</v>
      </c>
      <c r="K2084" s="135">
        <v>3.2587993038964598E-2</v>
      </c>
      <c r="L2084" s="135">
        <v>3.3250142434698801E-2</v>
      </c>
      <c r="M2084" s="135">
        <v>3.6387108395412399E-2</v>
      </c>
      <c r="N2084" s="135">
        <v>4.40760017692719E-2</v>
      </c>
      <c r="O2084" s="135">
        <v>4.7010779051335098E-2</v>
      </c>
      <c r="P2084" s="135">
        <v>4.4489904261028702E-2</v>
      </c>
      <c r="Q2084" s="135">
        <v>4.1961942195663099E-2</v>
      </c>
      <c r="R2084" s="135">
        <v>3.9925356757035603E-2</v>
      </c>
      <c r="S2084" s="135">
        <v>3.9918343999765502E-2</v>
      </c>
      <c r="T2084" s="135">
        <v>3.9006415466365997E-2</v>
      </c>
      <c r="U2084" s="135">
        <v>4.0018565372155097E-2</v>
      </c>
      <c r="V2084" s="135">
        <v>3.9148664027195003E-2</v>
      </c>
      <c r="W2084" s="135">
        <v>3.8797596733387299E-2</v>
      </c>
      <c r="X2084" s="135">
        <v>3.9955740683471103E-2</v>
      </c>
      <c r="Y2084" s="135">
        <v>4.1822901320133499E-2</v>
      </c>
      <c r="Z2084" s="135">
        <v>4.2866830304389203E-2</v>
      </c>
      <c r="AA2084" s="135">
        <v>4.8267942996821703E-2</v>
      </c>
      <c r="AB2084" s="135">
        <v>4.6335668033314799E-2</v>
      </c>
      <c r="AC2084" s="135">
        <v>4.4583089490291203E-2</v>
      </c>
      <c r="AD2084" s="135">
        <v>4.3936710095159502E-2</v>
      </c>
      <c r="AF2084" s="243">
        <f t="shared" si="41"/>
        <v>0.27877688455156757</v>
      </c>
      <c r="AG2084" s="275">
        <f t="shared" si="42"/>
        <v>0.5271000817159599</v>
      </c>
      <c r="AH2084" s="391">
        <f t="shared" si="43"/>
        <v>0.43671306737246468</v>
      </c>
      <c r="AI2084" s="135">
        <f t="shared" si="44"/>
        <v>0.96381314908842464</v>
      </c>
    </row>
    <row r="2085" spans="1:35" ht="12.6">
      <c r="A2085" s="10" t="s">
        <v>865</v>
      </c>
      <c r="B2085" s="10">
        <v>259</v>
      </c>
      <c r="C2085" s="10" t="s">
        <v>1515</v>
      </c>
      <c r="D2085" s="388">
        <v>45185</v>
      </c>
      <c r="E2085" s="389">
        <v>45185</v>
      </c>
      <c r="F2085" s="390" t="str">
        <f t="shared" si="40"/>
        <v>Whitegoods</v>
      </c>
      <c r="G2085" s="135">
        <v>3.8535262095771503E-2</v>
      </c>
      <c r="H2085" s="135">
        <v>3.5465927679192599E-2</v>
      </c>
      <c r="I2085" s="135">
        <v>3.3125984884627098E-2</v>
      </c>
      <c r="J2085" s="135">
        <v>3.29712181137162E-2</v>
      </c>
      <c r="K2085" s="135">
        <v>3.3144357596896303E-2</v>
      </c>
      <c r="L2085" s="135">
        <v>3.2563494598871298E-2</v>
      </c>
      <c r="M2085" s="135">
        <v>3.5586465002270203E-2</v>
      </c>
      <c r="N2085" s="135">
        <v>3.7260407524796299E-2</v>
      </c>
      <c r="O2085" s="135">
        <v>4.62859145861787E-2</v>
      </c>
      <c r="P2085" s="135">
        <v>5.7110893330062799E-2</v>
      </c>
      <c r="Q2085" s="135">
        <v>6.2575431461735595E-2</v>
      </c>
      <c r="R2085" s="135">
        <v>5.80935496211826E-2</v>
      </c>
      <c r="S2085" s="135">
        <v>5.4524523794811403E-2</v>
      </c>
      <c r="T2085" s="135">
        <v>5.3654928024098901E-2</v>
      </c>
      <c r="U2085" s="135">
        <v>4.8651547271370402E-2</v>
      </c>
      <c r="V2085" s="135">
        <v>4.8437758263377498E-2</v>
      </c>
      <c r="W2085" s="135">
        <v>4.7941556668017402E-2</v>
      </c>
      <c r="X2085" s="135">
        <v>4.6658721534051699E-2</v>
      </c>
      <c r="Y2085" s="135">
        <v>4.70658494655724E-2</v>
      </c>
      <c r="Z2085" s="135">
        <v>4.5920212807112497E-2</v>
      </c>
      <c r="AA2085" s="135">
        <v>4.8865623062725697E-2</v>
      </c>
      <c r="AB2085" s="135">
        <v>5.0090207667482699E-2</v>
      </c>
      <c r="AC2085" s="135">
        <v>4.4638219426981499E-2</v>
      </c>
      <c r="AD2085" s="135">
        <v>4.2418019103301098E-2</v>
      </c>
      <c r="AF2085" s="243">
        <f t="shared" si="41"/>
        <v>0.37387929510459383</v>
      </c>
      <c r="AG2085" s="275">
        <f t="shared" si="42"/>
        <v>0.58165926252330324</v>
      </c>
      <c r="AH2085" s="391">
        <f t="shared" si="43"/>
        <v>0.49992681106090092</v>
      </c>
      <c r="AI2085" s="135">
        <f t="shared" si="44"/>
        <v>1.0815860735842042</v>
      </c>
    </row>
    <row r="2086" spans="1:35" ht="12.6">
      <c r="A2086" s="10" t="s">
        <v>865</v>
      </c>
      <c r="B2086" s="10">
        <v>260</v>
      </c>
      <c r="C2086" s="10" t="s">
        <v>1515</v>
      </c>
      <c r="D2086" s="388">
        <v>45186</v>
      </c>
      <c r="E2086" s="389">
        <v>45186</v>
      </c>
      <c r="F2086" s="390" t="str">
        <f t="shared" si="40"/>
        <v>Whitegoods</v>
      </c>
      <c r="G2086" s="135">
        <v>3.8535262095771503E-2</v>
      </c>
      <c r="H2086" s="135">
        <v>3.5465927679192599E-2</v>
      </c>
      <c r="I2086" s="135">
        <v>3.3125984884627098E-2</v>
      </c>
      <c r="J2086" s="135">
        <v>3.29712181137162E-2</v>
      </c>
      <c r="K2086" s="135">
        <v>3.3144357596896303E-2</v>
      </c>
      <c r="L2086" s="135">
        <v>3.2563494598871298E-2</v>
      </c>
      <c r="M2086" s="135">
        <v>3.5586465002270203E-2</v>
      </c>
      <c r="N2086" s="135">
        <v>3.7260407524796299E-2</v>
      </c>
      <c r="O2086" s="135">
        <v>4.62859145861787E-2</v>
      </c>
      <c r="P2086" s="135">
        <v>5.7110893330062799E-2</v>
      </c>
      <c r="Q2086" s="135">
        <v>6.2575431461735595E-2</v>
      </c>
      <c r="R2086" s="135">
        <v>5.80935496211826E-2</v>
      </c>
      <c r="S2086" s="135">
        <v>5.4524523794811403E-2</v>
      </c>
      <c r="T2086" s="135">
        <v>5.3654928024098901E-2</v>
      </c>
      <c r="U2086" s="135">
        <v>4.8651547271370402E-2</v>
      </c>
      <c r="V2086" s="135">
        <v>4.8437758263377498E-2</v>
      </c>
      <c r="W2086" s="135">
        <v>4.7941556668017402E-2</v>
      </c>
      <c r="X2086" s="135">
        <v>4.6658721534051699E-2</v>
      </c>
      <c r="Y2086" s="135">
        <v>4.70658494655724E-2</v>
      </c>
      <c r="Z2086" s="135">
        <v>4.5920212807112497E-2</v>
      </c>
      <c r="AA2086" s="135">
        <v>4.8865623062725697E-2</v>
      </c>
      <c r="AB2086" s="135">
        <v>5.0090207667482699E-2</v>
      </c>
      <c r="AC2086" s="135">
        <v>4.4638219426981499E-2</v>
      </c>
      <c r="AD2086" s="135">
        <v>4.2418019103301098E-2</v>
      </c>
      <c r="AF2086" s="243">
        <f t="shared" si="41"/>
        <v>0.37387929510459383</v>
      </c>
      <c r="AG2086" s="275">
        <f t="shared" si="42"/>
        <v>0.58165926252330324</v>
      </c>
      <c r="AH2086" s="391">
        <f t="shared" si="43"/>
        <v>0.49992681106090092</v>
      </c>
      <c r="AI2086" s="135">
        <f t="shared" si="44"/>
        <v>1.0815860735842042</v>
      </c>
    </row>
    <row r="2087" spans="1:35" ht="12.6">
      <c r="A2087" s="10" t="s">
        <v>865</v>
      </c>
      <c r="B2087" s="10">
        <v>261</v>
      </c>
      <c r="C2087" s="10" t="s">
        <v>1515</v>
      </c>
      <c r="D2087" s="388">
        <v>45187</v>
      </c>
      <c r="E2087" s="389">
        <v>45187</v>
      </c>
      <c r="F2087" s="390" t="str">
        <f t="shared" si="40"/>
        <v>Whitegoods</v>
      </c>
      <c r="G2087" s="135">
        <v>3.9381167944555602E-2</v>
      </c>
      <c r="H2087" s="135">
        <v>3.4395068080626298E-2</v>
      </c>
      <c r="I2087" s="135">
        <v>3.2797612393347698E-2</v>
      </c>
      <c r="J2087" s="135">
        <v>3.2891604244034998E-2</v>
      </c>
      <c r="K2087" s="135">
        <v>3.2587993038964598E-2</v>
      </c>
      <c r="L2087" s="135">
        <v>3.3250142434698801E-2</v>
      </c>
      <c r="M2087" s="135">
        <v>3.6387108395412399E-2</v>
      </c>
      <c r="N2087" s="135">
        <v>4.40760017692719E-2</v>
      </c>
      <c r="O2087" s="135">
        <v>4.7010779051335098E-2</v>
      </c>
      <c r="P2087" s="135">
        <v>4.4489904261028702E-2</v>
      </c>
      <c r="Q2087" s="135">
        <v>4.1961942195663099E-2</v>
      </c>
      <c r="R2087" s="135">
        <v>3.9925356757035603E-2</v>
      </c>
      <c r="S2087" s="135">
        <v>3.9918343999765502E-2</v>
      </c>
      <c r="T2087" s="135">
        <v>3.9006415466365997E-2</v>
      </c>
      <c r="U2087" s="135">
        <v>4.0018565372155097E-2</v>
      </c>
      <c r="V2087" s="135">
        <v>3.9148664027195003E-2</v>
      </c>
      <c r="W2087" s="135">
        <v>3.8797596733387299E-2</v>
      </c>
      <c r="X2087" s="135">
        <v>3.9955740683471103E-2</v>
      </c>
      <c r="Y2087" s="135">
        <v>4.1822901320133499E-2</v>
      </c>
      <c r="Z2087" s="135">
        <v>4.2866830304389203E-2</v>
      </c>
      <c r="AA2087" s="135">
        <v>4.8267942996821703E-2</v>
      </c>
      <c r="AB2087" s="135">
        <v>4.6335668033314799E-2</v>
      </c>
      <c r="AC2087" s="135">
        <v>4.4583089490291203E-2</v>
      </c>
      <c r="AD2087" s="135">
        <v>4.3936710095159502E-2</v>
      </c>
      <c r="AF2087" s="243">
        <f t="shared" si="41"/>
        <v>0.27877688455156757</v>
      </c>
      <c r="AG2087" s="275">
        <f t="shared" si="42"/>
        <v>0.5271000817159599</v>
      </c>
      <c r="AH2087" s="391">
        <f t="shared" si="43"/>
        <v>0.43671306737246468</v>
      </c>
      <c r="AI2087" s="135">
        <f t="shared" si="44"/>
        <v>0.96381314908842464</v>
      </c>
    </row>
    <row r="2088" spans="1:35" ht="12.6">
      <c r="A2088" s="10" t="s">
        <v>865</v>
      </c>
      <c r="B2088" s="10">
        <v>262</v>
      </c>
      <c r="C2088" s="10" t="s">
        <v>1515</v>
      </c>
      <c r="D2088" s="388">
        <v>45188</v>
      </c>
      <c r="E2088" s="389">
        <v>45188</v>
      </c>
      <c r="F2088" s="390" t="str">
        <f t="shared" si="40"/>
        <v>Whitegoods</v>
      </c>
      <c r="G2088" s="135">
        <v>3.9381167944555602E-2</v>
      </c>
      <c r="H2088" s="135">
        <v>3.4395068080626298E-2</v>
      </c>
      <c r="I2088" s="135">
        <v>3.2797612393347698E-2</v>
      </c>
      <c r="J2088" s="135">
        <v>3.2891604244034998E-2</v>
      </c>
      <c r="K2088" s="135">
        <v>3.2587993038964598E-2</v>
      </c>
      <c r="L2088" s="135">
        <v>3.3250142434698801E-2</v>
      </c>
      <c r="M2088" s="135">
        <v>3.6387108395412399E-2</v>
      </c>
      <c r="N2088" s="135">
        <v>4.40760017692719E-2</v>
      </c>
      <c r="O2088" s="135">
        <v>4.7010779051335098E-2</v>
      </c>
      <c r="P2088" s="135">
        <v>4.4489904261028702E-2</v>
      </c>
      <c r="Q2088" s="135">
        <v>4.1961942195663099E-2</v>
      </c>
      <c r="R2088" s="135">
        <v>3.9925356757035603E-2</v>
      </c>
      <c r="S2088" s="135">
        <v>3.9918343999765502E-2</v>
      </c>
      <c r="T2088" s="135">
        <v>3.9006415466365997E-2</v>
      </c>
      <c r="U2088" s="135">
        <v>4.0018565372155097E-2</v>
      </c>
      <c r="V2088" s="135">
        <v>3.9148664027195003E-2</v>
      </c>
      <c r="W2088" s="135">
        <v>3.8797596733387299E-2</v>
      </c>
      <c r="X2088" s="135">
        <v>3.9955740683471103E-2</v>
      </c>
      <c r="Y2088" s="135">
        <v>4.1822901320133499E-2</v>
      </c>
      <c r="Z2088" s="135">
        <v>4.2866830304389203E-2</v>
      </c>
      <c r="AA2088" s="135">
        <v>4.8267942996821703E-2</v>
      </c>
      <c r="AB2088" s="135">
        <v>4.6335668033314799E-2</v>
      </c>
      <c r="AC2088" s="135">
        <v>4.4583089490291203E-2</v>
      </c>
      <c r="AD2088" s="135">
        <v>4.3936710095159502E-2</v>
      </c>
      <c r="AF2088" s="243">
        <f t="shared" si="41"/>
        <v>0.27877688455156757</v>
      </c>
      <c r="AG2088" s="275">
        <f t="shared" si="42"/>
        <v>0.5271000817159599</v>
      </c>
      <c r="AH2088" s="391">
        <f t="shared" si="43"/>
        <v>0.43671306737246468</v>
      </c>
      <c r="AI2088" s="135">
        <f t="shared" si="44"/>
        <v>0.96381314908842464</v>
      </c>
    </row>
    <row r="2089" spans="1:35" ht="12.6">
      <c r="A2089" s="10" t="s">
        <v>865</v>
      </c>
      <c r="B2089" s="10">
        <v>263</v>
      </c>
      <c r="C2089" s="10" t="s">
        <v>1515</v>
      </c>
      <c r="D2089" s="388">
        <v>45189</v>
      </c>
      <c r="E2089" s="389">
        <v>45189</v>
      </c>
      <c r="F2089" s="390" t="str">
        <f t="shared" si="40"/>
        <v>Whitegoods</v>
      </c>
      <c r="G2089" s="135">
        <v>3.9381167944555602E-2</v>
      </c>
      <c r="H2089" s="135">
        <v>3.4395068080626298E-2</v>
      </c>
      <c r="I2089" s="135">
        <v>3.2797612393347698E-2</v>
      </c>
      <c r="J2089" s="135">
        <v>3.2891604244034998E-2</v>
      </c>
      <c r="K2089" s="135">
        <v>3.2587993038964598E-2</v>
      </c>
      <c r="L2089" s="135">
        <v>3.3250142434698801E-2</v>
      </c>
      <c r="M2089" s="135">
        <v>3.6387108395412399E-2</v>
      </c>
      <c r="N2089" s="135">
        <v>4.40760017692719E-2</v>
      </c>
      <c r="O2089" s="135">
        <v>4.7010779051335098E-2</v>
      </c>
      <c r="P2089" s="135">
        <v>4.4489904261028702E-2</v>
      </c>
      <c r="Q2089" s="135">
        <v>4.1961942195663099E-2</v>
      </c>
      <c r="R2089" s="135">
        <v>3.9925356757035603E-2</v>
      </c>
      <c r="S2089" s="135">
        <v>3.9918343999765502E-2</v>
      </c>
      <c r="T2089" s="135">
        <v>3.9006415466365997E-2</v>
      </c>
      <c r="U2089" s="135">
        <v>4.0018565372155097E-2</v>
      </c>
      <c r="V2089" s="135">
        <v>3.9148664027195003E-2</v>
      </c>
      <c r="W2089" s="135">
        <v>3.8797596733387299E-2</v>
      </c>
      <c r="X2089" s="135">
        <v>3.9955740683471103E-2</v>
      </c>
      <c r="Y2089" s="135">
        <v>4.1822901320133499E-2</v>
      </c>
      <c r="Z2089" s="135">
        <v>4.2866830304389203E-2</v>
      </c>
      <c r="AA2089" s="135">
        <v>4.8267942996821703E-2</v>
      </c>
      <c r="AB2089" s="135">
        <v>4.6335668033314799E-2</v>
      </c>
      <c r="AC2089" s="135">
        <v>4.4583089490291203E-2</v>
      </c>
      <c r="AD2089" s="135">
        <v>4.3936710095159502E-2</v>
      </c>
      <c r="AF2089" s="243">
        <f t="shared" si="41"/>
        <v>0.27877688455156757</v>
      </c>
      <c r="AG2089" s="275">
        <f t="shared" si="42"/>
        <v>0.5271000817159599</v>
      </c>
      <c r="AH2089" s="391">
        <f t="shared" si="43"/>
        <v>0.43671306737246468</v>
      </c>
      <c r="AI2089" s="135">
        <f t="shared" si="44"/>
        <v>0.96381314908842464</v>
      </c>
    </row>
    <row r="2090" spans="1:35" ht="12.6">
      <c r="A2090" s="10" t="s">
        <v>865</v>
      </c>
      <c r="B2090" s="10">
        <v>264</v>
      </c>
      <c r="C2090" s="10" t="s">
        <v>1515</v>
      </c>
      <c r="D2090" s="388">
        <v>45190</v>
      </c>
      <c r="E2090" s="389">
        <v>45190</v>
      </c>
      <c r="F2090" s="390" t="str">
        <f t="shared" si="40"/>
        <v>Whitegoods</v>
      </c>
      <c r="G2090" s="135">
        <v>3.9381167944555602E-2</v>
      </c>
      <c r="H2090" s="135">
        <v>3.4395068080626298E-2</v>
      </c>
      <c r="I2090" s="135">
        <v>3.2797612393347698E-2</v>
      </c>
      <c r="J2090" s="135">
        <v>3.2891604244034998E-2</v>
      </c>
      <c r="K2090" s="135">
        <v>3.2587993038964598E-2</v>
      </c>
      <c r="L2090" s="135">
        <v>3.3250142434698801E-2</v>
      </c>
      <c r="M2090" s="135">
        <v>3.6387108395412399E-2</v>
      </c>
      <c r="N2090" s="135">
        <v>4.40760017692719E-2</v>
      </c>
      <c r="O2090" s="135">
        <v>4.7010779051335098E-2</v>
      </c>
      <c r="P2090" s="135">
        <v>4.4489904261028702E-2</v>
      </c>
      <c r="Q2090" s="135">
        <v>4.1961942195663099E-2</v>
      </c>
      <c r="R2090" s="135">
        <v>3.9925356757035603E-2</v>
      </c>
      <c r="S2090" s="135">
        <v>3.9918343999765502E-2</v>
      </c>
      <c r="T2090" s="135">
        <v>3.9006415466365997E-2</v>
      </c>
      <c r="U2090" s="135">
        <v>4.0018565372155097E-2</v>
      </c>
      <c r="V2090" s="135">
        <v>3.9148664027195003E-2</v>
      </c>
      <c r="W2090" s="135">
        <v>3.8797596733387299E-2</v>
      </c>
      <c r="X2090" s="135">
        <v>3.9955740683471103E-2</v>
      </c>
      <c r="Y2090" s="135">
        <v>4.1822901320133499E-2</v>
      </c>
      <c r="Z2090" s="135">
        <v>4.2866830304389203E-2</v>
      </c>
      <c r="AA2090" s="135">
        <v>4.8267942996821703E-2</v>
      </c>
      <c r="AB2090" s="135">
        <v>4.6335668033314799E-2</v>
      </c>
      <c r="AC2090" s="135">
        <v>4.4583089490291203E-2</v>
      </c>
      <c r="AD2090" s="135">
        <v>4.3936710095159502E-2</v>
      </c>
      <c r="AF2090" s="243">
        <f t="shared" si="41"/>
        <v>0.27877688455156757</v>
      </c>
      <c r="AG2090" s="275">
        <f t="shared" si="42"/>
        <v>0.5271000817159599</v>
      </c>
      <c r="AH2090" s="391">
        <f t="shared" si="43"/>
        <v>0.43671306737246468</v>
      </c>
      <c r="AI2090" s="135">
        <f t="shared" si="44"/>
        <v>0.96381314908842464</v>
      </c>
    </row>
    <row r="2091" spans="1:35" ht="12.6">
      <c r="A2091" s="10" t="s">
        <v>865</v>
      </c>
      <c r="B2091" s="10">
        <v>265</v>
      </c>
      <c r="C2091" s="10" t="s">
        <v>1515</v>
      </c>
      <c r="D2091" s="388">
        <v>45191</v>
      </c>
      <c r="E2091" s="389">
        <v>45191</v>
      </c>
      <c r="F2091" s="390" t="str">
        <f t="shared" si="40"/>
        <v>Whitegoods</v>
      </c>
      <c r="G2091" s="135">
        <v>3.9381167944555602E-2</v>
      </c>
      <c r="H2091" s="135">
        <v>3.4395068080626298E-2</v>
      </c>
      <c r="I2091" s="135">
        <v>3.2797612393347698E-2</v>
      </c>
      <c r="J2091" s="135">
        <v>3.2891604244034998E-2</v>
      </c>
      <c r="K2091" s="135">
        <v>3.2587993038964598E-2</v>
      </c>
      <c r="L2091" s="135">
        <v>3.3250142434698801E-2</v>
      </c>
      <c r="M2091" s="135">
        <v>3.6387108395412399E-2</v>
      </c>
      <c r="N2091" s="135">
        <v>4.40760017692719E-2</v>
      </c>
      <c r="O2091" s="135">
        <v>4.7010779051335098E-2</v>
      </c>
      <c r="P2091" s="135">
        <v>4.4489904261028702E-2</v>
      </c>
      <c r="Q2091" s="135">
        <v>4.1961942195663099E-2</v>
      </c>
      <c r="R2091" s="135">
        <v>3.9925356757035603E-2</v>
      </c>
      <c r="S2091" s="135">
        <v>3.9918343999765502E-2</v>
      </c>
      <c r="T2091" s="135">
        <v>3.9006415466365997E-2</v>
      </c>
      <c r="U2091" s="135">
        <v>4.0018565372155097E-2</v>
      </c>
      <c r="V2091" s="135">
        <v>3.9148664027195003E-2</v>
      </c>
      <c r="W2091" s="135">
        <v>3.8797596733387299E-2</v>
      </c>
      <c r="X2091" s="135">
        <v>3.9955740683471103E-2</v>
      </c>
      <c r="Y2091" s="135">
        <v>4.1822901320133499E-2</v>
      </c>
      <c r="Z2091" s="135">
        <v>4.2866830304389203E-2</v>
      </c>
      <c r="AA2091" s="135">
        <v>4.8267942996821703E-2</v>
      </c>
      <c r="AB2091" s="135">
        <v>4.6335668033314799E-2</v>
      </c>
      <c r="AC2091" s="135">
        <v>4.4583089490291203E-2</v>
      </c>
      <c r="AD2091" s="135">
        <v>4.3936710095159502E-2</v>
      </c>
      <c r="AF2091" s="243">
        <f t="shared" si="41"/>
        <v>0.27877688455156757</v>
      </c>
      <c r="AG2091" s="275">
        <f t="shared" si="42"/>
        <v>0.5271000817159599</v>
      </c>
      <c r="AH2091" s="391">
        <f t="shared" si="43"/>
        <v>0.43671306737246468</v>
      </c>
      <c r="AI2091" s="135">
        <f t="shared" si="44"/>
        <v>0.96381314908842464</v>
      </c>
    </row>
    <row r="2092" spans="1:35" ht="12.6">
      <c r="A2092" s="10" t="s">
        <v>865</v>
      </c>
      <c r="B2092" s="10">
        <v>266</v>
      </c>
      <c r="C2092" s="10" t="s">
        <v>1515</v>
      </c>
      <c r="D2092" s="388">
        <v>45192</v>
      </c>
      <c r="E2092" s="389">
        <v>45192</v>
      </c>
      <c r="F2092" s="390" t="str">
        <f t="shared" si="40"/>
        <v>Whitegoods</v>
      </c>
      <c r="G2092" s="135">
        <v>3.8535262095771503E-2</v>
      </c>
      <c r="H2092" s="135">
        <v>3.5465927679192599E-2</v>
      </c>
      <c r="I2092" s="135">
        <v>3.3125984884627098E-2</v>
      </c>
      <c r="J2092" s="135">
        <v>3.29712181137162E-2</v>
      </c>
      <c r="K2092" s="135">
        <v>3.3144357596896303E-2</v>
      </c>
      <c r="L2092" s="135">
        <v>3.2563494598871298E-2</v>
      </c>
      <c r="M2092" s="135">
        <v>3.5586465002270203E-2</v>
      </c>
      <c r="N2092" s="135">
        <v>3.7260407524796299E-2</v>
      </c>
      <c r="O2092" s="135">
        <v>4.62859145861787E-2</v>
      </c>
      <c r="P2092" s="135">
        <v>5.7110893330062799E-2</v>
      </c>
      <c r="Q2092" s="135">
        <v>6.2575431461735595E-2</v>
      </c>
      <c r="R2092" s="135">
        <v>5.80935496211826E-2</v>
      </c>
      <c r="S2092" s="135">
        <v>5.4524523794811403E-2</v>
      </c>
      <c r="T2092" s="135">
        <v>5.3654928024098901E-2</v>
      </c>
      <c r="U2092" s="135">
        <v>4.8651547271370402E-2</v>
      </c>
      <c r="V2092" s="135">
        <v>4.8437758263377498E-2</v>
      </c>
      <c r="W2092" s="135">
        <v>4.7941556668017402E-2</v>
      </c>
      <c r="X2092" s="135">
        <v>4.6658721534051699E-2</v>
      </c>
      <c r="Y2092" s="135">
        <v>4.70658494655724E-2</v>
      </c>
      <c r="Z2092" s="135">
        <v>4.5920212807112497E-2</v>
      </c>
      <c r="AA2092" s="135">
        <v>4.8865623062725697E-2</v>
      </c>
      <c r="AB2092" s="135">
        <v>5.0090207667482699E-2</v>
      </c>
      <c r="AC2092" s="135">
        <v>4.4638219426981499E-2</v>
      </c>
      <c r="AD2092" s="135">
        <v>4.2418019103301098E-2</v>
      </c>
      <c r="AF2092" s="243">
        <f t="shared" si="41"/>
        <v>0.37387929510459383</v>
      </c>
      <c r="AG2092" s="275">
        <f t="shared" si="42"/>
        <v>0.58165926252330324</v>
      </c>
      <c r="AH2092" s="391">
        <f t="shared" si="43"/>
        <v>0.49992681106090092</v>
      </c>
      <c r="AI2092" s="135">
        <f t="shared" si="44"/>
        <v>1.0815860735842042</v>
      </c>
    </row>
    <row r="2093" spans="1:35" ht="12.6">
      <c r="A2093" s="10" t="s">
        <v>865</v>
      </c>
      <c r="B2093" s="10">
        <v>267</v>
      </c>
      <c r="C2093" s="10" t="s">
        <v>1515</v>
      </c>
      <c r="D2093" s="388">
        <v>45193</v>
      </c>
      <c r="E2093" s="389">
        <v>45193</v>
      </c>
      <c r="F2093" s="390" t="str">
        <f t="shared" si="40"/>
        <v>Whitegoods</v>
      </c>
      <c r="G2093" s="135">
        <v>3.8535262095771503E-2</v>
      </c>
      <c r="H2093" s="135">
        <v>3.5465927679192599E-2</v>
      </c>
      <c r="I2093" s="135">
        <v>3.3125984884627098E-2</v>
      </c>
      <c r="J2093" s="135">
        <v>3.29712181137162E-2</v>
      </c>
      <c r="K2093" s="135">
        <v>3.3144357596896303E-2</v>
      </c>
      <c r="L2093" s="135">
        <v>3.2563494598871298E-2</v>
      </c>
      <c r="M2093" s="135">
        <v>3.5586465002270203E-2</v>
      </c>
      <c r="N2093" s="135">
        <v>3.7260407524796299E-2</v>
      </c>
      <c r="O2093" s="135">
        <v>4.62859145861787E-2</v>
      </c>
      <c r="P2093" s="135">
        <v>5.7110893330062799E-2</v>
      </c>
      <c r="Q2093" s="135">
        <v>6.2575431461735595E-2</v>
      </c>
      <c r="R2093" s="135">
        <v>5.80935496211826E-2</v>
      </c>
      <c r="S2093" s="135">
        <v>5.4524523794811403E-2</v>
      </c>
      <c r="T2093" s="135">
        <v>5.3654928024098901E-2</v>
      </c>
      <c r="U2093" s="135">
        <v>4.8651547271370402E-2</v>
      </c>
      <c r="V2093" s="135">
        <v>4.8437758263377498E-2</v>
      </c>
      <c r="W2093" s="135">
        <v>4.7941556668017402E-2</v>
      </c>
      <c r="X2093" s="135">
        <v>4.6658721534051699E-2</v>
      </c>
      <c r="Y2093" s="135">
        <v>4.70658494655724E-2</v>
      </c>
      <c r="Z2093" s="135">
        <v>4.5920212807112497E-2</v>
      </c>
      <c r="AA2093" s="135">
        <v>4.8865623062725697E-2</v>
      </c>
      <c r="AB2093" s="135">
        <v>5.0090207667482699E-2</v>
      </c>
      <c r="AC2093" s="135">
        <v>4.4638219426981499E-2</v>
      </c>
      <c r="AD2093" s="135">
        <v>4.2418019103301098E-2</v>
      </c>
      <c r="AF2093" s="243">
        <f t="shared" si="41"/>
        <v>0.37387929510459383</v>
      </c>
      <c r="AG2093" s="275">
        <f t="shared" si="42"/>
        <v>0.58165926252330324</v>
      </c>
      <c r="AH2093" s="391">
        <f t="shared" si="43"/>
        <v>0.49992681106090092</v>
      </c>
      <c r="AI2093" s="135">
        <f t="shared" si="44"/>
        <v>1.0815860735842042</v>
      </c>
    </row>
    <row r="2094" spans="1:35" ht="12.6">
      <c r="A2094" s="10" t="s">
        <v>865</v>
      </c>
      <c r="B2094" s="10">
        <v>268</v>
      </c>
      <c r="C2094" s="10" t="s">
        <v>1515</v>
      </c>
      <c r="D2094" s="388">
        <v>45194</v>
      </c>
      <c r="E2094" s="389">
        <v>45194</v>
      </c>
      <c r="F2094" s="390" t="str">
        <f t="shared" si="40"/>
        <v>Whitegoods</v>
      </c>
      <c r="G2094" s="135">
        <v>3.9381167944555602E-2</v>
      </c>
      <c r="H2094" s="135">
        <v>3.4395068080626298E-2</v>
      </c>
      <c r="I2094" s="135">
        <v>3.2797612393347698E-2</v>
      </c>
      <c r="J2094" s="135">
        <v>3.2891604244034998E-2</v>
      </c>
      <c r="K2094" s="135">
        <v>3.2587993038964598E-2</v>
      </c>
      <c r="L2094" s="135">
        <v>3.3250142434698801E-2</v>
      </c>
      <c r="M2094" s="135">
        <v>3.6387108395412399E-2</v>
      </c>
      <c r="N2094" s="135">
        <v>4.40760017692719E-2</v>
      </c>
      <c r="O2094" s="135">
        <v>4.7010779051335098E-2</v>
      </c>
      <c r="P2094" s="135">
        <v>4.4489904261028702E-2</v>
      </c>
      <c r="Q2094" s="135">
        <v>4.1961942195663099E-2</v>
      </c>
      <c r="R2094" s="135">
        <v>3.9925356757035603E-2</v>
      </c>
      <c r="S2094" s="135">
        <v>3.9918343999765502E-2</v>
      </c>
      <c r="T2094" s="135">
        <v>3.9006415466365997E-2</v>
      </c>
      <c r="U2094" s="135">
        <v>4.0018565372155097E-2</v>
      </c>
      <c r="V2094" s="135">
        <v>3.9148664027195003E-2</v>
      </c>
      <c r="W2094" s="135">
        <v>3.8797596733387299E-2</v>
      </c>
      <c r="X2094" s="135">
        <v>3.9955740683471103E-2</v>
      </c>
      <c r="Y2094" s="135">
        <v>4.1822901320133499E-2</v>
      </c>
      <c r="Z2094" s="135">
        <v>4.2866830304389203E-2</v>
      </c>
      <c r="AA2094" s="135">
        <v>4.8267942996821703E-2</v>
      </c>
      <c r="AB2094" s="135">
        <v>4.6335668033314799E-2</v>
      </c>
      <c r="AC2094" s="135">
        <v>4.4583089490291203E-2</v>
      </c>
      <c r="AD2094" s="135">
        <v>4.3936710095159502E-2</v>
      </c>
      <c r="AF2094" s="243">
        <f t="shared" si="41"/>
        <v>0.27877688455156757</v>
      </c>
      <c r="AG2094" s="275">
        <f t="shared" si="42"/>
        <v>0.5271000817159599</v>
      </c>
      <c r="AH2094" s="391">
        <f t="shared" si="43"/>
        <v>0.43671306737246468</v>
      </c>
      <c r="AI2094" s="135">
        <f t="shared" si="44"/>
        <v>0.96381314908842464</v>
      </c>
    </row>
    <row r="2095" spans="1:35" ht="12.6">
      <c r="A2095" s="10" t="s">
        <v>865</v>
      </c>
      <c r="B2095" s="10">
        <v>269</v>
      </c>
      <c r="C2095" s="10" t="s">
        <v>1515</v>
      </c>
      <c r="D2095" s="388">
        <v>45195</v>
      </c>
      <c r="E2095" s="389">
        <v>45195</v>
      </c>
      <c r="F2095" s="390" t="str">
        <f t="shared" si="40"/>
        <v>Whitegoods</v>
      </c>
      <c r="G2095" s="135">
        <v>3.9381167944555602E-2</v>
      </c>
      <c r="H2095" s="135">
        <v>3.4395068080626298E-2</v>
      </c>
      <c r="I2095" s="135">
        <v>3.2797612393347698E-2</v>
      </c>
      <c r="J2095" s="135">
        <v>3.2891604244034998E-2</v>
      </c>
      <c r="K2095" s="135">
        <v>3.2587993038964598E-2</v>
      </c>
      <c r="L2095" s="135">
        <v>3.3250142434698801E-2</v>
      </c>
      <c r="M2095" s="135">
        <v>3.6387108395412399E-2</v>
      </c>
      <c r="N2095" s="135">
        <v>4.40760017692719E-2</v>
      </c>
      <c r="O2095" s="135">
        <v>4.7010779051335098E-2</v>
      </c>
      <c r="P2095" s="135">
        <v>4.4489904261028702E-2</v>
      </c>
      <c r="Q2095" s="135">
        <v>4.1961942195663099E-2</v>
      </c>
      <c r="R2095" s="135">
        <v>3.9925356757035603E-2</v>
      </c>
      <c r="S2095" s="135">
        <v>3.9918343999765502E-2</v>
      </c>
      <c r="T2095" s="135">
        <v>3.9006415466365997E-2</v>
      </c>
      <c r="U2095" s="135">
        <v>4.0018565372155097E-2</v>
      </c>
      <c r="V2095" s="135">
        <v>3.9148664027195003E-2</v>
      </c>
      <c r="W2095" s="135">
        <v>3.8797596733387299E-2</v>
      </c>
      <c r="X2095" s="135">
        <v>3.9955740683471103E-2</v>
      </c>
      <c r="Y2095" s="135">
        <v>4.1822901320133499E-2</v>
      </c>
      <c r="Z2095" s="135">
        <v>4.2866830304389203E-2</v>
      </c>
      <c r="AA2095" s="135">
        <v>4.8267942996821703E-2</v>
      </c>
      <c r="AB2095" s="135">
        <v>4.6335668033314799E-2</v>
      </c>
      <c r="AC2095" s="135">
        <v>4.4583089490291203E-2</v>
      </c>
      <c r="AD2095" s="135">
        <v>4.3936710095159502E-2</v>
      </c>
      <c r="AF2095" s="243">
        <f t="shared" si="41"/>
        <v>0.27877688455156757</v>
      </c>
      <c r="AG2095" s="275">
        <f t="shared" si="42"/>
        <v>0.5271000817159599</v>
      </c>
      <c r="AH2095" s="391">
        <f t="shared" si="43"/>
        <v>0.43671306737246468</v>
      </c>
      <c r="AI2095" s="135">
        <f t="shared" si="44"/>
        <v>0.96381314908842464</v>
      </c>
    </row>
    <row r="2096" spans="1:35" ht="12.6">
      <c r="A2096" s="10" t="s">
        <v>865</v>
      </c>
      <c r="B2096" s="10">
        <v>270</v>
      </c>
      <c r="C2096" s="10" t="s">
        <v>1515</v>
      </c>
      <c r="D2096" s="388">
        <v>45196</v>
      </c>
      <c r="E2096" s="389">
        <v>45196</v>
      </c>
      <c r="F2096" s="390" t="str">
        <f t="shared" si="40"/>
        <v>Whitegoods</v>
      </c>
      <c r="G2096" s="135">
        <v>3.9381167944555602E-2</v>
      </c>
      <c r="H2096" s="135">
        <v>3.4395068080626298E-2</v>
      </c>
      <c r="I2096" s="135">
        <v>3.2797612393347698E-2</v>
      </c>
      <c r="J2096" s="135">
        <v>3.2891604244034998E-2</v>
      </c>
      <c r="K2096" s="135">
        <v>3.2587993038964598E-2</v>
      </c>
      <c r="L2096" s="135">
        <v>3.3250142434698801E-2</v>
      </c>
      <c r="M2096" s="135">
        <v>3.6387108395412399E-2</v>
      </c>
      <c r="N2096" s="135">
        <v>4.40760017692719E-2</v>
      </c>
      <c r="O2096" s="135">
        <v>4.7010779051335098E-2</v>
      </c>
      <c r="P2096" s="135">
        <v>4.4489904261028702E-2</v>
      </c>
      <c r="Q2096" s="135">
        <v>4.1961942195663099E-2</v>
      </c>
      <c r="R2096" s="135">
        <v>3.9925356757035603E-2</v>
      </c>
      <c r="S2096" s="135">
        <v>3.9918343999765502E-2</v>
      </c>
      <c r="T2096" s="135">
        <v>3.9006415466365997E-2</v>
      </c>
      <c r="U2096" s="135">
        <v>4.0018565372155097E-2</v>
      </c>
      <c r="V2096" s="135">
        <v>3.9148664027195003E-2</v>
      </c>
      <c r="W2096" s="135">
        <v>3.8797596733387299E-2</v>
      </c>
      <c r="X2096" s="135">
        <v>3.9955740683471103E-2</v>
      </c>
      <c r="Y2096" s="135">
        <v>4.1822901320133499E-2</v>
      </c>
      <c r="Z2096" s="135">
        <v>4.2866830304389203E-2</v>
      </c>
      <c r="AA2096" s="135">
        <v>4.8267942996821703E-2</v>
      </c>
      <c r="AB2096" s="135">
        <v>4.6335668033314799E-2</v>
      </c>
      <c r="AC2096" s="135">
        <v>4.4583089490291203E-2</v>
      </c>
      <c r="AD2096" s="135">
        <v>4.3936710095159502E-2</v>
      </c>
      <c r="AF2096" s="243">
        <f t="shared" si="41"/>
        <v>0.27877688455156757</v>
      </c>
      <c r="AG2096" s="275">
        <f t="shared" si="42"/>
        <v>0.5271000817159599</v>
      </c>
      <c r="AH2096" s="391">
        <f t="shared" si="43"/>
        <v>0.43671306737246468</v>
      </c>
      <c r="AI2096" s="135">
        <f t="shared" si="44"/>
        <v>0.96381314908842464</v>
      </c>
    </row>
    <row r="2097" spans="1:35" ht="12.6">
      <c r="A2097" s="10" t="s">
        <v>865</v>
      </c>
      <c r="B2097" s="10">
        <v>271</v>
      </c>
      <c r="C2097" s="10" t="s">
        <v>1515</v>
      </c>
      <c r="D2097" s="388">
        <v>45197</v>
      </c>
      <c r="E2097" s="389">
        <v>45197</v>
      </c>
      <c r="F2097" s="390" t="str">
        <f t="shared" si="40"/>
        <v>Whitegoods</v>
      </c>
      <c r="G2097" s="135">
        <v>3.9381167944555602E-2</v>
      </c>
      <c r="H2097" s="135">
        <v>3.4395068080626298E-2</v>
      </c>
      <c r="I2097" s="135">
        <v>3.2797612393347698E-2</v>
      </c>
      <c r="J2097" s="135">
        <v>3.2891604244034998E-2</v>
      </c>
      <c r="K2097" s="135">
        <v>3.2587993038964598E-2</v>
      </c>
      <c r="L2097" s="135">
        <v>3.3250142434698801E-2</v>
      </c>
      <c r="M2097" s="135">
        <v>3.6387108395412399E-2</v>
      </c>
      <c r="N2097" s="135">
        <v>4.40760017692719E-2</v>
      </c>
      <c r="O2097" s="135">
        <v>4.7010779051335098E-2</v>
      </c>
      <c r="P2097" s="135">
        <v>4.4489904261028702E-2</v>
      </c>
      <c r="Q2097" s="135">
        <v>4.1961942195663099E-2</v>
      </c>
      <c r="R2097" s="135">
        <v>3.9925356757035603E-2</v>
      </c>
      <c r="S2097" s="135">
        <v>3.9918343999765502E-2</v>
      </c>
      <c r="T2097" s="135">
        <v>3.9006415466365997E-2</v>
      </c>
      <c r="U2097" s="135">
        <v>4.0018565372155097E-2</v>
      </c>
      <c r="V2097" s="135">
        <v>3.9148664027195003E-2</v>
      </c>
      <c r="W2097" s="135">
        <v>3.8797596733387299E-2</v>
      </c>
      <c r="X2097" s="135">
        <v>3.9955740683471103E-2</v>
      </c>
      <c r="Y2097" s="135">
        <v>4.1822901320133499E-2</v>
      </c>
      <c r="Z2097" s="135">
        <v>4.2866830304389203E-2</v>
      </c>
      <c r="AA2097" s="135">
        <v>4.8267942996821703E-2</v>
      </c>
      <c r="AB2097" s="135">
        <v>4.6335668033314799E-2</v>
      </c>
      <c r="AC2097" s="135">
        <v>4.4583089490291203E-2</v>
      </c>
      <c r="AD2097" s="135">
        <v>4.3936710095159502E-2</v>
      </c>
      <c r="AF2097" s="243">
        <f t="shared" si="41"/>
        <v>0.27877688455156757</v>
      </c>
      <c r="AG2097" s="275">
        <f t="shared" si="42"/>
        <v>0.5271000817159599</v>
      </c>
      <c r="AH2097" s="391">
        <f t="shared" si="43"/>
        <v>0.43671306737246468</v>
      </c>
      <c r="AI2097" s="135">
        <f t="shared" si="44"/>
        <v>0.96381314908842464</v>
      </c>
    </row>
    <row r="2098" spans="1:35" ht="12.6">
      <c r="A2098" s="10" t="s">
        <v>865</v>
      </c>
      <c r="B2098" s="10">
        <v>272</v>
      </c>
      <c r="C2098" s="10" t="s">
        <v>1515</v>
      </c>
      <c r="D2098" s="388">
        <v>45198</v>
      </c>
      <c r="E2098" s="389">
        <v>45198</v>
      </c>
      <c r="F2098" s="390" t="str">
        <f t="shared" si="40"/>
        <v>Whitegoods</v>
      </c>
      <c r="G2098" s="135">
        <v>3.9381167944555602E-2</v>
      </c>
      <c r="H2098" s="135">
        <v>3.4395068080626298E-2</v>
      </c>
      <c r="I2098" s="135">
        <v>3.2797612393347698E-2</v>
      </c>
      <c r="J2098" s="135">
        <v>3.2891604244034998E-2</v>
      </c>
      <c r="K2098" s="135">
        <v>3.2587993038964598E-2</v>
      </c>
      <c r="L2098" s="135">
        <v>3.3250142434698801E-2</v>
      </c>
      <c r="M2098" s="135">
        <v>3.6387108395412399E-2</v>
      </c>
      <c r="N2098" s="135">
        <v>4.40760017692719E-2</v>
      </c>
      <c r="O2098" s="135">
        <v>4.7010779051335098E-2</v>
      </c>
      <c r="P2098" s="135">
        <v>4.4489904261028702E-2</v>
      </c>
      <c r="Q2098" s="135">
        <v>4.1961942195663099E-2</v>
      </c>
      <c r="R2098" s="135">
        <v>3.9925356757035603E-2</v>
      </c>
      <c r="S2098" s="135">
        <v>3.9918343999765502E-2</v>
      </c>
      <c r="T2098" s="135">
        <v>3.9006415466365997E-2</v>
      </c>
      <c r="U2098" s="135">
        <v>4.0018565372155097E-2</v>
      </c>
      <c r="V2098" s="135">
        <v>3.9148664027195003E-2</v>
      </c>
      <c r="W2098" s="135">
        <v>3.8797596733387299E-2</v>
      </c>
      <c r="X2098" s="135">
        <v>3.9955740683471103E-2</v>
      </c>
      <c r="Y2098" s="135">
        <v>4.1822901320133499E-2</v>
      </c>
      <c r="Z2098" s="135">
        <v>4.2866830304389203E-2</v>
      </c>
      <c r="AA2098" s="135">
        <v>4.8267942996821703E-2</v>
      </c>
      <c r="AB2098" s="135">
        <v>4.6335668033314799E-2</v>
      </c>
      <c r="AC2098" s="135">
        <v>4.4583089490291203E-2</v>
      </c>
      <c r="AD2098" s="135">
        <v>4.3936710095159502E-2</v>
      </c>
      <c r="AF2098" s="243">
        <f t="shared" si="41"/>
        <v>0.27877688455156757</v>
      </c>
      <c r="AG2098" s="275">
        <f t="shared" si="42"/>
        <v>0.5271000817159599</v>
      </c>
      <c r="AH2098" s="391">
        <f t="shared" si="43"/>
        <v>0.43671306737246468</v>
      </c>
      <c r="AI2098" s="135">
        <f t="shared" si="44"/>
        <v>0.96381314908842464</v>
      </c>
    </row>
    <row r="2099" spans="1:35" ht="12.6">
      <c r="A2099" s="10" t="s">
        <v>865</v>
      </c>
      <c r="B2099" s="10">
        <v>273</v>
      </c>
      <c r="C2099" s="10" t="s">
        <v>1515</v>
      </c>
      <c r="D2099" s="388">
        <v>45199</v>
      </c>
      <c r="E2099" s="389">
        <v>45199</v>
      </c>
      <c r="F2099" s="390" t="str">
        <f t="shared" si="40"/>
        <v>Whitegoods</v>
      </c>
      <c r="G2099" s="135">
        <v>3.8535262095771503E-2</v>
      </c>
      <c r="H2099" s="135">
        <v>3.5465927679192599E-2</v>
      </c>
      <c r="I2099" s="135">
        <v>3.3125984884627098E-2</v>
      </c>
      <c r="J2099" s="135">
        <v>3.29712181137162E-2</v>
      </c>
      <c r="K2099" s="135">
        <v>3.3144357596896303E-2</v>
      </c>
      <c r="L2099" s="135">
        <v>3.2563494598871298E-2</v>
      </c>
      <c r="M2099" s="135">
        <v>3.5586465002270203E-2</v>
      </c>
      <c r="N2099" s="135">
        <v>3.7260407524796299E-2</v>
      </c>
      <c r="O2099" s="135">
        <v>4.62859145861787E-2</v>
      </c>
      <c r="P2099" s="135">
        <v>5.7110893330062799E-2</v>
      </c>
      <c r="Q2099" s="135">
        <v>6.2575431461735595E-2</v>
      </c>
      <c r="R2099" s="135">
        <v>5.80935496211826E-2</v>
      </c>
      <c r="S2099" s="135">
        <v>5.4524523794811403E-2</v>
      </c>
      <c r="T2099" s="135">
        <v>5.3654928024098901E-2</v>
      </c>
      <c r="U2099" s="135">
        <v>4.8651547271370402E-2</v>
      </c>
      <c r="V2099" s="135">
        <v>4.8437758263377498E-2</v>
      </c>
      <c r="W2099" s="135">
        <v>4.7941556668017402E-2</v>
      </c>
      <c r="X2099" s="135">
        <v>4.6658721534051699E-2</v>
      </c>
      <c r="Y2099" s="135">
        <v>4.70658494655724E-2</v>
      </c>
      <c r="Z2099" s="135">
        <v>4.5920212807112497E-2</v>
      </c>
      <c r="AA2099" s="135">
        <v>4.8865623062725697E-2</v>
      </c>
      <c r="AB2099" s="135">
        <v>5.0090207667482699E-2</v>
      </c>
      <c r="AC2099" s="135">
        <v>4.4638219426981499E-2</v>
      </c>
      <c r="AD2099" s="135">
        <v>4.2418019103301098E-2</v>
      </c>
      <c r="AF2099" s="243">
        <f t="shared" si="41"/>
        <v>0.37387929510459383</v>
      </c>
      <c r="AG2099" s="275">
        <f t="shared" si="42"/>
        <v>0.58165926252330324</v>
      </c>
      <c r="AH2099" s="391">
        <f t="shared" si="43"/>
        <v>0.49992681106090092</v>
      </c>
      <c r="AI2099" s="135">
        <f t="shared" si="44"/>
        <v>1.0815860735842042</v>
      </c>
    </row>
    <row r="2100" spans="1:35" ht="12.6">
      <c r="A2100" s="10" t="s">
        <v>865</v>
      </c>
      <c r="B2100" s="10">
        <v>274</v>
      </c>
      <c r="C2100" s="10" t="s">
        <v>1515</v>
      </c>
      <c r="D2100" s="388">
        <v>45200</v>
      </c>
      <c r="E2100" s="389">
        <v>45200</v>
      </c>
      <c r="F2100" s="390" t="str">
        <f t="shared" si="40"/>
        <v>Whitegoods</v>
      </c>
      <c r="G2100" s="135">
        <v>3.8535262095771503E-2</v>
      </c>
      <c r="H2100" s="135">
        <v>3.5465927679192599E-2</v>
      </c>
      <c r="I2100" s="135">
        <v>3.3125984884627098E-2</v>
      </c>
      <c r="J2100" s="135">
        <v>3.29712181137162E-2</v>
      </c>
      <c r="K2100" s="135">
        <v>3.3144357596896303E-2</v>
      </c>
      <c r="L2100" s="135">
        <v>3.2563494598871298E-2</v>
      </c>
      <c r="M2100" s="135">
        <v>3.5586465002270203E-2</v>
      </c>
      <c r="N2100" s="135">
        <v>3.7260407524796299E-2</v>
      </c>
      <c r="O2100" s="135">
        <v>4.62859145861787E-2</v>
      </c>
      <c r="P2100" s="135">
        <v>5.7110893330062799E-2</v>
      </c>
      <c r="Q2100" s="135">
        <v>6.2575431461735595E-2</v>
      </c>
      <c r="R2100" s="135">
        <v>5.80935496211826E-2</v>
      </c>
      <c r="S2100" s="135">
        <v>5.4524523794811403E-2</v>
      </c>
      <c r="T2100" s="135">
        <v>5.3654928024098901E-2</v>
      </c>
      <c r="U2100" s="135">
        <v>4.8651547271370402E-2</v>
      </c>
      <c r="V2100" s="135">
        <v>4.8437758263377498E-2</v>
      </c>
      <c r="W2100" s="135">
        <v>4.7941556668017402E-2</v>
      </c>
      <c r="X2100" s="135">
        <v>4.6658721534051699E-2</v>
      </c>
      <c r="Y2100" s="135">
        <v>4.70658494655724E-2</v>
      </c>
      <c r="Z2100" s="135">
        <v>4.5920212807112497E-2</v>
      </c>
      <c r="AA2100" s="135">
        <v>4.8865623062725697E-2</v>
      </c>
      <c r="AB2100" s="135">
        <v>5.0090207667482699E-2</v>
      </c>
      <c r="AC2100" s="135">
        <v>4.4638219426981499E-2</v>
      </c>
      <c r="AD2100" s="135">
        <v>4.2418019103301098E-2</v>
      </c>
      <c r="AF2100" s="243">
        <f t="shared" si="41"/>
        <v>0.37387929510459383</v>
      </c>
      <c r="AG2100" s="275">
        <f t="shared" si="42"/>
        <v>0.58165926252330324</v>
      </c>
      <c r="AH2100" s="391">
        <f t="shared" si="43"/>
        <v>0.49992681106090092</v>
      </c>
      <c r="AI2100" s="135">
        <f t="shared" si="44"/>
        <v>1.0815860735842042</v>
      </c>
    </row>
    <row r="2101" spans="1:35" ht="12.6">
      <c r="A2101" s="10" t="s">
        <v>865</v>
      </c>
      <c r="B2101" s="10">
        <v>275</v>
      </c>
      <c r="C2101" s="10" t="s">
        <v>1515</v>
      </c>
      <c r="D2101" s="388">
        <v>45201</v>
      </c>
      <c r="E2101" s="389">
        <v>45201</v>
      </c>
      <c r="F2101" s="390" t="str">
        <f t="shared" si="40"/>
        <v>Whitegoods</v>
      </c>
      <c r="G2101" s="135">
        <v>3.9381167944555602E-2</v>
      </c>
      <c r="H2101" s="135">
        <v>3.4395068080626298E-2</v>
      </c>
      <c r="I2101" s="135">
        <v>3.2797612393347698E-2</v>
      </c>
      <c r="J2101" s="135">
        <v>3.2891604244034998E-2</v>
      </c>
      <c r="K2101" s="135">
        <v>3.2587993038964598E-2</v>
      </c>
      <c r="L2101" s="135">
        <v>3.3250142434698801E-2</v>
      </c>
      <c r="M2101" s="135">
        <v>3.6387108395412399E-2</v>
      </c>
      <c r="N2101" s="135">
        <v>4.40760017692719E-2</v>
      </c>
      <c r="O2101" s="135">
        <v>4.7010779051335098E-2</v>
      </c>
      <c r="P2101" s="135">
        <v>4.4489904261028702E-2</v>
      </c>
      <c r="Q2101" s="135">
        <v>4.1961942195663099E-2</v>
      </c>
      <c r="R2101" s="135">
        <v>3.9925356757035603E-2</v>
      </c>
      <c r="S2101" s="135">
        <v>3.9918343999765502E-2</v>
      </c>
      <c r="T2101" s="135">
        <v>3.9006415466365997E-2</v>
      </c>
      <c r="U2101" s="135">
        <v>4.0018565372155097E-2</v>
      </c>
      <c r="V2101" s="135">
        <v>3.9148664027195003E-2</v>
      </c>
      <c r="W2101" s="135">
        <v>3.8797596733387299E-2</v>
      </c>
      <c r="X2101" s="135">
        <v>3.9955740683471103E-2</v>
      </c>
      <c r="Y2101" s="135">
        <v>4.1822901320133499E-2</v>
      </c>
      <c r="Z2101" s="135">
        <v>4.2866830304389203E-2</v>
      </c>
      <c r="AA2101" s="135">
        <v>4.8267942996821703E-2</v>
      </c>
      <c r="AB2101" s="135">
        <v>4.6335668033314799E-2</v>
      </c>
      <c r="AC2101" s="135">
        <v>4.4583089490291203E-2</v>
      </c>
      <c r="AD2101" s="135">
        <v>4.3936710095159502E-2</v>
      </c>
      <c r="AF2101" s="243">
        <f t="shared" si="41"/>
        <v>0.27877688455156757</v>
      </c>
      <c r="AG2101" s="275">
        <f t="shared" si="42"/>
        <v>0.5271000817159599</v>
      </c>
      <c r="AH2101" s="391">
        <f t="shared" si="43"/>
        <v>0.43671306737246468</v>
      </c>
      <c r="AI2101" s="135">
        <f t="shared" si="44"/>
        <v>0.96381314908842464</v>
      </c>
    </row>
    <row r="2102" spans="1:35" ht="12.6">
      <c r="A2102" s="10" t="s">
        <v>865</v>
      </c>
      <c r="B2102" s="10">
        <v>276</v>
      </c>
      <c r="C2102" s="10" t="s">
        <v>1515</v>
      </c>
      <c r="D2102" s="388">
        <v>45202</v>
      </c>
      <c r="E2102" s="389">
        <v>45202</v>
      </c>
      <c r="F2102" s="390" t="str">
        <f t="shared" si="40"/>
        <v>Whitegoods</v>
      </c>
      <c r="G2102" s="135">
        <v>3.9381167944555602E-2</v>
      </c>
      <c r="H2102" s="135">
        <v>3.4395068080626298E-2</v>
      </c>
      <c r="I2102" s="135">
        <v>3.2797612393347698E-2</v>
      </c>
      <c r="J2102" s="135">
        <v>3.2891604244034998E-2</v>
      </c>
      <c r="K2102" s="135">
        <v>3.2587993038964598E-2</v>
      </c>
      <c r="L2102" s="135">
        <v>3.3250142434698801E-2</v>
      </c>
      <c r="M2102" s="135">
        <v>3.6387108395412399E-2</v>
      </c>
      <c r="N2102" s="135">
        <v>4.40760017692719E-2</v>
      </c>
      <c r="O2102" s="135">
        <v>4.7010779051335098E-2</v>
      </c>
      <c r="P2102" s="135">
        <v>4.4489904261028702E-2</v>
      </c>
      <c r="Q2102" s="135">
        <v>4.1961942195663099E-2</v>
      </c>
      <c r="R2102" s="135">
        <v>3.9925356757035603E-2</v>
      </c>
      <c r="S2102" s="135">
        <v>3.9918343999765502E-2</v>
      </c>
      <c r="T2102" s="135">
        <v>3.9006415466365997E-2</v>
      </c>
      <c r="U2102" s="135">
        <v>4.0018565372155097E-2</v>
      </c>
      <c r="V2102" s="135">
        <v>3.9148664027195003E-2</v>
      </c>
      <c r="W2102" s="135">
        <v>3.8797596733387299E-2</v>
      </c>
      <c r="X2102" s="135">
        <v>3.9955740683471103E-2</v>
      </c>
      <c r="Y2102" s="135">
        <v>4.1822901320133499E-2</v>
      </c>
      <c r="Z2102" s="135">
        <v>4.2866830304389203E-2</v>
      </c>
      <c r="AA2102" s="135">
        <v>4.8267942996821703E-2</v>
      </c>
      <c r="AB2102" s="135">
        <v>4.6335668033314799E-2</v>
      </c>
      <c r="AC2102" s="135">
        <v>4.4583089490291203E-2</v>
      </c>
      <c r="AD2102" s="135">
        <v>4.3936710095159502E-2</v>
      </c>
      <c r="AF2102" s="243">
        <f t="shared" si="41"/>
        <v>0.27877688455156757</v>
      </c>
      <c r="AG2102" s="275">
        <f t="shared" si="42"/>
        <v>0.5271000817159599</v>
      </c>
      <c r="AH2102" s="391">
        <f t="shared" si="43"/>
        <v>0.43671306737246468</v>
      </c>
      <c r="AI2102" s="135">
        <f t="shared" si="44"/>
        <v>0.96381314908842464</v>
      </c>
    </row>
    <row r="2103" spans="1:35" ht="12.6">
      <c r="A2103" s="10" t="s">
        <v>865</v>
      </c>
      <c r="B2103" s="10">
        <v>277</v>
      </c>
      <c r="C2103" s="10" t="s">
        <v>1515</v>
      </c>
      <c r="D2103" s="388">
        <v>45203</v>
      </c>
      <c r="E2103" s="389">
        <v>45203</v>
      </c>
      <c r="F2103" s="390" t="str">
        <f t="shared" si="40"/>
        <v>Whitegoods</v>
      </c>
      <c r="G2103" s="135">
        <v>3.9381167944555602E-2</v>
      </c>
      <c r="H2103" s="135">
        <v>3.4395068080626298E-2</v>
      </c>
      <c r="I2103" s="135">
        <v>3.2797612393347698E-2</v>
      </c>
      <c r="J2103" s="135">
        <v>3.2891604244034998E-2</v>
      </c>
      <c r="K2103" s="135">
        <v>3.2587993038964598E-2</v>
      </c>
      <c r="L2103" s="135">
        <v>3.3250142434698801E-2</v>
      </c>
      <c r="M2103" s="135">
        <v>3.6387108395412399E-2</v>
      </c>
      <c r="N2103" s="135">
        <v>4.40760017692719E-2</v>
      </c>
      <c r="O2103" s="135">
        <v>4.7010779051335098E-2</v>
      </c>
      <c r="P2103" s="135">
        <v>4.4489904261028702E-2</v>
      </c>
      <c r="Q2103" s="135">
        <v>4.1961942195663099E-2</v>
      </c>
      <c r="R2103" s="135">
        <v>3.9925356757035603E-2</v>
      </c>
      <c r="S2103" s="135">
        <v>3.9918343999765502E-2</v>
      </c>
      <c r="T2103" s="135">
        <v>3.9006415466365997E-2</v>
      </c>
      <c r="U2103" s="135">
        <v>4.0018565372155097E-2</v>
      </c>
      <c r="V2103" s="135">
        <v>3.9148664027195003E-2</v>
      </c>
      <c r="W2103" s="135">
        <v>3.8797596733387299E-2</v>
      </c>
      <c r="X2103" s="135">
        <v>3.9955740683471103E-2</v>
      </c>
      <c r="Y2103" s="135">
        <v>4.1822901320133499E-2</v>
      </c>
      <c r="Z2103" s="135">
        <v>4.2866830304389203E-2</v>
      </c>
      <c r="AA2103" s="135">
        <v>4.8267942996821703E-2</v>
      </c>
      <c r="AB2103" s="135">
        <v>4.6335668033314799E-2</v>
      </c>
      <c r="AC2103" s="135">
        <v>4.4583089490291203E-2</v>
      </c>
      <c r="AD2103" s="135">
        <v>4.3936710095159502E-2</v>
      </c>
      <c r="AF2103" s="243">
        <f t="shared" si="41"/>
        <v>0.27877688455156757</v>
      </c>
      <c r="AG2103" s="275">
        <f t="shared" si="42"/>
        <v>0.5271000817159599</v>
      </c>
      <c r="AH2103" s="391">
        <f t="shared" si="43"/>
        <v>0.43671306737246468</v>
      </c>
      <c r="AI2103" s="135">
        <f t="shared" si="44"/>
        <v>0.96381314908842464</v>
      </c>
    </row>
    <row r="2104" spans="1:35" ht="12.6">
      <c r="A2104" s="10" t="s">
        <v>865</v>
      </c>
      <c r="B2104" s="10">
        <v>278</v>
      </c>
      <c r="C2104" s="10" t="s">
        <v>1515</v>
      </c>
      <c r="D2104" s="388">
        <v>45204</v>
      </c>
      <c r="E2104" s="389">
        <v>45204</v>
      </c>
      <c r="F2104" s="390" t="str">
        <f t="shared" si="40"/>
        <v>Whitegoods</v>
      </c>
      <c r="G2104" s="135">
        <v>3.9381167944555602E-2</v>
      </c>
      <c r="H2104" s="135">
        <v>3.4395068080626298E-2</v>
      </c>
      <c r="I2104" s="135">
        <v>3.2797612393347698E-2</v>
      </c>
      <c r="J2104" s="135">
        <v>3.2891604244034998E-2</v>
      </c>
      <c r="K2104" s="135">
        <v>3.2587993038964598E-2</v>
      </c>
      <c r="L2104" s="135">
        <v>3.3250142434698801E-2</v>
      </c>
      <c r="M2104" s="135">
        <v>3.6387108395412399E-2</v>
      </c>
      <c r="N2104" s="135">
        <v>4.40760017692719E-2</v>
      </c>
      <c r="O2104" s="135">
        <v>4.7010779051335098E-2</v>
      </c>
      <c r="P2104" s="135">
        <v>4.4489904261028702E-2</v>
      </c>
      <c r="Q2104" s="135">
        <v>4.1961942195663099E-2</v>
      </c>
      <c r="R2104" s="135">
        <v>3.9925356757035603E-2</v>
      </c>
      <c r="S2104" s="135">
        <v>3.9918343999765502E-2</v>
      </c>
      <c r="T2104" s="135">
        <v>3.9006415466365997E-2</v>
      </c>
      <c r="U2104" s="135">
        <v>4.0018565372155097E-2</v>
      </c>
      <c r="V2104" s="135">
        <v>3.9148664027195003E-2</v>
      </c>
      <c r="W2104" s="135">
        <v>3.8797596733387299E-2</v>
      </c>
      <c r="X2104" s="135">
        <v>3.9955740683471103E-2</v>
      </c>
      <c r="Y2104" s="135">
        <v>4.1822901320133499E-2</v>
      </c>
      <c r="Z2104" s="135">
        <v>4.2866830304389203E-2</v>
      </c>
      <c r="AA2104" s="135">
        <v>4.8267942996821703E-2</v>
      </c>
      <c r="AB2104" s="135">
        <v>4.6335668033314799E-2</v>
      </c>
      <c r="AC2104" s="135">
        <v>4.4583089490291203E-2</v>
      </c>
      <c r="AD2104" s="135">
        <v>4.3936710095159502E-2</v>
      </c>
      <c r="AF2104" s="243">
        <f t="shared" si="41"/>
        <v>0.27877688455156757</v>
      </c>
      <c r="AG2104" s="275">
        <f t="shared" si="42"/>
        <v>0.5271000817159599</v>
      </c>
      <c r="AH2104" s="391">
        <f t="shared" si="43"/>
        <v>0.43671306737246468</v>
      </c>
      <c r="AI2104" s="135">
        <f t="shared" si="44"/>
        <v>0.96381314908842464</v>
      </c>
    </row>
    <row r="2105" spans="1:35" ht="12.6">
      <c r="A2105" s="10" t="s">
        <v>865</v>
      </c>
      <c r="B2105" s="10">
        <v>279</v>
      </c>
      <c r="C2105" s="10" t="s">
        <v>1515</v>
      </c>
      <c r="D2105" s="388">
        <v>45205</v>
      </c>
      <c r="E2105" s="389">
        <v>45205</v>
      </c>
      <c r="F2105" s="390" t="str">
        <f t="shared" si="40"/>
        <v>Whitegoods</v>
      </c>
      <c r="G2105" s="135">
        <v>3.9381167944555602E-2</v>
      </c>
      <c r="H2105" s="135">
        <v>3.4395068080626298E-2</v>
      </c>
      <c r="I2105" s="135">
        <v>3.2797612393347698E-2</v>
      </c>
      <c r="J2105" s="135">
        <v>3.2891604244034998E-2</v>
      </c>
      <c r="K2105" s="135">
        <v>3.2587993038964598E-2</v>
      </c>
      <c r="L2105" s="135">
        <v>3.3250142434698801E-2</v>
      </c>
      <c r="M2105" s="135">
        <v>3.6387108395412399E-2</v>
      </c>
      <c r="N2105" s="135">
        <v>4.40760017692719E-2</v>
      </c>
      <c r="O2105" s="135">
        <v>4.7010779051335098E-2</v>
      </c>
      <c r="P2105" s="135">
        <v>4.4489904261028702E-2</v>
      </c>
      <c r="Q2105" s="135">
        <v>4.1961942195663099E-2</v>
      </c>
      <c r="R2105" s="135">
        <v>3.9925356757035603E-2</v>
      </c>
      <c r="S2105" s="135">
        <v>3.9918343999765502E-2</v>
      </c>
      <c r="T2105" s="135">
        <v>3.9006415466365997E-2</v>
      </c>
      <c r="U2105" s="135">
        <v>4.0018565372155097E-2</v>
      </c>
      <c r="V2105" s="135">
        <v>3.9148664027195003E-2</v>
      </c>
      <c r="W2105" s="135">
        <v>3.8797596733387299E-2</v>
      </c>
      <c r="X2105" s="135">
        <v>3.9955740683471103E-2</v>
      </c>
      <c r="Y2105" s="135">
        <v>4.1822901320133499E-2</v>
      </c>
      <c r="Z2105" s="135">
        <v>4.2866830304389203E-2</v>
      </c>
      <c r="AA2105" s="135">
        <v>4.8267942996821703E-2</v>
      </c>
      <c r="AB2105" s="135">
        <v>4.6335668033314799E-2</v>
      </c>
      <c r="AC2105" s="135">
        <v>4.4583089490291203E-2</v>
      </c>
      <c r="AD2105" s="135">
        <v>4.3936710095159502E-2</v>
      </c>
      <c r="AF2105" s="243">
        <f t="shared" si="41"/>
        <v>0.27877688455156757</v>
      </c>
      <c r="AG2105" s="275">
        <f t="shared" si="42"/>
        <v>0.5271000817159599</v>
      </c>
      <c r="AH2105" s="391">
        <f t="shared" si="43"/>
        <v>0.43671306737246468</v>
      </c>
      <c r="AI2105" s="135">
        <f t="shared" si="44"/>
        <v>0.96381314908842464</v>
      </c>
    </row>
    <row r="2106" spans="1:35" ht="12.6">
      <c r="A2106" s="10" t="s">
        <v>865</v>
      </c>
      <c r="B2106" s="10">
        <v>280</v>
      </c>
      <c r="C2106" s="10" t="s">
        <v>1515</v>
      </c>
      <c r="D2106" s="388">
        <v>45206</v>
      </c>
      <c r="E2106" s="389">
        <v>45206</v>
      </c>
      <c r="F2106" s="390" t="str">
        <f t="shared" si="40"/>
        <v>Whitegoods</v>
      </c>
      <c r="G2106" s="135">
        <v>3.8535262095771503E-2</v>
      </c>
      <c r="H2106" s="135">
        <v>3.5465927679192599E-2</v>
      </c>
      <c r="I2106" s="135">
        <v>3.3125984884627098E-2</v>
      </c>
      <c r="J2106" s="135">
        <v>3.29712181137162E-2</v>
      </c>
      <c r="K2106" s="135">
        <v>3.3144357596896303E-2</v>
      </c>
      <c r="L2106" s="135">
        <v>3.2563494598871298E-2</v>
      </c>
      <c r="M2106" s="135">
        <v>3.5586465002270203E-2</v>
      </c>
      <c r="N2106" s="135">
        <v>3.7260407524796299E-2</v>
      </c>
      <c r="O2106" s="135">
        <v>4.62859145861787E-2</v>
      </c>
      <c r="P2106" s="135">
        <v>5.7110893330062799E-2</v>
      </c>
      <c r="Q2106" s="135">
        <v>6.2575431461735595E-2</v>
      </c>
      <c r="R2106" s="135">
        <v>5.80935496211826E-2</v>
      </c>
      <c r="S2106" s="135">
        <v>5.4524523794811403E-2</v>
      </c>
      <c r="T2106" s="135">
        <v>5.3654928024098901E-2</v>
      </c>
      <c r="U2106" s="135">
        <v>4.8651547271370402E-2</v>
      </c>
      <c r="V2106" s="135">
        <v>4.8437758263377498E-2</v>
      </c>
      <c r="W2106" s="135">
        <v>4.7941556668017402E-2</v>
      </c>
      <c r="X2106" s="135">
        <v>4.6658721534051699E-2</v>
      </c>
      <c r="Y2106" s="135">
        <v>4.70658494655724E-2</v>
      </c>
      <c r="Z2106" s="135">
        <v>4.5920212807112497E-2</v>
      </c>
      <c r="AA2106" s="135">
        <v>4.8865623062725697E-2</v>
      </c>
      <c r="AB2106" s="135">
        <v>5.0090207667482699E-2</v>
      </c>
      <c r="AC2106" s="135">
        <v>4.4638219426981499E-2</v>
      </c>
      <c r="AD2106" s="135">
        <v>4.2418019103301098E-2</v>
      </c>
      <c r="AF2106" s="243">
        <f t="shared" si="41"/>
        <v>0.37387929510459383</v>
      </c>
      <c r="AG2106" s="275">
        <f t="shared" si="42"/>
        <v>0.58165926252330324</v>
      </c>
      <c r="AH2106" s="391">
        <f t="shared" si="43"/>
        <v>0.49992681106090092</v>
      </c>
      <c r="AI2106" s="135">
        <f t="shared" si="44"/>
        <v>1.0815860735842042</v>
      </c>
    </row>
    <row r="2107" spans="1:35" ht="12.6">
      <c r="A2107" s="10" t="s">
        <v>865</v>
      </c>
      <c r="B2107" s="10">
        <v>281</v>
      </c>
      <c r="C2107" s="10" t="s">
        <v>1515</v>
      </c>
      <c r="D2107" s="388">
        <v>45207</v>
      </c>
      <c r="E2107" s="389">
        <v>45207</v>
      </c>
      <c r="F2107" s="390" t="str">
        <f t="shared" si="40"/>
        <v>Whitegoods</v>
      </c>
      <c r="G2107" s="135">
        <v>3.8535262095771503E-2</v>
      </c>
      <c r="H2107" s="135">
        <v>3.5465927679192599E-2</v>
      </c>
      <c r="I2107" s="135">
        <v>3.3125984884627098E-2</v>
      </c>
      <c r="J2107" s="135">
        <v>3.29712181137162E-2</v>
      </c>
      <c r="K2107" s="135">
        <v>3.3144357596896303E-2</v>
      </c>
      <c r="L2107" s="135">
        <v>3.2563494598871298E-2</v>
      </c>
      <c r="M2107" s="135">
        <v>3.5586465002270203E-2</v>
      </c>
      <c r="N2107" s="135">
        <v>3.7260407524796299E-2</v>
      </c>
      <c r="O2107" s="135">
        <v>4.62859145861787E-2</v>
      </c>
      <c r="P2107" s="135">
        <v>5.7110893330062799E-2</v>
      </c>
      <c r="Q2107" s="135">
        <v>6.2575431461735595E-2</v>
      </c>
      <c r="R2107" s="135">
        <v>5.80935496211826E-2</v>
      </c>
      <c r="S2107" s="135">
        <v>5.4524523794811403E-2</v>
      </c>
      <c r="T2107" s="135">
        <v>5.3654928024098901E-2</v>
      </c>
      <c r="U2107" s="135">
        <v>4.8651547271370402E-2</v>
      </c>
      <c r="V2107" s="135">
        <v>4.8437758263377498E-2</v>
      </c>
      <c r="W2107" s="135">
        <v>4.7941556668017402E-2</v>
      </c>
      <c r="X2107" s="135">
        <v>4.6658721534051699E-2</v>
      </c>
      <c r="Y2107" s="135">
        <v>4.70658494655724E-2</v>
      </c>
      <c r="Z2107" s="135">
        <v>4.5920212807112497E-2</v>
      </c>
      <c r="AA2107" s="135">
        <v>4.8865623062725697E-2</v>
      </c>
      <c r="AB2107" s="135">
        <v>5.0090207667482699E-2</v>
      </c>
      <c r="AC2107" s="135">
        <v>4.4638219426981499E-2</v>
      </c>
      <c r="AD2107" s="135">
        <v>4.2418019103301098E-2</v>
      </c>
      <c r="AF2107" s="243">
        <f t="shared" si="41"/>
        <v>0.37387929510459383</v>
      </c>
      <c r="AG2107" s="275">
        <f t="shared" si="42"/>
        <v>0.58165926252330324</v>
      </c>
      <c r="AH2107" s="391">
        <f t="shared" si="43"/>
        <v>0.49992681106090092</v>
      </c>
      <c r="AI2107" s="135">
        <f t="shared" si="44"/>
        <v>1.0815860735842042</v>
      </c>
    </row>
    <row r="2108" spans="1:35" ht="12.6">
      <c r="A2108" s="10" t="s">
        <v>865</v>
      </c>
      <c r="B2108" s="10">
        <v>282</v>
      </c>
      <c r="C2108" s="10" t="s">
        <v>1515</v>
      </c>
      <c r="D2108" s="388">
        <v>45208</v>
      </c>
      <c r="E2108" s="389">
        <v>45208</v>
      </c>
      <c r="F2108" s="390" t="str">
        <f t="shared" si="40"/>
        <v>Whitegoods</v>
      </c>
      <c r="G2108" s="135">
        <v>3.9381167944555602E-2</v>
      </c>
      <c r="H2108" s="135">
        <v>3.4395068080626298E-2</v>
      </c>
      <c r="I2108" s="135">
        <v>3.2797612393347698E-2</v>
      </c>
      <c r="J2108" s="135">
        <v>3.2891604244034998E-2</v>
      </c>
      <c r="K2108" s="135">
        <v>3.2587993038964598E-2</v>
      </c>
      <c r="L2108" s="135">
        <v>3.3250142434698801E-2</v>
      </c>
      <c r="M2108" s="135">
        <v>3.6387108395412399E-2</v>
      </c>
      <c r="N2108" s="135">
        <v>4.40760017692719E-2</v>
      </c>
      <c r="O2108" s="135">
        <v>4.7010779051335098E-2</v>
      </c>
      <c r="P2108" s="135">
        <v>4.4489904261028702E-2</v>
      </c>
      <c r="Q2108" s="135">
        <v>4.1961942195663099E-2</v>
      </c>
      <c r="R2108" s="135">
        <v>3.9925356757035603E-2</v>
      </c>
      <c r="S2108" s="135">
        <v>3.9918343999765502E-2</v>
      </c>
      <c r="T2108" s="135">
        <v>3.9006415466365997E-2</v>
      </c>
      <c r="U2108" s="135">
        <v>4.0018565372155097E-2</v>
      </c>
      <c r="V2108" s="135">
        <v>3.9148664027195003E-2</v>
      </c>
      <c r="W2108" s="135">
        <v>3.8797596733387299E-2</v>
      </c>
      <c r="X2108" s="135">
        <v>3.9955740683471103E-2</v>
      </c>
      <c r="Y2108" s="135">
        <v>4.1822901320133499E-2</v>
      </c>
      <c r="Z2108" s="135">
        <v>4.2866830304389203E-2</v>
      </c>
      <c r="AA2108" s="135">
        <v>4.8267942996821703E-2</v>
      </c>
      <c r="AB2108" s="135">
        <v>4.6335668033314799E-2</v>
      </c>
      <c r="AC2108" s="135">
        <v>4.4583089490291203E-2</v>
      </c>
      <c r="AD2108" s="135">
        <v>4.3936710095159502E-2</v>
      </c>
      <c r="AF2108" s="243">
        <f t="shared" si="41"/>
        <v>0.27877688455156757</v>
      </c>
      <c r="AG2108" s="275">
        <f t="shared" si="42"/>
        <v>0.5271000817159599</v>
      </c>
      <c r="AH2108" s="391">
        <f t="shared" si="43"/>
        <v>0.43671306737246468</v>
      </c>
      <c r="AI2108" s="135">
        <f t="shared" si="44"/>
        <v>0.96381314908842464</v>
      </c>
    </row>
    <row r="2109" spans="1:35" ht="12.6">
      <c r="A2109" s="10" t="s">
        <v>865</v>
      </c>
      <c r="B2109" s="10">
        <v>283</v>
      </c>
      <c r="C2109" s="10" t="s">
        <v>1515</v>
      </c>
      <c r="D2109" s="388">
        <v>45209</v>
      </c>
      <c r="E2109" s="389">
        <v>45209</v>
      </c>
      <c r="F2109" s="390" t="str">
        <f t="shared" si="40"/>
        <v>Whitegoods</v>
      </c>
      <c r="G2109" s="135">
        <v>3.9381167944555602E-2</v>
      </c>
      <c r="H2109" s="135">
        <v>3.4395068080626298E-2</v>
      </c>
      <c r="I2109" s="135">
        <v>3.2797612393347698E-2</v>
      </c>
      <c r="J2109" s="135">
        <v>3.2891604244034998E-2</v>
      </c>
      <c r="K2109" s="135">
        <v>3.2587993038964598E-2</v>
      </c>
      <c r="L2109" s="135">
        <v>3.3250142434698801E-2</v>
      </c>
      <c r="M2109" s="135">
        <v>3.6387108395412399E-2</v>
      </c>
      <c r="N2109" s="135">
        <v>4.40760017692719E-2</v>
      </c>
      <c r="O2109" s="135">
        <v>4.7010779051335098E-2</v>
      </c>
      <c r="P2109" s="135">
        <v>4.4489904261028702E-2</v>
      </c>
      <c r="Q2109" s="135">
        <v>4.1961942195663099E-2</v>
      </c>
      <c r="R2109" s="135">
        <v>3.9925356757035603E-2</v>
      </c>
      <c r="S2109" s="135">
        <v>3.9918343999765502E-2</v>
      </c>
      <c r="T2109" s="135">
        <v>3.9006415466365997E-2</v>
      </c>
      <c r="U2109" s="135">
        <v>4.0018565372155097E-2</v>
      </c>
      <c r="V2109" s="135">
        <v>3.9148664027195003E-2</v>
      </c>
      <c r="W2109" s="135">
        <v>3.8797596733387299E-2</v>
      </c>
      <c r="X2109" s="135">
        <v>3.9955740683471103E-2</v>
      </c>
      <c r="Y2109" s="135">
        <v>4.1822901320133499E-2</v>
      </c>
      <c r="Z2109" s="135">
        <v>4.2866830304389203E-2</v>
      </c>
      <c r="AA2109" s="135">
        <v>4.8267942996821703E-2</v>
      </c>
      <c r="AB2109" s="135">
        <v>4.6335668033314799E-2</v>
      </c>
      <c r="AC2109" s="135">
        <v>4.4583089490291203E-2</v>
      </c>
      <c r="AD2109" s="135">
        <v>4.3936710095159502E-2</v>
      </c>
      <c r="AF2109" s="243">
        <f t="shared" si="41"/>
        <v>0.27877688455156757</v>
      </c>
      <c r="AG2109" s="275">
        <f t="shared" si="42"/>
        <v>0.5271000817159599</v>
      </c>
      <c r="AH2109" s="391">
        <f t="shared" si="43"/>
        <v>0.43671306737246468</v>
      </c>
      <c r="AI2109" s="135">
        <f t="shared" si="44"/>
        <v>0.96381314908842464</v>
      </c>
    </row>
    <row r="2110" spans="1:35" ht="12.6">
      <c r="A2110" s="10" t="s">
        <v>865</v>
      </c>
      <c r="B2110" s="10">
        <v>284</v>
      </c>
      <c r="C2110" s="10" t="s">
        <v>1515</v>
      </c>
      <c r="D2110" s="388">
        <v>45210</v>
      </c>
      <c r="E2110" s="389">
        <v>45210</v>
      </c>
      <c r="F2110" s="390" t="str">
        <f t="shared" si="40"/>
        <v>Whitegoods</v>
      </c>
      <c r="G2110" s="135">
        <v>3.9381167944555602E-2</v>
      </c>
      <c r="H2110" s="135">
        <v>3.4395068080626298E-2</v>
      </c>
      <c r="I2110" s="135">
        <v>3.2797612393347698E-2</v>
      </c>
      <c r="J2110" s="135">
        <v>3.2891604244034998E-2</v>
      </c>
      <c r="K2110" s="135">
        <v>3.2587993038964598E-2</v>
      </c>
      <c r="L2110" s="135">
        <v>3.3250142434698801E-2</v>
      </c>
      <c r="M2110" s="135">
        <v>3.6387108395412399E-2</v>
      </c>
      <c r="N2110" s="135">
        <v>4.40760017692719E-2</v>
      </c>
      <c r="O2110" s="135">
        <v>4.7010779051335098E-2</v>
      </c>
      <c r="P2110" s="135">
        <v>4.4489904261028702E-2</v>
      </c>
      <c r="Q2110" s="135">
        <v>4.1961942195663099E-2</v>
      </c>
      <c r="R2110" s="135">
        <v>3.9925356757035603E-2</v>
      </c>
      <c r="S2110" s="135">
        <v>3.9918343999765502E-2</v>
      </c>
      <c r="T2110" s="135">
        <v>3.9006415466365997E-2</v>
      </c>
      <c r="U2110" s="135">
        <v>4.0018565372155097E-2</v>
      </c>
      <c r="V2110" s="135">
        <v>3.9148664027195003E-2</v>
      </c>
      <c r="W2110" s="135">
        <v>3.8797596733387299E-2</v>
      </c>
      <c r="X2110" s="135">
        <v>3.9955740683471103E-2</v>
      </c>
      <c r="Y2110" s="135">
        <v>4.1822901320133499E-2</v>
      </c>
      <c r="Z2110" s="135">
        <v>4.2866830304389203E-2</v>
      </c>
      <c r="AA2110" s="135">
        <v>4.8267942996821703E-2</v>
      </c>
      <c r="AB2110" s="135">
        <v>4.6335668033314799E-2</v>
      </c>
      <c r="AC2110" s="135">
        <v>4.4583089490291203E-2</v>
      </c>
      <c r="AD2110" s="135">
        <v>4.3936710095159502E-2</v>
      </c>
      <c r="AF2110" s="243">
        <f t="shared" si="41"/>
        <v>0.27877688455156757</v>
      </c>
      <c r="AG2110" s="275">
        <f t="shared" si="42"/>
        <v>0.5271000817159599</v>
      </c>
      <c r="AH2110" s="391">
        <f t="shared" si="43"/>
        <v>0.43671306737246468</v>
      </c>
      <c r="AI2110" s="135">
        <f t="shared" si="44"/>
        <v>0.96381314908842464</v>
      </c>
    </row>
    <row r="2111" spans="1:35" ht="12.6">
      <c r="A2111" s="10" t="s">
        <v>865</v>
      </c>
      <c r="B2111" s="10">
        <v>285</v>
      </c>
      <c r="C2111" s="10" t="s">
        <v>1515</v>
      </c>
      <c r="D2111" s="388">
        <v>45211</v>
      </c>
      <c r="E2111" s="389">
        <v>45211</v>
      </c>
      <c r="F2111" s="390" t="str">
        <f t="shared" si="40"/>
        <v>Whitegoods</v>
      </c>
      <c r="G2111" s="135">
        <v>3.9381167944555602E-2</v>
      </c>
      <c r="H2111" s="135">
        <v>3.4395068080626298E-2</v>
      </c>
      <c r="I2111" s="135">
        <v>3.2797612393347698E-2</v>
      </c>
      <c r="J2111" s="135">
        <v>3.2891604244034998E-2</v>
      </c>
      <c r="K2111" s="135">
        <v>3.2587993038964598E-2</v>
      </c>
      <c r="L2111" s="135">
        <v>3.3250142434698801E-2</v>
      </c>
      <c r="M2111" s="135">
        <v>3.6387108395412399E-2</v>
      </c>
      <c r="N2111" s="135">
        <v>4.40760017692719E-2</v>
      </c>
      <c r="O2111" s="135">
        <v>4.7010779051335098E-2</v>
      </c>
      <c r="P2111" s="135">
        <v>4.4489904261028702E-2</v>
      </c>
      <c r="Q2111" s="135">
        <v>4.1961942195663099E-2</v>
      </c>
      <c r="R2111" s="135">
        <v>3.9925356757035603E-2</v>
      </c>
      <c r="S2111" s="135">
        <v>3.9918343999765502E-2</v>
      </c>
      <c r="T2111" s="135">
        <v>3.9006415466365997E-2</v>
      </c>
      <c r="U2111" s="135">
        <v>4.0018565372155097E-2</v>
      </c>
      <c r="V2111" s="135">
        <v>3.9148664027195003E-2</v>
      </c>
      <c r="W2111" s="135">
        <v>3.8797596733387299E-2</v>
      </c>
      <c r="X2111" s="135">
        <v>3.9955740683471103E-2</v>
      </c>
      <c r="Y2111" s="135">
        <v>4.1822901320133499E-2</v>
      </c>
      <c r="Z2111" s="135">
        <v>4.2866830304389203E-2</v>
      </c>
      <c r="AA2111" s="135">
        <v>4.8267942996821703E-2</v>
      </c>
      <c r="AB2111" s="135">
        <v>4.6335668033314799E-2</v>
      </c>
      <c r="AC2111" s="135">
        <v>4.4583089490291203E-2</v>
      </c>
      <c r="AD2111" s="135">
        <v>4.3936710095159502E-2</v>
      </c>
      <c r="AF2111" s="243">
        <f t="shared" si="41"/>
        <v>0.27877688455156757</v>
      </c>
      <c r="AG2111" s="275">
        <f t="shared" si="42"/>
        <v>0.5271000817159599</v>
      </c>
      <c r="AH2111" s="391">
        <f t="shared" si="43"/>
        <v>0.43671306737246468</v>
      </c>
      <c r="AI2111" s="135">
        <f t="shared" si="44"/>
        <v>0.96381314908842464</v>
      </c>
    </row>
    <row r="2112" spans="1:35" ht="12.6">
      <c r="A2112" s="10" t="s">
        <v>865</v>
      </c>
      <c r="B2112" s="10">
        <v>286</v>
      </c>
      <c r="C2112" s="10" t="s">
        <v>1515</v>
      </c>
      <c r="D2112" s="388">
        <v>45212</v>
      </c>
      <c r="E2112" s="389">
        <v>45212</v>
      </c>
      <c r="F2112" s="390" t="str">
        <f t="shared" si="40"/>
        <v>Whitegoods</v>
      </c>
      <c r="G2112" s="135">
        <v>3.9381167944555602E-2</v>
      </c>
      <c r="H2112" s="135">
        <v>3.4395068080626298E-2</v>
      </c>
      <c r="I2112" s="135">
        <v>3.2797612393347698E-2</v>
      </c>
      <c r="J2112" s="135">
        <v>3.2891604244034998E-2</v>
      </c>
      <c r="K2112" s="135">
        <v>3.2587993038964598E-2</v>
      </c>
      <c r="L2112" s="135">
        <v>3.3250142434698801E-2</v>
      </c>
      <c r="M2112" s="135">
        <v>3.6387108395412399E-2</v>
      </c>
      <c r="N2112" s="135">
        <v>4.40760017692719E-2</v>
      </c>
      <c r="O2112" s="135">
        <v>4.7010779051335098E-2</v>
      </c>
      <c r="P2112" s="135">
        <v>4.4489904261028702E-2</v>
      </c>
      <c r="Q2112" s="135">
        <v>4.1961942195663099E-2</v>
      </c>
      <c r="R2112" s="135">
        <v>3.9925356757035603E-2</v>
      </c>
      <c r="S2112" s="135">
        <v>3.9918343999765502E-2</v>
      </c>
      <c r="T2112" s="135">
        <v>3.9006415466365997E-2</v>
      </c>
      <c r="U2112" s="135">
        <v>4.0018565372155097E-2</v>
      </c>
      <c r="V2112" s="135">
        <v>3.9148664027195003E-2</v>
      </c>
      <c r="W2112" s="135">
        <v>3.8797596733387299E-2</v>
      </c>
      <c r="X2112" s="135">
        <v>3.9955740683471103E-2</v>
      </c>
      <c r="Y2112" s="135">
        <v>4.1822901320133499E-2</v>
      </c>
      <c r="Z2112" s="135">
        <v>4.2866830304389203E-2</v>
      </c>
      <c r="AA2112" s="135">
        <v>4.8267942996821703E-2</v>
      </c>
      <c r="AB2112" s="135">
        <v>4.6335668033314799E-2</v>
      </c>
      <c r="AC2112" s="135">
        <v>4.4583089490291203E-2</v>
      </c>
      <c r="AD2112" s="135">
        <v>4.3936710095159502E-2</v>
      </c>
      <c r="AF2112" s="243">
        <f t="shared" si="41"/>
        <v>0.27877688455156757</v>
      </c>
      <c r="AG2112" s="275">
        <f t="shared" si="42"/>
        <v>0.5271000817159599</v>
      </c>
      <c r="AH2112" s="391">
        <f t="shared" si="43"/>
        <v>0.43671306737246468</v>
      </c>
      <c r="AI2112" s="135">
        <f t="shared" si="44"/>
        <v>0.96381314908842464</v>
      </c>
    </row>
    <row r="2113" spans="1:35" ht="12.6">
      <c r="A2113" s="10" t="s">
        <v>865</v>
      </c>
      <c r="B2113" s="10">
        <v>287</v>
      </c>
      <c r="C2113" s="10" t="s">
        <v>1515</v>
      </c>
      <c r="D2113" s="388">
        <v>45213</v>
      </c>
      <c r="E2113" s="389">
        <v>45213</v>
      </c>
      <c r="F2113" s="390" t="str">
        <f t="shared" si="40"/>
        <v>Whitegoods</v>
      </c>
      <c r="G2113" s="135">
        <v>3.8535262095771503E-2</v>
      </c>
      <c r="H2113" s="135">
        <v>3.5465927679192599E-2</v>
      </c>
      <c r="I2113" s="135">
        <v>3.3125984884627098E-2</v>
      </c>
      <c r="J2113" s="135">
        <v>3.29712181137162E-2</v>
      </c>
      <c r="K2113" s="135">
        <v>3.3144357596896303E-2</v>
      </c>
      <c r="L2113" s="135">
        <v>3.2563494598871298E-2</v>
      </c>
      <c r="M2113" s="135">
        <v>3.5586465002270203E-2</v>
      </c>
      <c r="N2113" s="135">
        <v>3.7260407524796299E-2</v>
      </c>
      <c r="O2113" s="135">
        <v>4.62859145861787E-2</v>
      </c>
      <c r="P2113" s="135">
        <v>5.7110893330062799E-2</v>
      </c>
      <c r="Q2113" s="135">
        <v>6.2575431461735595E-2</v>
      </c>
      <c r="R2113" s="135">
        <v>5.80935496211826E-2</v>
      </c>
      <c r="S2113" s="135">
        <v>5.4524523794811403E-2</v>
      </c>
      <c r="T2113" s="135">
        <v>5.3654928024098901E-2</v>
      </c>
      <c r="U2113" s="135">
        <v>4.8651547271370402E-2</v>
      </c>
      <c r="V2113" s="135">
        <v>4.8437758263377498E-2</v>
      </c>
      <c r="W2113" s="135">
        <v>4.7941556668017402E-2</v>
      </c>
      <c r="X2113" s="135">
        <v>4.6658721534051699E-2</v>
      </c>
      <c r="Y2113" s="135">
        <v>4.70658494655724E-2</v>
      </c>
      <c r="Z2113" s="135">
        <v>4.5920212807112497E-2</v>
      </c>
      <c r="AA2113" s="135">
        <v>4.8865623062725697E-2</v>
      </c>
      <c r="AB2113" s="135">
        <v>5.0090207667482699E-2</v>
      </c>
      <c r="AC2113" s="135">
        <v>4.4638219426981499E-2</v>
      </c>
      <c r="AD2113" s="135">
        <v>4.2418019103301098E-2</v>
      </c>
      <c r="AF2113" s="243">
        <f t="shared" si="41"/>
        <v>0.37387929510459383</v>
      </c>
      <c r="AG2113" s="275">
        <f t="shared" si="42"/>
        <v>0.58165926252330324</v>
      </c>
      <c r="AH2113" s="391">
        <f t="shared" si="43"/>
        <v>0.49992681106090092</v>
      </c>
      <c r="AI2113" s="135">
        <f t="shared" si="44"/>
        <v>1.0815860735842042</v>
      </c>
    </row>
    <row r="2114" spans="1:35" ht="12.6">
      <c r="A2114" s="10" t="s">
        <v>865</v>
      </c>
      <c r="B2114" s="10">
        <v>288</v>
      </c>
      <c r="C2114" s="10" t="s">
        <v>1515</v>
      </c>
      <c r="D2114" s="388">
        <v>45214</v>
      </c>
      <c r="E2114" s="389">
        <v>45214</v>
      </c>
      <c r="F2114" s="390" t="str">
        <f t="shared" si="40"/>
        <v>Whitegoods</v>
      </c>
      <c r="G2114" s="135">
        <v>3.8535262095771503E-2</v>
      </c>
      <c r="H2114" s="135">
        <v>3.5465927679192599E-2</v>
      </c>
      <c r="I2114" s="135">
        <v>3.3125984884627098E-2</v>
      </c>
      <c r="J2114" s="135">
        <v>3.29712181137162E-2</v>
      </c>
      <c r="K2114" s="135">
        <v>3.3144357596896303E-2</v>
      </c>
      <c r="L2114" s="135">
        <v>3.2563494598871298E-2</v>
      </c>
      <c r="M2114" s="135">
        <v>3.5586465002270203E-2</v>
      </c>
      <c r="N2114" s="135">
        <v>3.7260407524796299E-2</v>
      </c>
      <c r="O2114" s="135">
        <v>4.62859145861787E-2</v>
      </c>
      <c r="P2114" s="135">
        <v>5.7110893330062799E-2</v>
      </c>
      <c r="Q2114" s="135">
        <v>6.2575431461735595E-2</v>
      </c>
      <c r="R2114" s="135">
        <v>5.80935496211826E-2</v>
      </c>
      <c r="S2114" s="135">
        <v>5.4524523794811403E-2</v>
      </c>
      <c r="T2114" s="135">
        <v>5.3654928024098901E-2</v>
      </c>
      <c r="U2114" s="135">
        <v>4.8651547271370402E-2</v>
      </c>
      <c r="V2114" s="135">
        <v>4.8437758263377498E-2</v>
      </c>
      <c r="W2114" s="135">
        <v>4.7941556668017402E-2</v>
      </c>
      <c r="X2114" s="135">
        <v>4.6658721534051699E-2</v>
      </c>
      <c r="Y2114" s="135">
        <v>4.70658494655724E-2</v>
      </c>
      <c r="Z2114" s="135">
        <v>4.5920212807112497E-2</v>
      </c>
      <c r="AA2114" s="135">
        <v>4.8865623062725697E-2</v>
      </c>
      <c r="AB2114" s="135">
        <v>5.0090207667482699E-2</v>
      </c>
      <c r="AC2114" s="135">
        <v>4.4638219426981499E-2</v>
      </c>
      <c r="AD2114" s="135">
        <v>4.2418019103301098E-2</v>
      </c>
      <c r="AF2114" s="243">
        <f t="shared" si="41"/>
        <v>0.37387929510459383</v>
      </c>
      <c r="AG2114" s="275">
        <f t="shared" si="42"/>
        <v>0.58165926252330324</v>
      </c>
      <c r="AH2114" s="391">
        <f t="shared" si="43"/>
        <v>0.49992681106090092</v>
      </c>
      <c r="AI2114" s="135">
        <f t="shared" si="44"/>
        <v>1.0815860735842042</v>
      </c>
    </row>
    <row r="2115" spans="1:35" ht="12.6">
      <c r="A2115" s="10" t="s">
        <v>865</v>
      </c>
      <c r="B2115" s="10">
        <v>289</v>
      </c>
      <c r="C2115" s="10" t="s">
        <v>1515</v>
      </c>
      <c r="D2115" s="388">
        <v>45215</v>
      </c>
      <c r="E2115" s="389">
        <v>45215</v>
      </c>
      <c r="F2115" s="390" t="str">
        <f t="shared" si="40"/>
        <v>Whitegoods</v>
      </c>
      <c r="G2115" s="135">
        <v>3.9381167944555602E-2</v>
      </c>
      <c r="H2115" s="135">
        <v>3.4395068080626298E-2</v>
      </c>
      <c r="I2115" s="135">
        <v>3.2797612393347698E-2</v>
      </c>
      <c r="J2115" s="135">
        <v>3.2891604244034998E-2</v>
      </c>
      <c r="K2115" s="135">
        <v>3.2587993038964598E-2</v>
      </c>
      <c r="L2115" s="135">
        <v>3.3250142434698801E-2</v>
      </c>
      <c r="M2115" s="135">
        <v>3.6387108395412399E-2</v>
      </c>
      <c r="N2115" s="135">
        <v>4.40760017692719E-2</v>
      </c>
      <c r="O2115" s="135">
        <v>4.7010779051335098E-2</v>
      </c>
      <c r="P2115" s="135">
        <v>4.4489904261028702E-2</v>
      </c>
      <c r="Q2115" s="135">
        <v>4.1961942195663099E-2</v>
      </c>
      <c r="R2115" s="135">
        <v>3.9925356757035603E-2</v>
      </c>
      <c r="S2115" s="135">
        <v>3.9918343999765502E-2</v>
      </c>
      <c r="T2115" s="135">
        <v>3.9006415466365997E-2</v>
      </c>
      <c r="U2115" s="135">
        <v>4.0018565372155097E-2</v>
      </c>
      <c r="V2115" s="135">
        <v>3.9148664027195003E-2</v>
      </c>
      <c r="W2115" s="135">
        <v>3.8797596733387299E-2</v>
      </c>
      <c r="X2115" s="135">
        <v>3.9955740683471103E-2</v>
      </c>
      <c r="Y2115" s="135">
        <v>4.1822901320133499E-2</v>
      </c>
      <c r="Z2115" s="135">
        <v>4.2866830304389203E-2</v>
      </c>
      <c r="AA2115" s="135">
        <v>4.8267942996821703E-2</v>
      </c>
      <c r="AB2115" s="135">
        <v>4.6335668033314799E-2</v>
      </c>
      <c r="AC2115" s="135">
        <v>4.4583089490291203E-2</v>
      </c>
      <c r="AD2115" s="135">
        <v>4.3936710095159502E-2</v>
      </c>
      <c r="AF2115" s="243">
        <f t="shared" si="41"/>
        <v>0.27877688455156757</v>
      </c>
      <c r="AG2115" s="275">
        <f t="shared" si="42"/>
        <v>0.5271000817159599</v>
      </c>
      <c r="AH2115" s="391">
        <f t="shared" si="43"/>
        <v>0.43671306737246468</v>
      </c>
      <c r="AI2115" s="135">
        <f t="shared" si="44"/>
        <v>0.96381314908842464</v>
      </c>
    </row>
    <row r="2116" spans="1:35" ht="12.6">
      <c r="A2116" s="10" t="s">
        <v>865</v>
      </c>
      <c r="B2116" s="10">
        <v>290</v>
      </c>
      <c r="C2116" s="10" t="s">
        <v>1515</v>
      </c>
      <c r="D2116" s="388">
        <v>45216</v>
      </c>
      <c r="E2116" s="389">
        <v>45216</v>
      </c>
      <c r="F2116" s="390" t="str">
        <f t="shared" si="40"/>
        <v>Whitegoods</v>
      </c>
      <c r="G2116" s="135">
        <v>3.9381167944555602E-2</v>
      </c>
      <c r="H2116" s="135">
        <v>3.4395068080626298E-2</v>
      </c>
      <c r="I2116" s="135">
        <v>3.2797612393347698E-2</v>
      </c>
      <c r="J2116" s="135">
        <v>3.2891604244034998E-2</v>
      </c>
      <c r="K2116" s="135">
        <v>3.2587993038964598E-2</v>
      </c>
      <c r="L2116" s="135">
        <v>3.3250142434698801E-2</v>
      </c>
      <c r="M2116" s="135">
        <v>3.6387108395412399E-2</v>
      </c>
      <c r="N2116" s="135">
        <v>4.40760017692719E-2</v>
      </c>
      <c r="O2116" s="135">
        <v>4.7010779051335098E-2</v>
      </c>
      <c r="P2116" s="135">
        <v>4.4489904261028702E-2</v>
      </c>
      <c r="Q2116" s="135">
        <v>4.1961942195663099E-2</v>
      </c>
      <c r="R2116" s="135">
        <v>3.9925356757035603E-2</v>
      </c>
      <c r="S2116" s="135">
        <v>3.9918343999765502E-2</v>
      </c>
      <c r="T2116" s="135">
        <v>3.9006415466365997E-2</v>
      </c>
      <c r="U2116" s="135">
        <v>4.0018565372155097E-2</v>
      </c>
      <c r="V2116" s="135">
        <v>3.9148664027195003E-2</v>
      </c>
      <c r="W2116" s="135">
        <v>3.8797596733387299E-2</v>
      </c>
      <c r="X2116" s="135">
        <v>3.9955740683471103E-2</v>
      </c>
      <c r="Y2116" s="135">
        <v>4.1822901320133499E-2</v>
      </c>
      <c r="Z2116" s="135">
        <v>4.2866830304389203E-2</v>
      </c>
      <c r="AA2116" s="135">
        <v>4.8267942996821703E-2</v>
      </c>
      <c r="AB2116" s="135">
        <v>4.6335668033314799E-2</v>
      </c>
      <c r="AC2116" s="135">
        <v>4.4583089490291203E-2</v>
      </c>
      <c r="AD2116" s="135">
        <v>4.3936710095159502E-2</v>
      </c>
      <c r="AF2116" s="243">
        <f t="shared" si="41"/>
        <v>0.27877688455156757</v>
      </c>
      <c r="AG2116" s="275">
        <f t="shared" si="42"/>
        <v>0.5271000817159599</v>
      </c>
      <c r="AH2116" s="391">
        <f t="shared" si="43"/>
        <v>0.43671306737246468</v>
      </c>
      <c r="AI2116" s="135">
        <f t="shared" si="44"/>
        <v>0.96381314908842464</v>
      </c>
    </row>
    <row r="2117" spans="1:35" ht="12.6">
      <c r="A2117" s="10" t="s">
        <v>865</v>
      </c>
      <c r="B2117" s="10">
        <v>291</v>
      </c>
      <c r="C2117" s="10" t="s">
        <v>1515</v>
      </c>
      <c r="D2117" s="388">
        <v>45217</v>
      </c>
      <c r="E2117" s="389">
        <v>45217</v>
      </c>
      <c r="F2117" s="390" t="str">
        <f t="shared" si="40"/>
        <v>Whitegoods</v>
      </c>
      <c r="G2117" s="135">
        <v>3.9381167944555602E-2</v>
      </c>
      <c r="H2117" s="135">
        <v>3.4395068080626298E-2</v>
      </c>
      <c r="I2117" s="135">
        <v>3.2797612393347698E-2</v>
      </c>
      <c r="J2117" s="135">
        <v>3.2891604244034998E-2</v>
      </c>
      <c r="K2117" s="135">
        <v>3.2587993038964598E-2</v>
      </c>
      <c r="L2117" s="135">
        <v>3.3250142434698801E-2</v>
      </c>
      <c r="M2117" s="135">
        <v>3.6387108395412399E-2</v>
      </c>
      <c r="N2117" s="135">
        <v>4.40760017692719E-2</v>
      </c>
      <c r="O2117" s="135">
        <v>4.7010779051335098E-2</v>
      </c>
      <c r="P2117" s="135">
        <v>4.4489904261028702E-2</v>
      </c>
      <c r="Q2117" s="135">
        <v>4.1961942195663099E-2</v>
      </c>
      <c r="R2117" s="135">
        <v>3.9925356757035603E-2</v>
      </c>
      <c r="S2117" s="135">
        <v>3.9918343999765502E-2</v>
      </c>
      <c r="T2117" s="135">
        <v>3.9006415466365997E-2</v>
      </c>
      <c r="U2117" s="135">
        <v>4.0018565372155097E-2</v>
      </c>
      <c r="V2117" s="135">
        <v>3.9148664027195003E-2</v>
      </c>
      <c r="W2117" s="135">
        <v>3.8797596733387299E-2</v>
      </c>
      <c r="X2117" s="135">
        <v>3.9955740683471103E-2</v>
      </c>
      <c r="Y2117" s="135">
        <v>4.1822901320133499E-2</v>
      </c>
      <c r="Z2117" s="135">
        <v>4.2866830304389203E-2</v>
      </c>
      <c r="AA2117" s="135">
        <v>4.8267942996821703E-2</v>
      </c>
      <c r="AB2117" s="135">
        <v>4.6335668033314799E-2</v>
      </c>
      <c r="AC2117" s="135">
        <v>4.4583089490291203E-2</v>
      </c>
      <c r="AD2117" s="135">
        <v>4.3936710095159502E-2</v>
      </c>
      <c r="AF2117" s="243">
        <f t="shared" si="41"/>
        <v>0.27877688455156757</v>
      </c>
      <c r="AG2117" s="275">
        <f t="shared" si="42"/>
        <v>0.5271000817159599</v>
      </c>
      <c r="AH2117" s="391">
        <f t="shared" si="43"/>
        <v>0.43671306737246468</v>
      </c>
      <c r="AI2117" s="135">
        <f t="shared" si="44"/>
        <v>0.96381314908842464</v>
      </c>
    </row>
    <row r="2118" spans="1:35" ht="12.6">
      <c r="A2118" s="10" t="s">
        <v>865</v>
      </c>
      <c r="B2118" s="10">
        <v>292</v>
      </c>
      <c r="C2118" s="10" t="s">
        <v>1515</v>
      </c>
      <c r="D2118" s="388">
        <v>45218</v>
      </c>
      <c r="E2118" s="389">
        <v>45218</v>
      </c>
      <c r="F2118" s="390" t="str">
        <f t="shared" si="40"/>
        <v>Whitegoods</v>
      </c>
      <c r="G2118" s="135">
        <v>3.9381167944555602E-2</v>
      </c>
      <c r="H2118" s="135">
        <v>3.4395068080626298E-2</v>
      </c>
      <c r="I2118" s="135">
        <v>3.2797612393347698E-2</v>
      </c>
      <c r="J2118" s="135">
        <v>3.2891604244034998E-2</v>
      </c>
      <c r="K2118" s="135">
        <v>3.2587993038964598E-2</v>
      </c>
      <c r="L2118" s="135">
        <v>3.3250142434698801E-2</v>
      </c>
      <c r="M2118" s="135">
        <v>3.6387108395412399E-2</v>
      </c>
      <c r="N2118" s="135">
        <v>4.40760017692719E-2</v>
      </c>
      <c r="O2118" s="135">
        <v>4.7010779051335098E-2</v>
      </c>
      <c r="P2118" s="135">
        <v>4.4489904261028702E-2</v>
      </c>
      <c r="Q2118" s="135">
        <v>4.1961942195663099E-2</v>
      </c>
      <c r="R2118" s="135">
        <v>3.9925356757035603E-2</v>
      </c>
      <c r="S2118" s="135">
        <v>3.9918343999765502E-2</v>
      </c>
      <c r="T2118" s="135">
        <v>3.9006415466365997E-2</v>
      </c>
      <c r="U2118" s="135">
        <v>4.0018565372155097E-2</v>
      </c>
      <c r="V2118" s="135">
        <v>3.9148664027195003E-2</v>
      </c>
      <c r="W2118" s="135">
        <v>3.8797596733387299E-2</v>
      </c>
      <c r="X2118" s="135">
        <v>3.9955740683471103E-2</v>
      </c>
      <c r="Y2118" s="135">
        <v>4.1822901320133499E-2</v>
      </c>
      <c r="Z2118" s="135">
        <v>4.2866830304389203E-2</v>
      </c>
      <c r="AA2118" s="135">
        <v>4.8267942996821703E-2</v>
      </c>
      <c r="AB2118" s="135">
        <v>4.6335668033314799E-2</v>
      </c>
      <c r="AC2118" s="135">
        <v>4.4583089490291203E-2</v>
      </c>
      <c r="AD2118" s="135">
        <v>4.3936710095159502E-2</v>
      </c>
      <c r="AF2118" s="243">
        <f t="shared" si="41"/>
        <v>0.27877688455156757</v>
      </c>
      <c r="AG2118" s="275">
        <f t="shared" si="42"/>
        <v>0.5271000817159599</v>
      </c>
      <c r="AH2118" s="391">
        <f t="shared" si="43"/>
        <v>0.43671306737246468</v>
      </c>
      <c r="AI2118" s="135">
        <f t="shared" si="44"/>
        <v>0.96381314908842464</v>
      </c>
    </row>
    <row r="2119" spans="1:35" ht="12.6">
      <c r="A2119" s="10" t="s">
        <v>865</v>
      </c>
      <c r="B2119" s="10">
        <v>293</v>
      </c>
      <c r="C2119" s="10" t="s">
        <v>1515</v>
      </c>
      <c r="D2119" s="388">
        <v>45219</v>
      </c>
      <c r="E2119" s="389">
        <v>45219</v>
      </c>
      <c r="F2119" s="390" t="str">
        <f t="shared" si="40"/>
        <v>Whitegoods</v>
      </c>
      <c r="G2119" s="135">
        <v>3.9381167944555602E-2</v>
      </c>
      <c r="H2119" s="135">
        <v>3.4395068080626298E-2</v>
      </c>
      <c r="I2119" s="135">
        <v>3.2797612393347698E-2</v>
      </c>
      <c r="J2119" s="135">
        <v>3.2891604244034998E-2</v>
      </c>
      <c r="K2119" s="135">
        <v>3.2587993038964598E-2</v>
      </c>
      <c r="L2119" s="135">
        <v>3.3250142434698801E-2</v>
      </c>
      <c r="M2119" s="135">
        <v>3.6387108395412399E-2</v>
      </c>
      <c r="N2119" s="135">
        <v>4.40760017692719E-2</v>
      </c>
      <c r="O2119" s="135">
        <v>4.7010779051335098E-2</v>
      </c>
      <c r="P2119" s="135">
        <v>4.4489904261028702E-2</v>
      </c>
      <c r="Q2119" s="135">
        <v>4.1961942195663099E-2</v>
      </c>
      <c r="R2119" s="135">
        <v>3.9925356757035603E-2</v>
      </c>
      <c r="S2119" s="135">
        <v>3.9918343999765502E-2</v>
      </c>
      <c r="T2119" s="135">
        <v>3.9006415466365997E-2</v>
      </c>
      <c r="U2119" s="135">
        <v>4.0018565372155097E-2</v>
      </c>
      <c r="V2119" s="135">
        <v>3.9148664027195003E-2</v>
      </c>
      <c r="W2119" s="135">
        <v>3.8797596733387299E-2</v>
      </c>
      <c r="X2119" s="135">
        <v>3.9955740683471103E-2</v>
      </c>
      <c r="Y2119" s="135">
        <v>4.1822901320133499E-2</v>
      </c>
      <c r="Z2119" s="135">
        <v>4.2866830304389203E-2</v>
      </c>
      <c r="AA2119" s="135">
        <v>4.8267942996821703E-2</v>
      </c>
      <c r="AB2119" s="135">
        <v>4.6335668033314799E-2</v>
      </c>
      <c r="AC2119" s="135">
        <v>4.4583089490291203E-2</v>
      </c>
      <c r="AD2119" s="135">
        <v>4.3936710095159502E-2</v>
      </c>
      <c r="AF2119" s="243">
        <f t="shared" si="41"/>
        <v>0.27877688455156757</v>
      </c>
      <c r="AG2119" s="275">
        <f t="shared" si="42"/>
        <v>0.5271000817159599</v>
      </c>
      <c r="AH2119" s="391">
        <f t="shared" si="43"/>
        <v>0.43671306737246468</v>
      </c>
      <c r="AI2119" s="135">
        <f t="shared" si="44"/>
        <v>0.96381314908842464</v>
      </c>
    </row>
    <row r="2120" spans="1:35" ht="12.6">
      <c r="A2120" s="10" t="s">
        <v>865</v>
      </c>
      <c r="B2120" s="10">
        <v>294</v>
      </c>
      <c r="C2120" s="10" t="s">
        <v>1515</v>
      </c>
      <c r="D2120" s="388">
        <v>45220</v>
      </c>
      <c r="E2120" s="389">
        <v>45220</v>
      </c>
      <c r="F2120" s="390" t="str">
        <f t="shared" si="40"/>
        <v>Whitegoods</v>
      </c>
      <c r="G2120" s="135">
        <v>3.8535262095771503E-2</v>
      </c>
      <c r="H2120" s="135">
        <v>3.5465927679192599E-2</v>
      </c>
      <c r="I2120" s="135">
        <v>3.3125984884627098E-2</v>
      </c>
      <c r="J2120" s="135">
        <v>3.29712181137162E-2</v>
      </c>
      <c r="K2120" s="135">
        <v>3.3144357596896303E-2</v>
      </c>
      <c r="L2120" s="135">
        <v>3.2563494598871298E-2</v>
      </c>
      <c r="M2120" s="135">
        <v>3.5586465002270203E-2</v>
      </c>
      <c r="N2120" s="135">
        <v>3.7260407524796299E-2</v>
      </c>
      <c r="O2120" s="135">
        <v>4.62859145861787E-2</v>
      </c>
      <c r="P2120" s="135">
        <v>5.7110893330062799E-2</v>
      </c>
      <c r="Q2120" s="135">
        <v>6.2575431461735595E-2</v>
      </c>
      <c r="R2120" s="135">
        <v>5.80935496211826E-2</v>
      </c>
      <c r="S2120" s="135">
        <v>5.4524523794811403E-2</v>
      </c>
      <c r="T2120" s="135">
        <v>5.3654928024098901E-2</v>
      </c>
      <c r="U2120" s="135">
        <v>4.8651547271370402E-2</v>
      </c>
      <c r="V2120" s="135">
        <v>4.8437758263377498E-2</v>
      </c>
      <c r="W2120" s="135">
        <v>4.7941556668017402E-2</v>
      </c>
      <c r="X2120" s="135">
        <v>4.6658721534051699E-2</v>
      </c>
      <c r="Y2120" s="135">
        <v>4.70658494655724E-2</v>
      </c>
      <c r="Z2120" s="135">
        <v>4.5920212807112497E-2</v>
      </c>
      <c r="AA2120" s="135">
        <v>4.8865623062725697E-2</v>
      </c>
      <c r="AB2120" s="135">
        <v>5.0090207667482699E-2</v>
      </c>
      <c r="AC2120" s="135">
        <v>4.4638219426981499E-2</v>
      </c>
      <c r="AD2120" s="135">
        <v>4.2418019103301098E-2</v>
      </c>
      <c r="AF2120" s="243">
        <f t="shared" si="41"/>
        <v>0.37387929510459383</v>
      </c>
      <c r="AG2120" s="275">
        <f t="shared" si="42"/>
        <v>0.58165926252330324</v>
      </c>
      <c r="AH2120" s="391">
        <f t="shared" si="43"/>
        <v>0.49992681106090092</v>
      </c>
      <c r="AI2120" s="135">
        <f t="shared" si="44"/>
        <v>1.0815860735842042</v>
      </c>
    </row>
    <row r="2121" spans="1:35" ht="12.6">
      <c r="A2121" s="10" t="s">
        <v>865</v>
      </c>
      <c r="B2121" s="10">
        <v>295</v>
      </c>
      <c r="C2121" s="10" t="s">
        <v>1515</v>
      </c>
      <c r="D2121" s="388">
        <v>45221</v>
      </c>
      <c r="E2121" s="389">
        <v>45221</v>
      </c>
      <c r="F2121" s="390" t="str">
        <f t="shared" si="40"/>
        <v>Whitegoods</v>
      </c>
      <c r="G2121" s="135">
        <v>3.8535262095771503E-2</v>
      </c>
      <c r="H2121" s="135">
        <v>3.5465927679192599E-2</v>
      </c>
      <c r="I2121" s="135">
        <v>3.3125984884627098E-2</v>
      </c>
      <c r="J2121" s="135">
        <v>3.29712181137162E-2</v>
      </c>
      <c r="K2121" s="135">
        <v>3.3144357596896303E-2</v>
      </c>
      <c r="L2121" s="135">
        <v>3.2563494598871298E-2</v>
      </c>
      <c r="M2121" s="135">
        <v>3.5586465002270203E-2</v>
      </c>
      <c r="N2121" s="135">
        <v>3.7260407524796299E-2</v>
      </c>
      <c r="O2121" s="135">
        <v>4.62859145861787E-2</v>
      </c>
      <c r="P2121" s="135">
        <v>5.7110893330062799E-2</v>
      </c>
      <c r="Q2121" s="135">
        <v>6.2575431461735595E-2</v>
      </c>
      <c r="R2121" s="135">
        <v>5.80935496211826E-2</v>
      </c>
      <c r="S2121" s="135">
        <v>5.4524523794811403E-2</v>
      </c>
      <c r="T2121" s="135">
        <v>5.3654928024098901E-2</v>
      </c>
      <c r="U2121" s="135">
        <v>4.8651547271370402E-2</v>
      </c>
      <c r="V2121" s="135">
        <v>4.8437758263377498E-2</v>
      </c>
      <c r="W2121" s="135">
        <v>4.7941556668017402E-2</v>
      </c>
      <c r="X2121" s="135">
        <v>4.6658721534051699E-2</v>
      </c>
      <c r="Y2121" s="135">
        <v>4.70658494655724E-2</v>
      </c>
      <c r="Z2121" s="135">
        <v>4.5920212807112497E-2</v>
      </c>
      <c r="AA2121" s="135">
        <v>4.8865623062725697E-2</v>
      </c>
      <c r="AB2121" s="135">
        <v>5.0090207667482699E-2</v>
      </c>
      <c r="AC2121" s="135">
        <v>4.4638219426981499E-2</v>
      </c>
      <c r="AD2121" s="135">
        <v>4.2418019103301098E-2</v>
      </c>
      <c r="AF2121" s="243">
        <f t="shared" si="41"/>
        <v>0.37387929510459383</v>
      </c>
      <c r="AG2121" s="275">
        <f t="shared" si="42"/>
        <v>0.58165926252330324</v>
      </c>
      <c r="AH2121" s="391">
        <f t="shared" si="43"/>
        <v>0.49992681106090092</v>
      </c>
      <c r="AI2121" s="135">
        <f t="shared" si="44"/>
        <v>1.0815860735842042</v>
      </c>
    </row>
    <row r="2122" spans="1:35" ht="12.6">
      <c r="A2122" s="10" t="s">
        <v>865</v>
      </c>
      <c r="B2122" s="10">
        <v>296</v>
      </c>
      <c r="C2122" s="10" t="s">
        <v>1515</v>
      </c>
      <c r="D2122" s="388">
        <v>45222</v>
      </c>
      <c r="E2122" s="389">
        <v>45222</v>
      </c>
      <c r="F2122" s="390" t="str">
        <f t="shared" si="40"/>
        <v>Whitegoods</v>
      </c>
      <c r="G2122" s="135">
        <v>3.9381167944555602E-2</v>
      </c>
      <c r="H2122" s="135">
        <v>3.4395068080626298E-2</v>
      </c>
      <c r="I2122" s="135">
        <v>3.2797612393347698E-2</v>
      </c>
      <c r="J2122" s="135">
        <v>3.2891604244034998E-2</v>
      </c>
      <c r="K2122" s="135">
        <v>3.2587993038964598E-2</v>
      </c>
      <c r="L2122" s="135">
        <v>3.3250142434698801E-2</v>
      </c>
      <c r="M2122" s="135">
        <v>3.6387108395412399E-2</v>
      </c>
      <c r="N2122" s="135">
        <v>4.40760017692719E-2</v>
      </c>
      <c r="O2122" s="135">
        <v>4.7010779051335098E-2</v>
      </c>
      <c r="P2122" s="135">
        <v>4.4489904261028702E-2</v>
      </c>
      <c r="Q2122" s="135">
        <v>4.1961942195663099E-2</v>
      </c>
      <c r="R2122" s="135">
        <v>3.9925356757035603E-2</v>
      </c>
      <c r="S2122" s="135">
        <v>3.9918343999765502E-2</v>
      </c>
      <c r="T2122" s="135">
        <v>3.9006415466365997E-2</v>
      </c>
      <c r="U2122" s="135">
        <v>4.0018565372155097E-2</v>
      </c>
      <c r="V2122" s="135">
        <v>3.9148664027195003E-2</v>
      </c>
      <c r="W2122" s="135">
        <v>3.8797596733387299E-2</v>
      </c>
      <c r="X2122" s="135">
        <v>3.9955740683471103E-2</v>
      </c>
      <c r="Y2122" s="135">
        <v>4.1822901320133499E-2</v>
      </c>
      <c r="Z2122" s="135">
        <v>4.2866830304389203E-2</v>
      </c>
      <c r="AA2122" s="135">
        <v>4.8267942996821703E-2</v>
      </c>
      <c r="AB2122" s="135">
        <v>4.6335668033314799E-2</v>
      </c>
      <c r="AC2122" s="135">
        <v>4.4583089490291203E-2</v>
      </c>
      <c r="AD2122" s="135">
        <v>4.3936710095159502E-2</v>
      </c>
      <c r="AF2122" s="243">
        <f t="shared" si="41"/>
        <v>0.27877688455156757</v>
      </c>
      <c r="AG2122" s="275">
        <f t="shared" si="42"/>
        <v>0.5271000817159599</v>
      </c>
      <c r="AH2122" s="391">
        <f t="shared" si="43"/>
        <v>0.43671306737246468</v>
      </c>
      <c r="AI2122" s="135">
        <f t="shared" si="44"/>
        <v>0.96381314908842464</v>
      </c>
    </row>
    <row r="2123" spans="1:35" ht="12.6">
      <c r="A2123" s="10" t="s">
        <v>865</v>
      </c>
      <c r="B2123" s="10">
        <v>297</v>
      </c>
      <c r="C2123" s="10" t="s">
        <v>1515</v>
      </c>
      <c r="D2123" s="388">
        <v>45223</v>
      </c>
      <c r="E2123" s="389">
        <v>45223</v>
      </c>
      <c r="F2123" s="390" t="str">
        <f t="shared" si="40"/>
        <v>Whitegoods</v>
      </c>
      <c r="G2123" s="135">
        <v>3.9381167944555602E-2</v>
      </c>
      <c r="H2123" s="135">
        <v>3.4395068080626298E-2</v>
      </c>
      <c r="I2123" s="135">
        <v>3.2797612393347698E-2</v>
      </c>
      <c r="J2123" s="135">
        <v>3.2891604244034998E-2</v>
      </c>
      <c r="K2123" s="135">
        <v>3.2587993038964598E-2</v>
      </c>
      <c r="L2123" s="135">
        <v>3.3250142434698801E-2</v>
      </c>
      <c r="M2123" s="135">
        <v>3.6387108395412399E-2</v>
      </c>
      <c r="N2123" s="135">
        <v>4.40760017692719E-2</v>
      </c>
      <c r="O2123" s="135">
        <v>4.7010779051335098E-2</v>
      </c>
      <c r="P2123" s="135">
        <v>4.4489904261028702E-2</v>
      </c>
      <c r="Q2123" s="135">
        <v>4.1961942195663099E-2</v>
      </c>
      <c r="R2123" s="135">
        <v>3.9925356757035603E-2</v>
      </c>
      <c r="S2123" s="135">
        <v>3.9918343999765502E-2</v>
      </c>
      <c r="T2123" s="135">
        <v>3.9006415466365997E-2</v>
      </c>
      <c r="U2123" s="135">
        <v>4.0018565372155097E-2</v>
      </c>
      <c r="V2123" s="135">
        <v>3.9148664027195003E-2</v>
      </c>
      <c r="W2123" s="135">
        <v>3.8797596733387299E-2</v>
      </c>
      <c r="X2123" s="135">
        <v>3.9955740683471103E-2</v>
      </c>
      <c r="Y2123" s="135">
        <v>4.1822901320133499E-2</v>
      </c>
      <c r="Z2123" s="135">
        <v>4.2866830304389203E-2</v>
      </c>
      <c r="AA2123" s="135">
        <v>4.8267942996821703E-2</v>
      </c>
      <c r="AB2123" s="135">
        <v>4.6335668033314799E-2</v>
      </c>
      <c r="AC2123" s="135">
        <v>4.4583089490291203E-2</v>
      </c>
      <c r="AD2123" s="135">
        <v>4.3936710095159502E-2</v>
      </c>
      <c r="AF2123" s="243">
        <f t="shared" si="41"/>
        <v>0.27877688455156757</v>
      </c>
      <c r="AG2123" s="275">
        <f t="shared" si="42"/>
        <v>0.5271000817159599</v>
      </c>
      <c r="AH2123" s="391">
        <f t="shared" si="43"/>
        <v>0.43671306737246468</v>
      </c>
      <c r="AI2123" s="135">
        <f t="shared" si="44"/>
        <v>0.96381314908842464</v>
      </c>
    </row>
    <row r="2124" spans="1:35" ht="12.6">
      <c r="A2124" s="10" t="s">
        <v>865</v>
      </c>
      <c r="B2124" s="10">
        <v>298</v>
      </c>
      <c r="C2124" s="10" t="s">
        <v>1515</v>
      </c>
      <c r="D2124" s="388">
        <v>45224</v>
      </c>
      <c r="E2124" s="389">
        <v>45224</v>
      </c>
      <c r="F2124" s="390" t="str">
        <f t="shared" si="40"/>
        <v>Whitegoods</v>
      </c>
      <c r="G2124" s="135">
        <v>3.9381167944555602E-2</v>
      </c>
      <c r="H2124" s="135">
        <v>3.4395068080626298E-2</v>
      </c>
      <c r="I2124" s="135">
        <v>3.2797612393347698E-2</v>
      </c>
      <c r="J2124" s="135">
        <v>3.2891604244034998E-2</v>
      </c>
      <c r="K2124" s="135">
        <v>3.2587993038964598E-2</v>
      </c>
      <c r="L2124" s="135">
        <v>3.3250142434698801E-2</v>
      </c>
      <c r="M2124" s="135">
        <v>3.6387108395412399E-2</v>
      </c>
      <c r="N2124" s="135">
        <v>4.40760017692719E-2</v>
      </c>
      <c r="O2124" s="135">
        <v>4.7010779051335098E-2</v>
      </c>
      <c r="P2124" s="135">
        <v>4.4489904261028702E-2</v>
      </c>
      <c r="Q2124" s="135">
        <v>4.1961942195663099E-2</v>
      </c>
      <c r="R2124" s="135">
        <v>3.9925356757035603E-2</v>
      </c>
      <c r="S2124" s="135">
        <v>3.9918343999765502E-2</v>
      </c>
      <c r="T2124" s="135">
        <v>3.9006415466365997E-2</v>
      </c>
      <c r="U2124" s="135">
        <v>4.0018565372155097E-2</v>
      </c>
      <c r="V2124" s="135">
        <v>3.9148664027195003E-2</v>
      </c>
      <c r="W2124" s="135">
        <v>3.8797596733387299E-2</v>
      </c>
      <c r="X2124" s="135">
        <v>3.9955740683471103E-2</v>
      </c>
      <c r="Y2124" s="135">
        <v>4.1822901320133499E-2</v>
      </c>
      <c r="Z2124" s="135">
        <v>4.2866830304389203E-2</v>
      </c>
      <c r="AA2124" s="135">
        <v>4.8267942996821703E-2</v>
      </c>
      <c r="AB2124" s="135">
        <v>4.6335668033314799E-2</v>
      </c>
      <c r="AC2124" s="135">
        <v>4.4583089490291203E-2</v>
      </c>
      <c r="AD2124" s="135">
        <v>4.3936710095159502E-2</v>
      </c>
      <c r="AF2124" s="243">
        <f t="shared" si="41"/>
        <v>0.27877688455156757</v>
      </c>
      <c r="AG2124" s="275">
        <f t="shared" si="42"/>
        <v>0.5271000817159599</v>
      </c>
      <c r="AH2124" s="391">
        <f t="shared" si="43"/>
        <v>0.43671306737246468</v>
      </c>
      <c r="AI2124" s="135">
        <f t="shared" si="44"/>
        <v>0.96381314908842464</v>
      </c>
    </row>
    <row r="2125" spans="1:35" ht="12.6">
      <c r="A2125" s="10" t="s">
        <v>865</v>
      </c>
      <c r="B2125" s="10">
        <v>299</v>
      </c>
      <c r="C2125" s="10" t="s">
        <v>1515</v>
      </c>
      <c r="D2125" s="388">
        <v>45225</v>
      </c>
      <c r="E2125" s="389">
        <v>45225</v>
      </c>
      <c r="F2125" s="390" t="str">
        <f t="shared" si="40"/>
        <v>Whitegoods</v>
      </c>
      <c r="G2125" s="135">
        <v>3.9381167944555602E-2</v>
      </c>
      <c r="H2125" s="135">
        <v>3.4395068080626298E-2</v>
      </c>
      <c r="I2125" s="135">
        <v>3.2797612393347698E-2</v>
      </c>
      <c r="J2125" s="135">
        <v>3.2891604244034998E-2</v>
      </c>
      <c r="K2125" s="135">
        <v>3.2587993038964598E-2</v>
      </c>
      <c r="L2125" s="135">
        <v>3.3250142434698801E-2</v>
      </c>
      <c r="M2125" s="135">
        <v>3.6387108395412399E-2</v>
      </c>
      <c r="N2125" s="135">
        <v>4.40760017692719E-2</v>
      </c>
      <c r="O2125" s="135">
        <v>4.7010779051335098E-2</v>
      </c>
      <c r="P2125" s="135">
        <v>4.4489904261028702E-2</v>
      </c>
      <c r="Q2125" s="135">
        <v>4.1961942195663099E-2</v>
      </c>
      <c r="R2125" s="135">
        <v>3.9925356757035603E-2</v>
      </c>
      <c r="S2125" s="135">
        <v>3.9918343999765502E-2</v>
      </c>
      <c r="T2125" s="135">
        <v>3.9006415466365997E-2</v>
      </c>
      <c r="U2125" s="135">
        <v>4.0018565372155097E-2</v>
      </c>
      <c r="V2125" s="135">
        <v>3.9148664027195003E-2</v>
      </c>
      <c r="W2125" s="135">
        <v>3.8797596733387299E-2</v>
      </c>
      <c r="X2125" s="135">
        <v>3.9955740683471103E-2</v>
      </c>
      <c r="Y2125" s="135">
        <v>4.1822901320133499E-2</v>
      </c>
      <c r="Z2125" s="135">
        <v>4.2866830304389203E-2</v>
      </c>
      <c r="AA2125" s="135">
        <v>4.8267942996821703E-2</v>
      </c>
      <c r="AB2125" s="135">
        <v>4.6335668033314799E-2</v>
      </c>
      <c r="AC2125" s="135">
        <v>4.4583089490291203E-2</v>
      </c>
      <c r="AD2125" s="135">
        <v>4.3936710095159502E-2</v>
      </c>
      <c r="AF2125" s="243">
        <f t="shared" si="41"/>
        <v>0.27877688455156757</v>
      </c>
      <c r="AG2125" s="275">
        <f t="shared" si="42"/>
        <v>0.5271000817159599</v>
      </c>
      <c r="AH2125" s="391">
        <f t="shared" si="43"/>
        <v>0.43671306737246468</v>
      </c>
      <c r="AI2125" s="135">
        <f t="shared" si="44"/>
        <v>0.96381314908842464</v>
      </c>
    </row>
    <row r="2126" spans="1:35" ht="12.6">
      <c r="A2126" s="10" t="s">
        <v>865</v>
      </c>
      <c r="B2126" s="10">
        <v>300</v>
      </c>
      <c r="C2126" s="10" t="s">
        <v>1515</v>
      </c>
      <c r="D2126" s="388">
        <v>45226</v>
      </c>
      <c r="E2126" s="389">
        <v>45226</v>
      </c>
      <c r="F2126" s="390" t="str">
        <f t="shared" si="40"/>
        <v>Whitegoods</v>
      </c>
      <c r="G2126" s="135">
        <v>3.9381167944555602E-2</v>
      </c>
      <c r="H2126" s="135">
        <v>3.4395068080626298E-2</v>
      </c>
      <c r="I2126" s="135">
        <v>3.2797612393347698E-2</v>
      </c>
      <c r="J2126" s="135">
        <v>3.2891604244034998E-2</v>
      </c>
      <c r="K2126" s="135">
        <v>3.2587993038964598E-2</v>
      </c>
      <c r="L2126" s="135">
        <v>3.3250142434698801E-2</v>
      </c>
      <c r="M2126" s="135">
        <v>3.6387108395412399E-2</v>
      </c>
      <c r="N2126" s="135">
        <v>4.40760017692719E-2</v>
      </c>
      <c r="O2126" s="135">
        <v>4.7010779051335098E-2</v>
      </c>
      <c r="P2126" s="135">
        <v>4.4489904261028702E-2</v>
      </c>
      <c r="Q2126" s="135">
        <v>4.1961942195663099E-2</v>
      </c>
      <c r="R2126" s="135">
        <v>3.9925356757035603E-2</v>
      </c>
      <c r="S2126" s="135">
        <v>3.9918343999765502E-2</v>
      </c>
      <c r="T2126" s="135">
        <v>3.9006415466365997E-2</v>
      </c>
      <c r="U2126" s="135">
        <v>4.0018565372155097E-2</v>
      </c>
      <c r="V2126" s="135">
        <v>3.9148664027195003E-2</v>
      </c>
      <c r="W2126" s="135">
        <v>3.8797596733387299E-2</v>
      </c>
      <c r="X2126" s="135">
        <v>3.9955740683471103E-2</v>
      </c>
      <c r="Y2126" s="135">
        <v>4.1822901320133499E-2</v>
      </c>
      <c r="Z2126" s="135">
        <v>4.2866830304389203E-2</v>
      </c>
      <c r="AA2126" s="135">
        <v>4.8267942996821703E-2</v>
      </c>
      <c r="AB2126" s="135">
        <v>4.6335668033314799E-2</v>
      </c>
      <c r="AC2126" s="135">
        <v>4.4583089490291203E-2</v>
      </c>
      <c r="AD2126" s="135">
        <v>4.3936710095159502E-2</v>
      </c>
      <c r="AF2126" s="243">
        <f t="shared" si="41"/>
        <v>0.27877688455156757</v>
      </c>
      <c r="AG2126" s="275">
        <f t="shared" si="42"/>
        <v>0.5271000817159599</v>
      </c>
      <c r="AH2126" s="391">
        <f t="shared" si="43"/>
        <v>0.43671306737246468</v>
      </c>
      <c r="AI2126" s="135">
        <f t="shared" si="44"/>
        <v>0.96381314908842464</v>
      </c>
    </row>
    <row r="2127" spans="1:35" ht="12.6">
      <c r="A2127" s="10" t="s">
        <v>865</v>
      </c>
      <c r="B2127" s="10">
        <v>301</v>
      </c>
      <c r="C2127" s="10" t="s">
        <v>1515</v>
      </c>
      <c r="D2127" s="388">
        <v>45227</v>
      </c>
      <c r="E2127" s="389">
        <v>45227</v>
      </c>
      <c r="F2127" s="390" t="str">
        <f t="shared" si="40"/>
        <v>Whitegoods</v>
      </c>
      <c r="G2127" s="135">
        <v>3.8535262095771503E-2</v>
      </c>
      <c r="H2127" s="135">
        <v>3.5465927679192599E-2</v>
      </c>
      <c r="I2127" s="135">
        <v>3.3125984884627098E-2</v>
      </c>
      <c r="J2127" s="135">
        <v>3.29712181137162E-2</v>
      </c>
      <c r="K2127" s="135">
        <v>3.3144357596896303E-2</v>
      </c>
      <c r="L2127" s="135">
        <v>3.2563494598871298E-2</v>
      </c>
      <c r="M2127" s="135">
        <v>3.5586465002270203E-2</v>
      </c>
      <c r="N2127" s="135">
        <v>3.7260407524796299E-2</v>
      </c>
      <c r="O2127" s="135">
        <v>4.62859145861787E-2</v>
      </c>
      <c r="P2127" s="135">
        <v>5.7110893330062799E-2</v>
      </c>
      <c r="Q2127" s="135">
        <v>6.2575431461735595E-2</v>
      </c>
      <c r="R2127" s="135">
        <v>5.80935496211826E-2</v>
      </c>
      <c r="S2127" s="135">
        <v>5.4524523794811403E-2</v>
      </c>
      <c r="T2127" s="135">
        <v>5.3654928024098901E-2</v>
      </c>
      <c r="U2127" s="135">
        <v>4.8651547271370402E-2</v>
      </c>
      <c r="V2127" s="135">
        <v>4.8437758263377498E-2</v>
      </c>
      <c r="W2127" s="135">
        <v>4.7941556668017402E-2</v>
      </c>
      <c r="X2127" s="135">
        <v>4.6658721534051699E-2</v>
      </c>
      <c r="Y2127" s="135">
        <v>4.70658494655724E-2</v>
      </c>
      <c r="Z2127" s="135">
        <v>4.5920212807112497E-2</v>
      </c>
      <c r="AA2127" s="135">
        <v>4.8865623062725697E-2</v>
      </c>
      <c r="AB2127" s="135">
        <v>5.0090207667482699E-2</v>
      </c>
      <c r="AC2127" s="135">
        <v>4.4638219426981499E-2</v>
      </c>
      <c r="AD2127" s="135">
        <v>4.2418019103301098E-2</v>
      </c>
      <c r="AF2127" s="243">
        <f t="shared" si="41"/>
        <v>0.37387929510459383</v>
      </c>
      <c r="AG2127" s="275">
        <f t="shared" si="42"/>
        <v>0.58165926252330324</v>
      </c>
      <c r="AH2127" s="391">
        <f t="shared" si="43"/>
        <v>0.49992681106090092</v>
      </c>
      <c r="AI2127" s="135">
        <f t="shared" si="44"/>
        <v>1.0815860735842042</v>
      </c>
    </row>
    <row r="2128" spans="1:35" ht="12.6">
      <c r="A2128" s="10" t="s">
        <v>865</v>
      </c>
      <c r="B2128" s="10">
        <v>302</v>
      </c>
      <c r="C2128" s="10" t="s">
        <v>1515</v>
      </c>
      <c r="D2128" s="388">
        <v>45228</v>
      </c>
      <c r="E2128" s="389">
        <v>45228</v>
      </c>
      <c r="F2128" s="390" t="str">
        <f t="shared" si="40"/>
        <v>Whitegoods</v>
      </c>
      <c r="G2128" s="135">
        <v>3.8535262095771503E-2</v>
      </c>
      <c r="H2128" s="135">
        <v>3.5465927679192599E-2</v>
      </c>
      <c r="I2128" s="135">
        <v>3.3125984884627098E-2</v>
      </c>
      <c r="J2128" s="135">
        <v>3.29712181137162E-2</v>
      </c>
      <c r="K2128" s="135">
        <v>3.3144357596896303E-2</v>
      </c>
      <c r="L2128" s="135">
        <v>3.2563494598871298E-2</v>
      </c>
      <c r="M2128" s="135">
        <v>3.5586465002270203E-2</v>
      </c>
      <c r="N2128" s="135">
        <v>3.7260407524796299E-2</v>
      </c>
      <c r="O2128" s="135">
        <v>4.62859145861787E-2</v>
      </c>
      <c r="P2128" s="135">
        <v>5.7110893330062799E-2</v>
      </c>
      <c r="Q2128" s="135">
        <v>6.2575431461735595E-2</v>
      </c>
      <c r="R2128" s="135">
        <v>5.80935496211826E-2</v>
      </c>
      <c r="S2128" s="135">
        <v>5.4524523794811403E-2</v>
      </c>
      <c r="T2128" s="135">
        <v>5.3654928024098901E-2</v>
      </c>
      <c r="U2128" s="135">
        <v>4.8651547271370402E-2</v>
      </c>
      <c r="V2128" s="135">
        <v>4.8437758263377498E-2</v>
      </c>
      <c r="W2128" s="135">
        <v>4.7941556668017402E-2</v>
      </c>
      <c r="X2128" s="135">
        <v>4.6658721534051699E-2</v>
      </c>
      <c r="Y2128" s="135">
        <v>4.70658494655724E-2</v>
      </c>
      <c r="Z2128" s="135">
        <v>4.5920212807112497E-2</v>
      </c>
      <c r="AA2128" s="135">
        <v>4.8865623062725697E-2</v>
      </c>
      <c r="AB2128" s="135">
        <v>5.0090207667482699E-2</v>
      </c>
      <c r="AC2128" s="135">
        <v>4.4638219426981499E-2</v>
      </c>
      <c r="AD2128" s="135">
        <v>4.2418019103301098E-2</v>
      </c>
      <c r="AF2128" s="243">
        <f t="shared" si="41"/>
        <v>0.37387929510459383</v>
      </c>
      <c r="AG2128" s="275">
        <f t="shared" si="42"/>
        <v>0.58165926252330324</v>
      </c>
      <c r="AH2128" s="391">
        <f t="shared" si="43"/>
        <v>0.49992681106090092</v>
      </c>
      <c r="AI2128" s="135">
        <f t="shared" si="44"/>
        <v>1.0815860735842042</v>
      </c>
    </row>
    <row r="2129" spans="1:35" ht="12.6">
      <c r="A2129" s="10" t="s">
        <v>865</v>
      </c>
      <c r="B2129" s="10">
        <v>303</v>
      </c>
      <c r="C2129" s="10" t="s">
        <v>1515</v>
      </c>
      <c r="D2129" s="388">
        <v>45229</v>
      </c>
      <c r="E2129" s="389">
        <v>45229</v>
      </c>
      <c r="F2129" s="390" t="str">
        <f t="shared" si="40"/>
        <v>Whitegoods</v>
      </c>
      <c r="G2129" s="135">
        <v>3.9381167944555602E-2</v>
      </c>
      <c r="H2129" s="135">
        <v>3.4395068080626298E-2</v>
      </c>
      <c r="I2129" s="135">
        <v>3.2797612393347698E-2</v>
      </c>
      <c r="J2129" s="135">
        <v>3.2891604244034998E-2</v>
      </c>
      <c r="K2129" s="135">
        <v>3.2587993038964598E-2</v>
      </c>
      <c r="L2129" s="135">
        <v>3.3250142434698801E-2</v>
      </c>
      <c r="M2129" s="135">
        <v>3.6387108395412399E-2</v>
      </c>
      <c r="N2129" s="135">
        <v>4.40760017692719E-2</v>
      </c>
      <c r="O2129" s="135">
        <v>4.7010779051335098E-2</v>
      </c>
      <c r="P2129" s="135">
        <v>4.4489904261028702E-2</v>
      </c>
      <c r="Q2129" s="135">
        <v>4.1961942195663099E-2</v>
      </c>
      <c r="R2129" s="135">
        <v>3.9925356757035603E-2</v>
      </c>
      <c r="S2129" s="135">
        <v>3.9918343999765502E-2</v>
      </c>
      <c r="T2129" s="135">
        <v>3.9006415466365997E-2</v>
      </c>
      <c r="U2129" s="135">
        <v>4.0018565372155097E-2</v>
      </c>
      <c r="V2129" s="135">
        <v>3.9148664027195003E-2</v>
      </c>
      <c r="W2129" s="135">
        <v>3.8797596733387299E-2</v>
      </c>
      <c r="X2129" s="135">
        <v>3.9955740683471103E-2</v>
      </c>
      <c r="Y2129" s="135">
        <v>4.1822901320133499E-2</v>
      </c>
      <c r="Z2129" s="135">
        <v>4.2866830304389203E-2</v>
      </c>
      <c r="AA2129" s="135">
        <v>4.8267942996821703E-2</v>
      </c>
      <c r="AB2129" s="135">
        <v>4.6335668033314799E-2</v>
      </c>
      <c r="AC2129" s="135">
        <v>4.4583089490291203E-2</v>
      </c>
      <c r="AD2129" s="135">
        <v>4.3936710095159502E-2</v>
      </c>
      <c r="AF2129" s="243">
        <f t="shared" si="41"/>
        <v>0.27877688455156757</v>
      </c>
      <c r="AG2129" s="275">
        <f t="shared" si="42"/>
        <v>0.5271000817159599</v>
      </c>
      <c r="AH2129" s="391">
        <f t="shared" si="43"/>
        <v>0.43671306737246468</v>
      </c>
      <c r="AI2129" s="135">
        <f t="shared" si="44"/>
        <v>0.96381314908842464</v>
      </c>
    </row>
    <row r="2130" spans="1:35" ht="12.6">
      <c r="A2130" s="10" t="s">
        <v>865</v>
      </c>
      <c r="B2130" s="10">
        <v>304</v>
      </c>
      <c r="C2130" s="10" t="s">
        <v>1515</v>
      </c>
      <c r="D2130" s="388">
        <v>45230</v>
      </c>
      <c r="E2130" s="389">
        <v>45230</v>
      </c>
      <c r="F2130" s="390" t="str">
        <f t="shared" si="40"/>
        <v>Whitegoods</v>
      </c>
      <c r="G2130" s="135">
        <v>3.9381167944555602E-2</v>
      </c>
      <c r="H2130" s="135">
        <v>3.4395068080626298E-2</v>
      </c>
      <c r="I2130" s="135">
        <v>3.2797612393347698E-2</v>
      </c>
      <c r="J2130" s="135">
        <v>3.2891604244034998E-2</v>
      </c>
      <c r="K2130" s="135">
        <v>3.2587993038964598E-2</v>
      </c>
      <c r="L2130" s="135">
        <v>3.3250142434698801E-2</v>
      </c>
      <c r="M2130" s="135">
        <v>3.6387108395412399E-2</v>
      </c>
      <c r="N2130" s="135">
        <v>4.40760017692719E-2</v>
      </c>
      <c r="O2130" s="135">
        <v>4.7010779051335098E-2</v>
      </c>
      <c r="P2130" s="135">
        <v>4.4489904261028702E-2</v>
      </c>
      <c r="Q2130" s="135">
        <v>4.1961942195663099E-2</v>
      </c>
      <c r="R2130" s="135">
        <v>3.9925356757035603E-2</v>
      </c>
      <c r="S2130" s="135">
        <v>3.9918343999765502E-2</v>
      </c>
      <c r="T2130" s="135">
        <v>3.9006415466365997E-2</v>
      </c>
      <c r="U2130" s="135">
        <v>4.0018565372155097E-2</v>
      </c>
      <c r="V2130" s="135">
        <v>3.9148664027195003E-2</v>
      </c>
      <c r="W2130" s="135">
        <v>3.8797596733387299E-2</v>
      </c>
      <c r="X2130" s="135">
        <v>3.9955740683471103E-2</v>
      </c>
      <c r="Y2130" s="135">
        <v>4.1822901320133499E-2</v>
      </c>
      <c r="Z2130" s="135">
        <v>4.2866830304389203E-2</v>
      </c>
      <c r="AA2130" s="135">
        <v>4.8267942996821703E-2</v>
      </c>
      <c r="AB2130" s="135">
        <v>4.6335668033314799E-2</v>
      </c>
      <c r="AC2130" s="135">
        <v>4.4583089490291203E-2</v>
      </c>
      <c r="AD2130" s="135">
        <v>4.3936710095159502E-2</v>
      </c>
      <c r="AF2130" s="243">
        <f t="shared" si="41"/>
        <v>0.27877688455156757</v>
      </c>
      <c r="AG2130" s="275">
        <f t="shared" si="42"/>
        <v>0.5271000817159599</v>
      </c>
      <c r="AH2130" s="391">
        <f t="shared" si="43"/>
        <v>0.43671306737246468</v>
      </c>
      <c r="AI2130" s="135">
        <f t="shared" si="44"/>
        <v>0.96381314908842464</v>
      </c>
    </row>
    <row r="2131" spans="1:35" ht="12.6">
      <c r="A2131" s="10" t="s">
        <v>865</v>
      </c>
      <c r="B2131" s="10">
        <v>305</v>
      </c>
      <c r="C2131" s="10" t="s">
        <v>1515</v>
      </c>
      <c r="D2131" s="388">
        <v>45231</v>
      </c>
      <c r="E2131" s="389">
        <v>45231</v>
      </c>
      <c r="F2131" s="390" t="str">
        <f t="shared" si="40"/>
        <v>Whitegoods</v>
      </c>
      <c r="G2131" s="135">
        <v>3.9381167944555602E-2</v>
      </c>
      <c r="H2131" s="135">
        <v>3.4395068080626298E-2</v>
      </c>
      <c r="I2131" s="135">
        <v>3.2797612393347698E-2</v>
      </c>
      <c r="J2131" s="135">
        <v>3.2891604244034998E-2</v>
      </c>
      <c r="K2131" s="135">
        <v>3.2587993038964598E-2</v>
      </c>
      <c r="L2131" s="135">
        <v>3.3250142434698801E-2</v>
      </c>
      <c r="M2131" s="135">
        <v>3.6387108395412399E-2</v>
      </c>
      <c r="N2131" s="135">
        <v>4.40760017692719E-2</v>
      </c>
      <c r="O2131" s="135">
        <v>4.7010779051335098E-2</v>
      </c>
      <c r="P2131" s="135">
        <v>4.4489904261028702E-2</v>
      </c>
      <c r="Q2131" s="135">
        <v>4.1961942195663099E-2</v>
      </c>
      <c r="R2131" s="135">
        <v>3.9925356757035603E-2</v>
      </c>
      <c r="S2131" s="135">
        <v>3.9918343999765502E-2</v>
      </c>
      <c r="T2131" s="135">
        <v>3.9006415466365997E-2</v>
      </c>
      <c r="U2131" s="135">
        <v>4.0018565372155097E-2</v>
      </c>
      <c r="V2131" s="135">
        <v>3.9148664027195003E-2</v>
      </c>
      <c r="W2131" s="135">
        <v>3.8797596733387299E-2</v>
      </c>
      <c r="X2131" s="135">
        <v>3.9955740683471103E-2</v>
      </c>
      <c r="Y2131" s="135">
        <v>4.1822901320133499E-2</v>
      </c>
      <c r="Z2131" s="135">
        <v>4.2866830304389203E-2</v>
      </c>
      <c r="AA2131" s="135">
        <v>4.8267942996821703E-2</v>
      </c>
      <c r="AB2131" s="135">
        <v>4.6335668033314799E-2</v>
      </c>
      <c r="AC2131" s="135">
        <v>4.4583089490291203E-2</v>
      </c>
      <c r="AD2131" s="135">
        <v>4.3936710095159502E-2</v>
      </c>
      <c r="AF2131" s="243">
        <f t="shared" si="41"/>
        <v>0.27877688455156757</v>
      </c>
      <c r="AG2131" s="275">
        <f t="shared" si="42"/>
        <v>0.5271000817159599</v>
      </c>
      <c r="AH2131" s="391">
        <f t="shared" si="43"/>
        <v>0.43671306737246468</v>
      </c>
      <c r="AI2131" s="135">
        <f t="shared" si="44"/>
        <v>0.96381314908842464</v>
      </c>
    </row>
    <row r="2132" spans="1:35" ht="12.6">
      <c r="A2132" s="10" t="s">
        <v>865</v>
      </c>
      <c r="B2132" s="10">
        <v>306</v>
      </c>
      <c r="C2132" s="10" t="s">
        <v>1515</v>
      </c>
      <c r="D2132" s="388">
        <v>45232</v>
      </c>
      <c r="E2132" s="389">
        <v>45232</v>
      </c>
      <c r="F2132" s="390" t="str">
        <f t="shared" si="40"/>
        <v>Whitegoods</v>
      </c>
      <c r="G2132" s="135">
        <v>3.9381167944555602E-2</v>
      </c>
      <c r="H2132" s="135">
        <v>3.4395068080626298E-2</v>
      </c>
      <c r="I2132" s="135">
        <v>3.2797612393347698E-2</v>
      </c>
      <c r="J2132" s="135">
        <v>3.2891604244034998E-2</v>
      </c>
      <c r="K2132" s="135">
        <v>3.2587993038964598E-2</v>
      </c>
      <c r="L2132" s="135">
        <v>3.3250142434698801E-2</v>
      </c>
      <c r="M2132" s="135">
        <v>3.6387108395412399E-2</v>
      </c>
      <c r="N2132" s="135">
        <v>4.40760017692719E-2</v>
      </c>
      <c r="O2132" s="135">
        <v>4.7010779051335098E-2</v>
      </c>
      <c r="P2132" s="135">
        <v>4.4489904261028702E-2</v>
      </c>
      <c r="Q2132" s="135">
        <v>4.1961942195663099E-2</v>
      </c>
      <c r="R2132" s="135">
        <v>3.9925356757035603E-2</v>
      </c>
      <c r="S2132" s="135">
        <v>3.9918343999765502E-2</v>
      </c>
      <c r="T2132" s="135">
        <v>3.9006415466365997E-2</v>
      </c>
      <c r="U2132" s="135">
        <v>4.0018565372155097E-2</v>
      </c>
      <c r="V2132" s="135">
        <v>3.9148664027195003E-2</v>
      </c>
      <c r="W2132" s="135">
        <v>3.8797596733387299E-2</v>
      </c>
      <c r="X2132" s="135">
        <v>3.9955740683471103E-2</v>
      </c>
      <c r="Y2132" s="135">
        <v>4.1822901320133499E-2</v>
      </c>
      <c r="Z2132" s="135">
        <v>4.2866830304389203E-2</v>
      </c>
      <c r="AA2132" s="135">
        <v>4.8267942996821703E-2</v>
      </c>
      <c r="AB2132" s="135">
        <v>4.6335668033314799E-2</v>
      </c>
      <c r="AC2132" s="135">
        <v>4.4583089490291203E-2</v>
      </c>
      <c r="AD2132" s="135">
        <v>4.3936710095159502E-2</v>
      </c>
      <c r="AF2132" s="243">
        <f t="shared" si="41"/>
        <v>0.27877688455156757</v>
      </c>
      <c r="AG2132" s="275">
        <f t="shared" si="42"/>
        <v>0.5271000817159599</v>
      </c>
      <c r="AH2132" s="391">
        <f t="shared" si="43"/>
        <v>0.43671306737246468</v>
      </c>
      <c r="AI2132" s="135">
        <f t="shared" si="44"/>
        <v>0.96381314908842464</v>
      </c>
    </row>
    <row r="2133" spans="1:35" ht="12.6">
      <c r="A2133" s="10" t="s">
        <v>865</v>
      </c>
      <c r="B2133" s="10">
        <v>307</v>
      </c>
      <c r="C2133" s="10" t="s">
        <v>1515</v>
      </c>
      <c r="D2133" s="388">
        <v>45233</v>
      </c>
      <c r="E2133" s="389">
        <v>45233</v>
      </c>
      <c r="F2133" s="390" t="str">
        <f t="shared" si="40"/>
        <v>Whitegoods</v>
      </c>
      <c r="G2133" s="135">
        <v>3.9381167944555602E-2</v>
      </c>
      <c r="H2133" s="135">
        <v>3.4395068080626298E-2</v>
      </c>
      <c r="I2133" s="135">
        <v>3.2797612393347698E-2</v>
      </c>
      <c r="J2133" s="135">
        <v>3.2891604244034998E-2</v>
      </c>
      <c r="K2133" s="135">
        <v>3.2587993038964598E-2</v>
      </c>
      <c r="L2133" s="135">
        <v>3.3250142434698801E-2</v>
      </c>
      <c r="M2133" s="135">
        <v>3.6387108395412399E-2</v>
      </c>
      <c r="N2133" s="135">
        <v>4.40760017692719E-2</v>
      </c>
      <c r="O2133" s="135">
        <v>4.7010779051335098E-2</v>
      </c>
      <c r="P2133" s="135">
        <v>4.4489904261028702E-2</v>
      </c>
      <c r="Q2133" s="135">
        <v>4.1961942195663099E-2</v>
      </c>
      <c r="R2133" s="135">
        <v>3.9925356757035603E-2</v>
      </c>
      <c r="S2133" s="135">
        <v>3.9918343999765502E-2</v>
      </c>
      <c r="T2133" s="135">
        <v>3.9006415466365997E-2</v>
      </c>
      <c r="U2133" s="135">
        <v>4.0018565372155097E-2</v>
      </c>
      <c r="V2133" s="135">
        <v>3.9148664027195003E-2</v>
      </c>
      <c r="W2133" s="135">
        <v>3.8797596733387299E-2</v>
      </c>
      <c r="X2133" s="135">
        <v>3.9955740683471103E-2</v>
      </c>
      <c r="Y2133" s="135">
        <v>4.1822901320133499E-2</v>
      </c>
      <c r="Z2133" s="135">
        <v>4.2866830304389203E-2</v>
      </c>
      <c r="AA2133" s="135">
        <v>4.8267942996821703E-2</v>
      </c>
      <c r="AB2133" s="135">
        <v>4.6335668033314799E-2</v>
      </c>
      <c r="AC2133" s="135">
        <v>4.4583089490291203E-2</v>
      </c>
      <c r="AD2133" s="135">
        <v>4.3936710095159502E-2</v>
      </c>
      <c r="AF2133" s="243">
        <f t="shared" si="41"/>
        <v>0.27877688455156757</v>
      </c>
      <c r="AG2133" s="275">
        <f t="shared" si="42"/>
        <v>0.5271000817159599</v>
      </c>
      <c r="AH2133" s="391">
        <f t="shared" si="43"/>
        <v>0.43671306737246468</v>
      </c>
      <c r="AI2133" s="135">
        <f t="shared" si="44"/>
        <v>0.96381314908842464</v>
      </c>
    </row>
    <row r="2134" spans="1:35" ht="12.6">
      <c r="A2134" s="10" t="s">
        <v>865</v>
      </c>
      <c r="B2134" s="10">
        <v>308</v>
      </c>
      <c r="C2134" s="10" t="s">
        <v>1515</v>
      </c>
      <c r="D2134" s="388">
        <v>45234</v>
      </c>
      <c r="E2134" s="389">
        <v>45234</v>
      </c>
      <c r="F2134" s="390" t="str">
        <f t="shared" si="40"/>
        <v>Whitegoods</v>
      </c>
      <c r="G2134" s="135">
        <v>3.8535262095771503E-2</v>
      </c>
      <c r="H2134" s="135">
        <v>3.5465927679192599E-2</v>
      </c>
      <c r="I2134" s="135">
        <v>3.3125984884627098E-2</v>
      </c>
      <c r="J2134" s="135">
        <v>3.29712181137162E-2</v>
      </c>
      <c r="K2134" s="135">
        <v>3.3144357596896303E-2</v>
      </c>
      <c r="L2134" s="135">
        <v>3.2563494598871298E-2</v>
      </c>
      <c r="M2134" s="135">
        <v>3.5586465002270203E-2</v>
      </c>
      <c r="N2134" s="135">
        <v>3.7260407524796299E-2</v>
      </c>
      <c r="O2134" s="135">
        <v>4.62859145861787E-2</v>
      </c>
      <c r="P2134" s="135">
        <v>5.7110893330062799E-2</v>
      </c>
      <c r="Q2134" s="135">
        <v>6.2575431461735595E-2</v>
      </c>
      <c r="R2134" s="135">
        <v>5.80935496211826E-2</v>
      </c>
      <c r="S2134" s="135">
        <v>5.4524523794811403E-2</v>
      </c>
      <c r="T2134" s="135">
        <v>5.3654928024098901E-2</v>
      </c>
      <c r="U2134" s="135">
        <v>4.8651547271370402E-2</v>
      </c>
      <c r="V2134" s="135">
        <v>4.8437758263377498E-2</v>
      </c>
      <c r="W2134" s="135">
        <v>4.7941556668017402E-2</v>
      </c>
      <c r="X2134" s="135">
        <v>4.6658721534051699E-2</v>
      </c>
      <c r="Y2134" s="135">
        <v>4.70658494655724E-2</v>
      </c>
      <c r="Z2134" s="135">
        <v>4.5920212807112497E-2</v>
      </c>
      <c r="AA2134" s="135">
        <v>4.8865623062725697E-2</v>
      </c>
      <c r="AB2134" s="135">
        <v>5.0090207667482699E-2</v>
      </c>
      <c r="AC2134" s="135">
        <v>4.4638219426981499E-2</v>
      </c>
      <c r="AD2134" s="135">
        <v>4.2418019103301098E-2</v>
      </c>
      <c r="AF2134" s="243">
        <f t="shared" si="41"/>
        <v>0.37387929510459383</v>
      </c>
      <c r="AG2134" s="275">
        <f t="shared" si="42"/>
        <v>0.58165926252330324</v>
      </c>
      <c r="AH2134" s="391">
        <f t="shared" si="43"/>
        <v>0.49992681106090092</v>
      </c>
      <c r="AI2134" s="135">
        <f t="shared" si="44"/>
        <v>1.0815860735842042</v>
      </c>
    </row>
    <row r="2135" spans="1:35" ht="12.6">
      <c r="A2135" s="10" t="s">
        <v>865</v>
      </c>
      <c r="B2135" s="10">
        <v>309</v>
      </c>
      <c r="C2135" s="10" t="s">
        <v>1515</v>
      </c>
      <c r="D2135" s="388">
        <v>45235</v>
      </c>
      <c r="E2135" s="389">
        <v>45235</v>
      </c>
      <c r="F2135" s="390" t="str">
        <f t="shared" si="40"/>
        <v>Whitegoods</v>
      </c>
      <c r="G2135" s="135">
        <v>3.8535262095771503E-2</v>
      </c>
      <c r="H2135" s="135">
        <v>3.5465927679192599E-2</v>
      </c>
      <c r="I2135" s="135">
        <v>3.3125984884627098E-2</v>
      </c>
      <c r="J2135" s="135">
        <v>3.29712181137162E-2</v>
      </c>
      <c r="K2135" s="135">
        <v>3.3144357596896303E-2</v>
      </c>
      <c r="L2135" s="135">
        <v>3.2563494598871298E-2</v>
      </c>
      <c r="M2135" s="135">
        <v>3.5586465002270203E-2</v>
      </c>
      <c r="N2135" s="135">
        <v>3.7260407524796299E-2</v>
      </c>
      <c r="O2135" s="135">
        <v>4.62859145861787E-2</v>
      </c>
      <c r="P2135" s="135">
        <v>5.7110893330062799E-2</v>
      </c>
      <c r="Q2135" s="135">
        <v>6.2575431461735595E-2</v>
      </c>
      <c r="R2135" s="135">
        <v>5.80935496211826E-2</v>
      </c>
      <c r="S2135" s="135">
        <v>5.4524523794811403E-2</v>
      </c>
      <c r="T2135" s="135">
        <v>5.3654928024098901E-2</v>
      </c>
      <c r="U2135" s="135">
        <v>4.8651547271370402E-2</v>
      </c>
      <c r="V2135" s="135">
        <v>4.8437758263377498E-2</v>
      </c>
      <c r="W2135" s="135">
        <v>4.7941556668017402E-2</v>
      </c>
      <c r="X2135" s="135">
        <v>4.6658721534051699E-2</v>
      </c>
      <c r="Y2135" s="135">
        <v>4.70658494655724E-2</v>
      </c>
      <c r="Z2135" s="135">
        <v>4.5920212807112497E-2</v>
      </c>
      <c r="AA2135" s="135">
        <v>4.8865623062725697E-2</v>
      </c>
      <c r="AB2135" s="135">
        <v>5.0090207667482699E-2</v>
      </c>
      <c r="AC2135" s="135">
        <v>4.4638219426981499E-2</v>
      </c>
      <c r="AD2135" s="135">
        <v>4.2418019103301098E-2</v>
      </c>
      <c r="AF2135" s="243">
        <f t="shared" si="41"/>
        <v>0.37387929510459383</v>
      </c>
      <c r="AG2135" s="275">
        <f t="shared" si="42"/>
        <v>0.58165926252330324</v>
      </c>
      <c r="AH2135" s="391">
        <f t="shared" si="43"/>
        <v>0.49992681106090092</v>
      </c>
      <c r="AI2135" s="135">
        <f t="shared" si="44"/>
        <v>1.0815860735842042</v>
      </c>
    </row>
    <row r="2136" spans="1:35" ht="12.6">
      <c r="A2136" s="10" t="s">
        <v>865</v>
      </c>
      <c r="B2136" s="10">
        <v>310</v>
      </c>
      <c r="C2136" s="10" t="s">
        <v>1515</v>
      </c>
      <c r="D2136" s="388">
        <v>45236</v>
      </c>
      <c r="E2136" s="389">
        <v>45236</v>
      </c>
      <c r="F2136" s="390" t="str">
        <f t="shared" si="40"/>
        <v>Whitegoods</v>
      </c>
      <c r="G2136" s="135">
        <v>3.9381167944555602E-2</v>
      </c>
      <c r="H2136" s="135">
        <v>3.4395068080626298E-2</v>
      </c>
      <c r="I2136" s="135">
        <v>3.2797612393347698E-2</v>
      </c>
      <c r="J2136" s="135">
        <v>3.2891604244034998E-2</v>
      </c>
      <c r="K2136" s="135">
        <v>3.2587993038964598E-2</v>
      </c>
      <c r="L2136" s="135">
        <v>3.3250142434698801E-2</v>
      </c>
      <c r="M2136" s="135">
        <v>3.6387108395412399E-2</v>
      </c>
      <c r="N2136" s="135">
        <v>4.40760017692719E-2</v>
      </c>
      <c r="O2136" s="135">
        <v>4.7010779051335098E-2</v>
      </c>
      <c r="P2136" s="135">
        <v>4.4489904261028702E-2</v>
      </c>
      <c r="Q2136" s="135">
        <v>4.1961942195663099E-2</v>
      </c>
      <c r="R2136" s="135">
        <v>3.9925356757035603E-2</v>
      </c>
      <c r="S2136" s="135">
        <v>3.9918343999765502E-2</v>
      </c>
      <c r="T2136" s="135">
        <v>3.9006415466365997E-2</v>
      </c>
      <c r="U2136" s="135">
        <v>4.0018565372155097E-2</v>
      </c>
      <c r="V2136" s="135">
        <v>3.9148664027195003E-2</v>
      </c>
      <c r="W2136" s="135">
        <v>3.8797596733387299E-2</v>
      </c>
      <c r="X2136" s="135">
        <v>3.9955740683471103E-2</v>
      </c>
      <c r="Y2136" s="135">
        <v>4.1822901320133499E-2</v>
      </c>
      <c r="Z2136" s="135">
        <v>4.2866830304389203E-2</v>
      </c>
      <c r="AA2136" s="135">
        <v>4.8267942996821703E-2</v>
      </c>
      <c r="AB2136" s="135">
        <v>4.6335668033314799E-2</v>
      </c>
      <c r="AC2136" s="135">
        <v>4.4583089490291203E-2</v>
      </c>
      <c r="AD2136" s="135">
        <v>4.3936710095159502E-2</v>
      </c>
      <c r="AF2136" s="243">
        <f t="shared" si="41"/>
        <v>0.27877688455156757</v>
      </c>
      <c r="AG2136" s="275">
        <f t="shared" si="42"/>
        <v>0.5271000817159599</v>
      </c>
      <c r="AH2136" s="391">
        <f t="shared" si="43"/>
        <v>0.43671306737246468</v>
      </c>
      <c r="AI2136" s="135">
        <f t="shared" si="44"/>
        <v>0.96381314908842464</v>
      </c>
    </row>
    <row r="2137" spans="1:35" ht="12.6">
      <c r="A2137" s="10" t="s">
        <v>865</v>
      </c>
      <c r="B2137" s="10">
        <v>311</v>
      </c>
      <c r="C2137" s="10" t="s">
        <v>1515</v>
      </c>
      <c r="D2137" s="388">
        <v>45237</v>
      </c>
      <c r="E2137" s="389">
        <v>45237</v>
      </c>
      <c r="F2137" s="390" t="str">
        <f t="shared" si="40"/>
        <v>Whitegoods</v>
      </c>
      <c r="G2137" s="135">
        <v>3.9381167944555602E-2</v>
      </c>
      <c r="H2137" s="135">
        <v>3.4395068080626298E-2</v>
      </c>
      <c r="I2137" s="135">
        <v>3.2797612393347698E-2</v>
      </c>
      <c r="J2137" s="135">
        <v>3.2891604244034998E-2</v>
      </c>
      <c r="K2137" s="135">
        <v>3.2587993038964598E-2</v>
      </c>
      <c r="L2137" s="135">
        <v>3.3250142434698801E-2</v>
      </c>
      <c r="M2137" s="135">
        <v>3.6387108395412399E-2</v>
      </c>
      <c r="N2137" s="135">
        <v>4.40760017692719E-2</v>
      </c>
      <c r="O2137" s="135">
        <v>4.7010779051335098E-2</v>
      </c>
      <c r="P2137" s="135">
        <v>4.4489904261028702E-2</v>
      </c>
      <c r="Q2137" s="135">
        <v>4.1961942195663099E-2</v>
      </c>
      <c r="R2137" s="135">
        <v>3.9925356757035603E-2</v>
      </c>
      <c r="S2137" s="135">
        <v>3.9918343999765502E-2</v>
      </c>
      <c r="T2137" s="135">
        <v>3.9006415466365997E-2</v>
      </c>
      <c r="U2137" s="135">
        <v>4.0018565372155097E-2</v>
      </c>
      <c r="V2137" s="135">
        <v>3.9148664027195003E-2</v>
      </c>
      <c r="W2137" s="135">
        <v>3.8797596733387299E-2</v>
      </c>
      <c r="X2137" s="135">
        <v>3.9955740683471103E-2</v>
      </c>
      <c r="Y2137" s="135">
        <v>4.1822901320133499E-2</v>
      </c>
      <c r="Z2137" s="135">
        <v>4.2866830304389203E-2</v>
      </c>
      <c r="AA2137" s="135">
        <v>4.8267942996821703E-2</v>
      </c>
      <c r="AB2137" s="135">
        <v>4.6335668033314799E-2</v>
      </c>
      <c r="AC2137" s="135">
        <v>4.4583089490291203E-2</v>
      </c>
      <c r="AD2137" s="135">
        <v>4.3936710095159502E-2</v>
      </c>
      <c r="AF2137" s="243">
        <f t="shared" si="41"/>
        <v>0.27877688455156757</v>
      </c>
      <c r="AG2137" s="275">
        <f t="shared" si="42"/>
        <v>0.5271000817159599</v>
      </c>
      <c r="AH2137" s="391">
        <f t="shared" si="43"/>
        <v>0.43671306737246468</v>
      </c>
      <c r="AI2137" s="135">
        <f t="shared" si="44"/>
        <v>0.96381314908842464</v>
      </c>
    </row>
    <row r="2138" spans="1:35" ht="12.6">
      <c r="A2138" s="10" t="s">
        <v>865</v>
      </c>
      <c r="B2138" s="10">
        <v>312</v>
      </c>
      <c r="C2138" s="10" t="s">
        <v>1515</v>
      </c>
      <c r="D2138" s="388">
        <v>45238</v>
      </c>
      <c r="E2138" s="389">
        <v>45238</v>
      </c>
      <c r="F2138" s="390" t="str">
        <f t="shared" si="40"/>
        <v>Whitegoods</v>
      </c>
      <c r="G2138" s="135">
        <v>3.9381167944555602E-2</v>
      </c>
      <c r="H2138" s="135">
        <v>3.4395068080626298E-2</v>
      </c>
      <c r="I2138" s="135">
        <v>3.2797612393347698E-2</v>
      </c>
      <c r="J2138" s="135">
        <v>3.2891604244034998E-2</v>
      </c>
      <c r="K2138" s="135">
        <v>3.2587993038964598E-2</v>
      </c>
      <c r="L2138" s="135">
        <v>3.3250142434698801E-2</v>
      </c>
      <c r="M2138" s="135">
        <v>3.6387108395412399E-2</v>
      </c>
      <c r="N2138" s="135">
        <v>4.40760017692719E-2</v>
      </c>
      <c r="O2138" s="135">
        <v>4.7010779051335098E-2</v>
      </c>
      <c r="P2138" s="135">
        <v>4.4489904261028702E-2</v>
      </c>
      <c r="Q2138" s="135">
        <v>4.1961942195663099E-2</v>
      </c>
      <c r="R2138" s="135">
        <v>3.9925356757035603E-2</v>
      </c>
      <c r="S2138" s="135">
        <v>3.9918343999765502E-2</v>
      </c>
      <c r="T2138" s="135">
        <v>3.9006415466365997E-2</v>
      </c>
      <c r="U2138" s="135">
        <v>4.0018565372155097E-2</v>
      </c>
      <c r="V2138" s="135">
        <v>3.9148664027195003E-2</v>
      </c>
      <c r="W2138" s="135">
        <v>3.8797596733387299E-2</v>
      </c>
      <c r="X2138" s="135">
        <v>3.9955740683471103E-2</v>
      </c>
      <c r="Y2138" s="135">
        <v>4.1822901320133499E-2</v>
      </c>
      <c r="Z2138" s="135">
        <v>4.2866830304389203E-2</v>
      </c>
      <c r="AA2138" s="135">
        <v>4.8267942996821703E-2</v>
      </c>
      <c r="AB2138" s="135">
        <v>4.6335668033314799E-2</v>
      </c>
      <c r="AC2138" s="135">
        <v>4.4583089490291203E-2</v>
      </c>
      <c r="AD2138" s="135">
        <v>4.3936710095159502E-2</v>
      </c>
      <c r="AF2138" s="243">
        <f t="shared" si="41"/>
        <v>0.27877688455156757</v>
      </c>
      <c r="AG2138" s="275">
        <f t="shared" si="42"/>
        <v>0.5271000817159599</v>
      </c>
      <c r="AH2138" s="391">
        <f t="shared" si="43"/>
        <v>0.43671306737246468</v>
      </c>
      <c r="AI2138" s="135">
        <f t="shared" si="44"/>
        <v>0.96381314908842464</v>
      </c>
    </row>
    <row r="2139" spans="1:35" ht="12.6">
      <c r="A2139" s="10" t="s">
        <v>865</v>
      </c>
      <c r="B2139" s="10">
        <v>313</v>
      </c>
      <c r="C2139" s="10" t="s">
        <v>1515</v>
      </c>
      <c r="D2139" s="388">
        <v>45239</v>
      </c>
      <c r="E2139" s="389">
        <v>45239</v>
      </c>
      <c r="F2139" s="390" t="str">
        <f t="shared" si="40"/>
        <v>Whitegoods</v>
      </c>
      <c r="G2139" s="135">
        <v>3.9381167944555602E-2</v>
      </c>
      <c r="H2139" s="135">
        <v>3.4395068080626298E-2</v>
      </c>
      <c r="I2139" s="135">
        <v>3.2797612393347698E-2</v>
      </c>
      <c r="J2139" s="135">
        <v>3.2891604244034998E-2</v>
      </c>
      <c r="K2139" s="135">
        <v>3.2587993038964598E-2</v>
      </c>
      <c r="L2139" s="135">
        <v>3.3250142434698801E-2</v>
      </c>
      <c r="M2139" s="135">
        <v>3.6387108395412399E-2</v>
      </c>
      <c r="N2139" s="135">
        <v>4.40760017692719E-2</v>
      </c>
      <c r="O2139" s="135">
        <v>4.7010779051335098E-2</v>
      </c>
      <c r="P2139" s="135">
        <v>4.4489904261028702E-2</v>
      </c>
      <c r="Q2139" s="135">
        <v>4.1961942195663099E-2</v>
      </c>
      <c r="R2139" s="135">
        <v>3.9925356757035603E-2</v>
      </c>
      <c r="S2139" s="135">
        <v>3.9918343999765502E-2</v>
      </c>
      <c r="T2139" s="135">
        <v>3.9006415466365997E-2</v>
      </c>
      <c r="U2139" s="135">
        <v>4.0018565372155097E-2</v>
      </c>
      <c r="V2139" s="135">
        <v>3.9148664027195003E-2</v>
      </c>
      <c r="W2139" s="135">
        <v>3.8797596733387299E-2</v>
      </c>
      <c r="X2139" s="135">
        <v>3.9955740683471103E-2</v>
      </c>
      <c r="Y2139" s="135">
        <v>4.1822901320133499E-2</v>
      </c>
      <c r="Z2139" s="135">
        <v>4.2866830304389203E-2</v>
      </c>
      <c r="AA2139" s="135">
        <v>4.8267942996821703E-2</v>
      </c>
      <c r="AB2139" s="135">
        <v>4.6335668033314799E-2</v>
      </c>
      <c r="AC2139" s="135">
        <v>4.4583089490291203E-2</v>
      </c>
      <c r="AD2139" s="135">
        <v>4.3936710095159502E-2</v>
      </c>
      <c r="AF2139" s="243">
        <f t="shared" si="41"/>
        <v>0.27877688455156757</v>
      </c>
      <c r="AG2139" s="275">
        <f t="shared" si="42"/>
        <v>0.5271000817159599</v>
      </c>
      <c r="AH2139" s="391">
        <f t="shared" si="43"/>
        <v>0.43671306737246468</v>
      </c>
      <c r="AI2139" s="135">
        <f t="shared" si="44"/>
        <v>0.96381314908842464</v>
      </c>
    </row>
    <row r="2140" spans="1:35" ht="12.6">
      <c r="A2140" s="10" t="s">
        <v>865</v>
      </c>
      <c r="B2140" s="10">
        <v>314</v>
      </c>
      <c r="C2140" s="10" t="s">
        <v>1515</v>
      </c>
      <c r="D2140" s="388">
        <v>45240</v>
      </c>
      <c r="E2140" s="389">
        <v>45240</v>
      </c>
      <c r="F2140" s="390" t="str">
        <f t="shared" si="40"/>
        <v>Whitegoods</v>
      </c>
      <c r="G2140" s="135">
        <v>3.9381167944555602E-2</v>
      </c>
      <c r="H2140" s="135">
        <v>3.4395068080626298E-2</v>
      </c>
      <c r="I2140" s="135">
        <v>3.2797612393347698E-2</v>
      </c>
      <c r="J2140" s="135">
        <v>3.2891604244034998E-2</v>
      </c>
      <c r="K2140" s="135">
        <v>3.2587993038964598E-2</v>
      </c>
      <c r="L2140" s="135">
        <v>3.3250142434698801E-2</v>
      </c>
      <c r="M2140" s="135">
        <v>3.6387108395412399E-2</v>
      </c>
      <c r="N2140" s="135">
        <v>4.40760017692719E-2</v>
      </c>
      <c r="O2140" s="135">
        <v>4.7010779051335098E-2</v>
      </c>
      <c r="P2140" s="135">
        <v>4.4489904261028702E-2</v>
      </c>
      <c r="Q2140" s="135">
        <v>4.1961942195663099E-2</v>
      </c>
      <c r="R2140" s="135">
        <v>3.9925356757035603E-2</v>
      </c>
      <c r="S2140" s="135">
        <v>3.9918343999765502E-2</v>
      </c>
      <c r="T2140" s="135">
        <v>3.9006415466365997E-2</v>
      </c>
      <c r="U2140" s="135">
        <v>4.0018565372155097E-2</v>
      </c>
      <c r="V2140" s="135">
        <v>3.9148664027195003E-2</v>
      </c>
      <c r="W2140" s="135">
        <v>3.8797596733387299E-2</v>
      </c>
      <c r="X2140" s="135">
        <v>3.9955740683471103E-2</v>
      </c>
      <c r="Y2140" s="135">
        <v>4.1822901320133499E-2</v>
      </c>
      <c r="Z2140" s="135">
        <v>4.2866830304389203E-2</v>
      </c>
      <c r="AA2140" s="135">
        <v>4.8267942996821703E-2</v>
      </c>
      <c r="AB2140" s="135">
        <v>4.6335668033314799E-2</v>
      </c>
      <c r="AC2140" s="135">
        <v>4.4583089490291203E-2</v>
      </c>
      <c r="AD2140" s="135">
        <v>4.3936710095159502E-2</v>
      </c>
      <c r="AF2140" s="243">
        <f t="shared" si="41"/>
        <v>0.27877688455156757</v>
      </c>
      <c r="AG2140" s="275">
        <f t="shared" si="42"/>
        <v>0.5271000817159599</v>
      </c>
      <c r="AH2140" s="391">
        <f t="shared" si="43"/>
        <v>0.43671306737246468</v>
      </c>
      <c r="AI2140" s="135">
        <f t="shared" si="44"/>
        <v>0.96381314908842464</v>
      </c>
    </row>
    <row r="2141" spans="1:35" ht="12.6">
      <c r="A2141" s="10" t="s">
        <v>865</v>
      </c>
      <c r="B2141" s="10">
        <v>315</v>
      </c>
      <c r="C2141" s="10" t="s">
        <v>1515</v>
      </c>
      <c r="D2141" s="388">
        <v>45241</v>
      </c>
      <c r="E2141" s="389">
        <v>45241</v>
      </c>
      <c r="F2141" s="390" t="str">
        <f t="shared" si="40"/>
        <v>Whitegoods</v>
      </c>
      <c r="G2141" s="135">
        <v>3.8535262095771503E-2</v>
      </c>
      <c r="H2141" s="135">
        <v>3.5465927679192599E-2</v>
      </c>
      <c r="I2141" s="135">
        <v>3.3125984884627098E-2</v>
      </c>
      <c r="J2141" s="135">
        <v>3.29712181137162E-2</v>
      </c>
      <c r="K2141" s="135">
        <v>3.3144357596896303E-2</v>
      </c>
      <c r="L2141" s="135">
        <v>3.2563494598871298E-2</v>
      </c>
      <c r="M2141" s="135">
        <v>3.5586465002270203E-2</v>
      </c>
      <c r="N2141" s="135">
        <v>3.7260407524796299E-2</v>
      </c>
      <c r="O2141" s="135">
        <v>4.62859145861787E-2</v>
      </c>
      <c r="P2141" s="135">
        <v>5.7110893330062799E-2</v>
      </c>
      <c r="Q2141" s="135">
        <v>6.2575431461735595E-2</v>
      </c>
      <c r="R2141" s="135">
        <v>5.80935496211826E-2</v>
      </c>
      <c r="S2141" s="135">
        <v>5.4524523794811403E-2</v>
      </c>
      <c r="T2141" s="135">
        <v>5.3654928024098901E-2</v>
      </c>
      <c r="U2141" s="135">
        <v>4.8651547271370402E-2</v>
      </c>
      <c r="V2141" s="135">
        <v>4.8437758263377498E-2</v>
      </c>
      <c r="W2141" s="135">
        <v>4.7941556668017402E-2</v>
      </c>
      <c r="X2141" s="135">
        <v>4.6658721534051699E-2</v>
      </c>
      <c r="Y2141" s="135">
        <v>4.70658494655724E-2</v>
      </c>
      <c r="Z2141" s="135">
        <v>4.5920212807112497E-2</v>
      </c>
      <c r="AA2141" s="135">
        <v>4.8865623062725697E-2</v>
      </c>
      <c r="AB2141" s="135">
        <v>5.0090207667482699E-2</v>
      </c>
      <c r="AC2141" s="135">
        <v>4.4638219426981499E-2</v>
      </c>
      <c r="AD2141" s="135">
        <v>4.2418019103301098E-2</v>
      </c>
      <c r="AF2141" s="243">
        <f t="shared" si="41"/>
        <v>0.37387929510459383</v>
      </c>
      <c r="AG2141" s="275">
        <f t="shared" si="42"/>
        <v>0.58165926252330324</v>
      </c>
      <c r="AH2141" s="391">
        <f t="shared" si="43"/>
        <v>0.49992681106090092</v>
      </c>
      <c r="AI2141" s="135">
        <f t="shared" si="44"/>
        <v>1.0815860735842042</v>
      </c>
    </row>
    <row r="2142" spans="1:35" ht="12.6">
      <c r="A2142" s="10" t="s">
        <v>865</v>
      </c>
      <c r="B2142" s="10">
        <v>316</v>
      </c>
      <c r="C2142" s="10" t="s">
        <v>1515</v>
      </c>
      <c r="D2142" s="388">
        <v>45242</v>
      </c>
      <c r="E2142" s="389">
        <v>45242</v>
      </c>
      <c r="F2142" s="390" t="str">
        <f t="shared" si="40"/>
        <v>Whitegoods</v>
      </c>
      <c r="G2142" s="135">
        <v>3.8535262095771503E-2</v>
      </c>
      <c r="H2142" s="135">
        <v>3.5465927679192599E-2</v>
      </c>
      <c r="I2142" s="135">
        <v>3.3125984884627098E-2</v>
      </c>
      <c r="J2142" s="135">
        <v>3.29712181137162E-2</v>
      </c>
      <c r="K2142" s="135">
        <v>3.3144357596896303E-2</v>
      </c>
      <c r="L2142" s="135">
        <v>3.2563494598871298E-2</v>
      </c>
      <c r="M2142" s="135">
        <v>3.5586465002270203E-2</v>
      </c>
      <c r="N2142" s="135">
        <v>3.7260407524796299E-2</v>
      </c>
      <c r="O2142" s="135">
        <v>4.62859145861787E-2</v>
      </c>
      <c r="P2142" s="135">
        <v>5.7110893330062799E-2</v>
      </c>
      <c r="Q2142" s="135">
        <v>6.2575431461735595E-2</v>
      </c>
      <c r="R2142" s="135">
        <v>5.80935496211826E-2</v>
      </c>
      <c r="S2142" s="135">
        <v>5.4524523794811403E-2</v>
      </c>
      <c r="T2142" s="135">
        <v>5.3654928024098901E-2</v>
      </c>
      <c r="U2142" s="135">
        <v>4.8651547271370402E-2</v>
      </c>
      <c r="V2142" s="135">
        <v>4.8437758263377498E-2</v>
      </c>
      <c r="W2142" s="135">
        <v>4.7941556668017402E-2</v>
      </c>
      <c r="X2142" s="135">
        <v>4.6658721534051699E-2</v>
      </c>
      <c r="Y2142" s="135">
        <v>4.70658494655724E-2</v>
      </c>
      <c r="Z2142" s="135">
        <v>4.5920212807112497E-2</v>
      </c>
      <c r="AA2142" s="135">
        <v>4.8865623062725697E-2</v>
      </c>
      <c r="AB2142" s="135">
        <v>5.0090207667482699E-2</v>
      </c>
      <c r="AC2142" s="135">
        <v>4.4638219426981499E-2</v>
      </c>
      <c r="AD2142" s="135">
        <v>4.2418019103301098E-2</v>
      </c>
      <c r="AF2142" s="243">
        <f t="shared" si="41"/>
        <v>0.37387929510459383</v>
      </c>
      <c r="AG2142" s="275">
        <f t="shared" si="42"/>
        <v>0.58165926252330324</v>
      </c>
      <c r="AH2142" s="391">
        <f t="shared" si="43"/>
        <v>0.49992681106090092</v>
      </c>
      <c r="AI2142" s="135">
        <f t="shared" si="44"/>
        <v>1.0815860735842042</v>
      </c>
    </row>
    <row r="2143" spans="1:35" ht="12.6">
      <c r="A2143" s="10" t="s">
        <v>865</v>
      </c>
      <c r="B2143" s="10">
        <v>317</v>
      </c>
      <c r="C2143" s="10" t="s">
        <v>1515</v>
      </c>
      <c r="D2143" s="388">
        <v>45243</v>
      </c>
      <c r="E2143" s="389">
        <v>45243</v>
      </c>
      <c r="F2143" s="390" t="str">
        <f t="shared" si="40"/>
        <v>Whitegoods</v>
      </c>
      <c r="G2143" s="135">
        <v>3.9381167944555602E-2</v>
      </c>
      <c r="H2143" s="135">
        <v>3.4395068080626298E-2</v>
      </c>
      <c r="I2143" s="135">
        <v>3.2797612393347698E-2</v>
      </c>
      <c r="J2143" s="135">
        <v>3.2891604244034998E-2</v>
      </c>
      <c r="K2143" s="135">
        <v>3.2587993038964598E-2</v>
      </c>
      <c r="L2143" s="135">
        <v>3.3250142434698801E-2</v>
      </c>
      <c r="M2143" s="135">
        <v>3.6387108395412399E-2</v>
      </c>
      <c r="N2143" s="135">
        <v>4.40760017692719E-2</v>
      </c>
      <c r="O2143" s="135">
        <v>4.7010779051335098E-2</v>
      </c>
      <c r="P2143" s="135">
        <v>4.4489904261028702E-2</v>
      </c>
      <c r="Q2143" s="135">
        <v>4.1961942195663099E-2</v>
      </c>
      <c r="R2143" s="135">
        <v>3.9925356757035603E-2</v>
      </c>
      <c r="S2143" s="135">
        <v>3.9918343999765502E-2</v>
      </c>
      <c r="T2143" s="135">
        <v>3.9006415466365997E-2</v>
      </c>
      <c r="U2143" s="135">
        <v>4.0018565372155097E-2</v>
      </c>
      <c r="V2143" s="135">
        <v>3.9148664027195003E-2</v>
      </c>
      <c r="W2143" s="135">
        <v>3.8797596733387299E-2</v>
      </c>
      <c r="X2143" s="135">
        <v>3.9955740683471103E-2</v>
      </c>
      <c r="Y2143" s="135">
        <v>4.1822901320133499E-2</v>
      </c>
      <c r="Z2143" s="135">
        <v>4.2866830304389203E-2</v>
      </c>
      <c r="AA2143" s="135">
        <v>4.8267942996821703E-2</v>
      </c>
      <c r="AB2143" s="135">
        <v>4.6335668033314799E-2</v>
      </c>
      <c r="AC2143" s="135">
        <v>4.4583089490291203E-2</v>
      </c>
      <c r="AD2143" s="135">
        <v>4.3936710095159502E-2</v>
      </c>
      <c r="AF2143" s="243">
        <f t="shared" si="41"/>
        <v>0.27877688455156757</v>
      </c>
      <c r="AG2143" s="275">
        <f t="shared" si="42"/>
        <v>0.5271000817159599</v>
      </c>
      <c r="AH2143" s="391">
        <f t="shared" si="43"/>
        <v>0.43671306737246468</v>
      </c>
      <c r="AI2143" s="135">
        <f t="shared" si="44"/>
        <v>0.96381314908842464</v>
      </c>
    </row>
    <row r="2144" spans="1:35" ht="12.6">
      <c r="A2144" s="10" t="s">
        <v>865</v>
      </c>
      <c r="B2144" s="10">
        <v>318</v>
      </c>
      <c r="C2144" s="10" t="s">
        <v>1515</v>
      </c>
      <c r="D2144" s="388">
        <v>45244</v>
      </c>
      <c r="E2144" s="389">
        <v>45244</v>
      </c>
      <c r="F2144" s="390" t="str">
        <f t="shared" si="40"/>
        <v>Whitegoods</v>
      </c>
      <c r="G2144" s="135">
        <v>3.9381167944555602E-2</v>
      </c>
      <c r="H2144" s="135">
        <v>3.4395068080626298E-2</v>
      </c>
      <c r="I2144" s="135">
        <v>3.2797612393347698E-2</v>
      </c>
      <c r="J2144" s="135">
        <v>3.2891604244034998E-2</v>
      </c>
      <c r="K2144" s="135">
        <v>3.2587993038964598E-2</v>
      </c>
      <c r="L2144" s="135">
        <v>3.3250142434698801E-2</v>
      </c>
      <c r="M2144" s="135">
        <v>3.6387108395412399E-2</v>
      </c>
      <c r="N2144" s="135">
        <v>4.40760017692719E-2</v>
      </c>
      <c r="O2144" s="135">
        <v>4.7010779051335098E-2</v>
      </c>
      <c r="P2144" s="135">
        <v>4.4489904261028702E-2</v>
      </c>
      <c r="Q2144" s="135">
        <v>4.1961942195663099E-2</v>
      </c>
      <c r="R2144" s="135">
        <v>3.9925356757035603E-2</v>
      </c>
      <c r="S2144" s="135">
        <v>3.9918343999765502E-2</v>
      </c>
      <c r="T2144" s="135">
        <v>3.9006415466365997E-2</v>
      </c>
      <c r="U2144" s="135">
        <v>4.0018565372155097E-2</v>
      </c>
      <c r="V2144" s="135">
        <v>3.9148664027195003E-2</v>
      </c>
      <c r="W2144" s="135">
        <v>3.8797596733387299E-2</v>
      </c>
      <c r="X2144" s="135">
        <v>3.9955740683471103E-2</v>
      </c>
      <c r="Y2144" s="135">
        <v>4.1822901320133499E-2</v>
      </c>
      <c r="Z2144" s="135">
        <v>4.2866830304389203E-2</v>
      </c>
      <c r="AA2144" s="135">
        <v>4.8267942996821703E-2</v>
      </c>
      <c r="AB2144" s="135">
        <v>4.6335668033314799E-2</v>
      </c>
      <c r="AC2144" s="135">
        <v>4.4583089490291203E-2</v>
      </c>
      <c r="AD2144" s="135">
        <v>4.3936710095159502E-2</v>
      </c>
      <c r="AF2144" s="243">
        <f t="shared" si="41"/>
        <v>0.27877688455156757</v>
      </c>
      <c r="AG2144" s="275">
        <f t="shared" si="42"/>
        <v>0.5271000817159599</v>
      </c>
      <c r="AH2144" s="391">
        <f t="shared" si="43"/>
        <v>0.43671306737246468</v>
      </c>
      <c r="AI2144" s="135">
        <f t="shared" si="44"/>
        <v>0.96381314908842464</v>
      </c>
    </row>
    <row r="2145" spans="1:35" ht="12.6">
      <c r="A2145" s="10" t="s">
        <v>865</v>
      </c>
      <c r="B2145" s="10">
        <v>319</v>
      </c>
      <c r="C2145" s="10" t="s">
        <v>1515</v>
      </c>
      <c r="D2145" s="388">
        <v>45245</v>
      </c>
      <c r="E2145" s="389">
        <v>45245</v>
      </c>
      <c r="F2145" s="390" t="str">
        <f t="shared" si="40"/>
        <v>Whitegoods</v>
      </c>
      <c r="G2145" s="135">
        <v>3.9381167944555602E-2</v>
      </c>
      <c r="H2145" s="135">
        <v>3.4395068080626298E-2</v>
      </c>
      <c r="I2145" s="135">
        <v>3.2797612393347698E-2</v>
      </c>
      <c r="J2145" s="135">
        <v>3.2891604244034998E-2</v>
      </c>
      <c r="K2145" s="135">
        <v>3.2587993038964598E-2</v>
      </c>
      <c r="L2145" s="135">
        <v>3.3250142434698801E-2</v>
      </c>
      <c r="M2145" s="135">
        <v>3.6387108395412399E-2</v>
      </c>
      <c r="N2145" s="135">
        <v>4.40760017692719E-2</v>
      </c>
      <c r="O2145" s="135">
        <v>4.7010779051335098E-2</v>
      </c>
      <c r="P2145" s="135">
        <v>4.4489904261028702E-2</v>
      </c>
      <c r="Q2145" s="135">
        <v>4.1961942195663099E-2</v>
      </c>
      <c r="R2145" s="135">
        <v>3.9925356757035603E-2</v>
      </c>
      <c r="S2145" s="135">
        <v>3.9918343999765502E-2</v>
      </c>
      <c r="T2145" s="135">
        <v>3.9006415466365997E-2</v>
      </c>
      <c r="U2145" s="135">
        <v>4.0018565372155097E-2</v>
      </c>
      <c r="V2145" s="135">
        <v>3.9148664027195003E-2</v>
      </c>
      <c r="W2145" s="135">
        <v>3.8797596733387299E-2</v>
      </c>
      <c r="X2145" s="135">
        <v>3.9955740683471103E-2</v>
      </c>
      <c r="Y2145" s="135">
        <v>4.1822901320133499E-2</v>
      </c>
      <c r="Z2145" s="135">
        <v>4.2866830304389203E-2</v>
      </c>
      <c r="AA2145" s="135">
        <v>4.8267942996821703E-2</v>
      </c>
      <c r="AB2145" s="135">
        <v>4.6335668033314799E-2</v>
      </c>
      <c r="AC2145" s="135">
        <v>4.4583089490291203E-2</v>
      </c>
      <c r="AD2145" s="135">
        <v>4.3936710095159502E-2</v>
      </c>
      <c r="AF2145" s="243">
        <f t="shared" si="41"/>
        <v>0.27877688455156757</v>
      </c>
      <c r="AG2145" s="275">
        <f t="shared" si="42"/>
        <v>0.5271000817159599</v>
      </c>
      <c r="AH2145" s="391">
        <f t="shared" si="43"/>
        <v>0.43671306737246468</v>
      </c>
      <c r="AI2145" s="135">
        <f t="shared" si="44"/>
        <v>0.96381314908842464</v>
      </c>
    </row>
    <row r="2146" spans="1:35" ht="12.6">
      <c r="A2146" s="10" t="s">
        <v>865</v>
      </c>
      <c r="B2146" s="10">
        <v>320</v>
      </c>
      <c r="C2146" s="10" t="s">
        <v>1515</v>
      </c>
      <c r="D2146" s="388">
        <v>45246</v>
      </c>
      <c r="E2146" s="389">
        <v>45246</v>
      </c>
      <c r="F2146" s="390" t="str">
        <f t="shared" si="40"/>
        <v>Whitegoods</v>
      </c>
      <c r="G2146" s="135">
        <v>3.9381167944555602E-2</v>
      </c>
      <c r="H2146" s="135">
        <v>3.4395068080626298E-2</v>
      </c>
      <c r="I2146" s="135">
        <v>3.2797612393347698E-2</v>
      </c>
      <c r="J2146" s="135">
        <v>3.2891604244034998E-2</v>
      </c>
      <c r="K2146" s="135">
        <v>3.2587993038964598E-2</v>
      </c>
      <c r="L2146" s="135">
        <v>3.3250142434698801E-2</v>
      </c>
      <c r="M2146" s="135">
        <v>3.6387108395412399E-2</v>
      </c>
      <c r="N2146" s="135">
        <v>4.40760017692719E-2</v>
      </c>
      <c r="O2146" s="135">
        <v>4.7010779051335098E-2</v>
      </c>
      <c r="P2146" s="135">
        <v>4.4489904261028702E-2</v>
      </c>
      <c r="Q2146" s="135">
        <v>4.1961942195663099E-2</v>
      </c>
      <c r="R2146" s="135">
        <v>3.9925356757035603E-2</v>
      </c>
      <c r="S2146" s="135">
        <v>3.9918343999765502E-2</v>
      </c>
      <c r="T2146" s="135">
        <v>3.9006415466365997E-2</v>
      </c>
      <c r="U2146" s="135">
        <v>4.0018565372155097E-2</v>
      </c>
      <c r="V2146" s="135">
        <v>3.9148664027195003E-2</v>
      </c>
      <c r="W2146" s="135">
        <v>3.8797596733387299E-2</v>
      </c>
      <c r="X2146" s="135">
        <v>3.9955740683471103E-2</v>
      </c>
      <c r="Y2146" s="135">
        <v>4.1822901320133499E-2</v>
      </c>
      <c r="Z2146" s="135">
        <v>4.2866830304389203E-2</v>
      </c>
      <c r="AA2146" s="135">
        <v>4.8267942996821703E-2</v>
      </c>
      <c r="AB2146" s="135">
        <v>4.6335668033314799E-2</v>
      </c>
      <c r="AC2146" s="135">
        <v>4.4583089490291203E-2</v>
      </c>
      <c r="AD2146" s="135">
        <v>4.3936710095159502E-2</v>
      </c>
      <c r="AF2146" s="243">
        <f t="shared" si="41"/>
        <v>0.27877688455156757</v>
      </c>
      <c r="AG2146" s="275">
        <f t="shared" si="42"/>
        <v>0.5271000817159599</v>
      </c>
      <c r="AH2146" s="391">
        <f t="shared" si="43"/>
        <v>0.43671306737246468</v>
      </c>
      <c r="AI2146" s="135">
        <f t="shared" si="44"/>
        <v>0.96381314908842464</v>
      </c>
    </row>
    <row r="2147" spans="1:35" ht="12.6">
      <c r="A2147" s="10" t="s">
        <v>865</v>
      </c>
      <c r="B2147" s="10">
        <v>321</v>
      </c>
      <c r="C2147" s="10" t="s">
        <v>1515</v>
      </c>
      <c r="D2147" s="388">
        <v>45247</v>
      </c>
      <c r="E2147" s="389">
        <v>45247</v>
      </c>
      <c r="F2147" s="390" t="str">
        <f t="shared" si="40"/>
        <v>Whitegoods</v>
      </c>
      <c r="G2147" s="135">
        <v>3.9381167944555602E-2</v>
      </c>
      <c r="H2147" s="135">
        <v>3.4395068080626298E-2</v>
      </c>
      <c r="I2147" s="135">
        <v>3.2797612393347698E-2</v>
      </c>
      <c r="J2147" s="135">
        <v>3.2891604244034998E-2</v>
      </c>
      <c r="K2147" s="135">
        <v>3.2587993038964598E-2</v>
      </c>
      <c r="L2147" s="135">
        <v>3.3250142434698801E-2</v>
      </c>
      <c r="M2147" s="135">
        <v>3.6387108395412399E-2</v>
      </c>
      <c r="N2147" s="135">
        <v>4.40760017692719E-2</v>
      </c>
      <c r="O2147" s="135">
        <v>4.7010779051335098E-2</v>
      </c>
      <c r="P2147" s="135">
        <v>4.4489904261028702E-2</v>
      </c>
      <c r="Q2147" s="135">
        <v>4.1961942195663099E-2</v>
      </c>
      <c r="R2147" s="135">
        <v>3.9925356757035603E-2</v>
      </c>
      <c r="S2147" s="135">
        <v>3.9918343999765502E-2</v>
      </c>
      <c r="T2147" s="135">
        <v>3.9006415466365997E-2</v>
      </c>
      <c r="U2147" s="135">
        <v>4.0018565372155097E-2</v>
      </c>
      <c r="V2147" s="135">
        <v>3.9148664027195003E-2</v>
      </c>
      <c r="W2147" s="135">
        <v>3.8797596733387299E-2</v>
      </c>
      <c r="X2147" s="135">
        <v>3.9955740683471103E-2</v>
      </c>
      <c r="Y2147" s="135">
        <v>4.1822901320133499E-2</v>
      </c>
      <c r="Z2147" s="135">
        <v>4.2866830304389203E-2</v>
      </c>
      <c r="AA2147" s="135">
        <v>4.8267942996821703E-2</v>
      </c>
      <c r="AB2147" s="135">
        <v>4.6335668033314799E-2</v>
      </c>
      <c r="AC2147" s="135">
        <v>4.4583089490291203E-2</v>
      </c>
      <c r="AD2147" s="135">
        <v>4.3936710095159502E-2</v>
      </c>
      <c r="AF2147" s="243">
        <f t="shared" si="41"/>
        <v>0.27877688455156757</v>
      </c>
      <c r="AG2147" s="275">
        <f t="shared" si="42"/>
        <v>0.5271000817159599</v>
      </c>
      <c r="AH2147" s="391">
        <f t="shared" si="43"/>
        <v>0.43671306737246468</v>
      </c>
      <c r="AI2147" s="135">
        <f t="shared" si="44"/>
        <v>0.96381314908842464</v>
      </c>
    </row>
    <row r="2148" spans="1:35" ht="12.6">
      <c r="A2148" s="10" t="s">
        <v>865</v>
      </c>
      <c r="B2148" s="10">
        <v>322</v>
      </c>
      <c r="C2148" s="10" t="s">
        <v>1515</v>
      </c>
      <c r="D2148" s="388">
        <v>45248</v>
      </c>
      <c r="E2148" s="389">
        <v>45248</v>
      </c>
      <c r="F2148" s="390" t="str">
        <f t="shared" si="40"/>
        <v>Whitegoods</v>
      </c>
      <c r="G2148" s="135">
        <v>3.8535262095771503E-2</v>
      </c>
      <c r="H2148" s="135">
        <v>3.5465927679192599E-2</v>
      </c>
      <c r="I2148" s="135">
        <v>3.3125984884627098E-2</v>
      </c>
      <c r="J2148" s="135">
        <v>3.29712181137162E-2</v>
      </c>
      <c r="K2148" s="135">
        <v>3.3144357596896303E-2</v>
      </c>
      <c r="L2148" s="135">
        <v>3.2563494598871298E-2</v>
      </c>
      <c r="M2148" s="135">
        <v>3.5586465002270203E-2</v>
      </c>
      <c r="N2148" s="135">
        <v>3.7260407524796299E-2</v>
      </c>
      <c r="O2148" s="135">
        <v>4.62859145861787E-2</v>
      </c>
      <c r="P2148" s="135">
        <v>5.7110893330062799E-2</v>
      </c>
      <c r="Q2148" s="135">
        <v>6.2575431461735595E-2</v>
      </c>
      <c r="R2148" s="135">
        <v>5.80935496211826E-2</v>
      </c>
      <c r="S2148" s="135">
        <v>5.4524523794811403E-2</v>
      </c>
      <c r="T2148" s="135">
        <v>5.3654928024098901E-2</v>
      </c>
      <c r="U2148" s="135">
        <v>4.8651547271370402E-2</v>
      </c>
      <c r="V2148" s="135">
        <v>4.8437758263377498E-2</v>
      </c>
      <c r="W2148" s="135">
        <v>4.7941556668017402E-2</v>
      </c>
      <c r="X2148" s="135">
        <v>4.6658721534051699E-2</v>
      </c>
      <c r="Y2148" s="135">
        <v>4.70658494655724E-2</v>
      </c>
      <c r="Z2148" s="135">
        <v>4.5920212807112497E-2</v>
      </c>
      <c r="AA2148" s="135">
        <v>4.8865623062725697E-2</v>
      </c>
      <c r="AB2148" s="135">
        <v>5.0090207667482699E-2</v>
      </c>
      <c r="AC2148" s="135">
        <v>4.4638219426981499E-2</v>
      </c>
      <c r="AD2148" s="135">
        <v>4.2418019103301098E-2</v>
      </c>
      <c r="AF2148" s="243">
        <f t="shared" si="41"/>
        <v>0.37387929510459383</v>
      </c>
      <c r="AG2148" s="275">
        <f t="shared" si="42"/>
        <v>0.58165926252330324</v>
      </c>
      <c r="AH2148" s="391">
        <f t="shared" si="43"/>
        <v>0.49992681106090092</v>
      </c>
      <c r="AI2148" s="135">
        <f t="shared" si="44"/>
        <v>1.0815860735842042</v>
      </c>
    </row>
    <row r="2149" spans="1:35" ht="12.6">
      <c r="A2149" s="10" t="s">
        <v>865</v>
      </c>
      <c r="B2149" s="10">
        <v>323</v>
      </c>
      <c r="C2149" s="10" t="s">
        <v>1515</v>
      </c>
      <c r="D2149" s="388">
        <v>45249</v>
      </c>
      <c r="E2149" s="389">
        <v>45249</v>
      </c>
      <c r="F2149" s="390" t="str">
        <f t="shared" si="40"/>
        <v>Whitegoods</v>
      </c>
      <c r="G2149" s="135">
        <v>3.8535262095771503E-2</v>
      </c>
      <c r="H2149" s="135">
        <v>3.5465927679192599E-2</v>
      </c>
      <c r="I2149" s="135">
        <v>3.3125984884627098E-2</v>
      </c>
      <c r="J2149" s="135">
        <v>3.29712181137162E-2</v>
      </c>
      <c r="K2149" s="135">
        <v>3.3144357596896303E-2</v>
      </c>
      <c r="L2149" s="135">
        <v>3.2563494598871298E-2</v>
      </c>
      <c r="M2149" s="135">
        <v>3.5586465002270203E-2</v>
      </c>
      <c r="N2149" s="135">
        <v>3.7260407524796299E-2</v>
      </c>
      <c r="O2149" s="135">
        <v>4.62859145861787E-2</v>
      </c>
      <c r="P2149" s="135">
        <v>5.7110893330062799E-2</v>
      </c>
      <c r="Q2149" s="135">
        <v>6.2575431461735595E-2</v>
      </c>
      <c r="R2149" s="135">
        <v>5.80935496211826E-2</v>
      </c>
      <c r="S2149" s="135">
        <v>5.4524523794811403E-2</v>
      </c>
      <c r="T2149" s="135">
        <v>5.3654928024098901E-2</v>
      </c>
      <c r="U2149" s="135">
        <v>4.8651547271370402E-2</v>
      </c>
      <c r="V2149" s="135">
        <v>4.8437758263377498E-2</v>
      </c>
      <c r="W2149" s="135">
        <v>4.7941556668017402E-2</v>
      </c>
      <c r="X2149" s="135">
        <v>4.6658721534051699E-2</v>
      </c>
      <c r="Y2149" s="135">
        <v>4.70658494655724E-2</v>
      </c>
      <c r="Z2149" s="135">
        <v>4.5920212807112497E-2</v>
      </c>
      <c r="AA2149" s="135">
        <v>4.8865623062725697E-2</v>
      </c>
      <c r="AB2149" s="135">
        <v>5.0090207667482699E-2</v>
      </c>
      <c r="AC2149" s="135">
        <v>4.4638219426981499E-2</v>
      </c>
      <c r="AD2149" s="135">
        <v>4.2418019103301098E-2</v>
      </c>
      <c r="AF2149" s="243">
        <f t="shared" si="41"/>
        <v>0.37387929510459383</v>
      </c>
      <c r="AG2149" s="275">
        <f t="shared" si="42"/>
        <v>0.58165926252330324</v>
      </c>
      <c r="AH2149" s="391">
        <f t="shared" si="43"/>
        <v>0.49992681106090092</v>
      </c>
      <c r="AI2149" s="135">
        <f t="shared" si="44"/>
        <v>1.0815860735842042</v>
      </c>
    </row>
    <row r="2150" spans="1:35" ht="12.6">
      <c r="A2150" s="10" t="s">
        <v>865</v>
      </c>
      <c r="B2150" s="10">
        <v>324</v>
      </c>
      <c r="C2150" s="10" t="s">
        <v>1515</v>
      </c>
      <c r="D2150" s="388">
        <v>45250</v>
      </c>
      <c r="E2150" s="389">
        <v>45250</v>
      </c>
      <c r="F2150" s="390" t="str">
        <f t="shared" si="40"/>
        <v>Whitegoods</v>
      </c>
      <c r="G2150" s="135">
        <v>3.9381167944555602E-2</v>
      </c>
      <c r="H2150" s="135">
        <v>3.4395068080626298E-2</v>
      </c>
      <c r="I2150" s="135">
        <v>3.2797612393347698E-2</v>
      </c>
      <c r="J2150" s="135">
        <v>3.2891604244034998E-2</v>
      </c>
      <c r="K2150" s="135">
        <v>3.2587993038964598E-2</v>
      </c>
      <c r="L2150" s="135">
        <v>3.3250142434698801E-2</v>
      </c>
      <c r="M2150" s="135">
        <v>3.6387108395412399E-2</v>
      </c>
      <c r="N2150" s="135">
        <v>4.40760017692719E-2</v>
      </c>
      <c r="O2150" s="135">
        <v>4.7010779051335098E-2</v>
      </c>
      <c r="P2150" s="135">
        <v>4.4489904261028702E-2</v>
      </c>
      <c r="Q2150" s="135">
        <v>4.1961942195663099E-2</v>
      </c>
      <c r="R2150" s="135">
        <v>3.9925356757035603E-2</v>
      </c>
      <c r="S2150" s="135">
        <v>3.9918343999765502E-2</v>
      </c>
      <c r="T2150" s="135">
        <v>3.9006415466365997E-2</v>
      </c>
      <c r="U2150" s="135">
        <v>4.0018565372155097E-2</v>
      </c>
      <c r="V2150" s="135">
        <v>3.9148664027195003E-2</v>
      </c>
      <c r="W2150" s="135">
        <v>3.8797596733387299E-2</v>
      </c>
      <c r="X2150" s="135">
        <v>3.9955740683471103E-2</v>
      </c>
      <c r="Y2150" s="135">
        <v>4.1822901320133499E-2</v>
      </c>
      <c r="Z2150" s="135">
        <v>4.2866830304389203E-2</v>
      </c>
      <c r="AA2150" s="135">
        <v>4.8267942996821703E-2</v>
      </c>
      <c r="AB2150" s="135">
        <v>4.6335668033314799E-2</v>
      </c>
      <c r="AC2150" s="135">
        <v>4.4583089490291203E-2</v>
      </c>
      <c r="AD2150" s="135">
        <v>4.3936710095159502E-2</v>
      </c>
      <c r="AF2150" s="243">
        <f t="shared" si="41"/>
        <v>0.27877688455156757</v>
      </c>
      <c r="AG2150" s="275">
        <f t="shared" si="42"/>
        <v>0.5271000817159599</v>
      </c>
      <c r="AH2150" s="391">
        <f t="shared" si="43"/>
        <v>0.43671306737246468</v>
      </c>
      <c r="AI2150" s="135">
        <f t="shared" si="44"/>
        <v>0.96381314908842464</v>
      </c>
    </row>
    <row r="2151" spans="1:35" ht="12.6">
      <c r="A2151" s="10" t="s">
        <v>865</v>
      </c>
      <c r="B2151" s="10">
        <v>325</v>
      </c>
      <c r="C2151" s="10" t="s">
        <v>1515</v>
      </c>
      <c r="D2151" s="388">
        <v>45251</v>
      </c>
      <c r="E2151" s="389">
        <v>45251</v>
      </c>
      <c r="F2151" s="390" t="str">
        <f t="shared" si="40"/>
        <v>Whitegoods</v>
      </c>
      <c r="G2151" s="135">
        <v>3.9381167944555602E-2</v>
      </c>
      <c r="H2151" s="135">
        <v>3.4395068080626298E-2</v>
      </c>
      <c r="I2151" s="135">
        <v>3.2797612393347698E-2</v>
      </c>
      <c r="J2151" s="135">
        <v>3.2891604244034998E-2</v>
      </c>
      <c r="K2151" s="135">
        <v>3.2587993038964598E-2</v>
      </c>
      <c r="L2151" s="135">
        <v>3.3250142434698801E-2</v>
      </c>
      <c r="M2151" s="135">
        <v>3.6387108395412399E-2</v>
      </c>
      <c r="N2151" s="135">
        <v>4.40760017692719E-2</v>
      </c>
      <c r="O2151" s="135">
        <v>4.7010779051335098E-2</v>
      </c>
      <c r="P2151" s="135">
        <v>4.4489904261028702E-2</v>
      </c>
      <c r="Q2151" s="135">
        <v>4.1961942195663099E-2</v>
      </c>
      <c r="R2151" s="135">
        <v>3.9925356757035603E-2</v>
      </c>
      <c r="S2151" s="135">
        <v>3.9918343999765502E-2</v>
      </c>
      <c r="T2151" s="135">
        <v>3.9006415466365997E-2</v>
      </c>
      <c r="U2151" s="135">
        <v>4.0018565372155097E-2</v>
      </c>
      <c r="V2151" s="135">
        <v>3.9148664027195003E-2</v>
      </c>
      <c r="W2151" s="135">
        <v>3.8797596733387299E-2</v>
      </c>
      <c r="X2151" s="135">
        <v>3.9955740683471103E-2</v>
      </c>
      <c r="Y2151" s="135">
        <v>4.1822901320133499E-2</v>
      </c>
      <c r="Z2151" s="135">
        <v>4.2866830304389203E-2</v>
      </c>
      <c r="AA2151" s="135">
        <v>4.8267942996821703E-2</v>
      </c>
      <c r="AB2151" s="135">
        <v>4.6335668033314799E-2</v>
      </c>
      <c r="AC2151" s="135">
        <v>4.4583089490291203E-2</v>
      </c>
      <c r="AD2151" s="135">
        <v>4.3936710095159502E-2</v>
      </c>
      <c r="AF2151" s="243">
        <f t="shared" si="41"/>
        <v>0.27877688455156757</v>
      </c>
      <c r="AG2151" s="275">
        <f t="shared" si="42"/>
        <v>0.5271000817159599</v>
      </c>
      <c r="AH2151" s="391">
        <f t="shared" si="43"/>
        <v>0.43671306737246468</v>
      </c>
      <c r="AI2151" s="135">
        <f t="shared" si="44"/>
        <v>0.96381314908842464</v>
      </c>
    </row>
    <row r="2152" spans="1:35" ht="12.6">
      <c r="A2152" s="10" t="s">
        <v>865</v>
      </c>
      <c r="B2152" s="10">
        <v>326</v>
      </c>
      <c r="C2152" s="10" t="s">
        <v>1515</v>
      </c>
      <c r="D2152" s="388">
        <v>45252</v>
      </c>
      <c r="E2152" s="389">
        <v>45252</v>
      </c>
      <c r="F2152" s="390" t="str">
        <f t="shared" si="40"/>
        <v>Whitegoods</v>
      </c>
      <c r="G2152" s="135">
        <v>3.9381167944555602E-2</v>
      </c>
      <c r="H2152" s="135">
        <v>3.4395068080626298E-2</v>
      </c>
      <c r="I2152" s="135">
        <v>3.2797612393347698E-2</v>
      </c>
      <c r="J2152" s="135">
        <v>3.2891604244034998E-2</v>
      </c>
      <c r="K2152" s="135">
        <v>3.2587993038964598E-2</v>
      </c>
      <c r="L2152" s="135">
        <v>3.3250142434698801E-2</v>
      </c>
      <c r="M2152" s="135">
        <v>3.6387108395412399E-2</v>
      </c>
      <c r="N2152" s="135">
        <v>4.40760017692719E-2</v>
      </c>
      <c r="O2152" s="135">
        <v>4.7010779051335098E-2</v>
      </c>
      <c r="P2152" s="135">
        <v>4.4489904261028702E-2</v>
      </c>
      <c r="Q2152" s="135">
        <v>4.1961942195663099E-2</v>
      </c>
      <c r="R2152" s="135">
        <v>3.9925356757035603E-2</v>
      </c>
      <c r="S2152" s="135">
        <v>3.9918343999765502E-2</v>
      </c>
      <c r="T2152" s="135">
        <v>3.9006415466365997E-2</v>
      </c>
      <c r="U2152" s="135">
        <v>4.0018565372155097E-2</v>
      </c>
      <c r="V2152" s="135">
        <v>3.9148664027195003E-2</v>
      </c>
      <c r="W2152" s="135">
        <v>3.8797596733387299E-2</v>
      </c>
      <c r="X2152" s="135">
        <v>3.9955740683471103E-2</v>
      </c>
      <c r="Y2152" s="135">
        <v>4.1822901320133499E-2</v>
      </c>
      <c r="Z2152" s="135">
        <v>4.2866830304389203E-2</v>
      </c>
      <c r="AA2152" s="135">
        <v>4.8267942996821703E-2</v>
      </c>
      <c r="AB2152" s="135">
        <v>4.6335668033314799E-2</v>
      </c>
      <c r="AC2152" s="135">
        <v>4.4583089490291203E-2</v>
      </c>
      <c r="AD2152" s="135">
        <v>4.3936710095159502E-2</v>
      </c>
      <c r="AF2152" s="243">
        <f t="shared" si="41"/>
        <v>0.27877688455156757</v>
      </c>
      <c r="AG2152" s="275">
        <f t="shared" si="42"/>
        <v>0.5271000817159599</v>
      </c>
      <c r="AH2152" s="391">
        <f t="shared" si="43"/>
        <v>0.43671306737246468</v>
      </c>
      <c r="AI2152" s="135">
        <f t="shared" si="44"/>
        <v>0.96381314908842464</v>
      </c>
    </row>
    <row r="2153" spans="1:35" ht="12.6">
      <c r="A2153" s="10" t="s">
        <v>865</v>
      </c>
      <c r="B2153" s="10">
        <v>327</v>
      </c>
      <c r="C2153" s="10" t="s">
        <v>1515</v>
      </c>
      <c r="D2153" s="388">
        <v>45253</v>
      </c>
      <c r="E2153" s="389">
        <v>45253</v>
      </c>
      <c r="F2153" s="390" t="str">
        <f t="shared" si="40"/>
        <v>Whitegoods</v>
      </c>
      <c r="G2153" s="135">
        <v>3.9381167944555602E-2</v>
      </c>
      <c r="H2153" s="135">
        <v>3.4395068080626298E-2</v>
      </c>
      <c r="I2153" s="135">
        <v>3.2797612393347698E-2</v>
      </c>
      <c r="J2153" s="135">
        <v>3.2891604244034998E-2</v>
      </c>
      <c r="K2153" s="135">
        <v>3.2587993038964598E-2</v>
      </c>
      <c r="L2153" s="135">
        <v>3.3250142434698801E-2</v>
      </c>
      <c r="M2153" s="135">
        <v>3.6387108395412399E-2</v>
      </c>
      <c r="N2153" s="135">
        <v>4.40760017692719E-2</v>
      </c>
      <c r="O2153" s="135">
        <v>4.7010779051335098E-2</v>
      </c>
      <c r="P2153" s="135">
        <v>4.4489904261028702E-2</v>
      </c>
      <c r="Q2153" s="135">
        <v>4.1961942195663099E-2</v>
      </c>
      <c r="R2153" s="135">
        <v>3.9925356757035603E-2</v>
      </c>
      <c r="S2153" s="135">
        <v>3.9918343999765502E-2</v>
      </c>
      <c r="T2153" s="135">
        <v>3.9006415466365997E-2</v>
      </c>
      <c r="U2153" s="135">
        <v>4.0018565372155097E-2</v>
      </c>
      <c r="V2153" s="135">
        <v>3.9148664027195003E-2</v>
      </c>
      <c r="W2153" s="135">
        <v>3.8797596733387299E-2</v>
      </c>
      <c r="X2153" s="135">
        <v>3.9955740683471103E-2</v>
      </c>
      <c r="Y2153" s="135">
        <v>4.1822901320133499E-2</v>
      </c>
      <c r="Z2153" s="135">
        <v>4.2866830304389203E-2</v>
      </c>
      <c r="AA2153" s="135">
        <v>4.8267942996821703E-2</v>
      </c>
      <c r="AB2153" s="135">
        <v>4.6335668033314799E-2</v>
      </c>
      <c r="AC2153" s="135">
        <v>4.4583089490291203E-2</v>
      </c>
      <c r="AD2153" s="135">
        <v>4.3936710095159502E-2</v>
      </c>
      <c r="AF2153" s="243">
        <f t="shared" si="41"/>
        <v>0.27877688455156757</v>
      </c>
      <c r="AG2153" s="275">
        <f t="shared" si="42"/>
        <v>0.5271000817159599</v>
      </c>
      <c r="AH2153" s="391">
        <f t="shared" si="43"/>
        <v>0.43671306737246468</v>
      </c>
      <c r="AI2153" s="135">
        <f t="shared" si="44"/>
        <v>0.96381314908842464</v>
      </c>
    </row>
    <row r="2154" spans="1:35" ht="12.6">
      <c r="A2154" s="10" t="s">
        <v>865</v>
      </c>
      <c r="B2154" s="10">
        <v>328</v>
      </c>
      <c r="C2154" s="10" t="s">
        <v>1515</v>
      </c>
      <c r="D2154" s="388">
        <v>45254</v>
      </c>
      <c r="E2154" s="389">
        <v>45254</v>
      </c>
      <c r="F2154" s="390" t="str">
        <f t="shared" si="40"/>
        <v>Whitegoods</v>
      </c>
      <c r="G2154" s="135">
        <v>3.9381167944555602E-2</v>
      </c>
      <c r="H2154" s="135">
        <v>3.4395068080626298E-2</v>
      </c>
      <c r="I2154" s="135">
        <v>3.2797612393347698E-2</v>
      </c>
      <c r="J2154" s="135">
        <v>3.2891604244034998E-2</v>
      </c>
      <c r="K2154" s="135">
        <v>3.2587993038964598E-2</v>
      </c>
      <c r="L2154" s="135">
        <v>3.3250142434698801E-2</v>
      </c>
      <c r="M2154" s="135">
        <v>3.6387108395412399E-2</v>
      </c>
      <c r="N2154" s="135">
        <v>4.40760017692719E-2</v>
      </c>
      <c r="O2154" s="135">
        <v>4.7010779051335098E-2</v>
      </c>
      <c r="P2154" s="135">
        <v>4.4489904261028702E-2</v>
      </c>
      <c r="Q2154" s="135">
        <v>4.1961942195663099E-2</v>
      </c>
      <c r="R2154" s="135">
        <v>3.9925356757035603E-2</v>
      </c>
      <c r="S2154" s="135">
        <v>3.9918343999765502E-2</v>
      </c>
      <c r="T2154" s="135">
        <v>3.9006415466365997E-2</v>
      </c>
      <c r="U2154" s="135">
        <v>4.0018565372155097E-2</v>
      </c>
      <c r="V2154" s="135">
        <v>3.9148664027195003E-2</v>
      </c>
      <c r="W2154" s="135">
        <v>3.8797596733387299E-2</v>
      </c>
      <c r="X2154" s="135">
        <v>3.9955740683471103E-2</v>
      </c>
      <c r="Y2154" s="135">
        <v>4.1822901320133499E-2</v>
      </c>
      <c r="Z2154" s="135">
        <v>4.2866830304389203E-2</v>
      </c>
      <c r="AA2154" s="135">
        <v>4.8267942996821703E-2</v>
      </c>
      <c r="AB2154" s="135">
        <v>4.6335668033314799E-2</v>
      </c>
      <c r="AC2154" s="135">
        <v>4.4583089490291203E-2</v>
      </c>
      <c r="AD2154" s="135">
        <v>4.3936710095159502E-2</v>
      </c>
      <c r="AF2154" s="243">
        <f t="shared" si="41"/>
        <v>0.27877688455156757</v>
      </c>
      <c r="AG2154" s="275">
        <f t="shared" si="42"/>
        <v>0.5271000817159599</v>
      </c>
      <c r="AH2154" s="391">
        <f t="shared" si="43"/>
        <v>0.43671306737246468</v>
      </c>
      <c r="AI2154" s="135">
        <f t="shared" si="44"/>
        <v>0.96381314908842464</v>
      </c>
    </row>
    <row r="2155" spans="1:35" ht="12.6">
      <c r="A2155" s="10" t="s">
        <v>865</v>
      </c>
      <c r="B2155" s="10">
        <v>329</v>
      </c>
      <c r="C2155" s="10" t="s">
        <v>1515</v>
      </c>
      <c r="D2155" s="388">
        <v>45255</v>
      </c>
      <c r="E2155" s="389">
        <v>45255</v>
      </c>
      <c r="F2155" s="390" t="str">
        <f t="shared" si="40"/>
        <v>Whitegoods</v>
      </c>
      <c r="G2155" s="135">
        <v>3.8535262095771503E-2</v>
      </c>
      <c r="H2155" s="135">
        <v>3.5465927679192599E-2</v>
      </c>
      <c r="I2155" s="135">
        <v>3.3125984884627098E-2</v>
      </c>
      <c r="J2155" s="135">
        <v>3.29712181137162E-2</v>
      </c>
      <c r="K2155" s="135">
        <v>3.3144357596896303E-2</v>
      </c>
      <c r="L2155" s="135">
        <v>3.2563494598871298E-2</v>
      </c>
      <c r="M2155" s="135">
        <v>3.5586465002270203E-2</v>
      </c>
      <c r="N2155" s="135">
        <v>3.7260407524796299E-2</v>
      </c>
      <c r="O2155" s="135">
        <v>4.62859145861787E-2</v>
      </c>
      <c r="P2155" s="135">
        <v>5.7110893330062799E-2</v>
      </c>
      <c r="Q2155" s="135">
        <v>6.2575431461735595E-2</v>
      </c>
      <c r="R2155" s="135">
        <v>5.80935496211826E-2</v>
      </c>
      <c r="S2155" s="135">
        <v>5.4524523794811403E-2</v>
      </c>
      <c r="T2155" s="135">
        <v>5.3654928024098901E-2</v>
      </c>
      <c r="U2155" s="135">
        <v>4.8651547271370402E-2</v>
      </c>
      <c r="V2155" s="135">
        <v>4.8437758263377498E-2</v>
      </c>
      <c r="W2155" s="135">
        <v>4.7941556668017402E-2</v>
      </c>
      <c r="X2155" s="135">
        <v>4.6658721534051699E-2</v>
      </c>
      <c r="Y2155" s="135">
        <v>4.70658494655724E-2</v>
      </c>
      <c r="Z2155" s="135">
        <v>4.5920212807112497E-2</v>
      </c>
      <c r="AA2155" s="135">
        <v>4.8865623062725697E-2</v>
      </c>
      <c r="AB2155" s="135">
        <v>5.0090207667482699E-2</v>
      </c>
      <c r="AC2155" s="135">
        <v>4.4638219426981499E-2</v>
      </c>
      <c r="AD2155" s="135">
        <v>4.2418019103301098E-2</v>
      </c>
      <c r="AF2155" s="243">
        <f t="shared" si="41"/>
        <v>0.37387929510459383</v>
      </c>
      <c r="AG2155" s="275">
        <f t="shared" si="42"/>
        <v>0.58165926252330324</v>
      </c>
      <c r="AH2155" s="391">
        <f t="shared" si="43"/>
        <v>0.49992681106090092</v>
      </c>
      <c r="AI2155" s="135">
        <f t="shared" si="44"/>
        <v>1.0815860735842042</v>
      </c>
    </row>
    <row r="2156" spans="1:35" ht="12.6">
      <c r="A2156" s="10" t="s">
        <v>865</v>
      </c>
      <c r="B2156" s="10">
        <v>330</v>
      </c>
      <c r="C2156" s="10" t="s">
        <v>1515</v>
      </c>
      <c r="D2156" s="388">
        <v>45256</v>
      </c>
      <c r="E2156" s="389">
        <v>45256</v>
      </c>
      <c r="F2156" s="390" t="str">
        <f t="shared" si="40"/>
        <v>Whitegoods</v>
      </c>
      <c r="G2156" s="135">
        <v>3.8535262095771503E-2</v>
      </c>
      <c r="H2156" s="135">
        <v>3.5465927679192599E-2</v>
      </c>
      <c r="I2156" s="135">
        <v>3.3125984884627098E-2</v>
      </c>
      <c r="J2156" s="135">
        <v>3.29712181137162E-2</v>
      </c>
      <c r="K2156" s="135">
        <v>3.3144357596896303E-2</v>
      </c>
      <c r="L2156" s="135">
        <v>3.2563494598871298E-2</v>
      </c>
      <c r="M2156" s="135">
        <v>3.5586465002270203E-2</v>
      </c>
      <c r="N2156" s="135">
        <v>3.7260407524796299E-2</v>
      </c>
      <c r="O2156" s="135">
        <v>4.62859145861787E-2</v>
      </c>
      <c r="P2156" s="135">
        <v>5.7110893330062799E-2</v>
      </c>
      <c r="Q2156" s="135">
        <v>6.2575431461735595E-2</v>
      </c>
      <c r="R2156" s="135">
        <v>5.80935496211826E-2</v>
      </c>
      <c r="S2156" s="135">
        <v>5.4524523794811403E-2</v>
      </c>
      <c r="T2156" s="135">
        <v>5.3654928024098901E-2</v>
      </c>
      <c r="U2156" s="135">
        <v>4.8651547271370402E-2</v>
      </c>
      <c r="V2156" s="135">
        <v>4.8437758263377498E-2</v>
      </c>
      <c r="W2156" s="135">
        <v>4.7941556668017402E-2</v>
      </c>
      <c r="X2156" s="135">
        <v>4.6658721534051699E-2</v>
      </c>
      <c r="Y2156" s="135">
        <v>4.70658494655724E-2</v>
      </c>
      <c r="Z2156" s="135">
        <v>4.5920212807112497E-2</v>
      </c>
      <c r="AA2156" s="135">
        <v>4.8865623062725697E-2</v>
      </c>
      <c r="AB2156" s="135">
        <v>5.0090207667482699E-2</v>
      </c>
      <c r="AC2156" s="135">
        <v>4.4638219426981499E-2</v>
      </c>
      <c r="AD2156" s="135">
        <v>4.2418019103301098E-2</v>
      </c>
      <c r="AF2156" s="243">
        <f t="shared" si="41"/>
        <v>0.37387929510459383</v>
      </c>
      <c r="AG2156" s="275">
        <f t="shared" si="42"/>
        <v>0.58165926252330324</v>
      </c>
      <c r="AH2156" s="391">
        <f t="shared" si="43"/>
        <v>0.49992681106090092</v>
      </c>
      <c r="AI2156" s="135">
        <f t="shared" si="44"/>
        <v>1.0815860735842042</v>
      </c>
    </row>
    <row r="2157" spans="1:35" ht="12.6">
      <c r="A2157" s="10" t="s">
        <v>865</v>
      </c>
      <c r="B2157" s="10">
        <v>331</v>
      </c>
      <c r="C2157" s="10" t="s">
        <v>1515</v>
      </c>
      <c r="D2157" s="388">
        <v>45257</v>
      </c>
      <c r="E2157" s="389">
        <v>45257</v>
      </c>
      <c r="F2157" s="390" t="str">
        <f t="shared" si="40"/>
        <v>Whitegoods</v>
      </c>
      <c r="G2157" s="135">
        <v>3.9381167944555602E-2</v>
      </c>
      <c r="H2157" s="135">
        <v>3.4395068080626298E-2</v>
      </c>
      <c r="I2157" s="135">
        <v>3.2797612393347698E-2</v>
      </c>
      <c r="J2157" s="135">
        <v>3.2891604244034998E-2</v>
      </c>
      <c r="K2157" s="135">
        <v>3.2587993038964598E-2</v>
      </c>
      <c r="L2157" s="135">
        <v>3.3250142434698801E-2</v>
      </c>
      <c r="M2157" s="135">
        <v>3.6387108395412399E-2</v>
      </c>
      <c r="N2157" s="135">
        <v>4.40760017692719E-2</v>
      </c>
      <c r="O2157" s="135">
        <v>4.7010779051335098E-2</v>
      </c>
      <c r="P2157" s="135">
        <v>4.4489904261028702E-2</v>
      </c>
      <c r="Q2157" s="135">
        <v>4.1961942195663099E-2</v>
      </c>
      <c r="R2157" s="135">
        <v>3.9925356757035603E-2</v>
      </c>
      <c r="S2157" s="135">
        <v>3.9918343999765502E-2</v>
      </c>
      <c r="T2157" s="135">
        <v>3.9006415466365997E-2</v>
      </c>
      <c r="U2157" s="135">
        <v>4.0018565372155097E-2</v>
      </c>
      <c r="V2157" s="135">
        <v>3.9148664027195003E-2</v>
      </c>
      <c r="W2157" s="135">
        <v>3.8797596733387299E-2</v>
      </c>
      <c r="X2157" s="135">
        <v>3.9955740683471103E-2</v>
      </c>
      <c r="Y2157" s="135">
        <v>4.1822901320133499E-2</v>
      </c>
      <c r="Z2157" s="135">
        <v>4.2866830304389203E-2</v>
      </c>
      <c r="AA2157" s="135">
        <v>4.8267942996821703E-2</v>
      </c>
      <c r="AB2157" s="135">
        <v>4.6335668033314799E-2</v>
      </c>
      <c r="AC2157" s="135">
        <v>4.4583089490291203E-2</v>
      </c>
      <c r="AD2157" s="135">
        <v>4.3936710095159502E-2</v>
      </c>
      <c r="AF2157" s="243">
        <f t="shared" si="41"/>
        <v>0.27877688455156757</v>
      </c>
      <c r="AG2157" s="275">
        <f t="shared" si="42"/>
        <v>0.5271000817159599</v>
      </c>
      <c r="AH2157" s="391">
        <f t="shared" si="43"/>
        <v>0.43671306737246468</v>
      </c>
      <c r="AI2157" s="135">
        <f t="shared" si="44"/>
        <v>0.96381314908842464</v>
      </c>
    </row>
    <row r="2158" spans="1:35" ht="12.6">
      <c r="A2158" s="10" t="s">
        <v>865</v>
      </c>
      <c r="B2158" s="10">
        <v>332</v>
      </c>
      <c r="C2158" s="10" t="s">
        <v>1515</v>
      </c>
      <c r="D2158" s="388">
        <v>45258</v>
      </c>
      <c r="E2158" s="389">
        <v>45258</v>
      </c>
      <c r="F2158" s="390" t="str">
        <f t="shared" si="40"/>
        <v>Whitegoods</v>
      </c>
      <c r="G2158" s="135">
        <v>3.9381167944555602E-2</v>
      </c>
      <c r="H2158" s="135">
        <v>3.4395068080626298E-2</v>
      </c>
      <c r="I2158" s="135">
        <v>3.2797612393347698E-2</v>
      </c>
      <c r="J2158" s="135">
        <v>3.2891604244034998E-2</v>
      </c>
      <c r="K2158" s="135">
        <v>3.2587993038964598E-2</v>
      </c>
      <c r="L2158" s="135">
        <v>3.3250142434698801E-2</v>
      </c>
      <c r="M2158" s="135">
        <v>3.6387108395412399E-2</v>
      </c>
      <c r="N2158" s="135">
        <v>4.40760017692719E-2</v>
      </c>
      <c r="O2158" s="135">
        <v>4.7010779051335098E-2</v>
      </c>
      <c r="P2158" s="135">
        <v>4.4489904261028702E-2</v>
      </c>
      <c r="Q2158" s="135">
        <v>4.1961942195663099E-2</v>
      </c>
      <c r="R2158" s="135">
        <v>3.9925356757035603E-2</v>
      </c>
      <c r="S2158" s="135">
        <v>3.9918343999765502E-2</v>
      </c>
      <c r="T2158" s="135">
        <v>3.9006415466365997E-2</v>
      </c>
      <c r="U2158" s="135">
        <v>4.0018565372155097E-2</v>
      </c>
      <c r="V2158" s="135">
        <v>3.9148664027195003E-2</v>
      </c>
      <c r="W2158" s="135">
        <v>3.8797596733387299E-2</v>
      </c>
      <c r="X2158" s="135">
        <v>3.9955740683471103E-2</v>
      </c>
      <c r="Y2158" s="135">
        <v>4.1822901320133499E-2</v>
      </c>
      <c r="Z2158" s="135">
        <v>4.2866830304389203E-2</v>
      </c>
      <c r="AA2158" s="135">
        <v>4.8267942996821703E-2</v>
      </c>
      <c r="AB2158" s="135">
        <v>4.6335668033314799E-2</v>
      </c>
      <c r="AC2158" s="135">
        <v>4.4583089490291203E-2</v>
      </c>
      <c r="AD2158" s="135">
        <v>4.3936710095159502E-2</v>
      </c>
      <c r="AF2158" s="243">
        <f t="shared" si="41"/>
        <v>0.27877688455156757</v>
      </c>
      <c r="AG2158" s="275">
        <f t="shared" si="42"/>
        <v>0.5271000817159599</v>
      </c>
      <c r="AH2158" s="391">
        <f t="shared" si="43"/>
        <v>0.43671306737246468</v>
      </c>
      <c r="AI2158" s="135">
        <f t="shared" si="44"/>
        <v>0.96381314908842464</v>
      </c>
    </row>
    <row r="2159" spans="1:35" ht="12.6">
      <c r="A2159" s="10" t="s">
        <v>865</v>
      </c>
      <c r="B2159" s="10">
        <v>333</v>
      </c>
      <c r="C2159" s="10" t="s">
        <v>1515</v>
      </c>
      <c r="D2159" s="388">
        <v>45259</v>
      </c>
      <c r="E2159" s="389">
        <v>45259</v>
      </c>
      <c r="F2159" s="390" t="str">
        <f t="shared" si="40"/>
        <v>Whitegoods</v>
      </c>
      <c r="G2159" s="135">
        <v>3.9381167944555602E-2</v>
      </c>
      <c r="H2159" s="135">
        <v>3.4395068080626298E-2</v>
      </c>
      <c r="I2159" s="135">
        <v>3.2797612393347698E-2</v>
      </c>
      <c r="J2159" s="135">
        <v>3.2891604244034998E-2</v>
      </c>
      <c r="K2159" s="135">
        <v>3.2587993038964598E-2</v>
      </c>
      <c r="L2159" s="135">
        <v>3.3250142434698801E-2</v>
      </c>
      <c r="M2159" s="135">
        <v>3.6387108395412399E-2</v>
      </c>
      <c r="N2159" s="135">
        <v>4.40760017692719E-2</v>
      </c>
      <c r="O2159" s="135">
        <v>4.7010779051335098E-2</v>
      </c>
      <c r="P2159" s="135">
        <v>4.4489904261028702E-2</v>
      </c>
      <c r="Q2159" s="135">
        <v>4.1961942195663099E-2</v>
      </c>
      <c r="R2159" s="135">
        <v>3.9925356757035603E-2</v>
      </c>
      <c r="S2159" s="135">
        <v>3.9918343999765502E-2</v>
      </c>
      <c r="T2159" s="135">
        <v>3.9006415466365997E-2</v>
      </c>
      <c r="U2159" s="135">
        <v>4.0018565372155097E-2</v>
      </c>
      <c r="V2159" s="135">
        <v>3.9148664027195003E-2</v>
      </c>
      <c r="W2159" s="135">
        <v>3.8797596733387299E-2</v>
      </c>
      <c r="X2159" s="135">
        <v>3.9955740683471103E-2</v>
      </c>
      <c r="Y2159" s="135">
        <v>4.1822901320133499E-2</v>
      </c>
      <c r="Z2159" s="135">
        <v>4.2866830304389203E-2</v>
      </c>
      <c r="AA2159" s="135">
        <v>4.8267942996821703E-2</v>
      </c>
      <c r="AB2159" s="135">
        <v>4.6335668033314799E-2</v>
      </c>
      <c r="AC2159" s="135">
        <v>4.4583089490291203E-2</v>
      </c>
      <c r="AD2159" s="135">
        <v>4.3936710095159502E-2</v>
      </c>
      <c r="AF2159" s="243">
        <f t="shared" si="41"/>
        <v>0.27877688455156757</v>
      </c>
      <c r="AG2159" s="275">
        <f t="shared" si="42"/>
        <v>0.5271000817159599</v>
      </c>
      <c r="AH2159" s="391">
        <f t="shared" si="43"/>
        <v>0.43671306737246468</v>
      </c>
      <c r="AI2159" s="135">
        <f t="shared" si="44"/>
        <v>0.96381314908842464</v>
      </c>
    </row>
    <row r="2160" spans="1:35" ht="12.6">
      <c r="A2160" s="10" t="s">
        <v>865</v>
      </c>
      <c r="B2160" s="10">
        <v>334</v>
      </c>
      <c r="C2160" s="10" t="s">
        <v>1515</v>
      </c>
      <c r="D2160" s="388">
        <v>45260</v>
      </c>
      <c r="E2160" s="389">
        <v>45260</v>
      </c>
      <c r="F2160" s="390" t="str">
        <f t="shared" si="40"/>
        <v>Whitegoods</v>
      </c>
      <c r="G2160" s="135">
        <v>3.9381167944555602E-2</v>
      </c>
      <c r="H2160" s="135">
        <v>3.4395068080626298E-2</v>
      </c>
      <c r="I2160" s="135">
        <v>3.2797612393347698E-2</v>
      </c>
      <c r="J2160" s="135">
        <v>3.2891604244034998E-2</v>
      </c>
      <c r="K2160" s="135">
        <v>3.2587993038964598E-2</v>
      </c>
      <c r="L2160" s="135">
        <v>3.3250142434698801E-2</v>
      </c>
      <c r="M2160" s="135">
        <v>3.6387108395412399E-2</v>
      </c>
      <c r="N2160" s="135">
        <v>4.40760017692719E-2</v>
      </c>
      <c r="O2160" s="135">
        <v>4.7010779051335098E-2</v>
      </c>
      <c r="P2160" s="135">
        <v>4.4489904261028702E-2</v>
      </c>
      <c r="Q2160" s="135">
        <v>4.1961942195663099E-2</v>
      </c>
      <c r="R2160" s="135">
        <v>3.9925356757035603E-2</v>
      </c>
      <c r="S2160" s="135">
        <v>3.9918343999765502E-2</v>
      </c>
      <c r="T2160" s="135">
        <v>3.9006415466365997E-2</v>
      </c>
      <c r="U2160" s="135">
        <v>4.0018565372155097E-2</v>
      </c>
      <c r="V2160" s="135">
        <v>3.9148664027195003E-2</v>
      </c>
      <c r="W2160" s="135">
        <v>3.8797596733387299E-2</v>
      </c>
      <c r="X2160" s="135">
        <v>3.9955740683471103E-2</v>
      </c>
      <c r="Y2160" s="135">
        <v>4.1822901320133499E-2</v>
      </c>
      <c r="Z2160" s="135">
        <v>4.2866830304389203E-2</v>
      </c>
      <c r="AA2160" s="135">
        <v>4.8267942996821703E-2</v>
      </c>
      <c r="AB2160" s="135">
        <v>4.6335668033314799E-2</v>
      </c>
      <c r="AC2160" s="135">
        <v>4.4583089490291203E-2</v>
      </c>
      <c r="AD2160" s="135">
        <v>4.3936710095159502E-2</v>
      </c>
      <c r="AF2160" s="243">
        <f t="shared" si="41"/>
        <v>0.27877688455156757</v>
      </c>
      <c r="AG2160" s="275">
        <f t="shared" si="42"/>
        <v>0.5271000817159599</v>
      </c>
      <c r="AH2160" s="391">
        <f t="shared" si="43"/>
        <v>0.43671306737246468</v>
      </c>
      <c r="AI2160" s="135">
        <f t="shared" si="44"/>
        <v>0.96381314908842464</v>
      </c>
    </row>
    <row r="2161" spans="1:35" ht="12.6">
      <c r="A2161" s="10" t="s">
        <v>865</v>
      </c>
      <c r="B2161" s="10">
        <v>335</v>
      </c>
      <c r="C2161" s="10" t="s">
        <v>1512</v>
      </c>
      <c r="D2161" s="388">
        <v>45261</v>
      </c>
      <c r="E2161" s="389">
        <v>45261</v>
      </c>
      <c r="F2161" s="390" t="str">
        <f t="shared" si="40"/>
        <v>Whitegoods</v>
      </c>
      <c r="G2161" s="135">
        <v>3.8479305232398599E-2</v>
      </c>
      <c r="H2161" s="135">
        <v>3.4109101835927302E-2</v>
      </c>
      <c r="I2161" s="135">
        <v>3.2716724379374097E-2</v>
      </c>
      <c r="J2161" s="135">
        <v>3.2755788519262002E-2</v>
      </c>
      <c r="K2161" s="135">
        <v>3.2529372836290302E-2</v>
      </c>
      <c r="L2161" s="135">
        <v>3.3121973643746597E-2</v>
      </c>
      <c r="M2161" s="135">
        <v>3.6222705350671597E-2</v>
      </c>
      <c r="N2161" s="135">
        <v>4.3115434307554101E-2</v>
      </c>
      <c r="O2161" s="135">
        <v>4.5395973778856902E-2</v>
      </c>
      <c r="P2161" s="135">
        <v>4.3368864167013903E-2</v>
      </c>
      <c r="Q2161" s="135">
        <v>4.1119590293710699E-2</v>
      </c>
      <c r="R2161" s="135">
        <v>3.8910998036731502E-2</v>
      </c>
      <c r="S2161" s="135">
        <v>3.8920598006107497E-2</v>
      </c>
      <c r="T2161" s="135">
        <v>3.79499174309013E-2</v>
      </c>
      <c r="U2161" s="135">
        <v>3.88709902713682E-2</v>
      </c>
      <c r="V2161" s="135">
        <v>3.8263637944057502E-2</v>
      </c>
      <c r="W2161" s="135">
        <v>3.7620463052809597E-2</v>
      </c>
      <c r="X2161" s="135">
        <v>3.8411028317790599E-2</v>
      </c>
      <c r="Y2161" s="135">
        <v>4.0478448495668597E-2</v>
      </c>
      <c r="Z2161" s="135">
        <v>4.1570550137197598E-2</v>
      </c>
      <c r="AA2161" s="135">
        <v>4.6435464451008102E-2</v>
      </c>
      <c r="AB2161" s="135">
        <v>4.47686182865107E-2</v>
      </c>
      <c r="AC2161" s="135">
        <v>4.29455512955692E-2</v>
      </c>
      <c r="AD2161" s="135">
        <v>4.2460832816605398E-2</v>
      </c>
      <c r="AF2161" s="243">
        <f t="shared" si="41"/>
        <v>0.27165619503568628</v>
      </c>
      <c r="AG2161" s="275">
        <f t="shared" si="42"/>
        <v>0.51696696261508923</v>
      </c>
      <c r="AH2161" s="391">
        <f t="shared" si="43"/>
        <v>0.42357497027204272</v>
      </c>
      <c r="AI2161" s="135">
        <f t="shared" si="44"/>
        <v>0.94054193288713195</v>
      </c>
    </row>
    <row r="2162" spans="1:35" ht="12.6">
      <c r="A2162" s="10" t="s">
        <v>865</v>
      </c>
      <c r="B2162" s="10">
        <v>336</v>
      </c>
      <c r="C2162" s="10" t="s">
        <v>1512</v>
      </c>
      <c r="D2162" s="388">
        <v>45262</v>
      </c>
      <c r="E2162" s="389">
        <v>45262</v>
      </c>
      <c r="F2162" s="390" t="str">
        <f t="shared" si="40"/>
        <v>Whitegoods</v>
      </c>
      <c r="G2162" s="135">
        <v>3.7889413047341003E-2</v>
      </c>
      <c r="H2162" s="135">
        <v>3.5059366920746501E-2</v>
      </c>
      <c r="I2162" s="135">
        <v>3.2931863982889498E-2</v>
      </c>
      <c r="J2162" s="135">
        <v>3.2800456879470898E-2</v>
      </c>
      <c r="K2162" s="135">
        <v>3.3091056003752201E-2</v>
      </c>
      <c r="L2162" s="135">
        <v>3.2529790038360498E-2</v>
      </c>
      <c r="M2162" s="135">
        <v>3.54826268753183E-2</v>
      </c>
      <c r="N2162" s="135">
        <v>3.7107458651134698E-2</v>
      </c>
      <c r="O2162" s="135">
        <v>4.5537381765117499E-2</v>
      </c>
      <c r="P2162" s="135">
        <v>5.5534078772594399E-2</v>
      </c>
      <c r="Q2162" s="135">
        <v>6.0194987509722298E-2</v>
      </c>
      <c r="R2162" s="135">
        <v>5.5596362438183798E-2</v>
      </c>
      <c r="S2162" s="135">
        <v>5.2733772108295503E-2</v>
      </c>
      <c r="T2162" s="135">
        <v>5.1057154865542097E-2</v>
      </c>
      <c r="U2162" s="135">
        <v>4.6325531279428102E-2</v>
      </c>
      <c r="V2162" s="135">
        <v>4.6030075708210397E-2</v>
      </c>
      <c r="W2162" s="135">
        <v>4.5149399628007097E-2</v>
      </c>
      <c r="X2162" s="135">
        <v>4.4229959554115399E-2</v>
      </c>
      <c r="Y2162" s="135">
        <v>4.45303989671939E-2</v>
      </c>
      <c r="Z2162" s="135">
        <v>4.4016348074234699E-2</v>
      </c>
      <c r="AA2162" s="135">
        <v>4.6479606756783698E-2</v>
      </c>
      <c r="AB2162" s="135">
        <v>4.7609625395948103E-2</v>
      </c>
      <c r="AC2162" s="135">
        <v>4.2891469502281003E-2</v>
      </c>
      <c r="AD2162" s="135">
        <v>4.1169725251619001E-2</v>
      </c>
      <c r="AF2162" s="243">
        <f t="shared" si="41"/>
        <v>0.35708728353738928</v>
      </c>
      <c r="AG2162" s="275">
        <f t="shared" si="42"/>
        <v>0.56514170209126213</v>
      </c>
      <c r="AH2162" s="391">
        <f t="shared" si="43"/>
        <v>0.48083620788502851</v>
      </c>
      <c r="AI2162" s="135">
        <f t="shared" si="44"/>
        <v>1.0459779099762907</v>
      </c>
    </row>
    <row r="2163" spans="1:35" ht="12.6">
      <c r="A2163" s="10" t="s">
        <v>865</v>
      </c>
      <c r="B2163" s="10">
        <v>337</v>
      </c>
      <c r="C2163" s="10" t="s">
        <v>1512</v>
      </c>
      <c r="D2163" s="388">
        <v>45263</v>
      </c>
      <c r="E2163" s="389">
        <v>45263</v>
      </c>
      <c r="F2163" s="390" t="str">
        <f t="shared" si="40"/>
        <v>Whitegoods</v>
      </c>
      <c r="G2163" s="135">
        <v>3.7889413047341003E-2</v>
      </c>
      <c r="H2163" s="135">
        <v>3.5059366920746501E-2</v>
      </c>
      <c r="I2163" s="135">
        <v>3.2931863982889498E-2</v>
      </c>
      <c r="J2163" s="135">
        <v>3.2800456879470898E-2</v>
      </c>
      <c r="K2163" s="135">
        <v>3.3091056003752201E-2</v>
      </c>
      <c r="L2163" s="135">
        <v>3.2529790038360498E-2</v>
      </c>
      <c r="M2163" s="135">
        <v>3.54826268753183E-2</v>
      </c>
      <c r="N2163" s="135">
        <v>3.7107458651134698E-2</v>
      </c>
      <c r="O2163" s="135">
        <v>4.5537381765117499E-2</v>
      </c>
      <c r="P2163" s="135">
        <v>5.5534078772594399E-2</v>
      </c>
      <c r="Q2163" s="135">
        <v>6.0194987509722298E-2</v>
      </c>
      <c r="R2163" s="135">
        <v>5.5596362438183798E-2</v>
      </c>
      <c r="S2163" s="135">
        <v>5.2733772108295503E-2</v>
      </c>
      <c r="T2163" s="135">
        <v>5.1057154865542097E-2</v>
      </c>
      <c r="U2163" s="135">
        <v>4.6325531279428102E-2</v>
      </c>
      <c r="V2163" s="135">
        <v>4.6030075708210397E-2</v>
      </c>
      <c r="W2163" s="135">
        <v>4.5149399628007097E-2</v>
      </c>
      <c r="X2163" s="135">
        <v>4.4229959554115399E-2</v>
      </c>
      <c r="Y2163" s="135">
        <v>4.45303989671939E-2</v>
      </c>
      <c r="Z2163" s="135">
        <v>4.4016348074234699E-2</v>
      </c>
      <c r="AA2163" s="135">
        <v>4.6479606756783698E-2</v>
      </c>
      <c r="AB2163" s="135">
        <v>4.7609625395948103E-2</v>
      </c>
      <c r="AC2163" s="135">
        <v>4.2891469502281003E-2</v>
      </c>
      <c r="AD2163" s="135">
        <v>4.1169725251619001E-2</v>
      </c>
      <c r="AF2163" s="243">
        <f t="shared" si="41"/>
        <v>0.35708728353738928</v>
      </c>
      <c r="AG2163" s="275">
        <f t="shared" si="42"/>
        <v>0.56514170209126213</v>
      </c>
      <c r="AH2163" s="391">
        <f t="shared" si="43"/>
        <v>0.48083620788502851</v>
      </c>
      <c r="AI2163" s="135">
        <f t="shared" si="44"/>
        <v>1.0459779099762907</v>
      </c>
    </row>
    <row r="2164" spans="1:35" ht="12.6">
      <c r="A2164" s="10" t="s">
        <v>865</v>
      </c>
      <c r="B2164" s="10">
        <v>338</v>
      </c>
      <c r="C2164" s="10" t="s">
        <v>1512</v>
      </c>
      <c r="D2164" s="388">
        <v>45264</v>
      </c>
      <c r="E2164" s="389">
        <v>45264</v>
      </c>
      <c r="F2164" s="390" t="str">
        <f t="shared" si="40"/>
        <v>Whitegoods</v>
      </c>
      <c r="G2164" s="135">
        <v>3.8479305232398599E-2</v>
      </c>
      <c r="H2164" s="135">
        <v>3.4109101835927302E-2</v>
      </c>
      <c r="I2164" s="135">
        <v>3.2716724379374097E-2</v>
      </c>
      <c r="J2164" s="135">
        <v>3.2755788519262002E-2</v>
      </c>
      <c r="K2164" s="135">
        <v>3.2529372836290302E-2</v>
      </c>
      <c r="L2164" s="135">
        <v>3.3121973643746597E-2</v>
      </c>
      <c r="M2164" s="135">
        <v>3.6222705350671597E-2</v>
      </c>
      <c r="N2164" s="135">
        <v>4.3115434307554101E-2</v>
      </c>
      <c r="O2164" s="135">
        <v>4.5395973778856902E-2</v>
      </c>
      <c r="P2164" s="135">
        <v>4.3368864167013903E-2</v>
      </c>
      <c r="Q2164" s="135">
        <v>4.1119590293710699E-2</v>
      </c>
      <c r="R2164" s="135">
        <v>3.8910998036731502E-2</v>
      </c>
      <c r="S2164" s="135">
        <v>3.8920598006107497E-2</v>
      </c>
      <c r="T2164" s="135">
        <v>3.79499174309013E-2</v>
      </c>
      <c r="U2164" s="135">
        <v>3.88709902713682E-2</v>
      </c>
      <c r="V2164" s="135">
        <v>3.8263637944057502E-2</v>
      </c>
      <c r="W2164" s="135">
        <v>3.7620463052809597E-2</v>
      </c>
      <c r="X2164" s="135">
        <v>3.8411028317790599E-2</v>
      </c>
      <c r="Y2164" s="135">
        <v>4.0478448495668597E-2</v>
      </c>
      <c r="Z2164" s="135">
        <v>4.1570550137197598E-2</v>
      </c>
      <c r="AA2164" s="135">
        <v>4.6435464451008102E-2</v>
      </c>
      <c r="AB2164" s="135">
        <v>4.47686182865107E-2</v>
      </c>
      <c r="AC2164" s="135">
        <v>4.29455512955692E-2</v>
      </c>
      <c r="AD2164" s="135">
        <v>4.2460832816605398E-2</v>
      </c>
      <c r="AF2164" s="243">
        <f t="shared" si="41"/>
        <v>0.27165619503568628</v>
      </c>
      <c r="AG2164" s="275">
        <f t="shared" si="42"/>
        <v>0.51696696261508923</v>
      </c>
      <c r="AH2164" s="391">
        <f t="shared" si="43"/>
        <v>0.42357497027204272</v>
      </c>
      <c r="AI2164" s="135">
        <f t="shared" si="44"/>
        <v>0.94054193288713195</v>
      </c>
    </row>
    <row r="2165" spans="1:35" ht="12.6">
      <c r="A2165" s="10" t="s">
        <v>865</v>
      </c>
      <c r="B2165" s="10">
        <v>339</v>
      </c>
      <c r="C2165" s="10" t="s">
        <v>1512</v>
      </c>
      <c r="D2165" s="388">
        <v>45265</v>
      </c>
      <c r="E2165" s="389">
        <v>45265</v>
      </c>
      <c r="F2165" s="390" t="str">
        <f t="shared" si="40"/>
        <v>Whitegoods</v>
      </c>
      <c r="G2165" s="135">
        <v>3.8479305232398599E-2</v>
      </c>
      <c r="H2165" s="135">
        <v>3.4109101835927302E-2</v>
      </c>
      <c r="I2165" s="135">
        <v>3.2716724379374097E-2</v>
      </c>
      <c r="J2165" s="135">
        <v>3.2755788519262002E-2</v>
      </c>
      <c r="K2165" s="135">
        <v>3.2529372836290302E-2</v>
      </c>
      <c r="L2165" s="135">
        <v>3.3121973643746597E-2</v>
      </c>
      <c r="M2165" s="135">
        <v>3.6222705350671597E-2</v>
      </c>
      <c r="N2165" s="135">
        <v>4.3115434307554101E-2</v>
      </c>
      <c r="O2165" s="135">
        <v>4.5395973778856902E-2</v>
      </c>
      <c r="P2165" s="135">
        <v>4.3368864167013903E-2</v>
      </c>
      <c r="Q2165" s="135">
        <v>4.1119590293710699E-2</v>
      </c>
      <c r="R2165" s="135">
        <v>3.8910998036731502E-2</v>
      </c>
      <c r="S2165" s="135">
        <v>3.8920598006107497E-2</v>
      </c>
      <c r="T2165" s="135">
        <v>3.79499174309013E-2</v>
      </c>
      <c r="U2165" s="135">
        <v>3.88709902713682E-2</v>
      </c>
      <c r="V2165" s="135">
        <v>3.8263637944057502E-2</v>
      </c>
      <c r="W2165" s="135">
        <v>3.7620463052809597E-2</v>
      </c>
      <c r="X2165" s="135">
        <v>3.8411028317790599E-2</v>
      </c>
      <c r="Y2165" s="135">
        <v>4.0478448495668597E-2</v>
      </c>
      <c r="Z2165" s="135">
        <v>4.1570550137197598E-2</v>
      </c>
      <c r="AA2165" s="135">
        <v>4.6435464451008102E-2</v>
      </c>
      <c r="AB2165" s="135">
        <v>4.47686182865107E-2</v>
      </c>
      <c r="AC2165" s="135">
        <v>4.29455512955692E-2</v>
      </c>
      <c r="AD2165" s="135">
        <v>4.2460832816605398E-2</v>
      </c>
      <c r="AF2165" s="243">
        <f t="shared" si="41"/>
        <v>0.27165619503568628</v>
      </c>
      <c r="AG2165" s="275">
        <f t="shared" si="42"/>
        <v>0.51696696261508923</v>
      </c>
      <c r="AH2165" s="391">
        <f t="shared" si="43"/>
        <v>0.42357497027204272</v>
      </c>
      <c r="AI2165" s="135">
        <f t="shared" si="44"/>
        <v>0.94054193288713195</v>
      </c>
    </row>
    <row r="2166" spans="1:35" ht="12.6">
      <c r="A2166" s="10" t="s">
        <v>865</v>
      </c>
      <c r="B2166" s="10">
        <v>340</v>
      </c>
      <c r="C2166" s="10" t="s">
        <v>1512</v>
      </c>
      <c r="D2166" s="388">
        <v>45266</v>
      </c>
      <c r="E2166" s="389">
        <v>45266</v>
      </c>
      <c r="F2166" s="390" t="str">
        <f t="shared" si="40"/>
        <v>Whitegoods</v>
      </c>
      <c r="G2166" s="135">
        <v>3.8479305232398599E-2</v>
      </c>
      <c r="H2166" s="135">
        <v>3.4109101835927302E-2</v>
      </c>
      <c r="I2166" s="135">
        <v>3.2716724379374097E-2</v>
      </c>
      <c r="J2166" s="135">
        <v>3.2755788519262002E-2</v>
      </c>
      <c r="K2166" s="135">
        <v>3.2529372836290302E-2</v>
      </c>
      <c r="L2166" s="135">
        <v>3.3121973643746597E-2</v>
      </c>
      <c r="M2166" s="135">
        <v>3.6222705350671597E-2</v>
      </c>
      <c r="N2166" s="135">
        <v>4.3115434307554101E-2</v>
      </c>
      <c r="O2166" s="135">
        <v>4.5395973778856902E-2</v>
      </c>
      <c r="P2166" s="135">
        <v>4.3368864167013903E-2</v>
      </c>
      <c r="Q2166" s="135">
        <v>4.1119590293710699E-2</v>
      </c>
      <c r="R2166" s="135">
        <v>3.8910998036731502E-2</v>
      </c>
      <c r="S2166" s="135">
        <v>3.8920598006107497E-2</v>
      </c>
      <c r="T2166" s="135">
        <v>3.79499174309013E-2</v>
      </c>
      <c r="U2166" s="135">
        <v>3.88709902713682E-2</v>
      </c>
      <c r="V2166" s="135">
        <v>3.8263637944057502E-2</v>
      </c>
      <c r="W2166" s="135">
        <v>3.7620463052809597E-2</v>
      </c>
      <c r="X2166" s="135">
        <v>3.8411028317790599E-2</v>
      </c>
      <c r="Y2166" s="135">
        <v>4.0478448495668597E-2</v>
      </c>
      <c r="Z2166" s="135">
        <v>4.1570550137197598E-2</v>
      </c>
      <c r="AA2166" s="135">
        <v>4.6435464451008102E-2</v>
      </c>
      <c r="AB2166" s="135">
        <v>4.47686182865107E-2</v>
      </c>
      <c r="AC2166" s="135">
        <v>4.29455512955692E-2</v>
      </c>
      <c r="AD2166" s="135">
        <v>4.2460832816605398E-2</v>
      </c>
      <c r="AF2166" s="243">
        <f t="shared" si="41"/>
        <v>0.27165619503568628</v>
      </c>
      <c r="AG2166" s="275">
        <f t="shared" si="42"/>
        <v>0.51696696261508923</v>
      </c>
      <c r="AH2166" s="391">
        <f t="shared" si="43"/>
        <v>0.42357497027204272</v>
      </c>
      <c r="AI2166" s="135">
        <f t="shared" si="44"/>
        <v>0.94054193288713195</v>
      </c>
    </row>
    <row r="2167" spans="1:35" ht="12.6">
      <c r="A2167" s="10" t="s">
        <v>865</v>
      </c>
      <c r="B2167" s="10">
        <v>341</v>
      </c>
      <c r="C2167" s="10" t="s">
        <v>1512</v>
      </c>
      <c r="D2167" s="388">
        <v>45267</v>
      </c>
      <c r="E2167" s="389">
        <v>45267</v>
      </c>
      <c r="F2167" s="390" t="str">
        <f t="shared" si="40"/>
        <v>Whitegoods</v>
      </c>
      <c r="G2167" s="135">
        <v>3.8479305232398599E-2</v>
      </c>
      <c r="H2167" s="135">
        <v>3.4109101835927302E-2</v>
      </c>
      <c r="I2167" s="135">
        <v>3.2716724379374097E-2</v>
      </c>
      <c r="J2167" s="135">
        <v>3.2755788519262002E-2</v>
      </c>
      <c r="K2167" s="135">
        <v>3.2529372836290302E-2</v>
      </c>
      <c r="L2167" s="135">
        <v>3.3121973643746597E-2</v>
      </c>
      <c r="M2167" s="135">
        <v>3.6222705350671597E-2</v>
      </c>
      <c r="N2167" s="135">
        <v>4.3115434307554101E-2</v>
      </c>
      <c r="O2167" s="135">
        <v>4.5395973778856902E-2</v>
      </c>
      <c r="P2167" s="135">
        <v>4.3368864167013903E-2</v>
      </c>
      <c r="Q2167" s="135">
        <v>4.1119590293710699E-2</v>
      </c>
      <c r="R2167" s="135">
        <v>3.8910998036731502E-2</v>
      </c>
      <c r="S2167" s="135">
        <v>3.8920598006107497E-2</v>
      </c>
      <c r="T2167" s="135">
        <v>3.79499174309013E-2</v>
      </c>
      <c r="U2167" s="135">
        <v>3.88709902713682E-2</v>
      </c>
      <c r="V2167" s="135">
        <v>3.8263637944057502E-2</v>
      </c>
      <c r="W2167" s="135">
        <v>3.7620463052809597E-2</v>
      </c>
      <c r="X2167" s="135">
        <v>3.8411028317790599E-2</v>
      </c>
      <c r="Y2167" s="135">
        <v>4.0478448495668597E-2</v>
      </c>
      <c r="Z2167" s="135">
        <v>4.1570550137197598E-2</v>
      </c>
      <c r="AA2167" s="135">
        <v>4.6435464451008102E-2</v>
      </c>
      <c r="AB2167" s="135">
        <v>4.47686182865107E-2</v>
      </c>
      <c r="AC2167" s="135">
        <v>4.29455512955692E-2</v>
      </c>
      <c r="AD2167" s="135">
        <v>4.2460832816605398E-2</v>
      </c>
      <c r="AF2167" s="243">
        <f t="shared" si="41"/>
        <v>0.27165619503568628</v>
      </c>
      <c r="AG2167" s="275">
        <f t="shared" si="42"/>
        <v>0.51696696261508923</v>
      </c>
      <c r="AH2167" s="391">
        <f t="shared" si="43"/>
        <v>0.42357497027204272</v>
      </c>
      <c r="AI2167" s="135">
        <f t="shared" si="44"/>
        <v>0.94054193288713195</v>
      </c>
    </row>
    <row r="2168" spans="1:35" ht="12.6">
      <c r="A2168" s="10" t="s">
        <v>865</v>
      </c>
      <c r="B2168" s="10">
        <v>342</v>
      </c>
      <c r="C2168" s="10" t="s">
        <v>1512</v>
      </c>
      <c r="D2168" s="388">
        <v>45268</v>
      </c>
      <c r="E2168" s="389">
        <v>45268</v>
      </c>
      <c r="F2168" s="390" t="str">
        <f t="shared" si="40"/>
        <v>Whitegoods</v>
      </c>
      <c r="G2168" s="135">
        <v>3.8479305232398599E-2</v>
      </c>
      <c r="H2168" s="135">
        <v>3.4109101835927302E-2</v>
      </c>
      <c r="I2168" s="135">
        <v>3.2716724379374097E-2</v>
      </c>
      <c r="J2168" s="135">
        <v>3.2755788519262002E-2</v>
      </c>
      <c r="K2168" s="135">
        <v>3.2529372836290302E-2</v>
      </c>
      <c r="L2168" s="135">
        <v>3.3121973643746597E-2</v>
      </c>
      <c r="M2168" s="135">
        <v>3.6222705350671597E-2</v>
      </c>
      <c r="N2168" s="135">
        <v>4.3115434307554101E-2</v>
      </c>
      <c r="O2168" s="135">
        <v>4.5395973778856902E-2</v>
      </c>
      <c r="P2168" s="135">
        <v>4.3368864167013903E-2</v>
      </c>
      <c r="Q2168" s="135">
        <v>4.1119590293710699E-2</v>
      </c>
      <c r="R2168" s="135">
        <v>3.8910998036731502E-2</v>
      </c>
      <c r="S2168" s="135">
        <v>3.8920598006107497E-2</v>
      </c>
      <c r="T2168" s="135">
        <v>3.79499174309013E-2</v>
      </c>
      <c r="U2168" s="135">
        <v>3.88709902713682E-2</v>
      </c>
      <c r="V2168" s="135">
        <v>3.8263637944057502E-2</v>
      </c>
      <c r="W2168" s="135">
        <v>3.7620463052809597E-2</v>
      </c>
      <c r="X2168" s="135">
        <v>3.8411028317790599E-2</v>
      </c>
      <c r="Y2168" s="135">
        <v>4.0478448495668597E-2</v>
      </c>
      <c r="Z2168" s="135">
        <v>4.1570550137197598E-2</v>
      </c>
      <c r="AA2168" s="135">
        <v>4.6435464451008102E-2</v>
      </c>
      <c r="AB2168" s="135">
        <v>4.47686182865107E-2</v>
      </c>
      <c r="AC2168" s="135">
        <v>4.29455512955692E-2</v>
      </c>
      <c r="AD2168" s="135">
        <v>4.2460832816605398E-2</v>
      </c>
      <c r="AF2168" s="243">
        <f t="shared" si="41"/>
        <v>0.27165619503568628</v>
      </c>
      <c r="AG2168" s="275">
        <f t="shared" si="42"/>
        <v>0.51696696261508923</v>
      </c>
      <c r="AH2168" s="391">
        <f t="shared" si="43"/>
        <v>0.42357497027204272</v>
      </c>
      <c r="AI2168" s="135">
        <f t="shared" si="44"/>
        <v>0.94054193288713195</v>
      </c>
    </row>
    <row r="2169" spans="1:35" ht="12.6">
      <c r="A2169" s="10" t="s">
        <v>865</v>
      </c>
      <c r="B2169" s="10">
        <v>343</v>
      </c>
      <c r="C2169" s="10" t="s">
        <v>1512</v>
      </c>
      <c r="D2169" s="388">
        <v>45269</v>
      </c>
      <c r="E2169" s="389">
        <v>45269</v>
      </c>
      <c r="F2169" s="390" t="str">
        <f t="shared" si="40"/>
        <v>Whitegoods</v>
      </c>
      <c r="G2169" s="135">
        <v>3.7889413047341003E-2</v>
      </c>
      <c r="H2169" s="135">
        <v>3.5059366920746501E-2</v>
      </c>
      <c r="I2169" s="135">
        <v>3.2931863982889498E-2</v>
      </c>
      <c r="J2169" s="135">
        <v>3.2800456879470898E-2</v>
      </c>
      <c r="K2169" s="135">
        <v>3.3091056003752201E-2</v>
      </c>
      <c r="L2169" s="135">
        <v>3.2529790038360498E-2</v>
      </c>
      <c r="M2169" s="135">
        <v>3.54826268753183E-2</v>
      </c>
      <c r="N2169" s="135">
        <v>3.7107458651134698E-2</v>
      </c>
      <c r="O2169" s="135">
        <v>4.5537381765117499E-2</v>
      </c>
      <c r="P2169" s="135">
        <v>5.5534078772594399E-2</v>
      </c>
      <c r="Q2169" s="135">
        <v>6.0194987509722298E-2</v>
      </c>
      <c r="R2169" s="135">
        <v>5.5596362438183798E-2</v>
      </c>
      <c r="S2169" s="135">
        <v>5.2733772108295503E-2</v>
      </c>
      <c r="T2169" s="135">
        <v>5.1057154865542097E-2</v>
      </c>
      <c r="U2169" s="135">
        <v>4.6325531279428102E-2</v>
      </c>
      <c r="V2169" s="135">
        <v>4.6030075708210397E-2</v>
      </c>
      <c r="W2169" s="135">
        <v>4.5149399628007097E-2</v>
      </c>
      <c r="X2169" s="135">
        <v>4.4229959554115399E-2</v>
      </c>
      <c r="Y2169" s="135">
        <v>4.45303989671939E-2</v>
      </c>
      <c r="Z2169" s="135">
        <v>4.4016348074234699E-2</v>
      </c>
      <c r="AA2169" s="135">
        <v>4.6479606756783698E-2</v>
      </c>
      <c r="AB2169" s="135">
        <v>4.7609625395948103E-2</v>
      </c>
      <c r="AC2169" s="135">
        <v>4.2891469502281003E-2</v>
      </c>
      <c r="AD2169" s="135">
        <v>4.1169725251619001E-2</v>
      </c>
      <c r="AF2169" s="243">
        <f t="shared" si="41"/>
        <v>0.35708728353738928</v>
      </c>
      <c r="AG2169" s="275">
        <f t="shared" si="42"/>
        <v>0.56514170209126213</v>
      </c>
      <c r="AH2169" s="391">
        <f t="shared" si="43"/>
        <v>0.48083620788502851</v>
      </c>
      <c r="AI2169" s="135">
        <f t="shared" si="44"/>
        <v>1.0459779099762907</v>
      </c>
    </row>
    <row r="2170" spans="1:35" ht="12.6">
      <c r="A2170" s="10" t="s">
        <v>865</v>
      </c>
      <c r="B2170" s="10">
        <v>344</v>
      </c>
      <c r="C2170" s="10" t="s">
        <v>1512</v>
      </c>
      <c r="D2170" s="388">
        <v>45270</v>
      </c>
      <c r="E2170" s="389">
        <v>45270</v>
      </c>
      <c r="F2170" s="390" t="str">
        <f t="shared" si="40"/>
        <v>Whitegoods</v>
      </c>
      <c r="G2170" s="135">
        <v>3.7889413047341003E-2</v>
      </c>
      <c r="H2170" s="135">
        <v>3.5059366920746501E-2</v>
      </c>
      <c r="I2170" s="135">
        <v>3.2931863982889498E-2</v>
      </c>
      <c r="J2170" s="135">
        <v>3.2800456879470898E-2</v>
      </c>
      <c r="K2170" s="135">
        <v>3.3091056003752201E-2</v>
      </c>
      <c r="L2170" s="135">
        <v>3.2529790038360498E-2</v>
      </c>
      <c r="M2170" s="135">
        <v>3.54826268753183E-2</v>
      </c>
      <c r="N2170" s="135">
        <v>3.7107458651134698E-2</v>
      </c>
      <c r="O2170" s="135">
        <v>4.5537381765117499E-2</v>
      </c>
      <c r="P2170" s="135">
        <v>5.5534078772594399E-2</v>
      </c>
      <c r="Q2170" s="135">
        <v>6.0194987509722298E-2</v>
      </c>
      <c r="R2170" s="135">
        <v>5.5596362438183798E-2</v>
      </c>
      <c r="S2170" s="135">
        <v>5.2733772108295503E-2</v>
      </c>
      <c r="T2170" s="135">
        <v>5.1057154865542097E-2</v>
      </c>
      <c r="U2170" s="135">
        <v>4.6325531279428102E-2</v>
      </c>
      <c r="V2170" s="135">
        <v>4.6030075708210397E-2</v>
      </c>
      <c r="W2170" s="135">
        <v>4.5149399628007097E-2</v>
      </c>
      <c r="X2170" s="135">
        <v>4.4229959554115399E-2</v>
      </c>
      <c r="Y2170" s="135">
        <v>4.45303989671939E-2</v>
      </c>
      <c r="Z2170" s="135">
        <v>4.4016348074234699E-2</v>
      </c>
      <c r="AA2170" s="135">
        <v>4.6479606756783698E-2</v>
      </c>
      <c r="AB2170" s="135">
        <v>4.7609625395948103E-2</v>
      </c>
      <c r="AC2170" s="135">
        <v>4.2891469502281003E-2</v>
      </c>
      <c r="AD2170" s="135">
        <v>4.1169725251619001E-2</v>
      </c>
      <c r="AF2170" s="243">
        <f t="shared" si="41"/>
        <v>0.35708728353738928</v>
      </c>
      <c r="AG2170" s="275">
        <f t="shared" si="42"/>
        <v>0.56514170209126213</v>
      </c>
      <c r="AH2170" s="391">
        <f t="shared" si="43"/>
        <v>0.48083620788502851</v>
      </c>
      <c r="AI2170" s="135">
        <f t="shared" si="44"/>
        <v>1.0459779099762907</v>
      </c>
    </row>
    <row r="2171" spans="1:35" ht="12.6">
      <c r="A2171" s="10" t="s">
        <v>865</v>
      </c>
      <c r="B2171" s="10">
        <v>345</v>
      </c>
      <c r="C2171" s="10" t="s">
        <v>1512</v>
      </c>
      <c r="D2171" s="388">
        <v>45271</v>
      </c>
      <c r="E2171" s="389">
        <v>45271</v>
      </c>
      <c r="F2171" s="390" t="str">
        <f t="shared" si="40"/>
        <v>Whitegoods</v>
      </c>
      <c r="G2171" s="135">
        <v>3.8479305232398599E-2</v>
      </c>
      <c r="H2171" s="135">
        <v>3.4109101835927302E-2</v>
      </c>
      <c r="I2171" s="135">
        <v>3.2716724379374097E-2</v>
      </c>
      <c r="J2171" s="135">
        <v>3.2755788519262002E-2</v>
      </c>
      <c r="K2171" s="135">
        <v>3.2529372836290302E-2</v>
      </c>
      <c r="L2171" s="135">
        <v>3.3121973643746597E-2</v>
      </c>
      <c r="M2171" s="135">
        <v>3.6222705350671597E-2</v>
      </c>
      <c r="N2171" s="135">
        <v>4.3115434307554101E-2</v>
      </c>
      <c r="O2171" s="135">
        <v>4.5395973778856902E-2</v>
      </c>
      <c r="P2171" s="135">
        <v>4.3368864167013903E-2</v>
      </c>
      <c r="Q2171" s="135">
        <v>4.1119590293710699E-2</v>
      </c>
      <c r="R2171" s="135">
        <v>3.8910998036731502E-2</v>
      </c>
      <c r="S2171" s="135">
        <v>3.8920598006107497E-2</v>
      </c>
      <c r="T2171" s="135">
        <v>3.79499174309013E-2</v>
      </c>
      <c r="U2171" s="135">
        <v>3.88709902713682E-2</v>
      </c>
      <c r="V2171" s="135">
        <v>3.8263637944057502E-2</v>
      </c>
      <c r="W2171" s="135">
        <v>3.7620463052809597E-2</v>
      </c>
      <c r="X2171" s="135">
        <v>3.8411028317790599E-2</v>
      </c>
      <c r="Y2171" s="135">
        <v>4.0478448495668597E-2</v>
      </c>
      <c r="Z2171" s="135">
        <v>4.1570550137197598E-2</v>
      </c>
      <c r="AA2171" s="135">
        <v>4.6435464451008102E-2</v>
      </c>
      <c r="AB2171" s="135">
        <v>4.47686182865107E-2</v>
      </c>
      <c r="AC2171" s="135">
        <v>4.29455512955692E-2</v>
      </c>
      <c r="AD2171" s="135">
        <v>4.2460832816605398E-2</v>
      </c>
      <c r="AF2171" s="243">
        <f t="shared" si="41"/>
        <v>0.27165619503568628</v>
      </c>
      <c r="AG2171" s="275">
        <f t="shared" si="42"/>
        <v>0.51696696261508923</v>
      </c>
      <c r="AH2171" s="391">
        <f t="shared" si="43"/>
        <v>0.42357497027204272</v>
      </c>
      <c r="AI2171" s="135">
        <f t="shared" si="44"/>
        <v>0.94054193288713195</v>
      </c>
    </row>
    <row r="2172" spans="1:35" ht="12.6">
      <c r="A2172" s="10" t="s">
        <v>865</v>
      </c>
      <c r="B2172" s="10">
        <v>346</v>
      </c>
      <c r="C2172" s="10" t="s">
        <v>1512</v>
      </c>
      <c r="D2172" s="388">
        <v>45272</v>
      </c>
      <c r="E2172" s="389">
        <v>45272</v>
      </c>
      <c r="F2172" s="390" t="str">
        <f t="shared" si="40"/>
        <v>Whitegoods</v>
      </c>
      <c r="G2172" s="135">
        <v>3.8479305232398599E-2</v>
      </c>
      <c r="H2172" s="135">
        <v>3.4109101835927302E-2</v>
      </c>
      <c r="I2172" s="135">
        <v>3.2716724379374097E-2</v>
      </c>
      <c r="J2172" s="135">
        <v>3.2755788519262002E-2</v>
      </c>
      <c r="K2172" s="135">
        <v>3.2529372836290302E-2</v>
      </c>
      <c r="L2172" s="135">
        <v>3.3121973643746597E-2</v>
      </c>
      <c r="M2172" s="135">
        <v>3.6222705350671597E-2</v>
      </c>
      <c r="N2172" s="135">
        <v>4.3115434307554101E-2</v>
      </c>
      <c r="O2172" s="135">
        <v>4.5395973778856902E-2</v>
      </c>
      <c r="P2172" s="135">
        <v>4.3368864167013903E-2</v>
      </c>
      <c r="Q2172" s="135">
        <v>4.1119590293710699E-2</v>
      </c>
      <c r="R2172" s="135">
        <v>3.8910998036731502E-2</v>
      </c>
      <c r="S2172" s="135">
        <v>3.8920598006107497E-2</v>
      </c>
      <c r="T2172" s="135">
        <v>3.79499174309013E-2</v>
      </c>
      <c r="U2172" s="135">
        <v>3.88709902713682E-2</v>
      </c>
      <c r="V2172" s="135">
        <v>3.8263637944057502E-2</v>
      </c>
      <c r="W2172" s="135">
        <v>3.7620463052809597E-2</v>
      </c>
      <c r="X2172" s="135">
        <v>3.8411028317790599E-2</v>
      </c>
      <c r="Y2172" s="135">
        <v>4.0478448495668597E-2</v>
      </c>
      <c r="Z2172" s="135">
        <v>4.1570550137197598E-2</v>
      </c>
      <c r="AA2172" s="135">
        <v>4.6435464451008102E-2</v>
      </c>
      <c r="AB2172" s="135">
        <v>4.47686182865107E-2</v>
      </c>
      <c r="AC2172" s="135">
        <v>4.29455512955692E-2</v>
      </c>
      <c r="AD2172" s="135">
        <v>4.2460832816605398E-2</v>
      </c>
      <c r="AF2172" s="243">
        <f t="shared" si="41"/>
        <v>0.27165619503568628</v>
      </c>
      <c r="AG2172" s="275">
        <f t="shared" si="42"/>
        <v>0.51696696261508923</v>
      </c>
      <c r="AH2172" s="391">
        <f t="shared" si="43"/>
        <v>0.42357497027204272</v>
      </c>
      <c r="AI2172" s="135">
        <f t="shared" si="44"/>
        <v>0.94054193288713195</v>
      </c>
    </row>
    <row r="2173" spans="1:35" ht="12.6">
      <c r="A2173" s="10" t="s">
        <v>865</v>
      </c>
      <c r="B2173" s="10">
        <v>347</v>
      </c>
      <c r="C2173" s="10" t="s">
        <v>1512</v>
      </c>
      <c r="D2173" s="388">
        <v>45273</v>
      </c>
      <c r="E2173" s="389">
        <v>45273</v>
      </c>
      <c r="F2173" s="390" t="str">
        <f t="shared" si="40"/>
        <v>Whitegoods</v>
      </c>
      <c r="G2173" s="135">
        <v>3.8479305232398599E-2</v>
      </c>
      <c r="H2173" s="135">
        <v>3.4109101835927302E-2</v>
      </c>
      <c r="I2173" s="135">
        <v>3.2716724379374097E-2</v>
      </c>
      <c r="J2173" s="135">
        <v>3.2755788519262002E-2</v>
      </c>
      <c r="K2173" s="135">
        <v>3.2529372836290302E-2</v>
      </c>
      <c r="L2173" s="135">
        <v>3.3121973643746597E-2</v>
      </c>
      <c r="M2173" s="135">
        <v>3.6222705350671597E-2</v>
      </c>
      <c r="N2173" s="135">
        <v>4.3115434307554101E-2</v>
      </c>
      <c r="O2173" s="135">
        <v>4.5395973778856902E-2</v>
      </c>
      <c r="P2173" s="135">
        <v>4.3368864167013903E-2</v>
      </c>
      <c r="Q2173" s="135">
        <v>4.1119590293710699E-2</v>
      </c>
      <c r="R2173" s="135">
        <v>3.8910998036731502E-2</v>
      </c>
      <c r="S2173" s="135">
        <v>3.8920598006107497E-2</v>
      </c>
      <c r="T2173" s="135">
        <v>3.79499174309013E-2</v>
      </c>
      <c r="U2173" s="135">
        <v>3.88709902713682E-2</v>
      </c>
      <c r="V2173" s="135">
        <v>3.8263637944057502E-2</v>
      </c>
      <c r="W2173" s="135">
        <v>3.7620463052809597E-2</v>
      </c>
      <c r="X2173" s="135">
        <v>3.8411028317790599E-2</v>
      </c>
      <c r="Y2173" s="135">
        <v>4.0478448495668597E-2</v>
      </c>
      <c r="Z2173" s="135">
        <v>4.1570550137197598E-2</v>
      </c>
      <c r="AA2173" s="135">
        <v>4.6435464451008102E-2</v>
      </c>
      <c r="AB2173" s="135">
        <v>4.47686182865107E-2</v>
      </c>
      <c r="AC2173" s="135">
        <v>4.29455512955692E-2</v>
      </c>
      <c r="AD2173" s="135">
        <v>4.2460832816605398E-2</v>
      </c>
      <c r="AF2173" s="243">
        <f t="shared" si="41"/>
        <v>0.27165619503568628</v>
      </c>
      <c r="AG2173" s="275">
        <f t="shared" si="42"/>
        <v>0.51696696261508923</v>
      </c>
      <c r="AH2173" s="391">
        <f t="shared" si="43"/>
        <v>0.42357497027204272</v>
      </c>
      <c r="AI2173" s="135">
        <f t="shared" si="44"/>
        <v>0.94054193288713195</v>
      </c>
    </row>
    <row r="2174" spans="1:35" ht="12.6">
      <c r="A2174" s="10" t="s">
        <v>865</v>
      </c>
      <c r="B2174" s="10">
        <v>348</v>
      </c>
      <c r="C2174" s="10" t="s">
        <v>1512</v>
      </c>
      <c r="D2174" s="388">
        <v>45274</v>
      </c>
      <c r="E2174" s="389">
        <v>45274</v>
      </c>
      <c r="F2174" s="390" t="str">
        <f t="shared" si="40"/>
        <v>Whitegoods</v>
      </c>
      <c r="G2174" s="135">
        <v>3.8479305232398599E-2</v>
      </c>
      <c r="H2174" s="135">
        <v>3.4109101835927302E-2</v>
      </c>
      <c r="I2174" s="135">
        <v>3.2716724379374097E-2</v>
      </c>
      <c r="J2174" s="135">
        <v>3.2755788519262002E-2</v>
      </c>
      <c r="K2174" s="135">
        <v>3.2529372836290302E-2</v>
      </c>
      <c r="L2174" s="135">
        <v>3.3121973643746597E-2</v>
      </c>
      <c r="M2174" s="135">
        <v>3.6222705350671597E-2</v>
      </c>
      <c r="N2174" s="135">
        <v>4.3115434307554101E-2</v>
      </c>
      <c r="O2174" s="135">
        <v>4.5395973778856902E-2</v>
      </c>
      <c r="P2174" s="135">
        <v>4.3368864167013903E-2</v>
      </c>
      <c r="Q2174" s="135">
        <v>4.1119590293710699E-2</v>
      </c>
      <c r="R2174" s="135">
        <v>3.8910998036731502E-2</v>
      </c>
      <c r="S2174" s="135">
        <v>3.8920598006107497E-2</v>
      </c>
      <c r="T2174" s="135">
        <v>3.79499174309013E-2</v>
      </c>
      <c r="U2174" s="135">
        <v>3.88709902713682E-2</v>
      </c>
      <c r="V2174" s="135">
        <v>3.8263637944057502E-2</v>
      </c>
      <c r="W2174" s="135">
        <v>3.7620463052809597E-2</v>
      </c>
      <c r="X2174" s="135">
        <v>3.8411028317790599E-2</v>
      </c>
      <c r="Y2174" s="135">
        <v>4.0478448495668597E-2</v>
      </c>
      <c r="Z2174" s="135">
        <v>4.1570550137197598E-2</v>
      </c>
      <c r="AA2174" s="135">
        <v>4.6435464451008102E-2</v>
      </c>
      <c r="AB2174" s="135">
        <v>4.47686182865107E-2</v>
      </c>
      <c r="AC2174" s="135">
        <v>4.29455512955692E-2</v>
      </c>
      <c r="AD2174" s="135">
        <v>4.2460832816605398E-2</v>
      </c>
      <c r="AF2174" s="243">
        <f t="shared" si="41"/>
        <v>0.27165619503568628</v>
      </c>
      <c r="AG2174" s="275">
        <f t="shared" si="42"/>
        <v>0.51696696261508923</v>
      </c>
      <c r="AH2174" s="391">
        <f t="shared" si="43"/>
        <v>0.42357497027204272</v>
      </c>
      <c r="AI2174" s="135">
        <f t="shared" si="44"/>
        <v>0.94054193288713195</v>
      </c>
    </row>
    <row r="2175" spans="1:35" ht="12.6">
      <c r="A2175" s="10" t="s">
        <v>865</v>
      </c>
      <c r="B2175" s="10">
        <v>349</v>
      </c>
      <c r="C2175" s="10" t="s">
        <v>1512</v>
      </c>
      <c r="D2175" s="388">
        <v>45275</v>
      </c>
      <c r="E2175" s="389">
        <v>45275</v>
      </c>
      <c r="F2175" s="390" t="str">
        <f t="shared" si="40"/>
        <v>Whitegoods</v>
      </c>
      <c r="G2175" s="135">
        <v>3.8479305232398599E-2</v>
      </c>
      <c r="H2175" s="135">
        <v>3.4109101835927302E-2</v>
      </c>
      <c r="I2175" s="135">
        <v>3.2716724379374097E-2</v>
      </c>
      <c r="J2175" s="135">
        <v>3.2755788519262002E-2</v>
      </c>
      <c r="K2175" s="135">
        <v>3.2529372836290302E-2</v>
      </c>
      <c r="L2175" s="135">
        <v>3.3121973643746597E-2</v>
      </c>
      <c r="M2175" s="135">
        <v>3.6222705350671597E-2</v>
      </c>
      <c r="N2175" s="135">
        <v>4.3115434307554101E-2</v>
      </c>
      <c r="O2175" s="135">
        <v>4.5395973778856902E-2</v>
      </c>
      <c r="P2175" s="135">
        <v>4.3368864167013903E-2</v>
      </c>
      <c r="Q2175" s="135">
        <v>4.1119590293710699E-2</v>
      </c>
      <c r="R2175" s="135">
        <v>3.8910998036731502E-2</v>
      </c>
      <c r="S2175" s="135">
        <v>3.8920598006107497E-2</v>
      </c>
      <c r="T2175" s="135">
        <v>3.79499174309013E-2</v>
      </c>
      <c r="U2175" s="135">
        <v>3.88709902713682E-2</v>
      </c>
      <c r="V2175" s="135">
        <v>3.8263637944057502E-2</v>
      </c>
      <c r="W2175" s="135">
        <v>3.7620463052809597E-2</v>
      </c>
      <c r="X2175" s="135">
        <v>3.8411028317790599E-2</v>
      </c>
      <c r="Y2175" s="135">
        <v>4.0478448495668597E-2</v>
      </c>
      <c r="Z2175" s="135">
        <v>4.1570550137197598E-2</v>
      </c>
      <c r="AA2175" s="135">
        <v>4.6435464451008102E-2</v>
      </c>
      <c r="AB2175" s="135">
        <v>4.47686182865107E-2</v>
      </c>
      <c r="AC2175" s="135">
        <v>4.29455512955692E-2</v>
      </c>
      <c r="AD2175" s="135">
        <v>4.2460832816605398E-2</v>
      </c>
      <c r="AF2175" s="243">
        <f t="shared" si="41"/>
        <v>0.27165619503568628</v>
      </c>
      <c r="AG2175" s="275">
        <f t="shared" si="42"/>
        <v>0.51696696261508923</v>
      </c>
      <c r="AH2175" s="391">
        <f t="shared" si="43"/>
        <v>0.42357497027204272</v>
      </c>
      <c r="AI2175" s="135">
        <f t="shared" si="44"/>
        <v>0.94054193288713195</v>
      </c>
    </row>
    <row r="2176" spans="1:35" ht="12.6">
      <c r="A2176" s="10" t="s">
        <v>865</v>
      </c>
      <c r="B2176" s="10">
        <v>350</v>
      </c>
      <c r="C2176" s="10" t="s">
        <v>1512</v>
      </c>
      <c r="D2176" s="388">
        <v>45276</v>
      </c>
      <c r="E2176" s="389">
        <v>45276</v>
      </c>
      <c r="F2176" s="390" t="str">
        <f t="shared" si="40"/>
        <v>Whitegoods</v>
      </c>
      <c r="G2176" s="135">
        <v>3.7889413047341003E-2</v>
      </c>
      <c r="H2176" s="135">
        <v>3.5059366920746501E-2</v>
      </c>
      <c r="I2176" s="135">
        <v>3.2931863982889498E-2</v>
      </c>
      <c r="J2176" s="135">
        <v>3.2800456879470898E-2</v>
      </c>
      <c r="K2176" s="135">
        <v>3.3091056003752201E-2</v>
      </c>
      <c r="L2176" s="135">
        <v>3.2529790038360498E-2</v>
      </c>
      <c r="M2176" s="135">
        <v>3.54826268753183E-2</v>
      </c>
      <c r="N2176" s="135">
        <v>3.7107458651134698E-2</v>
      </c>
      <c r="O2176" s="135">
        <v>4.5537381765117499E-2</v>
      </c>
      <c r="P2176" s="135">
        <v>5.5534078772594399E-2</v>
      </c>
      <c r="Q2176" s="135">
        <v>6.0194987509722298E-2</v>
      </c>
      <c r="R2176" s="135">
        <v>5.5596362438183798E-2</v>
      </c>
      <c r="S2176" s="135">
        <v>5.2733772108295503E-2</v>
      </c>
      <c r="T2176" s="135">
        <v>5.1057154865542097E-2</v>
      </c>
      <c r="U2176" s="135">
        <v>4.6325531279428102E-2</v>
      </c>
      <c r="V2176" s="135">
        <v>4.6030075708210397E-2</v>
      </c>
      <c r="W2176" s="135">
        <v>4.5149399628007097E-2</v>
      </c>
      <c r="X2176" s="135">
        <v>4.4229959554115399E-2</v>
      </c>
      <c r="Y2176" s="135">
        <v>4.45303989671939E-2</v>
      </c>
      <c r="Z2176" s="135">
        <v>4.4016348074234699E-2</v>
      </c>
      <c r="AA2176" s="135">
        <v>4.6479606756783698E-2</v>
      </c>
      <c r="AB2176" s="135">
        <v>4.7609625395948103E-2</v>
      </c>
      <c r="AC2176" s="135">
        <v>4.2891469502281003E-2</v>
      </c>
      <c r="AD2176" s="135">
        <v>4.1169725251619001E-2</v>
      </c>
      <c r="AF2176" s="243">
        <f t="shared" si="41"/>
        <v>0.35708728353738928</v>
      </c>
      <c r="AG2176" s="275">
        <f t="shared" si="42"/>
        <v>0.56514170209126213</v>
      </c>
      <c r="AH2176" s="391">
        <f t="shared" si="43"/>
        <v>0.48083620788502851</v>
      </c>
      <c r="AI2176" s="135">
        <f t="shared" si="44"/>
        <v>1.0459779099762907</v>
      </c>
    </row>
    <row r="2177" spans="1:35" ht="12.6">
      <c r="A2177" s="10" t="s">
        <v>865</v>
      </c>
      <c r="B2177" s="10">
        <v>351</v>
      </c>
      <c r="C2177" s="10" t="s">
        <v>1512</v>
      </c>
      <c r="D2177" s="388">
        <v>45277</v>
      </c>
      <c r="E2177" s="389">
        <v>45277</v>
      </c>
      <c r="F2177" s="390" t="str">
        <f t="shared" si="40"/>
        <v>Whitegoods</v>
      </c>
      <c r="G2177" s="135">
        <v>3.7889413047341003E-2</v>
      </c>
      <c r="H2177" s="135">
        <v>3.5059366920746501E-2</v>
      </c>
      <c r="I2177" s="135">
        <v>3.2931863982889498E-2</v>
      </c>
      <c r="J2177" s="135">
        <v>3.2800456879470898E-2</v>
      </c>
      <c r="K2177" s="135">
        <v>3.3091056003752201E-2</v>
      </c>
      <c r="L2177" s="135">
        <v>3.2529790038360498E-2</v>
      </c>
      <c r="M2177" s="135">
        <v>3.54826268753183E-2</v>
      </c>
      <c r="N2177" s="135">
        <v>3.7107458651134698E-2</v>
      </c>
      <c r="O2177" s="135">
        <v>4.5537381765117499E-2</v>
      </c>
      <c r="P2177" s="135">
        <v>5.5534078772594399E-2</v>
      </c>
      <c r="Q2177" s="135">
        <v>6.0194987509722298E-2</v>
      </c>
      <c r="R2177" s="135">
        <v>5.5596362438183798E-2</v>
      </c>
      <c r="S2177" s="135">
        <v>5.2733772108295503E-2</v>
      </c>
      <c r="T2177" s="135">
        <v>5.1057154865542097E-2</v>
      </c>
      <c r="U2177" s="135">
        <v>4.6325531279428102E-2</v>
      </c>
      <c r="V2177" s="135">
        <v>4.6030075708210397E-2</v>
      </c>
      <c r="W2177" s="135">
        <v>4.5149399628007097E-2</v>
      </c>
      <c r="X2177" s="135">
        <v>4.4229959554115399E-2</v>
      </c>
      <c r="Y2177" s="135">
        <v>4.45303989671939E-2</v>
      </c>
      <c r="Z2177" s="135">
        <v>4.4016348074234699E-2</v>
      </c>
      <c r="AA2177" s="135">
        <v>4.6479606756783698E-2</v>
      </c>
      <c r="AB2177" s="135">
        <v>4.7609625395948103E-2</v>
      </c>
      <c r="AC2177" s="135">
        <v>4.2891469502281003E-2</v>
      </c>
      <c r="AD2177" s="135">
        <v>4.1169725251619001E-2</v>
      </c>
      <c r="AF2177" s="243">
        <f t="shared" si="41"/>
        <v>0.35708728353738928</v>
      </c>
      <c r="AG2177" s="275">
        <f t="shared" si="42"/>
        <v>0.56514170209126213</v>
      </c>
      <c r="AH2177" s="391">
        <f t="shared" si="43"/>
        <v>0.48083620788502851</v>
      </c>
      <c r="AI2177" s="135">
        <f t="shared" si="44"/>
        <v>1.0459779099762907</v>
      </c>
    </row>
    <row r="2178" spans="1:35" ht="12.6">
      <c r="A2178" s="10" t="s">
        <v>865</v>
      </c>
      <c r="B2178" s="10">
        <v>352</v>
      </c>
      <c r="C2178" s="10" t="s">
        <v>1512</v>
      </c>
      <c r="D2178" s="388">
        <v>45278</v>
      </c>
      <c r="E2178" s="389">
        <v>45278</v>
      </c>
      <c r="F2178" s="390" t="str">
        <f t="shared" si="40"/>
        <v>Whitegoods</v>
      </c>
      <c r="G2178" s="135">
        <v>3.8479305232398599E-2</v>
      </c>
      <c r="H2178" s="135">
        <v>3.4109101835927302E-2</v>
      </c>
      <c r="I2178" s="135">
        <v>3.2716724379374097E-2</v>
      </c>
      <c r="J2178" s="135">
        <v>3.2755788519262002E-2</v>
      </c>
      <c r="K2178" s="135">
        <v>3.2529372836290302E-2</v>
      </c>
      <c r="L2178" s="135">
        <v>3.3121973643746597E-2</v>
      </c>
      <c r="M2178" s="135">
        <v>3.6222705350671597E-2</v>
      </c>
      <c r="N2178" s="135">
        <v>4.3115434307554101E-2</v>
      </c>
      <c r="O2178" s="135">
        <v>4.5395973778856902E-2</v>
      </c>
      <c r="P2178" s="135">
        <v>4.3368864167013903E-2</v>
      </c>
      <c r="Q2178" s="135">
        <v>4.1119590293710699E-2</v>
      </c>
      <c r="R2178" s="135">
        <v>3.8910998036731502E-2</v>
      </c>
      <c r="S2178" s="135">
        <v>3.8920598006107497E-2</v>
      </c>
      <c r="T2178" s="135">
        <v>3.79499174309013E-2</v>
      </c>
      <c r="U2178" s="135">
        <v>3.88709902713682E-2</v>
      </c>
      <c r="V2178" s="135">
        <v>3.8263637944057502E-2</v>
      </c>
      <c r="W2178" s="135">
        <v>3.7620463052809597E-2</v>
      </c>
      <c r="X2178" s="135">
        <v>3.8411028317790599E-2</v>
      </c>
      <c r="Y2178" s="135">
        <v>4.0478448495668597E-2</v>
      </c>
      <c r="Z2178" s="135">
        <v>4.1570550137197598E-2</v>
      </c>
      <c r="AA2178" s="135">
        <v>4.6435464451008102E-2</v>
      </c>
      <c r="AB2178" s="135">
        <v>4.47686182865107E-2</v>
      </c>
      <c r="AC2178" s="135">
        <v>4.29455512955692E-2</v>
      </c>
      <c r="AD2178" s="135">
        <v>4.2460832816605398E-2</v>
      </c>
      <c r="AF2178" s="243">
        <f t="shared" si="41"/>
        <v>0.27165619503568628</v>
      </c>
      <c r="AG2178" s="275">
        <f t="shared" si="42"/>
        <v>0.51696696261508923</v>
      </c>
      <c r="AH2178" s="391">
        <f t="shared" si="43"/>
        <v>0.42357497027204272</v>
      </c>
      <c r="AI2178" s="135">
        <f t="shared" si="44"/>
        <v>0.94054193288713195</v>
      </c>
    </row>
    <row r="2179" spans="1:35" ht="12.6">
      <c r="A2179" s="10" t="s">
        <v>865</v>
      </c>
      <c r="B2179" s="10">
        <v>353</v>
      </c>
      <c r="C2179" s="10" t="s">
        <v>1512</v>
      </c>
      <c r="D2179" s="388">
        <v>45279</v>
      </c>
      <c r="E2179" s="389">
        <v>45279</v>
      </c>
      <c r="F2179" s="390" t="str">
        <f t="shared" si="40"/>
        <v>Whitegoods</v>
      </c>
      <c r="G2179" s="135">
        <v>3.8479305232398599E-2</v>
      </c>
      <c r="H2179" s="135">
        <v>3.4109101835927302E-2</v>
      </c>
      <c r="I2179" s="135">
        <v>3.2716724379374097E-2</v>
      </c>
      <c r="J2179" s="135">
        <v>3.2755788519262002E-2</v>
      </c>
      <c r="K2179" s="135">
        <v>3.2529372836290302E-2</v>
      </c>
      <c r="L2179" s="135">
        <v>3.3121973643746597E-2</v>
      </c>
      <c r="M2179" s="135">
        <v>3.6222705350671597E-2</v>
      </c>
      <c r="N2179" s="135">
        <v>4.3115434307554101E-2</v>
      </c>
      <c r="O2179" s="135">
        <v>4.5395973778856902E-2</v>
      </c>
      <c r="P2179" s="135">
        <v>4.3368864167013903E-2</v>
      </c>
      <c r="Q2179" s="135">
        <v>4.1119590293710699E-2</v>
      </c>
      <c r="R2179" s="135">
        <v>3.8910998036731502E-2</v>
      </c>
      <c r="S2179" s="135">
        <v>3.8920598006107497E-2</v>
      </c>
      <c r="T2179" s="135">
        <v>3.79499174309013E-2</v>
      </c>
      <c r="U2179" s="135">
        <v>3.88709902713682E-2</v>
      </c>
      <c r="V2179" s="135">
        <v>3.8263637944057502E-2</v>
      </c>
      <c r="W2179" s="135">
        <v>3.7620463052809597E-2</v>
      </c>
      <c r="X2179" s="135">
        <v>3.8411028317790599E-2</v>
      </c>
      <c r="Y2179" s="135">
        <v>4.0478448495668597E-2</v>
      </c>
      <c r="Z2179" s="135">
        <v>4.1570550137197598E-2</v>
      </c>
      <c r="AA2179" s="135">
        <v>4.6435464451008102E-2</v>
      </c>
      <c r="AB2179" s="135">
        <v>4.47686182865107E-2</v>
      </c>
      <c r="AC2179" s="135">
        <v>4.29455512955692E-2</v>
      </c>
      <c r="AD2179" s="135">
        <v>4.2460832816605398E-2</v>
      </c>
      <c r="AF2179" s="243">
        <f t="shared" si="41"/>
        <v>0.27165619503568628</v>
      </c>
      <c r="AG2179" s="275">
        <f t="shared" si="42"/>
        <v>0.51696696261508923</v>
      </c>
      <c r="AH2179" s="391">
        <f t="shared" si="43"/>
        <v>0.42357497027204272</v>
      </c>
      <c r="AI2179" s="135">
        <f t="shared" si="44"/>
        <v>0.94054193288713195</v>
      </c>
    </row>
    <row r="2180" spans="1:35" ht="12.6">
      <c r="A2180" s="10" t="s">
        <v>865</v>
      </c>
      <c r="B2180" s="10">
        <v>354</v>
      </c>
      <c r="C2180" s="10" t="s">
        <v>1512</v>
      </c>
      <c r="D2180" s="388">
        <v>45280</v>
      </c>
      <c r="E2180" s="389">
        <v>45280</v>
      </c>
      <c r="F2180" s="390" t="str">
        <f t="shared" si="40"/>
        <v>Whitegoods</v>
      </c>
      <c r="G2180" s="135">
        <v>3.8479305232398599E-2</v>
      </c>
      <c r="H2180" s="135">
        <v>3.4109101835927302E-2</v>
      </c>
      <c r="I2180" s="135">
        <v>3.2716724379374097E-2</v>
      </c>
      <c r="J2180" s="135">
        <v>3.2755788519262002E-2</v>
      </c>
      <c r="K2180" s="135">
        <v>3.2529372836290302E-2</v>
      </c>
      <c r="L2180" s="135">
        <v>3.3121973643746597E-2</v>
      </c>
      <c r="M2180" s="135">
        <v>3.6222705350671597E-2</v>
      </c>
      <c r="N2180" s="135">
        <v>4.3115434307554101E-2</v>
      </c>
      <c r="O2180" s="135">
        <v>4.5395973778856902E-2</v>
      </c>
      <c r="P2180" s="135">
        <v>4.3368864167013903E-2</v>
      </c>
      <c r="Q2180" s="135">
        <v>4.1119590293710699E-2</v>
      </c>
      <c r="R2180" s="135">
        <v>3.8910998036731502E-2</v>
      </c>
      <c r="S2180" s="135">
        <v>3.8920598006107497E-2</v>
      </c>
      <c r="T2180" s="135">
        <v>3.79499174309013E-2</v>
      </c>
      <c r="U2180" s="135">
        <v>3.88709902713682E-2</v>
      </c>
      <c r="V2180" s="135">
        <v>3.8263637944057502E-2</v>
      </c>
      <c r="W2180" s="135">
        <v>3.7620463052809597E-2</v>
      </c>
      <c r="X2180" s="135">
        <v>3.8411028317790599E-2</v>
      </c>
      <c r="Y2180" s="135">
        <v>4.0478448495668597E-2</v>
      </c>
      <c r="Z2180" s="135">
        <v>4.1570550137197598E-2</v>
      </c>
      <c r="AA2180" s="135">
        <v>4.6435464451008102E-2</v>
      </c>
      <c r="AB2180" s="135">
        <v>4.47686182865107E-2</v>
      </c>
      <c r="AC2180" s="135">
        <v>4.29455512955692E-2</v>
      </c>
      <c r="AD2180" s="135">
        <v>4.2460832816605398E-2</v>
      </c>
      <c r="AF2180" s="243">
        <f t="shared" si="41"/>
        <v>0.27165619503568628</v>
      </c>
      <c r="AG2180" s="275">
        <f t="shared" si="42"/>
        <v>0.51696696261508923</v>
      </c>
      <c r="AH2180" s="391">
        <f t="shared" si="43"/>
        <v>0.42357497027204272</v>
      </c>
      <c r="AI2180" s="135">
        <f t="shared" si="44"/>
        <v>0.94054193288713195</v>
      </c>
    </row>
    <row r="2181" spans="1:35" ht="12.6">
      <c r="A2181" s="10" t="s">
        <v>865</v>
      </c>
      <c r="B2181" s="10">
        <v>355</v>
      </c>
      <c r="C2181" s="10" t="s">
        <v>1512</v>
      </c>
      <c r="D2181" s="388">
        <v>45281</v>
      </c>
      <c r="E2181" s="389">
        <v>45281</v>
      </c>
      <c r="F2181" s="390" t="str">
        <f t="shared" si="40"/>
        <v>Whitegoods</v>
      </c>
      <c r="G2181" s="135">
        <v>3.8479305232398599E-2</v>
      </c>
      <c r="H2181" s="135">
        <v>3.4109101835927302E-2</v>
      </c>
      <c r="I2181" s="135">
        <v>3.2716724379374097E-2</v>
      </c>
      <c r="J2181" s="135">
        <v>3.2755788519262002E-2</v>
      </c>
      <c r="K2181" s="135">
        <v>3.2529372836290302E-2</v>
      </c>
      <c r="L2181" s="135">
        <v>3.3121973643746597E-2</v>
      </c>
      <c r="M2181" s="135">
        <v>3.6222705350671597E-2</v>
      </c>
      <c r="N2181" s="135">
        <v>4.3115434307554101E-2</v>
      </c>
      <c r="O2181" s="135">
        <v>4.5395973778856902E-2</v>
      </c>
      <c r="P2181" s="135">
        <v>4.3368864167013903E-2</v>
      </c>
      <c r="Q2181" s="135">
        <v>4.1119590293710699E-2</v>
      </c>
      <c r="R2181" s="135">
        <v>3.8910998036731502E-2</v>
      </c>
      <c r="S2181" s="135">
        <v>3.8920598006107497E-2</v>
      </c>
      <c r="T2181" s="135">
        <v>3.79499174309013E-2</v>
      </c>
      <c r="U2181" s="135">
        <v>3.88709902713682E-2</v>
      </c>
      <c r="V2181" s="135">
        <v>3.8263637944057502E-2</v>
      </c>
      <c r="W2181" s="135">
        <v>3.7620463052809597E-2</v>
      </c>
      <c r="X2181" s="135">
        <v>3.8411028317790599E-2</v>
      </c>
      <c r="Y2181" s="135">
        <v>4.0478448495668597E-2</v>
      </c>
      <c r="Z2181" s="135">
        <v>4.1570550137197598E-2</v>
      </c>
      <c r="AA2181" s="135">
        <v>4.6435464451008102E-2</v>
      </c>
      <c r="AB2181" s="135">
        <v>4.47686182865107E-2</v>
      </c>
      <c r="AC2181" s="135">
        <v>4.29455512955692E-2</v>
      </c>
      <c r="AD2181" s="135">
        <v>4.2460832816605398E-2</v>
      </c>
      <c r="AF2181" s="243">
        <f t="shared" si="41"/>
        <v>0.27165619503568628</v>
      </c>
      <c r="AG2181" s="275">
        <f t="shared" si="42"/>
        <v>0.51696696261508923</v>
      </c>
      <c r="AH2181" s="391">
        <f t="shared" si="43"/>
        <v>0.42357497027204272</v>
      </c>
      <c r="AI2181" s="135">
        <f t="shared" si="44"/>
        <v>0.94054193288713195</v>
      </c>
    </row>
    <row r="2182" spans="1:35" ht="12.6">
      <c r="A2182" s="10" t="s">
        <v>865</v>
      </c>
      <c r="B2182" s="10">
        <v>356</v>
      </c>
      <c r="C2182" s="10" t="s">
        <v>1512</v>
      </c>
      <c r="D2182" s="388">
        <v>45282</v>
      </c>
      <c r="E2182" s="389">
        <v>45282</v>
      </c>
      <c r="F2182" s="390" t="str">
        <f t="shared" si="40"/>
        <v>Whitegoods</v>
      </c>
      <c r="G2182" s="135">
        <v>3.8479305232398599E-2</v>
      </c>
      <c r="H2182" s="135">
        <v>3.4109101835927302E-2</v>
      </c>
      <c r="I2182" s="135">
        <v>3.2716724379374097E-2</v>
      </c>
      <c r="J2182" s="135">
        <v>3.2755788519262002E-2</v>
      </c>
      <c r="K2182" s="135">
        <v>3.2529372836290302E-2</v>
      </c>
      <c r="L2182" s="135">
        <v>3.3121973643746597E-2</v>
      </c>
      <c r="M2182" s="135">
        <v>3.6222705350671597E-2</v>
      </c>
      <c r="N2182" s="135">
        <v>4.3115434307554101E-2</v>
      </c>
      <c r="O2182" s="135">
        <v>4.5395973778856902E-2</v>
      </c>
      <c r="P2182" s="135">
        <v>4.3368864167013903E-2</v>
      </c>
      <c r="Q2182" s="135">
        <v>4.1119590293710699E-2</v>
      </c>
      <c r="R2182" s="135">
        <v>3.8910998036731502E-2</v>
      </c>
      <c r="S2182" s="135">
        <v>3.8920598006107497E-2</v>
      </c>
      <c r="T2182" s="135">
        <v>3.79499174309013E-2</v>
      </c>
      <c r="U2182" s="135">
        <v>3.88709902713682E-2</v>
      </c>
      <c r="V2182" s="135">
        <v>3.8263637944057502E-2</v>
      </c>
      <c r="W2182" s="135">
        <v>3.7620463052809597E-2</v>
      </c>
      <c r="X2182" s="135">
        <v>3.8411028317790599E-2</v>
      </c>
      <c r="Y2182" s="135">
        <v>4.0478448495668597E-2</v>
      </c>
      <c r="Z2182" s="135">
        <v>4.1570550137197598E-2</v>
      </c>
      <c r="AA2182" s="135">
        <v>4.6435464451008102E-2</v>
      </c>
      <c r="AB2182" s="135">
        <v>4.47686182865107E-2</v>
      </c>
      <c r="AC2182" s="135">
        <v>4.29455512955692E-2</v>
      </c>
      <c r="AD2182" s="135">
        <v>4.2460832816605398E-2</v>
      </c>
      <c r="AF2182" s="243">
        <f t="shared" si="41"/>
        <v>0.27165619503568628</v>
      </c>
      <c r="AG2182" s="275">
        <f t="shared" si="42"/>
        <v>0.51696696261508923</v>
      </c>
      <c r="AH2182" s="391">
        <f t="shared" si="43"/>
        <v>0.42357497027204272</v>
      </c>
      <c r="AI2182" s="135">
        <f t="shared" si="44"/>
        <v>0.94054193288713195</v>
      </c>
    </row>
    <row r="2183" spans="1:35" ht="12.6">
      <c r="A2183" s="10" t="s">
        <v>865</v>
      </c>
      <c r="B2183" s="10">
        <v>357</v>
      </c>
      <c r="C2183" s="10" t="s">
        <v>1512</v>
      </c>
      <c r="D2183" s="388">
        <v>45283</v>
      </c>
      <c r="E2183" s="389">
        <v>45283</v>
      </c>
      <c r="F2183" s="390" t="str">
        <f t="shared" si="40"/>
        <v>Whitegoods</v>
      </c>
      <c r="G2183" s="135">
        <v>3.7889413047341003E-2</v>
      </c>
      <c r="H2183" s="135">
        <v>3.5059366920746501E-2</v>
      </c>
      <c r="I2183" s="135">
        <v>3.2931863982889498E-2</v>
      </c>
      <c r="J2183" s="135">
        <v>3.2800456879470898E-2</v>
      </c>
      <c r="K2183" s="135">
        <v>3.3091056003752201E-2</v>
      </c>
      <c r="L2183" s="135">
        <v>3.2529790038360498E-2</v>
      </c>
      <c r="M2183" s="135">
        <v>3.54826268753183E-2</v>
      </c>
      <c r="N2183" s="135">
        <v>3.7107458651134698E-2</v>
      </c>
      <c r="O2183" s="135">
        <v>4.5537381765117499E-2</v>
      </c>
      <c r="P2183" s="135">
        <v>5.5534078772594399E-2</v>
      </c>
      <c r="Q2183" s="135">
        <v>6.0194987509722298E-2</v>
      </c>
      <c r="R2183" s="135">
        <v>5.5596362438183798E-2</v>
      </c>
      <c r="S2183" s="135">
        <v>5.2733772108295503E-2</v>
      </c>
      <c r="T2183" s="135">
        <v>5.1057154865542097E-2</v>
      </c>
      <c r="U2183" s="135">
        <v>4.6325531279428102E-2</v>
      </c>
      <c r="V2183" s="135">
        <v>4.6030075708210397E-2</v>
      </c>
      <c r="W2183" s="135">
        <v>4.5149399628007097E-2</v>
      </c>
      <c r="X2183" s="135">
        <v>4.4229959554115399E-2</v>
      </c>
      <c r="Y2183" s="135">
        <v>4.45303989671939E-2</v>
      </c>
      <c r="Z2183" s="135">
        <v>4.4016348074234699E-2</v>
      </c>
      <c r="AA2183" s="135">
        <v>4.6479606756783698E-2</v>
      </c>
      <c r="AB2183" s="135">
        <v>4.7609625395948103E-2</v>
      </c>
      <c r="AC2183" s="135">
        <v>4.2891469502281003E-2</v>
      </c>
      <c r="AD2183" s="135">
        <v>4.1169725251619001E-2</v>
      </c>
      <c r="AF2183" s="243">
        <f t="shared" si="41"/>
        <v>0.35708728353738928</v>
      </c>
      <c r="AG2183" s="275">
        <f t="shared" si="42"/>
        <v>0.56514170209126213</v>
      </c>
      <c r="AH2183" s="391">
        <f t="shared" si="43"/>
        <v>0.48083620788502851</v>
      </c>
      <c r="AI2183" s="135">
        <f t="shared" si="44"/>
        <v>1.0459779099762907</v>
      </c>
    </row>
    <row r="2184" spans="1:35" ht="12.6">
      <c r="A2184" s="10" t="s">
        <v>865</v>
      </c>
      <c r="B2184" s="10">
        <v>358</v>
      </c>
      <c r="C2184" s="10" t="s">
        <v>1512</v>
      </c>
      <c r="D2184" s="388">
        <v>45284</v>
      </c>
      <c r="E2184" s="389">
        <v>45284</v>
      </c>
      <c r="F2184" s="390" t="str">
        <f t="shared" si="40"/>
        <v>Whitegoods</v>
      </c>
      <c r="G2184" s="135">
        <v>3.7889413047341003E-2</v>
      </c>
      <c r="H2184" s="135">
        <v>3.5059366920746501E-2</v>
      </c>
      <c r="I2184" s="135">
        <v>3.2931863982889498E-2</v>
      </c>
      <c r="J2184" s="135">
        <v>3.2800456879470898E-2</v>
      </c>
      <c r="K2184" s="135">
        <v>3.3091056003752201E-2</v>
      </c>
      <c r="L2184" s="135">
        <v>3.2529790038360498E-2</v>
      </c>
      <c r="M2184" s="135">
        <v>3.54826268753183E-2</v>
      </c>
      <c r="N2184" s="135">
        <v>3.7107458651134698E-2</v>
      </c>
      <c r="O2184" s="135">
        <v>4.5537381765117499E-2</v>
      </c>
      <c r="P2184" s="135">
        <v>5.5534078772594399E-2</v>
      </c>
      <c r="Q2184" s="135">
        <v>6.0194987509722298E-2</v>
      </c>
      <c r="R2184" s="135">
        <v>5.5596362438183798E-2</v>
      </c>
      <c r="S2184" s="135">
        <v>5.2733772108295503E-2</v>
      </c>
      <c r="T2184" s="135">
        <v>5.1057154865542097E-2</v>
      </c>
      <c r="U2184" s="135">
        <v>4.6325531279428102E-2</v>
      </c>
      <c r="V2184" s="135">
        <v>4.6030075708210397E-2</v>
      </c>
      <c r="W2184" s="135">
        <v>4.5149399628007097E-2</v>
      </c>
      <c r="X2184" s="135">
        <v>4.4229959554115399E-2</v>
      </c>
      <c r="Y2184" s="135">
        <v>4.45303989671939E-2</v>
      </c>
      <c r="Z2184" s="135">
        <v>4.4016348074234699E-2</v>
      </c>
      <c r="AA2184" s="135">
        <v>4.6479606756783698E-2</v>
      </c>
      <c r="AB2184" s="135">
        <v>4.7609625395948103E-2</v>
      </c>
      <c r="AC2184" s="135">
        <v>4.2891469502281003E-2</v>
      </c>
      <c r="AD2184" s="135">
        <v>4.1169725251619001E-2</v>
      </c>
      <c r="AF2184" s="243">
        <f t="shared" si="41"/>
        <v>0.35708728353738928</v>
      </c>
      <c r="AG2184" s="275">
        <f t="shared" si="42"/>
        <v>0.56514170209126213</v>
      </c>
      <c r="AH2184" s="391">
        <f t="shared" si="43"/>
        <v>0.48083620788502851</v>
      </c>
      <c r="AI2184" s="135">
        <f t="shared" si="44"/>
        <v>1.0459779099762907</v>
      </c>
    </row>
    <row r="2185" spans="1:35" ht="12.6">
      <c r="A2185" s="10" t="s">
        <v>865</v>
      </c>
      <c r="B2185" s="10">
        <v>359</v>
      </c>
      <c r="C2185" s="10" t="s">
        <v>1512</v>
      </c>
      <c r="D2185" s="388">
        <v>45285</v>
      </c>
      <c r="E2185" s="389">
        <v>45285</v>
      </c>
      <c r="F2185" s="390" t="str">
        <f t="shared" si="40"/>
        <v>Whitegoods</v>
      </c>
      <c r="G2185" s="135">
        <v>3.8479305232398599E-2</v>
      </c>
      <c r="H2185" s="135">
        <v>3.4109101835927302E-2</v>
      </c>
      <c r="I2185" s="135">
        <v>3.2716724379374097E-2</v>
      </c>
      <c r="J2185" s="135">
        <v>3.2755788519262002E-2</v>
      </c>
      <c r="K2185" s="135">
        <v>3.2529372836290302E-2</v>
      </c>
      <c r="L2185" s="135">
        <v>3.3121973643746597E-2</v>
      </c>
      <c r="M2185" s="135">
        <v>3.6222705350671597E-2</v>
      </c>
      <c r="N2185" s="135">
        <v>4.3115434307554101E-2</v>
      </c>
      <c r="O2185" s="135">
        <v>4.5395973778856902E-2</v>
      </c>
      <c r="P2185" s="135">
        <v>4.3368864167013903E-2</v>
      </c>
      <c r="Q2185" s="135">
        <v>4.1119590293710699E-2</v>
      </c>
      <c r="R2185" s="135">
        <v>3.8910998036731502E-2</v>
      </c>
      <c r="S2185" s="135">
        <v>3.8920598006107497E-2</v>
      </c>
      <c r="T2185" s="135">
        <v>3.79499174309013E-2</v>
      </c>
      <c r="U2185" s="135">
        <v>3.88709902713682E-2</v>
      </c>
      <c r="V2185" s="135">
        <v>3.8263637944057502E-2</v>
      </c>
      <c r="W2185" s="135">
        <v>3.7620463052809597E-2</v>
      </c>
      <c r="X2185" s="135">
        <v>3.8411028317790599E-2</v>
      </c>
      <c r="Y2185" s="135">
        <v>4.0478448495668597E-2</v>
      </c>
      <c r="Z2185" s="135">
        <v>4.1570550137197598E-2</v>
      </c>
      <c r="AA2185" s="135">
        <v>4.6435464451008102E-2</v>
      </c>
      <c r="AB2185" s="135">
        <v>4.47686182865107E-2</v>
      </c>
      <c r="AC2185" s="135">
        <v>4.29455512955692E-2</v>
      </c>
      <c r="AD2185" s="135">
        <v>4.2460832816605398E-2</v>
      </c>
      <c r="AF2185" s="243">
        <f t="shared" si="41"/>
        <v>0.27165619503568628</v>
      </c>
      <c r="AG2185" s="275">
        <f t="shared" si="42"/>
        <v>0.51696696261508923</v>
      </c>
      <c r="AH2185" s="391">
        <f t="shared" si="43"/>
        <v>0.42357497027204272</v>
      </c>
      <c r="AI2185" s="135">
        <f t="shared" si="44"/>
        <v>0.94054193288713195</v>
      </c>
    </row>
    <row r="2186" spans="1:35" ht="12.6">
      <c r="A2186" s="10" t="s">
        <v>865</v>
      </c>
      <c r="B2186" s="10">
        <v>360</v>
      </c>
      <c r="C2186" s="10" t="s">
        <v>1512</v>
      </c>
      <c r="D2186" s="388">
        <v>45286</v>
      </c>
      <c r="E2186" s="389">
        <v>45286</v>
      </c>
      <c r="F2186" s="390" t="str">
        <f t="shared" si="40"/>
        <v>Whitegoods</v>
      </c>
      <c r="G2186" s="135">
        <v>3.8479305232398599E-2</v>
      </c>
      <c r="H2186" s="135">
        <v>3.4109101835927302E-2</v>
      </c>
      <c r="I2186" s="135">
        <v>3.2716724379374097E-2</v>
      </c>
      <c r="J2186" s="135">
        <v>3.2755788519262002E-2</v>
      </c>
      <c r="K2186" s="135">
        <v>3.2529372836290302E-2</v>
      </c>
      <c r="L2186" s="135">
        <v>3.3121973643746597E-2</v>
      </c>
      <c r="M2186" s="135">
        <v>3.6222705350671597E-2</v>
      </c>
      <c r="N2186" s="135">
        <v>4.3115434307554101E-2</v>
      </c>
      <c r="O2186" s="135">
        <v>4.5395973778856902E-2</v>
      </c>
      <c r="P2186" s="135">
        <v>4.3368864167013903E-2</v>
      </c>
      <c r="Q2186" s="135">
        <v>4.1119590293710699E-2</v>
      </c>
      <c r="R2186" s="135">
        <v>3.8910998036731502E-2</v>
      </c>
      <c r="S2186" s="135">
        <v>3.8920598006107497E-2</v>
      </c>
      <c r="T2186" s="135">
        <v>3.79499174309013E-2</v>
      </c>
      <c r="U2186" s="135">
        <v>3.88709902713682E-2</v>
      </c>
      <c r="V2186" s="135">
        <v>3.8263637944057502E-2</v>
      </c>
      <c r="W2186" s="135">
        <v>3.7620463052809597E-2</v>
      </c>
      <c r="X2186" s="135">
        <v>3.8411028317790599E-2</v>
      </c>
      <c r="Y2186" s="135">
        <v>4.0478448495668597E-2</v>
      </c>
      <c r="Z2186" s="135">
        <v>4.1570550137197598E-2</v>
      </c>
      <c r="AA2186" s="135">
        <v>4.6435464451008102E-2</v>
      </c>
      <c r="AB2186" s="135">
        <v>4.47686182865107E-2</v>
      </c>
      <c r="AC2186" s="135">
        <v>4.29455512955692E-2</v>
      </c>
      <c r="AD2186" s="135">
        <v>4.2460832816605398E-2</v>
      </c>
      <c r="AF2186" s="243">
        <f t="shared" si="41"/>
        <v>0.27165619503568628</v>
      </c>
      <c r="AG2186" s="275">
        <f t="shared" si="42"/>
        <v>0.51696696261508923</v>
      </c>
      <c r="AH2186" s="391">
        <f t="shared" si="43"/>
        <v>0.42357497027204272</v>
      </c>
      <c r="AI2186" s="135">
        <f t="shared" si="44"/>
        <v>0.94054193288713195</v>
      </c>
    </row>
    <row r="2187" spans="1:35" ht="12.6">
      <c r="A2187" s="10" t="s">
        <v>865</v>
      </c>
      <c r="B2187" s="10">
        <v>361</v>
      </c>
      <c r="C2187" s="10" t="s">
        <v>1512</v>
      </c>
      <c r="D2187" s="388">
        <v>45287</v>
      </c>
      <c r="E2187" s="389">
        <v>45287</v>
      </c>
      <c r="F2187" s="390" t="str">
        <f t="shared" si="40"/>
        <v>Whitegoods</v>
      </c>
      <c r="G2187" s="135">
        <v>3.8479305232398599E-2</v>
      </c>
      <c r="H2187" s="135">
        <v>3.4109101835927302E-2</v>
      </c>
      <c r="I2187" s="135">
        <v>3.2716724379374097E-2</v>
      </c>
      <c r="J2187" s="135">
        <v>3.2755788519262002E-2</v>
      </c>
      <c r="K2187" s="135">
        <v>3.2529372836290302E-2</v>
      </c>
      <c r="L2187" s="135">
        <v>3.3121973643746597E-2</v>
      </c>
      <c r="M2187" s="135">
        <v>3.6222705350671597E-2</v>
      </c>
      <c r="N2187" s="135">
        <v>4.3115434307554101E-2</v>
      </c>
      <c r="O2187" s="135">
        <v>4.5395973778856902E-2</v>
      </c>
      <c r="P2187" s="135">
        <v>4.3368864167013903E-2</v>
      </c>
      <c r="Q2187" s="135">
        <v>4.1119590293710699E-2</v>
      </c>
      <c r="R2187" s="135">
        <v>3.8910998036731502E-2</v>
      </c>
      <c r="S2187" s="135">
        <v>3.8920598006107497E-2</v>
      </c>
      <c r="T2187" s="135">
        <v>3.79499174309013E-2</v>
      </c>
      <c r="U2187" s="135">
        <v>3.88709902713682E-2</v>
      </c>
      <c r="V2187" s="135">
        <v>3.8263637944057502E-2</v>
      </c>
      <c r="W2187" s="135">
        <v>3.7620463052809597E-2</v>
      </c>
      <c r="X2187" s="135">
        <v>3.8411028317790599E-2</v>
      </c>
      <c r="Y2187" s="135">
        <v>4.0478448495668597E-2</v>
      </c>
      <c r="Z2187" s="135">
        <v>4.1570550137197598E-2</v>
      </c>
      <c r="AA2187" s="135">
        <v>4.6435464451008102E-2</v>
      </c>
      <c r="AB2187" s="135">
        <v>4.47686182865107E-2</v>
      </c>
      <c r="AC2187" s="135">
        <v>4.29455512955692E-2</v>
      </c>
      <c r="AD2187" s="135">
        <v>4.2460832816605398E-2</v>
      </c>
      <c r="AF2187" s="243">
        <f t="shared" si="41"/>
        <v>0.27165619503568628</v>
      </c>
      <c r="AG2187" s="275">
        <f t="shared" si="42"/>
        <v>0.51696696261508923</v>
      </c>
      <c r="AH2187" s="391">
        <f t="shared" si="43"/>
        <v>0.42357497027204272</v>
      </c>
      <c r="AI2187" s="135">
        <f t="shared" si="44"/>
        <v>0.94054193288713195</v>
      </c>
    </row>
    <row r="2188" spans="1:35" ht="12.6">
      <c r="A2188" s="10" t="s">
        <v>865</v>
      </c>
      <c r="B2188" s="10">
        <v>362</v>
      </c>
      <c r="C2188" s="10" t="s">
        <v>1512</v>
      </c>
      <c r="D2188" s="388">
        <v>45288</v>
      </c>
      <c r="E2188" s="389">
        <v>45288</v>
      </c>
      <c r="F2188" s="390" t="str">
        <f t="shared" si="40"/>
        <v>Whitegoods</v>
      </c>
      <c r="G2188" s="135">
        <v>3.8479305232398599E-2</v>
      </c>
      <c r="H2188" s="135">
        <v>3.4109101835927302E-2</v>
      </c>
      <c r="I2188" s="135">
        <v>3.2716724379374097E-2</v>
      </c>
      <c r="J2188" s="135">
        <v>3.2755788519262002E-2</v>
      </c>
      <c r="K2188" s="135">
        <v>3.2529372836290302E-2</v>
      </c>
      <c r="L2188" s="135">
        <v>3.3121973643746597E-2</v>
      </c>
      <c r="M2188" s="135">
        <v>3.6222705350671597E-2</v>
      </c>
      <c r="N2188" s="135">
        <v>4.3115434307554101E-2</v>
      </c>
      <c r="O2188" s="135">
        <v>4.5395973778856902E-2</v>
      </c>
      <c r="P2188" s="135">
        <v>4.3368864167013903E-2</v>
      </c>
      <c r="Q2188" s="135">
        <v>4.1119590293710699E-2</v>
      </c>
      <c r="R2188" s="135">
        <v>3.8910998036731502E-2</v>
      </c>
      <c r="S2188" s="135">
        <v>3.8920598006107497E-2</v>
      </c>
      <c r="T2188" s="135">
        <v>3.79499174309013E-2</v>
      </c>
      <c r="U2188" s="135">
        <v>3.88709902713682E-2</v>
      </c>
      <c r="V2188" s="135">
        <v>3.8263637944057502E-2</v>
      </c>
      <c r="W2188" s="135">
        <v>3.7620463052809597E-2</v>
      </c>
      <c r="X2188" s="135">
        <v>3.8411028317790599E-2</v>
      </c>
      <c r="Y2188" s="135">
        <v>4.0478448495668597E-2</v>
      </c>
      <c r="Z2188" s="135">
        <v>4.1570550137197598E-2</v>
      </c>
      <c r="AA2188" s="135">
        <v>4.6435464451008102E-2</v>
      </c>
      <c r="AB2188" s="135">
        <v>4.47686182865107E-2</v>
      </c>
      <c r="AC2188" s="135">
        <v>4.29455512955692E-2</v>
      </c>
      <c r="AD2188" s="135">
        <v>4.2460832816605398E-2</v>
      </c>
      <c r="AF2188" s="243">
        <f t="shared" si="41"/>
        <v>0.27165619503568628</v>
      </c>
      <c r="AG2188" s="275">
        <f t="shared" si="42"/>
        <v>0.51696696261508923</v>
      </c>
      <c r="AH2188" s="391">
        <f t="shared" si="43"/>
        <v>0.42357497027204272</v>
      </c>
      <c r="AI2188" s="135">
        <f t="shared" si="44"/>
        <v>0.94054193288713195</v>
      </c>
    </row>
    <row r="2189" spans="1:35" ht="12.6">
      <c r="A2189" s="10" t="s">
        <v>865</v>
      </c>
      <c r="B2189" s="10">
        <v>363</v>
      </c>
      <c r="C2189" s="10" t="s">
        <v>1512</v>
      </c>
      <c r="D2189" s="388">
        <v>45289</v>
      </c>
      <c r="E2189" s="389">
        <v>45289</v>
      </c>
      <c r="F2189" s="390" t="str">
        <f t="shared" si="40"/>
        <v>Whitegoods</v>
      </c>
      <c r="G2189" s="135">
        <v>3.8479305232398599E-2</v>
      </c>
      <c r="H2189" s="135">
        <v>3.4109101835927302E-2</v>
      </c>
      <c r="I2189" s="135">
        <v>3.2716724379374097E-2</v>
      </c>
      <c r="J2189" s="135">
        <v>3.2755788519262002E-2</v>
      </c>
      <c r="K2189" s="135">
        <v>3.2529372836290302E-2</v>
      </c>
      <c r="L2189" s="135">
        <v>3.3121973643746597E-2</v>
      </c>
      <c r="M2189" s="135">
        <v>3.6222705350671597E-2</v>
      </c>
      <c r="N2189" s="135">
        <v>4.3115434307554101E-2</v>
      </c>
      <c r="O2189" s="135">
        <v>4.5395973778856902E-2</v>
      </c>
      <c r="P2189" s="135">
        <v>4.3368864167013903E-2</v>
      </c>
      <c r="Q2189" s="135">
        <v>4.1119590293710699E-2</v>
      </c>
      <c r="R2189" s="135">
        <v>3.8910998036731502E-2</v>
      </c>
      <c r="S2189" s="135">
        <v>3.8920598006107497E-2</v>
      </c>
      <c r="T2189" s="135">
        <v>3.79499174309013E-2</v>
      </c>
      <c r="U2189" s="135">
        <v>3.88709902713682E-2</v>
      </c>
      <c r="V2189" s="135">
        <v>3.8263637944057502E-2</v>
      </c>
      <c r="W2189" s="135">
        <v>3.7620463052809597E-2</v>
      </c>
      <c r="X2189" s="135">
        <v>3.8411028317790599E-2</v>
      </c>
      <c r="Y2189" s="135">
        <v>4.0478448495668597E-2</v>
      </c>
      <c r="Z2189" s="135">
        <v>4.1570550137197598E-2</v>
      </c>
      <c r="AA2189" s="135">
        <v>4.6435464451008102E-2</v>
      </c>
      <c r="AB2189" s="135">
        <v>4.47686182865107E-2</v>
      </c>
      <c r="AC2189" s="135">
        <v>4.29455512955692E-2</v>
      </c>
      <c r="AD2189" s="135">
        <v>4.2460832816605398E-2</v>
      </c>
      <c r="AF2189" s="243">
        <f t="shared" si="41"/>
        <v>0.27165619503568628</v>
      </c>
      <c r="AG2189" s="275">
        <f t="shared" si="42"/>
        <v>0.51696696261508923</v>
      </c>
      <c r="AH2189" s="391">
        <f t="shared" si="43"/>
        <v>0.42357497027204272</v>
      </c>
      <c r="AI2189" s="135">
        <f t="shared" si="44"/>
        <v>0.94054193288713195</v>
      </c>
    </row>
    <row r="2190" spans="1:35" ht="12.6">
      <c r="A2190" s="10" t="s">
        <v>865</v>
      </c>
      <c r="B2190" s="10">
        <v>364</v>
      </c>
      <c r="C2190" s="10" t="s">
        <v>1512</v>
      </c>
      <c r="D2190" s="388">
        <v>45290</v>
      </c>
      <c r="E2190" s="389">
        <v>45290</v>
      </c>
      <c r="F2190" s="390" t="str">
        <f t="shared" si="40"/>
        <v>Whitegoods</v>
      </c>
      <c r="G2190" s="135">
        <v>3.7889413047341003E-2</v>
      </c>
      <c r="H2190" s="135">
        <v>3.5059366920746501E-2</v>
      </c>
      <c r="I2190" s="135">
        <v>3.2931863982889498E-2</v>
      </c>
      <c r="J2190" s="135">
        <v>3.2800456879470898E-2</v>
      </c>
      <c r="K2190" s="135">
        <v>3.3091056003752201E-2</v>
      </c>
      <c r="L2190" s="135">
        <v>3.2529790038360498E-2</v>
      </c>
      <c r="M2190" s="135">
        <v>3.54826268753183E-2</v>
      </c>
      <c r="N2190" s="135">
        <v>3.7107458651134698E-2</v>
      </c>
      <c r="O2190" s="135">
        <v>4.5537381765117499E-2</v>
      </c>
      <c r="P2190" s="135">
        <v>5.5534078772594399E-2</v>
      </c>
      <c r="Q2190" s="135">
        <v>6.0194987509722298E-2</v>
      </c>
      <c r="R2190" s="135">
        <v>5.5596362438183798E-2</v>
      </c>
      <c r="S2190" s="135">
        <v>5.2733772108295503E-2</v>
      </c>
      <c r="T2190" s="135">
        <v>5.1057154865542097E-2</v>
      </c>
      <c r="U2190" s="135">
        <v>4.6325531279428102E-2</v>
      </c>
      <c r="V2190" s="135">
        <v>4.6030075708210397E-2</v>
      </c>
      <c r="W2190" s="135">
        <v>4.5149399628007097E-2</v>
      </c>
      <c r="X2190" s="135">
        <v>4.4229959554115399E-2</v>
      </c>
      <c r="Y2190" s="135">
        <v>4.45303989671939E-2</v>
      </c>
      <c r="Z2190" s="135">
        <v>4.4016348074234699E-2</v>
      </c>
      <c r="AA2190" s="135">
        <v>4.6479606756783698E-2</v>
      </c>
      <c r="AB2190" s="135">
        <v>4.7609625395948103E-2</v>
      </c>
      <c r="AC2190" s="135">
        <v>4.2891469502281003E-2</v>
      </c>
      <c r="AD2190" s="135">
        <v>4.1169725251619001E-2</v>
      </c>
      <c r="AF2190" s="243">
        <f t="shared" si="41"/>
        <v>0.35708728353738928</v>
      </c>
      <c r="AG2190" s="275">
        <f t="shared" si="42"/>
        <v>0.56514170209126213</v>
      </c>
      <c r="AH2190" s="391">
        <f t="shared" si="43"/>
        <v>0.48083620788502851</v>
      </c>
      <c r="AI2190" s="135">
        <f t="shared" si="44"/>
        <v>1.0459779099762907</v>
      </c>
    </row>
    <row r="2191" spans="1:35" ht="12.6">
      <c r="A2191" s="10" t="s">
        <v>865</v>
      </c>
      <c r="B2191" s="10">
        <v>365</v>
      </c>
      <c r="C2191" s="10" t="s">
        <v>1512</v>
      </c>
      <c r="D2191" s="388">
        <v>45291</v>
      </c>
      <c r="E2191" s="389">
        <v>45291</v>
      </c>
      <c r="F2191" s="390" t="str">
        <f t="shared" si="40"/>
        <v>Whitegoods</v>
      </c>
      <c r="G2191" s="135">
        <v>3.7889413047341003E-2</v>
      </c>
      <c r="H2191" s="135">
        <v>3.5059366920746501E-2</v>
      </c>
      <c r="I2191" s="135">
        <v>3.2931863982889498E-2</v>
      </c>
      <c r="J2191" s="135">
        <v>3.2800456879470898E-2</v>
      </c>
      <c r="K2191" s="135">
        <v>3.3091056003752201E-2</v>
      </c>
      <c r="L2191" s="135">
        <v>3.2529790038360498E-2</v>
      </c>
      <c r="M2191" s="135">
        <v>3.54826268753183E-2</v>
      </c>
      <c r="N2191" s="135">
        <v>3.7107458651134698E-2</v>
      </c>
      <c r="O2191" s="135">
        <v>4.5537381765117499E-2</v>
      </c>
      <c r="P2191" s="135">
        <v>5.5534078772594399E-2</v>
      </c>
      <c r="Q2191" s="135">
        <v>6.0194987509722298E-2</v>
      </c>
      <c r="R2191" s="135">
        <v>5.5596362438183798E-2</v>
      </c>
      <c r="S2191" s="135">
        <v>5.2733772108295503E-2</v>
      </c>
      <c r="T2191" s="135">
        <v>5.1057154865542097E-2</v>
      </c>
      <c r="U2191" s="135">
        <v>4.6325531279428102E-2</v>
      </c>
      <c r="V2191" s="135">
        <v>4.6030075708210397E-2</v>
      </c>
      <c r="W2191" s="135">
        <v>4.5149399628007097E-2</v>
      </c>
      <c r="X2191" s="135">
        <v>4.4229959554115399E-2</v>
      </c>
      <c r="Y2191" s="135">
        <v>4.45303989671939E-2</v>
      </c>
      <c r="Z2191" s="135">
        <v>4.4016348074234699E-2</v>
      </c>
      <c r="AA2191" s="135">
        <v>4.6479606756783698E-2</v>
      </c>
      <c r="AB2191" s="135">
        <v>4.7609625395948103E-2</v>
      </c>
      <c r="AC2191" s="135">
        <v>4.2891469502281003E-2</v>
      </c>
      <c r="AD2191" s="135">
        <v>4.1169725251619001E-2</v>
      </c>
      <c r="AF2191" s="243">
        <f t="shared" si="41"/>
        <v>0.35708728353738928</v>
      </c>
      <c r="AG2191" s="275">
        <f t="shared" si="42"/>
        <v>0.56514170209126213</v>
      </c>
      <c r="AH2191" s="391">
        <f t="shared" si="43"/>
        <v>0.48083620788502851</v>
      </c>
      <c r="AI2191" s="135">
        <f t="shared" si="44"/>
        <v>1.0459779099762907</v>
      </c>
    </row>
    <row r="2192" spans="1:35" ht="12.6">
      <c r="A2192" s="10" t="s">
        <v>131</v>
      </c>
      <c r="B2192" s="10">
        <v>1</v>
      </c>
      <c r="C2192" s="10" t="s">
        <v>1512</v>
      </c>
      <c r="D2192" s="388">
        <v>44927</v>
      </c>
      <c r="E2192" s="389">
        <v>44927</v>
      </c>
      <c r="G2192" s="135">
        <f>'National average solar data'!C$32</f>
        <v>0</v>
      </c>
      <c r="H2192" s="135">
        <f>'National average solar data'!D32</f>
        <v>0</v>
      </c>
      <c r="I2192" s="135">
        <f>'National average solar data'!E32</f>
        <v>0</v>
      </c>
      <c r="J2192" s="135">
        <f>'National average solar data'!F32</f>
        <v>0</v>
      </c>
      <c r="K2192" s="135">
        <f>'National average solar data'!G32</f>
        <v>2.3851</v>
      </c>
      <c r="L2192" s="135">
        <f>'National average solar data'!H32</f>
        <v>1.5496000000000001</v>
      </c>
      <c r="M2192" s="135">
        <f>'National average solar data'!I32</f>
        <v>2.0369999999999999</v>
      </c>
      <c r="N2192" s="135">
        <f>'National average solar data'!J32</f>
        <v>1.6294</v>
      </c>
      <c r="O2192" s="135">
        <f>'National average solar data'!K32</f>
        <v>1.3247</v>
      </c>
      <c r="P2192" s="135">
        <f>'National average solar data'!L32</f>
        <v>1.2588999999999999</v>
      </c>
      <c r="Q2192" s="135">
        <f>'National average solar data'!M32</f>
        <v>1.2455000000000001</v>
      </c>
      <c r="R2192" s="135">
        <f>'National average solar data'!N32</f>
        <v>1.2639</v>
      </c>
      <c r="S2192" s="135">
        <f>'National average solar data'!O32</f>
        <v>1.3004</v>
      </c>
      <c r="T2192" s="135">
        <f>'National average solar data'!P32</f>
        <v>1.3307</v>
      </c>
      <c r="U2192" s="135">
        <f>'National average solar data'!Q32</f>
        <v>1.3776999999999999</v>
      </c>
      <c r="V2192" s="135">
        <f>'National average solar data'!R32</f>
        <v>1.5044</v>
      </c>
      <c r="W2192" s="135">
        <f>'National average solar data'!S32</f>
        <v>1.7894000000000001</v>
      </c>
      <c r="X2192" s="135">
        <f>'National average solar data'!T32</f>
        <v>2.5588000000000002</v>
      </c>
      <c r="Y2192" s="135">
        <f>'National average solar data'!U32</f>
        <v>3.2046999999999999</v>
      </c>
      <c r="Z2192" s="135">
        <f>'National average solar data'!V32</f>
        <v>5.0152000000000001</v>
      </c>
      <c r="AA2192" s="135">
        <f>'National average solar data'!W32</f>
        <v>4</v>
      </c>
      <c r="AB2192" s="135">
        <f>'National average solar data'!X32</f>
        <v>0</v>
      </c>
      <c r="AC2192" s="135">
        <f>'National average solar data'!Y32</f>
        <v>0</v>
      </c>
      <c r="AD2192" s="135">
        <f>'National average solar data'!Z32</f>
        <v>0</v>
      </c>
      <c r="AF2192" s="37"/>
      <c r="AG2192" s="95"/>
      <c r="AH2192" s="36"/>
    </row>
    <row r="2193" spans="1:30" ht="12.6">
      <c r="A2193" s="10" t="s">
        <v>131</v>
      </c>
      <c r="B2193" s="10">
        <v>2</v>
      </c>
      <c r="C2193" s="10" t="s">
        <v>1512</v>
      </c>
      <c r="D2193" s="388">
        <v>44928</v>
      </c>
      <c r="E2193" s="389">
        <v>44928</v>
      </c>
      <c r="G2193" s="135">
        <f>'National average solar data'!C$32</f>
        <v>0</v>
      </c>
      <c r="H2193" s="135">
        <f>'National average solar data'!D$32</f>
        <v>0</v>
      </c>
      <c r="I2193" s="135">
        <f>'National average solar data'!E$32</f>
        <v>0</v>
      </c>
      <c r="J2193" s="135">
        <f>'National average solar data'!F$32</f>
        <v>0</v>
      </c>
      <c r="K2193" s="135">
        <f>'National average solar data'!G$32</f>
        <v>2.3851</v>
      </c>
      <c r="L2193" s="135">
        <f>'National average solar data'!H$32</f>
        <v>1.5496000000000001</v>
      </c>
      <c r="M2193" s="135">
        <f>'National average solar data'!I$32</f>
        <v>2.0369999999999999</v>
      </c>
      <c r="N2193" s="135">
        <f>'National average solar data'!J$32</f>
        <v>1.6294</v>
      </c>
      <c r="O2193" s="135">
        <f>'National average solar data'!K$32</f>
        <v>1.3247</v>
      </c>
      <c r="P2193" s="135">
        <f>'National average solar data'!L$32</f>
        <v>1.2588999999999999</v>
      </c>
      <c r="Q2193" s="135">
        <f>'National average solar data'!M$32</f>
        <v>1.2455000000000001</v>
      </c>
      <c r="R2193" s="135">
        <f>'National average solar data'!N$32</f>
        <v>1.2639</v>
      </c>
      <c r="S2193" s="135">
        <f>'National average solar data'!O$32</f>
        <v>1.3004</v>
      </c>
      <c r="T2193" s="135">
        <f>'National average solar data'!P$32</f>
        <v>1.3307</v>
      </c>
      <c r="U2193" s="135">
        <f>'National average solar data'!Q$32</f>
        <v>1.3776999999999999</v>
      </c>
      <c r="V2193" s="135">
        <f>'National average solar data'!R$32</f>
        <v>1.5044</v>
      </c>
      <c r="W2193" s="135">
        <f>'National average solar data'!S$32</f>
        <v>1.7894000000000001</v>
      </c>
      <c r="X2193" s="135">
        <f>'National average solar data'!T$32</f>
        <v>2.5588000000000002</v>
      </c>
      <c r="Y2193" s="135">
        <f>'National average solar data'!U$32</f>
        <v>3.2046999999999999</v>
      </c>
      <c r="Z2193" s="135">
        <f>'National average solar data'!V$32</f>
        <v>5.0152000000000001</v>
      </c>
      <c r="AA2193" s="135">
        <f>'National average solar data'!W$32</f>
        <v>4</v>
      </c>
      <c r="AB2193" s="135">
        <f>'National average solar data'!X$32</f>
        <v>0</v>
      </c>
      <c r="AC2193" s="135">
        <f>'National average solar data'!Y$32</f>
        <v>0</v>
      </c>
      <c r="AD2193" s="135">
        <f>'National average solar data'!Z$32</f>
        <v>0</v>
      </c>
    </row>
    <row r="2194" spans="1:30" ht="12.6">
      <c r="A2194" s="10" t="s">
        <v>131</v>
      </c>
      <c r="B2194" s="10">
        <v>3</v>
      </c>
      <c r="C2194" s="10" t="s">
        <v>1512</v>
      </c>
      <c r="D2194" s="388">
        <v>44929</v>
      </c>
      <c r="E2194" s="389">
        <v>44929</v>
      </c>
      <c r="G2194" s="135">
        <f>'National average solar data'!C$32</f>
        <v>0</v>
      </c>
      <c r="H2194" s="135">
        <f>'National average solar data'!D$32</f>
        <v>0</v>
      </c>
      <c r="I2194" s="135">
        <f>'National average solar data'!E$32</f>
        <v>0</v>
      </c>
      <c r="J2194" s="135">
        <f>'National average solar data'!F$32</f>
        <v>0</v>
      </c>
      <c r="K2194" s="135">
        <f>'National average solar data'!G$32</f>
        <v>2.3851</v>
      </c>
      <c r="L2194" s="135">
        <f>'National average solar data'!H$32</f>
        <v>1.5496000000000001</v>
      </c>
      <c r="M2194" s="135">
        <f>'National average solar data'!I$32</f>
        <v>2.0369999999999999</v>
      </c>
      <c r="N2194" s="135">
        <f>'National average solar data'!J$32</f>
        <v>1.6294</v>
      </c>
      <c r="O2194" s="135">
        <f>'National average solar data'!K$32</f>
        <v>1.3247</v>
      </c>
      <c r="P2194" s="135">
        <f>'National average solar data'!L$32</f>
        <v>1.2588999999999999</v>
      </c>
      <c r="Q2194" s="135">
        <f>'National average solar data'!M$32</f>
        <v>1.2455000000000001</v>
      </c>
      <c r="R2194" s="135">
        <f>'National average solar data'!N$32</f>
        <v>1.2639</v>
      </c>
      <c r="S2194" s="135">
        <f>'National average solar data'!O$32</f>
        <v>1.3004</v>
      </c>
      <c r="T2194" s="135">
        <f>'National average solar data'!P$32</f>
        <v>1.3307</v>
      </c>
      <c r="U2194" s="135">
        <f>'National average solar data'!Q$32</f>
        <v>1.3776999999999999</v>
      </c>
      <c r="V2194" s="135">
        <f>'National average solar data'!R$32</f>
        <v>1.5044</v>
      </c>
      <c r="W2194" s="135">
        <f>'National average solar data'!S$32</f>
        <v>1.7894000000000001</v>
      </c>
      <c r="X2194" s="135">
        <f>'National average solar data'!T$32</f>
        <v>2.5588000000000002</v>
      </c>
      <c r="Y2194" s="135">
        <f>'National average solar data'!U$32</f>
        <v>3.2046999999999999</v>
      </c>
      <c r="Z2194" s="135">
        <f>'National average solar data'!V$32</f>
        <v>5.0152000000000001</v>
      </c>
      <c r="AA2194" s="135">
        <f>'National average solar data'!W$32</f>
        <v>4</v>
      </c>
      <c r="AB2194" s="135">
        <f>'National average solar data'!X$32</f>
        <v>0</v>
      </c>
      <c r="AC2194" s="135">
        <f>'National average solar data'!Y$32</f>
        <v>0</v>
      </c>
      <c r="AD2194" s="135">
        <f>'National average solar data'!Z$32</f>
        <v>0</v>
      </c>
    </row>
    <row r="2195" spans="1:30" ht="12.6">
      <c r="A2195" s="10" t="s">
        <v>131</v>
      </c>
      <c r="B2195" s="10">
        <v>4</v>
      </c>
      <c r="C2195" s="10" t="s">
        <v>1512</v>
      </c>
      <c r="D2195" s="388">
        <v>44930</v>
      </c>
      <c r="E2195" s="389">
        <v>44930</v>
      </c>
      <c r="G2195" s="135">
        <f>'National average solar data'!C$32</f>
        <v>0</v>
      </c>
      <c r="H2195" s="135">
        <f>'National average solar data'!D$32</f>
        <v>0</v>
      </c>
      <c r="I2195" s="135">
        <f>'National average solar data'!E$32</f>
        <v>0</v>
      </c>
      <c r="J2195" s="135">
        <f>'National average solar data'!F$32</f>
        <v>0</v>
      </c>
      <c r="K2195" s="135">
        <f>'National average solar data'!G$32</f>
        <v>2.3851</v>
      </c>
      <c r="L2195" s="135">
        <f>'National average solar data'!H$32</f>
        <v>1.5496000000000001</v>
      </c>
      <c r="M2195" s="135">
        <f>'National average solar data'!I$32</f>
        <v>2.0369999999999999</v>
      </c>
      <c r="N2195" s="135">
        <f>'National average solar data'!J$32</f>
        <v>1.6294</v>
      </c>
      <c r="O2195" s="135">
        <f>'National average solar data'!K$32</f>
        <v>1.3247</v>
      </c>
      <c r="P2195" s="135">
        <f>'National average solar data'!L$32</f>
        <v>1.2588999999999999</v>
      </c>
      <c r="Q2195" s="135">
        <f>'National average solar data'!M$32</f>
        <v>1.2455000000000001</v>
      </c>
      <c r="R2195" s="135">
        <f>'National average solar data'!N$32</f>
        <v>1.2639</v>
      </c>
      <c r="S2195" s="135">
        <f>'National average solar data'!O$32</f>
        <v>1.3004</v>
      </c>
      <c r="T2195" s="135">
        <f>'National average solar data'!P$32</f>
        <v>1.3307</v>
      </c>
      <c r="U2195" s="135">
        <f>'National average solar data'!Q$32</f>
        <v>1.3776999999999999</v>
      </c>
      <c r="V2195" s="135">
        <f>'National average solar data'!R$32</f>
        <v>1.5044</v>
      </c>
      <c r="W2195" s="135">
        <f>'National average solar data'!S$32</f>
        <v>1.7894000000000001</v>
      </c>
      <c r="X2195" s="135">
        <f>'National average solar data'!T$32</f>
        <v>2.5588000000000002</v>
      </c>
      <c r="Y2195" s="135">
        <f>'National average solar data'!U$32</f>
        <v>3.2046999999999999</v>
      </c>
      <c r="Z2195" s="135">
        <f>'National average solar data'!V$32</f>
        <v>5.0152000000000001</v>
      </c>
      <c r="AA2195" s="135">
        <f>'National average solar data'!W$32</f>
        <v>4</v>
      </c>
      <c r="AB2195" s="135">
        <f>'National average solar data'!X$32</f>
        <v>0</v>
      </c>
      <c r="AC2195" s="135">
        <f>'National average solar data'!Y$32</f>
        <v>0</v>
      </c>
      <c r="AD2195" s="135">
        <f>'National average solar data'!Z$32</f>
        <v>0</v>
      </c>
    </row>
    <row r="2196" spans="1:30" ht="12.6">
      <c r="A2196" s="10" t="s">
        <v>131</v>
      </c>
      <c r="B2196" s="10">
        <v>5</v>
      </c>
      <c r="C2196" s="10" t="s">
        <v>1512</v>
      </c>
      <c r="D2196" s="388">
        <v>44931</v>
      </c>
      <c r="E2196" s="389">
        <v>44931</v>
      </c>
      <c r="G2196" s="135">
        <f>'National average solar data'!C$32</f>
        <v>0</v>
      </c>
      <c r="H2196" s="135">
        <f>'National average solar data'!D$32</f>
        <v>0</v>
      </c>
      <c r="I2196" s="135">
        <f>'National average solar data'!E$32</f>
        <v>0</v>
      </c>
      <c r="J2196" s="135">
        <f>'National average solar data'!F$32</f>
        <v>0</v>
      </c>
      <c r="K2196" s="135">
        <f>'National average solar data'!G$32</f>
        <v>2.3851</v>
      </c>
      <c r="L2196" s="135">
        <f>'National average solar data'!H$32</f>
        <v>1.5496000000000001</v>
      </c>
      <c r="M2196" s="135">
        <f>'National average solar data'!I$32</f>
        <v>2.0369999999999999</v>
      </c>
      <c r="N2196" s="135">
        <f>'National average solar data'!J$32</f>
        <v>1.6294</v>
      </c>
      <c r="O2196" s="135">
        <f>'National average solar data'!K$32</f>
        <v>1.3247</v>
      </c>
      <c r="P2196" s="135">
        <f>'National average solar data'!L$32</f>
        <v>1.2588999999999999</v>
      </c>
      <c r="Q2196" s="135">
        <f>'National average solar data'!M$32</f>
        <v>1.2455000000000001</v>
      </c>
      <c r="R2196" s="135">
        <f>'National average solar data'!N$32</f>
        <v>1.2639</v>
      </c>
      <c r="S2196" s="135">
        <f>'National average solar data'!O$32</f>
        <v>1.3004</v>
      </c>
      <c r="T2196" s="135">
        <f>'National average solar data'!P$32</f>
        <v>1.3307</v>
      </c>
      <c r="U2196" s="135">
        <f>'National average solar data'!Q$32</f>
        <v>1.3776999999999999</v>
      </c>
      <c r="V2196" s="135">
        <f>'National average solar data'!R$32</f>
        <v>1.5044</v>
      </c>
      <c r="W2196" s="135">
        <f>'National average solar data'!S$32</f>
        <v>1.7894000000000001</v>
      </c>
      <c r="X2196" s="135">
        <f>'National average solar data'!T$32</f>
        <v>2.5588000000000002</v>
      </c>
      <c r="Y2196" s="135">
        <f>'National average solar data'!U$32</f>
        <v>3.2046999999999999</v>
      </c>
      <c r="Z2196" s="135">
        <f>'National average solar data'!V$32</f>
        <v>5.0152000000000001</v>
      </c>
      <c r="AA2196" s="135">
        <f>'National average solar data'!W$32</f>
        <v>4</v>
      </c>
      <c r="AB2196" s="135">
        <f>'National average solar data'!X$32</f>
        <v>0</v>
      </c>
      <c r="AC2196" s="135">
        <f>'National average solar data'!Y$32</f>
        <v>0</v>
      </c>
      <c r="AD2196" s="135">
        <f>'National average solar data'!Z$32</f>
        <v>0</v>
      </c>
    </row>
    <row r="2197" spans="1:30" ht="12.6">
      <c r="A2197" s="10" t="s">
        <v>131</v>
      </c>
      <c r="B2197" s="10">
        <v>6</v>
      </c>
      <c r="C2197" s="10" t="s">
        <v>1512</v>
      </c>
      <c r="D2197" s="388">
        <v>44932</v>
      </c>
      <c r="E2197" s="389">
        <v>44932</v>
      </c>
      <c r="G2197" s="135">
        <f>'National average solar data'!C$32</f>
        <v>0</v>
      </c>
      <c r="H2197" s="135">
        <f>'National average solar data'!D$32</f>
        <v>0</v>
      </c>
      <c r="I2197" s="135">
        <f>'National average solar data'!E$32</f>
        <v>0</v>
      </c>
      <c r="J2197" s="135">
        <f>'National average solar data'!F$32</f>
        <v>0</v>
      </c>
      <c r="K2197" s="135">
        <f>'National average solar data'!G$32</f>
        <v>2.3851</v>
      </c>
      <c r="L2197" s="135">
        <f>'National average solar data'!H$32</f>
        <v>1.5496000000000001</v>
      </c>
      <c r="M2197" s="135">
        <f>'National average solar data'!I$32</f>
        <v>2.0369999999999999</v>
      </c>
      <c r="N2197" s="135">
        <f>'National average solar data'!J$32</f>
        <v>1.6294</v>
      </c>
      <c r="O2197" s="135">
        <f>'National average solar data'!K$32</f>
        <v>1.3247</v>
      </c>
      <c r="P2197" s="135">
        <f>'National average solar data'!L$32</f>
        <v>1.2588999999999999</v>
      </c>
      <c r="Q2197" s="135">
        <f>'National average solar data'!M$32</f>
        <v>1.2455000000000001</v>
      </c>
      <c r="R2197" s="135">
        <f>'National average solar data'!N$32</f>
        <v>1.2639</v>
      </c>
      <c r="S2197" s="135">
        <f>'National average solar data'!O$32</f>
        <v>1.3004</v>
      </c>
      <c r="T2197" s="135">
        <f>'National average solar data'!P$32</f>
        <v>1.3307</v>
      </c>
      <c r="U2197" s="135">
        <f>'National average solar data'!Q$32</f>
        <v>1.3776999999999999</v>
      </c>
      <c r="V2197" s="135">
        <f>'National average solar data'!R$32</f>
        <v>1.5044</v>
      </c>
      <c r="W2197" s="135">
        <f>'National average solar data'!S$32</f>
        <v>1.7894000000000001</v>
      </c>
      <c r="X2197" s="135">
        <f>'National average solar data'!T$32</f>
        <v>2.5588000000000002</v>
      </c>
      <c r="Y2197" s="135">
        <f>'National average solar data'!U$32</f>
        <v>3.2046999999999999</v>
      </c>
      <c r="Z2197" s="135">
        <f>'National average solar data'!V$32</f>
        <v>5.0152000000000001</v>
      </c>
      <c r="AA2197" s="135">
        <f>'National average solar data'!W$32</f>
        <v>4</v>
      </c>
      <c r="AB2197" s="135">
        <f>'National average solar data'!X$32</f>
        <v>0</v>
      </c>
      <c r="AC2197" s="135">
        <f>'National average solar data'!Y$32</f>
        <v>0</v>
      </c>
      <c r="AD2197" s="135">
        <f>'National average solar data'!Z$32</f>
        <v>0</v>
      </c>
    </row>
    <row r="2198" spans="1:30" ht="12.6">
      <c r="A2198" s="10" t="s">
        <v>131</v>
      </c>
      <c r="B2198" s="10">
        <v>7</v>
      </c>
      <c r="C2198" s="10" t="s">
        <v>1512</v>
      </c>
      <c r="D2198" s="388">
        <v>44933</v>
      </c>
      <c r="E2198" s="389">
        <v>44933</v>
      </c>
      <c r="G2198" s="135">
        <f>'National average solar data'!C$32</f>
        <v>0</v>
      </c>
      <c r="H2198" s="135">
        <f>'National average solar data'!D$32</f>
        <v>0</v>
      </c>
      <c r="I2198" s="135">
        <f>'National average solar data'!E$32</f>
        <v>0</v>
      </c>
      <c r="J2198" s="135">
        <f>'National average solar data'!F$32</f>
        <v>0</v>
      </c>
      <c r="K2198" s="135">
        <f>'National average solar data'!G$32</f>
        <v>2.3851</v>
      </c>
      <c r="L2198" s="135">
        <f>'National average solar data'!H$32</f>
        <v>1.5496000000000001</v>
      </c>
      <c r="M2198" s="135">
        <f>'National average solar data'!I$32</f>
        <v>2.0369999999999999</v>
      </c>
      <c r="N2198" s="135">
        <f>'National average solar data'!J$32</f>
        <v>1.6294</v>
      </c>
      <c r="O2198" s="135">
        <f>'National average solar data'!K$32</f>
        <v>1.3247</v>
      </c>
      <c r="P2198" s="135">
        <f>'National average solar data'!L$32</f>
        <v>1.2588999999999999</v>
      </c>
      <c r="Q2198" s="135">
        <f>'National average solar data'!M$32</f>
        <v>1.2455000000000001</v>
      </c>
      <c r="R2198" s="135">
        <f>'National average solar data'!N$32</f>
        <v>1.2639</v>
      </c>
      <c r="S2198" s="135">
        <f>'National average solar data'!O$32</f>
        <v>1.3004</v>
      </c>
      <c r="T2198" s="135">
        <f>'National average solar data'!P$32</f>
        <v>1.3307</v>
      </c>
      <c r="U2198" s="135">
        <f>'National average solar data'!Q$32</f>
        <v>1.3776999999999999</v>
      </c>
      <c r="V2198" s="135">
        <f>'National average solar data'!R$32</f>
        <v>1.5044</v>
      </c>
      <c r="W2198" s="135">
        <f>'National average solar data'!S$32</f>
        <v>1.7894000000000001</v>
      </c>
      <c r="X2198" s="135">
        <f>'National average solar data'!T$32</f>
        <v>2.5588000000000002</v>
      </c>
      <c r="Y2198" s="135">
        <f>'National average solar data'!U$32</f>
        <v>3.2046999999999999</v>
      </c>
      <c r="Z2198" s="135">
        <f>'National average solar data'!V$32</f>
        <v>5.0152000000000001</v>
      </c>
      <c r="AA2198" s="135">
        <f>'National average solar data'!W$32</f>
        <v>4</v>
      </c>
      <c r="AB2198" s="135">
        <f>'National average solar data'!X$32</f>
        <v>0</v>
      </c>
      <c r="AC2198" s="135">
        <f>'National average solar data'!Y$32</f>
        <v>0</v>
      </c>
      <c r="AD2198" s="135">
        <f>'National average solar data'!Z$32</f>
        <v>0</v>
      </c>
    </row>
    <row r="2199" spans="1:30" ht="12.6">
      <c r="A2199" s="10" t="s">
        <v>131</v>
      </c>
      <c r="B2199" s="10">
        <v>8</v>
      </c>
      <c r="C2199" s="10" t="s">
        <v>1512</v>
      </c>
      <c r="D2199" s="388">
        <v>44934</v>
      </c>
      <c r="E2199" s="389">
        <v>44934</v>
      </c>
      <c r="G2199" s="135">
        <f>'National average solar data'!C$32</f>
        <v>0</v>
      </c>
      <c r="H2199" s="135">
        <f>'National average solar data'!D$32</f>
        <v>0</v>
      </c>
      <c r="I2199" s="135">
        <f>'National average solar data'!E$32</f>
        <v>0</v>
      </c>
      <c r="J2199" s="135">
        <f>'National average solar data'!F$32</f>
        <v>0</v>
      </c>
      <c r="K2199" s="135">
        <f>'National average solar data'!G$32</f>
        <v>2.3851</v>
      </c>
      <c r="L2199" s="135">
        <f>'National average solar data'!H$32</f>
        <v>1.5496000000000001</v>
      </c>
      <c r="M2199" s="135">
        <f>'National average solar data'!I$32</f>
        <v>2.0369999999999999</v>
      </c>
      <c r="N2199" s="135">
        <f>'National average solar data'!J$32</f>
        <v>1.6294</v>
      </c>
      <c r="O2199" s="135">
        <f>'National average solar data'!K$32</f>
        <v>1.3247</v>
      </c>
      <c r="P2199" s="135">
        <f>'National average solar data'!L$32</f>
        <v>1.2588999999999999</v>
      </c>
      <c r="Q2199" s="135">
        <f>'National average solar data'!M$32</f>
        <v>1.2455000000000001</v>
      </c>
      <c r="R2199" s="135">
        <f>'National average solar data'!N$32</f>
        <v>1.2639</v>
      </c>
      <c r="S2199" s="135">
        <f>'National average solar data'!O$32</f>
        <v>1.3004</v>
      </c>
      <c r="T2199" s="135">
        <f>'National average solar data'!P$32</f>
        <v>1.3307</v>
      </c>
      <c r="U2199" s="135">
        <f>'National average solar data'!Q$32</f>
        <v>1.3776999999999999</v>
      </c>
      <c r="V2199" s="135">
        <f>'National average solar data'!R$32</f>
        <v>1.5044</v>
      </c>
      <c r="W2199" s="135">
        <f>'National average solar data'!S$32</f>
        <v>1.7894000000000001</v>
      </c>
      <c r="X2199" s="135">
        <f>'National average solar data'!T$32</f>
        <v>2.5588000000000002</v>
      </c>
      <c r="Y2199" s="135">
        <f>'National average solar data'!U$32</f>
        <v>3.2046999999999999</v>
      </c>
      <c r="Z2199" s="135">
        <f>'National average solar data'!V$32</f>
        <v>5.0152000000000001</v>
      </c>
      <c r="AA2199" s="135">
        <f>'National average solar data'!W$32</f>
        <v>4</v>
      </c>
      <c r="AB2199" s="135">
        <f>'National average solar data'!X$32</f>
        <v>0</v>
      </c>
      <c r="AC2199" s="135">
        <f>'National average solar data'!Y$32</f>
        <v>0</v>
      </c>
      <c r="AD2199" s="135">
        <f>'National average solar data'!Z$32</f>
        <v>0</v>
      </c>
    </row>
    <row r="2200" spans="1:30" ht="12.6">
      <c r="A2200" s="10" t="s">
        <v>131</v>
      </c>
      <c r="B2200" s="10">
        <v>9</v>
      </c>
      <c r="C2200" s="10" t="s">
        <v>1512</v>
      </c>
      <c r="D2200" s="388">
        <v>44935</v>
      </c>
      <c r="E2200" s="389">
        <v>44935</v>
      </c>
      <c r="G2200" s="135">
        <f>'National average solar data'!C$32</f>
        <v>0</v>
      </c>
      <c r="H2200" s="135">
        <f>'National average solar data'!D$32</f>
        <v>0</v>
      </c>
      <c r="I2200" s="135">
        <f>'National average solar data'!E$32</f>
        <v>0</v>
      </c>
      <c r="J2200" s="135">
        <f>'National average solar data'!F$32</f>
        <v>0</v>
      </c>
      <c r="K2200" s="135">
        <f>'National average solar data'!G$32</f>
        <v>2.3851</v>
      </c>
      <c r="L2200" s="135">
        <f>'National average solar data'!H$32</f>
        <v>1.5496000000000001</v>
      </c>
      <c r="M2200" s="135">
        <f>'National average solar data'!I$32</f>
        <v>2.0369999999999999</v>
      </c>
      <c r="N2200" s="135">
        <f>'National average solar data'!J$32</f>
        <v>1.6294</v>
      </c>
      <c r="O2200" s="135">
        <f>'National average solar data'!K$32</f>
        <v>1.3247</v>
      </c>
      <c r="P2200" s="135">
        <f>'National average solar data'!L$32</f>
        <v>1.2588999999999999</v>
      </c>
      <c r="Q2200" s="135">
        <f>'National average solar data'!M$32</f>
        <v>1.2455000000000001</v>
      </c>
      <c r="R2200" s="135">
        <f>'National average solar data'!N$32</f>
        <v>1.2639</v>
      </c>
      <c r="S2200" s="135">
        <f>'National average solar data'!O$32</f>
        <v>1.3004</v>
      </c>
      <c r="T2200" s="135">
        <f>'National average solar data'!P$32</f>
        <v>1.3307</v>
      </c>
      <c r="U2200" s="135">
        <f>'National average solar data'!Q$32</f>
        <v>1.3776999999999999</v>
      </c>
      <c r="V2200" s="135">
        <f>'National average solar data'!R$32</f>
        <v>1.5044</v>
      </c>
      <c r="W2200" s="135">
        <f>'National average solar data'!S$32</f>
        <v>1.7894000000000001</v>
      </c>
      <c r="X2200" s="135">
        <f>'National average solar data'!T$32</f>
        <v>2.5588000000000002</v>
      </c>
      <c r="Y2200" s="135">
        <f>'National average solar data'!U$32</f>
        <v>3.2046999999999999</v>
      </c>
      <c r="Z2200" s="135">
        <f>'National average solar data'!V$32</f>
        <v>5.0152000000000001</v>
      </c>
      <c r="AA2200" s="135">
        <f>'National average solar data'!W$32</f>
        <v>4</v>
      </c>
      <c r="AB2200" s="135">
        <f>'National average solar data'!X$32</f>
        <v>0</v>
      </c>
      <c r="AC2200" s="135">
        <f>'National average solar data'!Y$32</f>
        <v>0</v>
      </c>
      <c r="AD2200" s="135">
        <f>'National average solar data'!Z$32</f>
        <v>0</v>
      </c>
    </row>
    <row r="2201" spans="1:30" ht="12.6">
      <c r="A2201" s="10" t="s">
        <v>131</v>
      </c>
      <c r="B2201" s="10">
        <v>10</v>
      </c>
      <c r="C2201" s="10" t="s">
        <v>1512</v>
      </c>
      <c r="D2201" s="388">
        <v>44936</v>
      </c>
      <c r="E2201" s="389">
        <v>44936</v>
      </c>
      <c r="G2201" s="135">
        <f>'National average solar data'!C$32</f>
        <v>0</v>
      </c>
      <c r="H2201" s="135">
        <f>'National average solar data'!D$32</f>
        <v>0</v>
      </c>
      <c r="I2201" s="135">
        <f>'National average solar data'!E$32</f>
        <v>0</v>
      </c>
      <c r="J2201" s="135">
        <f>'National average solar data'!F$32</f>
        <v>0</v>
      </c>
      <c r="K2201" s="135">
        <f>'National average solar data'!G$32</f>
        <v>2.3851</v>
      </c>
      <c r="L2201" s="135">
        <f>'National average solar data'!H$32</f>
        <v>1.5496000000000001</v>
      </c>
      <c r="M2201" s="135">
        <f>'National average solar data'!I$32</f>
        <v>2.0369999999999999</v>
      </c>
      <c r="N2201" s="135">
        <f>'National average solar data'!J$32</f>
        <v>1.6294</v>
      </c>
      <c r="O2201" s="135">
        <f>'National average solar data'!K$32</f>
        <v>1.3247</v>
      </c>
      <c r="P2201" s="135">
        <f>'National average solar data'!L$32</f>
        <v>1.2588999999999999</v>
      </c>
      <c r="Q2201" s="135">
        <f>'National average solar data'!M$32</f>
        <v>1.2455000000000001</v>
      </c>
      <c r="R2201" s="135">
        <f>'National average solar data'!N$32</f>
        <v>1.2639</v>
      </c>
      <c r="S2201" s="135">
        <f>'National average solar data'!O$32</f>
        <v>1.3004</v>
      </c>
      <c r="T2201" s="135">
        <f>'National average solar data'!P$32</f>
        <v>1.3307</v>
      </c>
      <c r="U2201" s="135">
        <f>'National average solar data'!Q$32</f>
        <v>1.3776999999999999</v>
      </c>
      <c r="V2201" s="135">
        <f>'National average solar data'!R$32</f>
        <v>1.5044</v>
      </c>
      <c r="W2201" s="135">
        <f>'National average solar data'!S$32</f>
        <v>1.7894000000000001</v>
      </c>
      <c r="X2201" s="135">
        <f>'National average solar data'!T$32</f>
        <v>2.5588000000000002</v>
      </c>
      <c r="Y2201" s="135">
        <f>'National average solar data'!U$32</f>
        <v>3.2046999999999999</v>
      </c>
      <c r="Z2201" s="135">
        <f>'National average solar data'!V$32</f>
        <v>5.0152000000000001</v>
      </c>
      <c r="AA2201" s="135">
        <f>'National average solar data'!W$32</f>
        <v>4</v>
      </c>
      <c r="AB2201" s="135">
        <f>'National average solar data'!X$32</f>
        <v>0</v>
      </c>
      <c r="AC2201" s="135">
        <f>'National average solar data'!Y$32</f>
        <v>0</v>
      </c>
      <c r="AD2201" s="135">
        <f>'National average solar data'!Z$32</f>
        <v>0</v>
      </c>
    </row>
    <row r="2202" spans="1:30" ht="12.6">
      <c r="A2202" s="10" t="s">
        <v>131</v>
      </c>
      <c r="B2202" s="10">
        <v>11</v>
      </c>
      <c r="C2202" s="10" t="s">
        <v>1512</v>
      </c>
      <c r="D2202" s="388">
        <v>44937</v>
      </c>
      <c r="E2202" s="389">
        <v>44937</v>
      </c>
      <c r="G2202" s="135">
        <f>'National average solar data'!C$32</f>
        <v>0</v>
      </c>
      <c r="H2202" s="135">
        <f>'National average solar data'!D$32</f>
        <v>0</v>
      </c>
      <c r="I2202" s="135">
        <f>'National average solar data'!E$32</f>
        <v>0</v>
      </c>
      <c r="J2202" s="135">
        <f>'National average solar data'!F$32</f>
        <v>0</v>
      </c>
      <c r="K2202" s="135">
        <f>'National average solar data'!G$32</f>
        <v>2.3851</v>
      </c>
      <c r="L2202" s="135">
        <f>'National average solar data'!H$32</f>
        <v>1.5496000000000001</v>
      </c>
      <c r="M2202" s="135">
        <f>'National average solar data'!I$32</f>
        <v>2.0369999999999999</v>
      </c>
      <c r="N2202" s="135">
        <f>'National average solar data'!J$32</f>
        <v>1.6294</v>
      </c>
      <c r="O2202" s="135">
        <f>'National average solar data'!K$32</f>
        <v>1.3247</v>
      </c>
      <c r="P2202" s="135">
        <f>'National average solar data'!L$32</f>
        <v>1.2588999999999999</v>
      </c>
      <c r="Q2202" s="135">
        <f>'National average solar data'!M$32</f>
        <v>1.2455000000000001</v>
      </c>
      <c r="R2202" s="135">
        <f>'National average solar data'!N$32</f>
        <v>1.2639</v>
      </c>
      <c r="S2202" s="135">
        <f>'National average solar data'!O$32</f>
        <v>1.3004</v>
      </c>
      <c r="T2202" s="135">
        <f>'National average solar data'!P$32</f>
        <v>1.3307</v>
      </c>
      <c r="U2202" s="135">
        <f>'National average solar data'!Q$32</f>
        <v>1.3776999999999999</v>
      </c>
      <c r="V2202" s="135">
        <f>'National average solar data'!R$32</f>
        <v>1.5044</v>
      </c>
      <c r="W2202" s="135">
        <f>'National average solar data'!S$32</f>
        <v>1.7894000000000001</v>
      </c>
      <c r="X2202" s="135">
        <f>'National average solar data'!T$32</f>
        <v>2.5588000000000002</v>
      </c>
      <c r="Y2202" s="135">
        <f>'National average solar data'!U$32</f>
        <v>3.2046999999999999</v>
      </c>
      <c r="Z2202" s="135">
        <f>'National average solar data'!V$32</f>
        <v>5.0152000000000001</v>
      </c>
      <c r="AA2202" s="135">
        <f>'National average solar data'!W$32</f>
        <v>4</v>
      </c>
      <c r="AB2202" s="135">
        <f>'National average solar data'!X$32</f>
        <v>0</v>
      </c>
      <c r="AC2202" s="135">
        <f>'National average solar data'!Y$32</f>
        <v>0</v>
      </c>
      <c r="AD2202" s="135">
        <f>'National average solar data'!Z$32</f>
        <v>0</v>
      </c>
    </row>
    <row r="2203" spans="1:30" ht="12.6">
      <c r="A2203" s="10" t="s">
        <v>131</v>
      </c>
      <c r="B2203" s="10">
        <v>12</v>
      </c>
      <c r="C2203" s="10" t="s">
        <v>1512</v>
      </c>
      <c r="D2203" s="388">
        <v>44938</v>
      </c>
      <c r="E2203" s="389">
        <v>44938</v>
      </c>
      <c r="G2203" s="135">
        <f>'National average solar data'!C$32</f>
        <v>0</v>
      </c>
      <c r="H2203" s="135">
        <f>'National average solar data'!D$32</f>
        <v>0</v>
      </c>
      <c r="I2203" s="135">
        <f>'National average solar data'!E$32</f>
        <v>0</v>
      </c>
      <c r="J2203" s="135">
        <f>'National average solar data'!F$32</f>
        <v>0</v>
      </c>
      <c r="K2203" s="135">
        <f>'National average solar data'!G$32</f>
        <v>2.3851</v>
      </c>
      <c r="L2203" s="135">
        <f>'National average solar data'!H$32</f>
        <v>1.5496000000000001</v>
      </c>
      <c r="M2203" s="135">
        <f>'National average solar data'!I$32</f>
        <v>2.0369999999999999</v>
      </c>
      <c r="N2203" s="135">
        <f>'National average solar data'!J$32</f>
        <v>1.6294</v>
      </c>
      <c r="O2203" s="135">
        <f>'National average solar data'!K$32</f>
        <v>1.3247</v>
      </c>
      <c r="P2203" s="135">
        <f>'National average solar data'!L$32</f>
        <v>1.2588999999999999</v>
      </c>
      <c r="Q2203" s="135">
        <f>'National average solar data'!M$32</f>
        <v>1.2455000000000001</v>
      </c>
      <c r="R2203" s="135">
        <f>'National average solar data'!N$32</f>
        <v>1.2639</v>
      </c>
      <c r="S2203" s="135">
        <f>'National average solar data'!O$32</f>
        <v>1.3004</v>
      </c>
      <c r="T2203" s="135">
        <f>'National average solar data'!P$32</f>
        <v>1.3307</v>
      </c>
      <c r="U2203" s="135">
        <f>'National average solar data'!Q$32</f>
        <v>1.3776999999999999</v>
      </c>
      <c r="V2203" s="135">
        <f>'National average solar data'!R$32</f>
        <v>1.5044</v>
      </c>
      <c r="W2203" s="135">
        <f>'National average solar data'!S$32</f>
        <v>1.7894000000000001</v>
      </c>
      <c r="X2203" s="135">
        <f>'National average solar data'!T$32</f>
        <v>2.5588000000000002</v>
      </c>
      <c r="Y2203" s="135">
        <f>'National average solar data'!U$32</f>
        <v>3.2046999999999999</v>
      </c>
      <c r="Z2203" s="135">
        <f>'National average solar data'!V$32</f>
        <v>5.0152000000000001</v>
      </c>
      <c r="AA2203" s="135">
        <f>'National average solar data'!W$32</f>
        <v>4</v>
      </c>
      <c r="AB2203" s="135">
        <f>'National average solar data'!X$32</f>
        <v>0</v>
      </c>
      <c r="AC2203" s="135">
        <f>'National average solar data'!Y$32</f>
        <v>0</v>
      </c>
      <c r="AD2203" s="135">
        <f>'National average solar data'!Z$32</f>
        <v>0</v>
      </c>
    </row>
    <row r="2204" spans="1:30" ht="12.6">
      <c r="A2204" s="10" t="s">
        <v>131</v>
      </c>
      <c r="B2204" s="10">
        <v>13</v>
      </c>
      <c r="C2204" s="10" t="s">
        <v>1512</v>
      </c>
      <c r="D2204" s="388">
        <v>44939</v>
      </c>
      <c r="E2204" s="389">
        <v>44939</v>
      </c>
      <c r="G2204" s="135">
        <f>'National average solar data'!C$32</f>
        <v>0</v>
      </c>
      <c r="H2204" s="135">
        <f>'National average solar data'!D$32</f>
        <v>0</v>
      </c>
      <c r="I2204" s="135">
        <f>'National average solar data'!E$32</f>
        <v>0</v>
      </c>
      <c r="J2204" s="135">
        <f>'National average solar data'!F$32</f>
        <v>0</v>
      </c>
      <c r="K2204" s="135">
        <f>'National average solar data'!G$32</f>
        <v>2.3851</v>
      </c>
      <c r="L2204" s="135">
        <f>'National average solar data'!H$32</f>
        <v>1.5496000000000001</v>
      </c>
      <c r="M2204" s="135">
        <f>'National average solar data'!I$32</f>
        <v>2.0369999999999999</v>
      </c>
      <c r="N2204" s="135">
        <f>'National average solar data'!J$32</f>
        <v>1.6294</v>
      </c>
      <c r="O2204" s="135">
        <f>'National average solar data'!K$32</f>
        <v>1.3247</v>
      </c>
      <c r="P2204" s="135">
        <f>'National average solar data'!L$32</f>
        <v>1.2588999999999999</v>
      </c>
      <c r="Q2204" s="135">
        <f>'National average solar data'!M$32</f>
        <v>1.2455000000000001</v>
      </c>
      <c r="R2204" s="135">
        <f>'National average solar data'!N$32</f>
        <v>1.2639</v>
      </c>
      <c r="S2204" s="135">
        <f>'National average solar data'!O$32</f>
        <v>1.3004</v>
      </c>
      <c r="T2204" s="135">
        <f>'National average solar data'!P$32</f>
        <v>1.3307</v>
      </c>
      <c r="U2204" s="135">
        <f>'National average solar data'!Q$32</f>
        <v>1.3776999999999999</v>
      </c>
      <c r="V2204" s="135">
        <f>'National average solar data'!R$32</f>
        <v>1.5044</v>
      </c>
      <c r="W2204" s="135">
        <f>'National average solar data'!S$32</f>
        <v>1.7894000000000001</v>
      </c>
      <c r="X2204" s="135">
        <f>'National average solar data'!T$32</f>
        <v>2.5588000000000002</v>
      </c>
      <c r="Y2204" s="135">
        <f>'National average solar data'!U$32</f>
        <v>3.2046999999999999</v>
      </c>
      <c r="Z2204" s="135">
        <f>'National average solar data'!V$32</f>
        <v>5.0152000000000001</v>
      </c>
      <c r="AA2204" s="135">
        <f>'National average solar data'!W$32</f>
        <v>4</v>
      </c>
      <c r="AB2204" s="135">
        <f>'National average solar data'!X$32</f>
        <v>0</v>
      </c>
      <c r="AC2204" s="135">
        <f>'National average solar data'!Y$32</f>
        <v>0</v>
      </c>
      <c r="AD2204" s="135">
        <f>'National average solar data'!Z$32</f>
        <v>0</v>
      </c>
    </row>
    <row r="2205" spans="1:30" ht="12.6">
      <c r="A2205" s="10" t="s">
        <v>131</v>
      </c>
      <c r="B2205" s="10">
        <v>14</v>
      </c>
      <c r="C2205" s="10" t="s">
        <v>1512</v>
      </c>
      <c r="D2205" s="388">
        <v>44940</v>
      </c>
      <c r="E2205" s="389">
        <v>44940</v>
      </c>
      <c r="G2205" s="135">
        <f>'National average solar data'!C$32</f>
        <v>0</v>
      </c>
      <c r="H2205" s="135">
        <f>'National average solar data'!D$32</f>
        <v>0</v>
      </c>
      <c r="I2205" s="135">
        <f>'National average solar data'!E$32</f>
        <v>0</v>
      </c>
      <c r="J2205" s="135">
        <f>'National average solar data'!F$32</f>
        <v>0</v>
      </c>
      <c r="K2205" s="135">
        <f>'National average solar data'!G$32</f>
        <v>2.3851</v>
      </c>
      <c r="L2205" s="135">
        <f>'National average solar data'!H$32</f>
        <v>1.5496000000000001</v>
      </c>
      <c r="M2205" s="135">
        <f>'National average solar data'!I$32</f>
        <v>2.0369999999999999</v>
      </c>
      <c r="N2205" s="135">
        <f>'National average solar data'!J$32</f>
        <v>1.6294</v>
      </c>
      <c r="O2205" s="135">
        <f>'National average solar data'!K$32</f>
        <v>1.3247</v>
      </c>
      <c r="P2205" s="135">
        <f>'National average solar data'!L$32</f>
        <v>1.2588999999999999</v>
      </c>
      <c r="Q2205" s="135">
        <f>'National average solar data'!M$32</f>
        <v>1.2455000000000001</v>
      </c>
      <c r="R2205" s="135">
        <f>'National average solar data'!N$32</f>
        <v>1.2639</v>
      </c>
      <c r="S2205" s="135">
        <f>'National average solar data'!O$32</f>
        <v>1.3004</v>
      </c>
      <c r="T2205" s="135">
        <f>'National average solar data'!P$32</f>
        <v>1.3307</v>
      </c>
      <c r="U2205" s="135">
        <f>'National average solar data'!Q$32</f>
        <v>1.3776999999999999</v>
      </c>
      <c r="V2205" s="135">
        <f>'National average solar data'!R$32</f>
        <v>1.5044</v>
      </c>
      <c r="W2205" s="135">
        <f>'National average solar data'!S$32</f>
        <v>1.7894000000000001</v>
      </c>
      <c r="X2205" s="135">
        <f>'National average solar data'!T$32</f>
        <v>2.5588000000000002</v>
      </c>
      <c r="Y2205" s="135">
        <f>'National average solar data'!U$32</f>
        <v>3.2046999999999999</v>
      </c>
      <c r="Z2205" s="135">
        <f>'National average solar data'!V$32</f>
        <v>5.0152000000000001</v>
      </c>
      <c r="AA2205" s="135">
        <f>'National average solar data'!W$32</f>
        <v>4</v>
      </c>
      <c r="AB2205" s="135">
        <f>'National average solar data'!X$32</f>
        <v>0</v>
      </c>
      <c r="AC2205" s="135">
        <f>'National average solar data'!Y$32</f>
        <v>0</v>
      </c>
      <c r="AD2205" s="135">
        <f>'National average solar data'!Z$32</f>
        <v>0</v>
      </c>
    </row>
    <row r="2206" spans="1:30" ht="12.6">
      <c r="A2206" s="10" t="s">
        <v>131</v>
      </c>
      <c r="B2206" s="10">
        <v>15</v>
      </c>
      <c r="C2206" s="10" t="s">
        <v>1512</v>
      </c>
      <c r="D2206" s="388">
        <v>44941</v>
      </c>
      <c r="E2206" s="389">
        <v>44941</v>
      </c>
      <c r="G2206" s="135">
        <f>'National average solar data'!C$32</f>
        <v>0</v>
      </c>
      <c r="H2206" s="135">
        <f>'National average solar data'!D$32</f>
        <v>0</v>
      </c>
      <c r="I2206" s="135">
        <f>'National average solar data'!E$32</f>
        <v>0</v>
      </c>
      <c r="J2206" s="135">
        <f>'National average solar data'!F$32</f>
        <v>0</v>
      </c>
      <c r="K2206" s="135">
        <f>'National average solar data'!G$32</f>
        <v>2.3851</v>
      </c>
      <c r="L2206" s="135">
        <f>'National average solar data'!H$32</f>
        <v>1.5496000000000001</v>
      </c>
      <c r="M2206" s="135">
        <f>'National average solar data'!I$32</f>
        <v>2.0369999999999999</v>
      </c>
      <c r="N2206" s="135">
        <f>'National average solar data'!J$32</f>
        <v>1.6294</v>
      </c>
      <c r="O2206" s="135">
        <f>'National average solar data'!K$32</f>
        <v>1.3247</v>
      </c>
      <c r="P2206" s="135">
        <f>'National average solar data'!L$32</f>
        <v>1.2588999999999999</v>
      </c>
      <c r="Q2206" s="135">
        <f>'National average solar data'!M$32</f>
        <v>1.2455000000000001</v>
      </c>
      <c r="R2206" s="135">
        <f>'National average solar data'!N$32</f>
        <v>1.2639</v>
      </c>
      <c r="S2206" s="135">
        <f>'National average solar data'!O$32</f>
        <v>1.3004</v>
      </c>
      <c r="T2206" s="135">
        <f>'National average solar data'!P$32</f>
        <v>1.3307</v>
      </c>
      <c r="U2206" s="135">
        <f>'National average solar data'!Q$32</f>
        <v>1.3776999999999999</v>
      </c>
      <c r="V2206" s="135">
        <f>'National average solar data'!R$32</f>
        <v>1.5044</v>
      </c>
      <c r="W2206" s="135">
        <f>'National average solar data'!S$32</f>
        <v>1.7894000000000001</v>
      </c>
      <c r="X2206" s="135">
        <f>'National average solar data'!T$32</f>
        <v>2.5588000000000002</v>
      </c>
      <c r="Y2206" s="135">
        <f>'National average solar data'!U$32</f>
        <v>3.2046999999999999</v>
      </c>
      <c r="Z2206" s="135">
        <f>'National average solar data'!V$32</f>
        <v>5.0152000000000001</v>
      </c>
      <c r="AA2206" s="135">
        <f>'National average solar data'!W$32</f>
        <v>4</v>
      </c>
      <c r="AB2206" s="135">
        <f>'National average solar data'!X$32</f>
        <v>0</v>
      </c>
      <c r="AC2206" s="135">
        <f>'National average solar data'!Y$32</f>
        <v>0</v>
      </c>
      <c r="AD2206" s="135">
        <f>'National average solar data'!Z$32</f>
        <v>0</v>
      </c>
    </row>
    <row r="2207" spans="1:30" ht="12.6">
      <c r="A2207" s="10" t="s">
        <v>131</v>
      </c>
      <c r="B2207" s="10">
        <v>16</v>
      </c>
      <c r="C2207" s="10" t="s">
        <v>1512</v>
      </c>
      <c r="D2207" s="388">
        <v>44942</v>
      </c>
      <c r="E2207" s="389">
        <v>44942</v>
      </c>
      <c r="G2207" s="135">
        <f>'National average solar data'!C$32</f>
        <v>0</v>
      </c>
      <c r="H2207" s="135">
        <f>'National average solar data'!D$32</f>
        <v>0</v>
      </c>
      <c r="I2207" s="135">
        <f>'National average solar data'!E$32</f>
        <v>0</v>
      </c>
      <c r="J2207" s="135">
        <f>'National average solar data'!F$32</f>
        <v>0</v>
      </c>
      <c r="K2207" s="135">
        <f>'National average solar data'!G$32</f>
        <v>2.3851</v>
      </c>
      <c r="L2207" s="135">
        <f>'National average solar data'!H$32</f>
        <v>1.5496000000000001</v>
      </c>
      <c r="M2207" s="135">
        <f>'National average solar data'!I$32</f>
        <v>2.0369999999999999</v>
      </c>
      <c r="N2207" s="135">
        <f>'National average solar data'!J$32</f>
        <v>1.6294</v>
      </c>
      <c r="O2207" s="135">
        <f>'National average solar data'!K$32</f>
        <v>1.3247</v>
      </c>
      <c r="P2207" s="135">
        <f>'National average solar data'!L$32</f>
        <v>1.2588999999999999</v>
      </c>
      <c r="Q2207" s="135">
        <f>'National average solar data'!M$32</f>
        <v>1.2455000000000001</v>
      </c>
      <c r="R2207" s="135">
        <f>'National average solar data'!N$32</f>
        <v>1.2639</v>
      </c>
      <c r="S2207" s="135">
        <f>'National average solar data'!O$32</f>
        <v>1.3004</v>
      </c>
      <c r="T2207" s="135">
        <f>'National average solar data'!P$32</f>
        <v>1.3307</v>
      </c>
      <c r="U2207" s="135">
        <f>'National average solar data'!Q$32</f>
        <v>1.3776999999999999</v>
      </c>
      <c r="V2207" s="135">
        <f>'National average solar data'!R$32</f>
        <v>1.5044</v>
      </c>
      <c r="W2207" s="135">
        <f>'National average solar data'!S$32</f>
        <v>1.7894000000000001</v>
      </c>
      <c r="X2207" s="135">
        <f>'National average solar data'!T$32</f>
        <v>2.5588000000000002</v>
      </c>
      <c r="Y2207" s="135">
        <f>'National average solar data'!U$32</f>
        <v>3.2046999999999999</v>
      </c>
      <c r="Z2207" s="135">
        <f>'National average solar data'!V$32</f>
        <v>5.0152000000000001</v>
      </c>
      <c r="AA2207" s="135">
        <f>'National average solar data'!W$32</f>
        <v>4</v>
      </c>
      <c r="AB2207" s="135">
        <f>'National average solar data'!X$32</f>
        <v>0</v>
      </c>
      <c r="AC2207" s="135">
        <f>'National average solar data'!Y$32</f>
        <v>0</v>
      </c>
      <c r="AD2207" s="135">
        <f>'National average solar data'!Z$32</f>
        <v>0</v>
      </c>
    </row>
    <row r="2208" spans="1:30" ht="12.6">
      <c r="A2208" s="10" t="s">
        <v>131</v>
      </c>
      <c r="B2208" s="10">
        <v>17</v>
      </c>
      <c r="C2208" s="10" t="s">
        <v>1512</v>
      </c>
      <c r="D2208" s="388">
        <v>44943</v>
      </c>
      <c r="E2208" s="389">
        <v>44943</v>
      </c>
      <c r="G2208" s="135">
        <f>'National average solar data'!C$32</f>
        <v>0</v>
      </c>
      <c r="H2208" s="135">
        <f>'National average solar data'!D$32</f>
        <v>0</v>
      </c>
      <c r="I2208" s="135">
        <f>'National average solar data'!E$32</f>
        <v>0</v>
      </c>
      <c r="J2208" s="135">
        <f>'National average solar data'!F$32</f>
        <v>0</v>
      </c>
      <c r="K2208" s="135">
        <f>'National average solar data'!G$32</f>
        <v>2.3851</v>
      </c>
      <c r="L2208" s="135">
        <f>'National average solar data'!H$32</f>
        <v>1.5496000000000001</v>
      </c>
      <c r="M2208" s="135">
        <f>'National average solar data'!I$32</f>
        <v>2.0369999999999999</v>
      </c>
      <c r="N2208" s="135">
        <f>'National average solar data'!J$32</f>
        <v>1.6294</v>
      </c>
      <c r="O2208" s="135">
        <f>'National average solar data'!K$32</f>
        <v>1.3247</v>
      </c>
      <c r="P2208" s="135">
        <f>'National average solar data'!L$32</f>
        <v>1.2588999999999999</v>
      </c>
      <c r="Q2208" s="135">
        <f>'National average solar data'!M$32</f>
        <v>1.2455000000000001</v>
      </c>
      <c r="R2208" s="135">
        <f>'National average solar data'!N$32</f>
        <v>1.2639</v>
      </c>
      <c r="S2208" s="135">
        <f>'National average solar data'!O$32</f>
        <v>1.3004</v>
      </c>
      <c r="T2208" s="135">
        <f>'National average solar data'!P$32</f>
        <v>1.3307</v>
      </c>
      <c r="U2208" s="135">
        <f>'National average solar data'!Q$32</f>
        <v>1.3776999999999999</v>
      </c>
      <c r="V2208" s="135">
        <f>'National average solar data'!R$32</f>
        <v>1.5044</v>
      </c>
      <c r="W2208" s="135">
        <f>'National average solar data'!S$32</f>
        <v>1.7894000000000001</v>
      </c>
      <c r="X2208" s="135">
        <f>'National average solar data'!T$32</f>
        <v>2.5588000000000002</v>
      </c>
      <c r="Y2208" s="135">
        <f>'National average solar data'!U$32</f>
        <v>3.2046999999999999</v>
      </c>
      <c r="Z2208" s="135">
        <f>'National average solar data'!V$32</f>
        <v>5.0152000000000001</v>
      </c>
      <c r="AA2208" s="135">
        <f>'National average solar data'!W$32</f>
        <v>4</v>
      </c>
      <c r="AB2208" s="135">
        <f>'National average solar data'!X$32</f>
        <v>0</v>
      </c>
      <c r="AC2208" s="135">
        <f>'National average solar data'!Y$32</f>
        <v>0</v>
      </c>
      <c r="AD2208" s="135">
        <f>'National average solar data'!Z$32</f>
        <v>0</v>
      </c>
    </row>
    <row r="2209" spans="1:30" ht="12.6">
      <c r="A2209" s="10" t="s">
        <v>131</v>
      </c>
      <c r="B2209" s="10">
        <v>18</v>
      </c>
      <c r="C2209" s="10" t="s">
        <v>1512</v>
      </c>
      <c r="D2209" s="388">
        <v>44944</v>
      </c>
      <c r="E2209" s="389">
        <v>44944</v>
      </c>
      <c r="G2209" s="135">
        <f>'National average solar data'!C$32</f>
        <v>0</v>
      </c>
      <c r="H2209" s="135">
        <f>'National average solar data'!D$32</f>
        <v>0</v>
      </c>
      <c r="I2209" s="135">
        <f>'National average solar data'!E$32</f>
        <v>0</v>
      </c>
      <c r="J2209" s="135">
        <f>'National average solar data'!F$32</f>
        <v>0</v>
      </c>
      <c r="K2209" s="135">
        <f>'National average solar data'!G$32</f>
        <v>2.3851</v>
      </c>
      <c r="L2209" s="135">
        <f>'National average solar data'!H$32</f>
        <v>1.5496000000000001</v>
      </c>
      <c r="M2209" s="135">
        <f>'National average solar data'!I$32</f>
        <v>2.0369999999999999</v>
      </c>
      <c r="N2209" s="135">
        <f>'National average solar data'!J$32</f>
        <v>1.6294</v>
      </c>
      <c r="O2209" s="135">
        <f>'National average solar data'!K$32</f>
        <v>1.3247</v>
      </c>
      <c r="P2209" s="135">
        <f>'National average solar data'!L$32</f>
        <v>1.2588999999999999</v>
      </c>
      <c r="Q2209" s="135">
        <f>'National average solar data'!M$32</f>
        <v>1.2455000000000001</v>
      </c>
      <c r="R2209" s="135">
        <f>'National average solar data'!N$32</f>
        <v>1.2639</v>
      </c>
      <c r="S2209" s="135">
        <f>'National average solar data'!O$32</f>
        <v>1.3004</v>
      </c>
      <c r="T2209" s="135">
        <f>'National average solar data'!P$32</f>
        <v>1.3307</v>
      </c>
      <c r="U2209" s="135">
        <f>'National average solar data'!Q$32</f>
        <v>1.3776999999999999</v>
      </c>
      <c r="V2209" s="135">
        <f>'National average solar data'!R$32</f>
        <v>1.5044</v>
      </c>
      <c r="W2209" s="135">
        <f>'National average solar data'!S$32</f>
        <v>1.7894000000000001</v>
      </c>
      <c r="X2209" s="135">
        <f>'National average solar data'!T$32</f>
        <v>2.5588000000000002</v>
      </c>
      <c r="Y2209" s="135">
        <f>'National average solar data'!U$32</f>
        <v>3.2046999999999999</v>
      </c>
      <c r="Z2209" s="135">
        <f>'National average solar data'!V$32</f>
        <v>5.0152000000000001</v>
      </c>
      <c r="AA2209" s="135">
        <f>'National average solar data'!W$32</f>
        <v>4</v>
      </c>
      <c r="AB2209" s="135">
        <f>'National average solar data'!X$32</f>
        <v>0</v>
      </c>
      <c r="AC2209" s="135">
        <f>'National average solar data'!Y$32</f>
        <v>0</v>
      </c>
      <c r="AD2209" s="135">
        <f>'National average solar data'!Z$32</f>
        <v>0</v>
      </c>
    </row>
    <row r="2210" spans="1:30" ht="12.6">
      <c r="A2210" s="10" t="s">
        <v>131</v>
      </c>
      <c r="B2210" s="10">
        <v>19</v>
      </c>
      <c r="C2210" s="10" t="s">
        <v>1512</v>
      </c>
      <c r="D2210" s="388">
        <v>44945</v>
      </c>
      <c r="E2210" s="389">
        <v>44945</v>
      </c>
      <c r="G2210" s="135">
        <f>'National average solar data'!C$32</f>
        <v>0</v>
      </c>
      <c r="H2210" s="135">
        <f>'National average solar data'!D$32</f>
        <v>0</v>
      </c>
      <c r="I2210" s="135">
        <f>'National average solar data'!E$32</f>
        <v>0</v>
      </c>
      <c r="J2210" s="135">
        <f>'National average solar data'!F$32</f>
        <v>0</v>
      </c>
      <c r="K2210" s="135">
        <f>'National average solar data'!G$32</f>
        <v>2.3851</v>
      </c>
      <c r="L2210" s="135">
        <f>'National average solar data'!H$32</f>
        <v>1.5496000000000001</v>
      </c>
      <c r="M2210" s="135">
        <f>'National average solar data'!I$32</f>
        <v>2.0369999999999999</v>
      </c>
      <c r="N2210" s="135">
        <f>'National average solar data'!J$32</f>
        <v>1.6294</v>
      </c>
      <c r="O2210" s="135">
        <f>'National average solar data'!K$32</f>
        <v>1.3247</v>
      </c>
      <c r="P2210" s="135">
        <f>'National average solar data'!L$32</f>
        <v>1.2588999999999999</v>
      </c>
      <c r="Q2210" s="135">
        <f>'National average solar data'!M$32</f>
        <v>1.2455000000000001</v>
      </c>
      <c r="R2210" s="135">
        <f>'National average solar data'!N$32</f>
        <v>1.2639</v>
      </c>
      <c r="S2210" s="135">
        <f>'National average solar data'!O$32</f>
        <v>1.3004</v>
      </c>
      <c r="T2210" s="135">
        <f>'National average solar data'!P$32</f>
        <v>1.3307</v>
      </c>
      <c r="U2210" s="135">
        <f>'National average solar data'!Q$32</f>
        <v>1.3776999999999999</v>
      </c>
      <c r="V2210" s="135">
        <f>'National average solar data'!R$32</f>
        <v>1.5044</v>
      </c>
      <c r="W2210" s="135">
        <f>'National average solar data'!S$32</f>
        <v>1.7894000000000001</v>
      </c>
      <c r="X2210" s="135">
        <f>'National average solar data'!T$32</f>
        <v>2.5588000000000002</v>
      </c>
      <c r="Y2210" s="135">
        <f>'National average solar data'!U$32</f>
        <v>3.2046999999999999</v>
      </c>
      <c r="Z2210" s="135">
        <f>'National average solar data'!V$32</f>
        <v>5.0152000000000001</v>
      </c>
      <c r="AA2210" s="135">
        <f>'National average solar data'!W$32</f>
        <v>4</v>
      </c>
      <c r="AB2210" s="135">
        <f>'National average solar data'!X$32</f>
        <v>0</v>
      </c>
      <c r="AC2210" s="135">
        <f>'National average solar data'!Y$32</f>
        <v>0</v>
      </c>
      <c r="AD2210" s="135">
        <f>'National average solar data'!Z$32</f>
        <v>0</v>
      </c>
    </row>
    <row r="2211" spans="1:30" ht="12.6">
      <c r="A2211" s="10" t="s">
        <v>131</v>
      </c>
      <c r="B2211" s="10">
        <v>20</v>
      </c>
      <c r="C2211" s="10" t="s">
        <v>1512</v>
      </c>
      <c r="D2211" s="388">
        <v>44946</v>
      </c>
      <c r="E2211" s="389">
        <v>44946</v>
      </c>
      <c r="G2211" s="135">
        <f>'National average solar data'!C$32</f>
        <v>0</v>
      </c>
      <c r="H2211" s="135">
        <f>'National average solar data'!D$32</f>
        <v>0</v>
      </c>
      <c r="I2211" s="135">
        <f>'National average solar data'!E$32</f>
        <v>0</v>
      </c>
      <c r="J2211" s="135">
        <f>'National average solar data'!F$32</f>
        <v>0</v>
      </c>
      <c r="K2211" s="135">
        <f>'National average solar data'!G$32</f>
        <v>2.3851</v>
      </c>
      <c r="L2211" s="135">
        <f>'National average solar data'!H$32</f>
        <v>1.5496000000000001</v>
      </c>
      <c r="M2211" s="135">
        <f>'National average solar data'!I$32</f>
        <v>2.0369999999999999</v>
      </c>
      <c r="N2211" s="135">
        <f>'National average solar data'!J$32</f>
        <v>1.6294</v>
      </c>
      <c r="O2211" s="135">
        <f>'National average solar data'!K$32</f>
        <v>1.3247</v>
      </c>
      <c r="P2211" s="135">
        <f>'National average solar data'!L$32</f>
        <v>1.2588999999999999</v>
      </c>
      <c r="Q2211" s="135">
        <f>'National average solar data'!M$32</f>
        <v>1.2455000000000001</v>
      </c>
      <c r="R2211" s="135">
        <f>'National average solar data'!N$32</f>
        <v>1.2639</v>
      </c>
      <c r="S2211" s="135">
        <f>'National average solar data'!O$32</f>
        <v>1.3004</v>
      </c>
      <c r="T2211" s="135">
        <f>'National average solar data'!P$32</f>
        <v>1.3307</v>
      </c>
      <c r="U2211" s="135">
        <f>'National average solar data'!Q$32</f>
        <v>1.3776999999999999</v>
      </c>
      <c r="V2211" s="135">
        <f>'National average solar data'!R$32</f>
        <v>1.5044</v>
      </c>
      <c r="W2211" s="135">
        <f>'National average solar data'!S$32</f>
        <v>1.7894000000000001</v>
      </c>
      <c r="X2211" s="135">
        <f>'National average solar data'!T$32</f>
        <v>2.5588000000000002</v>
      </c>
      <c r="Y2211" s="135">
        <f>'National average solar data'!U$32</f>
        <v>3.2046999999999999</v>
      </c>
      <c r="Z2211" s="135">
        <f>'National average solar data'!V$32</f>
        <v>5.0152000000000001</v>
      </c>
      <c r="AA2211" s="135">
        <f>'National average solar data'!W$32</f>
        <v>4</v>
      </c>
      <c r="AB2211" s="135">
        <f>'National average solar data'!X$32</f>
        <v>0</v>
      </c>
      <c r="AC2211" s="135">
        <f>'National average solar data'!Y$32</f>
        <v>0</v>
      </c>
      <c r="AD2211" s="135">
        <f>'National average solar data'!Z$32</f>
        <v>0</v>
      </c>
    </row>
    <row r="2212" spans="1:30" ht="12.6">
      <c r="A2212" s="10" t="s">
        <v>131</v>
      </c>
      <c r="B2212" s="10">
        <v>21</v>
      </c>
      <c r="C2212" s="10" t="s">
        <v>1512</v>
      </c>
      <c r="D2212" s="388">
        <v>44947</v>
      </c>
      <c r="E2212" s="389">
        <v>44947</v>
      </c>
      <c r="G2212" s="135">
        <f>'National average solar data'!C$32</f>
        <v>0</v>
      </c>
      <c r="H2212" s="135">
        <f>'National average solar data'!D$32</f>
        <v>0</v>
      </c>
      <c r="I2212" s="135">
        <f>'National average solar data'!E$32</f>
        <v>0</v>
      </c>
      <c r="J2212" s="135">
        <f>'National average solar data'!F$32</f>
        <v>0</v>
      </c>
      <c r="K2212" s="135">
        <f>'National average solar data'!G$32</f>
        <v>2.3851</v>
      </c>
      <c r="L2212" s="135">
        <f>'National average solar data'!H$32</f>
        <v>1.5496000000000001</v>
      </c>
      <c r="M2212" s="135">
        <f>'National average solar data'!I$32</f>
        <v>2.0369999999999999</v>
      </c>
      <c r="N2212" s="135">
        <f>'National average solar data'!J$32</f>
        <v>1.6294</v>
      </c>
      <c r="O2212" s="135">
        <f>'National average solar data'!K$32</f>
        <v>1.3247</v>
      </c>
      <c r="P2212" s="135">
        <f>'National average solar data'!L$32</f>
        <v>1.2588999999999999</v>
      </c>
      <c r="Q2212" s="135">
        <f>'National average solar data'!M$32</f>
        <v>1.2455000000000001</v>
      </c>
      <c r="R2212" s="135">
        <f>'National average solar data'!N$32</f>
        <v>1.2639</v>
      </c>
      <c r="S2212" s="135">
        <f>'National average solar data'!O$32</f>
        <v>1.3004</v>
      </c>
      <c r="T2212" s="135">
        <f>'National average solar data'!P$32</f>
        <v>1.3307</v>
      </c>
      <c r="U2212" s="135">
        <f>'National average solar data'!Q$32</f>
        <v>1.3776999999999999</v>
      </c>
      <c r="V2212" s="135">
        <f>'National average solar data'!R$32</f>
        <v>1.5044</v>
      </c>
      <c r="W2212" s="135">
        <f>'National average solar data'!S$32</f>
        <v>1.7894000000000001</v>
      </c>
      <c r="X2212" s="135">
        <f>'National average solar data'!T$32</f>
        <v>2.5588000000000002</v>
      </c>
      <c r="Y2212" s="135">
        <f>'National average solar data'!U$32</f>
        <v>3.2046999999999999</v>
      </c>
      <c r="Z2212" s="135">
        <f>'National average solar data'!V$32</f>
        <v>5.0152000000000001</v>
      </c>
      <c r="AA2212" s="135">
        <f>'National average solar data'!W$32</f>
        <v>4</v>
      </c>
      <c r="AB2212" s="135">
        <f>'National average solar data'!X$32</f>
        <v>0</v>
      </c>
      <c r="AC2212" s="135">
        <f>'National average solar data'!Y$32</f>
        <v>0</v>
      </c>
      <c r="AD2212" s="135">
        <f>'National average solar data'!Z$32</f>
        <v>0</v>
      </c>
    </row>
    <row r="2213" spans="1:30" ht="12.6">
      <c r="A2213" s="10" t="s">
        <v>131</v>
      </c>
      <c r="B2213" s="10">
        <v>22</v>
      </c>
      <c r="C2213" s="10" t="s">
        <v>1512</v>
      </c>
      <c r="D2213" s="388">
        <v>44948</v>
      </c>
      <c r="E2213" s="389">
        <v>44948</v>
      </c>
      <c r="G2213" s="135">
        <f>'National average solar data'!C$32</f>
        <v>0</v>
      </c>
      <c r="H2213" s="135">
        <f>'National average solar data'!D$32</f>
        <v>0</v>
      </c>
      <c r="I2213" s="135">
        <f>'National average solar data'!E$32</f>
        <v>0</v>
      </c>
      <c r="J2213" s="135">
        <f>'National average solar data'!F$32</f>
        <v>0</v>
      </c>
      <c r="K2213" s="135">
        <f>'National average solar data'!G$32</f>
        <v>2.3851</v>
      </c>
      <c r="L2213" s="135">
        <f>'National average solar data'!H$32</f>
        <v>1.5496000000000001</v>
      </c>
      <c r="M2213" s="135">
        <f>'National average solar data'!I$32</f>
        <v>2.0369999999999999</v>
      </c>
      <c r="N2213" s="135">
        <f>'National average solar data'!J$32</f>
        <v>1.6294</v>
      </c>
      <c r="O2213" s="135">
        <f>'National average solar data'!K$32</f>
        <v>1.3247</v>
      </c>
      <c r="P2213" s="135">
        <f>'National average solar data'!L$32</f>
        <v>1.2588999999999999</v>
      </c>
      <c r="Q2213" s="135">
        <f>'National average solar data'!M$32</f>
        <v>1.2455000000000001</v>
      </c>
      <c r="R2213" s="135">
        <f>'National average solar data'!N$32</f>
        <v>1.2639</v>
      </c>
      <c r="S2213" s="135">
        <f>'National average solar data'!O$32</f>
        <v>1.3004</v>
      </c>
      <c r="T2213" s="135">
        <f>'National average solar data'!P$32</f>
        <v>1.3307</v>
      </c>
      <c r="U2213" s="135">
        <f>'National average solar data'!Q$32</f>
        <v>1.3776999999999999</v>
      </c>
      <c r="V2213" s="135">
        <f>'National average solar data'!R$32</f>
        <v>1.5044</v>
      </c>
      <c r="W2213" s="135">
        <f>'National average solar data'!S$32</f>
        <v>1.7894000000000001</v>
      </c>
      <c r="X2213" s="135">
        <f>'National average solar data'!T$32</f>
        <v>2.5588000000000002</v>
      </c>
      <c r="Y2213" s="135">
        <f>'National average solar data'!U$32</f>
        <v>3.2046999999999999</v>
      </c>
      <c r="Z2213" s="135">
        <f>'National average solar data'!V$32</f>
        <v>5.0152000000000001</v>
      </c>
      <c r="AA2213" s="135">
        <f>'National average solar data'!W$32</f>
        <v>4</v>
      </c>
      <c r="AB2213" s="135">
        <f>'National average solar data'!X$32</f>
        <v>0</v>
      </c>
      <c r="AC2213" s="135">
        <f>'National average solar data'!Y$32</f>
        <v>0</v>
      </c>
      <c r="AD2213" s="135">
        <f>'National average solar data'!Z$32</f>
        <v>0</v>
      </c>
    </row>
    <row r="2214" spans="1:30" ht="12.6">
      <c r="A2214" s="10" t="s">
        <v>131</v>
      </c>
      <c r="B2214" s="10">
        <v>23</v>
      </c>
      <c r="C2214" s="10" t="s">
        <v>1512</v>
      </c>
      <c r="D2214" s="388">
        <v>44949</v>
      </c>
      <c r="E2214" s="389">
        <v>44949</v>
      </c>
      <c r="G2214" s="135">
        <f>'National average solar data'!C$32</f>
        <v>0</v>
      </c>
      <c r="H2214" s="135">
        <f>'National average solar data'!D$32</f>
        <v>0</v>
      </c>
      <c r="I2214" s="135">
        <f>'National average solar data'!E$32</f>
        <v>0</v>
      </c>
      <c r="J2214" s="135">
        <f>'National average solar data'!F$32</f>
        <v>0</v>
      </c>
      <c r="K2214" s="135">
        <f>'National average solar data'!G$32</f>
        <v>2.3851</v>
      </c>
      <c r="L2214" s="135">
        <f>'National average solar data'!H$32</f>
        <v>1.5496000000000001</v>
      </c>
      <c r="M2214" s="135">
        <f>'National average solar data'!I$32</f>
        <v>2.0369999999999999</v>
      </c>
      <c r="N2214" s="135">
        <f>'National average solar data'!J$32</f>
        <v>1.6294</v>
      </c>
      <c r="O2214" s="135">
        <f>'National average solar data'!K$32</f>
        <v>1.3247</v>
      </c>
      <c r="P2214" s="135">
        <f>'National average solar data'!L$32</f>
        <v>1.2588999999999999</v>
      </c>
      <c r="Q2214" s="135">
        <f>'National average solar data'!M$32</f>
        <v>1.2455000000000001</v>
      </c>
      <c r="R2214" s="135">
        <f>'National average solar data'!N$32</f>
        <v>1.2639</v>
      </c>
      <c r="S2214" s="135">
        <f>'National average solar data'!O$32</f>
        <v>1.3004</v>
      </c>
      <c r="T2214" s="135">
        <f>'National average solar data'!P$32</f>
        <v>1.3307</v>
      </c>
      <c r="U2214" s="135">
        <f>'National average solar data'!Q$32</f>
        <v>1.3776999999999999</v>
      </c>
      <c r="V2214" s="135">
        <f>'National average solar data'!R$32</f>
        <v>1.5044</v>
      </c>
      <c r="W2214" s="135">
        <f>'National average solar data'!S$32</f>
        <v>1.7894000000000001</v>
      </c>
      <c r="X2214" s="135">
        <f>'National average solar data'!T$32</f>
        <v>2.5588000000000002</v>
      </c>
      <c r="Y2214" s="135">
        <f>'National average solar data'!U$32</f>
        <v>3.2046999999999999</v>
      </c>
      <c r="Z2214" s="135">
        <f>'National average solar data'!V$32</f>
        <v>5.0152000000000001</v>
      </c>
      <c r="AA2214" s="135">
        <f>'National average solar data'!W$32</f>
        <v>4</v>
      </c>
      <c r="AB2214" s="135">
        <f>'National average solar data'!X$32</f>
        <v>0</v>
      </c>
      <c r="AC2214" s="135">
        <f>'National average solar data'!Y$32</f>
        <v>0</v>
      </c>
      <c r="AD2214" s="135">
        <f>'National average solar data'!Z$32</f>
        <v>0</v>
      </c>
    </row>
    <row r="2215" spans="1:30" ht="12.6">
      <c r="A2215" s="10" t="s">
        <v>131</v>
      </c>
      <c r="B2215" s="10">
        <v>24</v>
      </c>
      <c r="C2215" s="10" t="s">
        <v>1512</v>
      </c>
      <c r="D2215" s="388">
        <v>44950</v>
      </c>
      <c r="E2215" s="389">
        <v>44950</v>
      </c>
      <c r="G2215" s="135">
        <f>'National average solar data'!C$32</f>
        <v>0</v>
      </c>
      <c r="H2215" s="135">
        <f>'National average solar data'!D$32</f>
        <v>0</v>
      </c>
      <c r="I2215" s="135">
        <f>'National average solar data'!E$32</f>
        <v>0</v>
      </c>
      <c r="J2215" s="135">
        <f>'National average solar data'!F$32</f>
        <v>0</v>
      </c>
      <c r="K2215" s="135">
        <f>'National average solar data'!G$32</f>
        <v>2.3851</v>
      </c>
      <c r="L2215" s="135">
        <f>'National average solar data'!H$32</f>
        <v>1.5496000000000001</v>
      </c>
      <c r="M2215" s="135">
        <f>'National average solar data'!I$32</f>
        <v>2.0369999999999999</v>
      </c>
      <c r="N2215" s="135">
        <f>'National average solar data'!J$32</f>
        <v>1.6294</v>
      </c>
      <c r="O2215" s="135">
        <f>'National average solar data'!K$32</f>
        <v>1.3247</v>
      </c>
      <c r="P2215" s="135">
        <f>'National average solar data'!L$32</f>
        <v>1.2588999999999999</v>
      </c>
      <c r="Q2215" s="135">
        <f>'National average solar data'!M$32</f>
        <v>1.2455000000000001</v>
      </c>
      <c r="R2215" s="135">
        <f>'National average solar data'!N$32</f>
        <v>1.2639</v>
      </c>
      <c r="S2215" s="135">
        <f>'National average solar data'!O$32</f>
        <v>1.3004</v>
      </c>
      <c r="T2215" s="135">
        <f>'National average solar data'!P$32</f>
        <v>1.3307</v>
      </c>
      <c r="U2215" s="135">
        <f>'National average solar data'!Q$32</f>
        <v>1.3776999999999999</v>
      </c>
      <c r="V2215" s="135">
        <f>'National average solar data'!R$32</f>
        <v>1.5044</v>
      </c>
      <c r="W2215" s="135">
        <f>'National average solar data'!S$32</f>
        <v>1.7894000000000001</v>
      </c>
      <c r="X2215" s="135">
        <f>'National average solar data'!T$32</f>
        <v>2.5588000000000002</v>
      </c>
      <c r="Y2215" s="135">
        <f>'National average solar data'!U$32</f>
        <v>3.2046999999999999</v>
      </c>
      <c r="Z2215" s="135">
        <f>'National average solar data'!V$32</f>
        <v>5.0152000000000001</v>
      </c>
      <c r="AA2215" s="135">
        <f>'National average solar data'!W$32</f>
        <v>4</v>
      </c>
      <c r="AB2215" s="135">
        <f>'National average solar data'!X$32</f>
        <v>0</v>
      </c>
      <c r="AC2215" s="135">
        <f>'National average solar data'!Y$32</f>
        <v>0</v>
      </c>
      <c r="AD2215" s="135">
        <f>'National average solar data'!Z$32</f>
        <v>0</v>
      </c>
    </row>
    <row r="2216" spans="1:30" ht="12.6">
      <c r="A2216" s="10" t="s">
        <v>131</v>
      </c>
      <c r="B2216" s="10">
        <v>25</v>
      </c>
      <c r="C2216" s="10" t="s">
        <v>1512</v>
      </c>
      <c r="D2216" s="388">
        <v>44951</v>
      </c>
      <c r="E2216" s="389">
        <v>44951</v>
      </c>
      <c r="G2216" s="135">
        <f>'National average solar data'!C$32</f>
        <v>0</v>
      </c>
      <c r="H2216" s="135">
        <f>'National average solar data'!D$32</f>
        <v>0</v>
      </c>
      <c r="I2216" s="135">
        <f>'National average solar data'!E$32</f>
        <v>0</v>
      </c>
      <c r="J2216" s="135">
        <f>'National average solar data'!F$32</f>
        <v>0</v>
      </c>
      <c r="K2216" s="135">
        <f>'National average solar data'!G$32</f>
        <v>2.3851</v>
      </c>
      <c r="L2216" s="135">
        <f>'National average solar data'!H$32</f>
        <v>1.5496000000000001</v>
      </c>
      <c r="M2216" s="135">
        <f>'National average solar data'!I$32</f>
        <v>2.0369999999999999</v>
      </c>
      <c r="N2216" s="135">
        <f>'National average solar data'!J$32</f>
        <v>1.6294</v>
      </c>
      <c r="O2216" s="135">
        <f>'National average solar data'!K$32</f>
        <v>1.3247</v>
      </c>
      <c r="P2216" s="135">
        <f>'National average solar data'!L$32</f>
        <v>1.2588999999999999</v>
      </c>
      <c r="Q2216" s="135">
        <f>'National average solar data'!M$32</f>
        <v>1.2455000000000001</v>
      </c>
      <c r="R2216" s="135">
        <f>'National average solar data'!N$32</f>
        <v>1.2639</v>
      </c>
      <c r="S2216" s="135">
        <f>'National average solar data'!O$32</f>
        <v>1.3004</v>
      </c>
      <c r="T2216" s="135">
        <f>'National average solar data'!P$32</f>
        <v>1.3307</v>
      </c>
      <c r="U2216" s="135">
        <f>'National average solar data'!Q$32</f>
        <v>1.3776999999999999</v>
      </c>
      <c r="V2216" s="135">
        <f>'National average solar data'!R$32</f>
        <v>1.5044</v>
      </c>
      <c r="W2216" s="135">
        <f>'National average solar data'!S$32</f>
        <v>1.7894000000000001</v>
      </c>
      <c r="X2216" s="135">
        <f>'National average solar data'!T$32</f>
        <v>2.5588000000000002</v>
      </c>
      <c r="Y2216" s="135">
        <f>'National average solar data'!U$32</f>
        <v>3.2046999999999999</v>
      </c>
      <c r="Z2216" s="135">
        <f>'National average solar data'!V$32</f>
        <v>5.0152000000000001</v>
      </c>
      <c r="AA2216" s="135">
        <f>'National average solar data'!W$32</f>
        <v>4</v>
      </c>
      <c r="AB2216" s="135">
        <f>'National average solar data'!X$32</f>
        <v>0</v>
      </c>
      <c r="AC2216" s="135">
        <f>'National average solar data'!Y$32</f>
        <v>0</v>
      </c>
      <c r="AD2216" s="135">
        <f>'National average solar data'!Z$32</f>
        <v>0</v>
      </c>
    </row>
    <row r="2217" spans="1:30" ht="12.6">
      <c r="A2217" s="10" t="s">
        <v>131</v>
      </c>
      <c r="B2217" s="10">
        <v>26</v>
      </c>
      <c r="C2217" s="10" t="s">
        <v>1512</v>
      </c>
      <c r="D2217" s="388">
        <v>44952</v>
      </c>
      <c r="E2217" s="389">
        <v>44952</v>
      </c>
      <c r="G2217" s="135">
        <f>'National average solar data'!C$32</f>
        <v>0</v>
      </c>
      <c r="H2217" s="135">
        <f>'National average solar data'!D$32</f>
        <v>0</v>
      </c>
      <c r="I2217" s="135">
        <f>'National average solar data'!E$32</f>
        <v>0</v>
      </c>
      <c r="J2217" s="135">
        <f>'National average solar data'!F$32</f>
        <v>0</v>
      </c>
      <c r="K2217" s="135">
        <f>'National average solar data'!G$32</f>
        <v>2.3851</v>
      </c>
      <c r="L2217" s="135">
        <f>'National average solar data'!H$32</f>
        <v>1.5496000000000001</v>
      </c>
      <c r="M2217" s="135">
        <f>'National average solar data'!I$32</f>
        <v>2.0369999999999999</v>
      </c>
      <c r="N2217" s="135">
        <f>'National average solar data'!J$32</f>
        <v>1.6294</v>
      </c>
      <c r="O2217" s="135">
        <f>'National average solar data'!K$32</f>
        <v>1.3247</v>
      </c>
      <c r="P2217" s="135">
        <f>'National average solar data'!L$32</f>
        <v>1.2588999999999999</v>
      </c>
      <c r="Q2217" s="135">
        <f>'National average solar data'!M$32</f>
        <v>1.2455000000000001</v>
      </c>
      <c r="R2217" s="135">
        <f>'National average solar data'!N$32</f>
        <v>1.2639</v>
      </c>
      <c r="S2217" s="135">
        <f>'National average solar data'!O$32</f>
        <v>1.3004</v>
      </c>
      <c r="T2217" s="135">
        <f>'National average solar data'!P$32</f>
        <v>1.3307</v>
      </c>
      <c r="U2217" s="135">
        <f>'National average solar data'!Q$32</f>
        <v>1.3776999999999999</v>
      </c>
      <c r="V2217" s="135">
        <f>'National average solar data'!R$32</f>
        <v>1.5044</v>
      </c>
      <c r="W2217" s="135">
        <f>'National average solar data'!S$32</f>
        <v>1.7894000000000001</v>
      </c>
      <c r="X2217" s="135">
        <f>'National average solar data'!T$32</f>
        <v>2.5588000000000002</v>
      </c>
      <c r="Y2217" s="135">
        <f>'National average solar data'!U$32</f>
        <v>3.2046999999999999</v>
      </c>
      <c r="Z2217" s="135">
        <f>'National average solar data'!V$32</f>
        <v>5.0152000000000001</v>
      </c>
      <c r="AA2217" s="135">
        <f>'National average solar data'!W$32</f>
        <v>4</v>
      </c>
      <c r="AB2217" s="135">
        <f>'National average solar data'!X$32</f>
        <v>0</v>
      </c>
      <c r="AC2217" s="135">
        <f>'National average solar data'!Y$32</f>
        <v>0</v>
      </c>
      <c r="AD2217" s="135">
        <f>'National average solar data'!Z$32</f>
        <v>0</v>
      </c>
    </row>
    <row r="2218" spans="1:30" ht="12.6">
      <c r="A2218" s="10" t="s">
        <v>131</v>
      </c>
      <c r="B2218" s="10">
        <v>27</v>
      </c>
      <c r="C2218" s="10" t="s">
        <v>1512</v>
      </c>
      <c r="D2218" s="388">
        <v>44953</v>
      </c>
      <c r="E2218" s="389">
        <v>44953</v>
      </c>
      <c r="G2218" s="135">
        <f>'National average solar data'!C$32</f>
        <v>0</v>
      </c>
      <c r="H2218" s="135">
        <f>'National average solar data'!D$32</f>
        <v>0</v>
      </c>
      <c r="I2218" s="135">
        <f>'National average solar data'!E$32</f>
        <v>0</v>
      </c>
      <c r="J2218" s="135">
        <f>'National average solar data'!F$32</f>
        <v>0</v>
      </c>
      <c r="K2218" s="135">
        <f>'National average solar data'!G$32</f>
        <v>2.3851</v>
      </c>
      <c r="L2218" s="135">
        <f>'National average solar data'!H$32</f>
        <v>1.5496000000000001</v>
      </c>
      <c r="M2218" s="135">
        <f>'National average solar data'!I$32</f>
        <v>2.0369999999999999</v>
      </c>
      <c r="N2218" s="135">
        <f>'National average solar data'!J$32</f>
        <v>1.6294</v>
      </c>
      <c r="O2218" s="135">
        <f>'National average solar data'!K$32</f>
        <v>1.3247</v>
      </c>
      <c r="P2218" s="135">
        <f>'National average solar data'!L$32</f>
        <v>1.2588999999999999</v>
      </c>
      <c r="Q2218" s="135">
        <f>'National average solar data'!M$32</f>
        <v>1.2455000000000001</v>
      </c>
      <c r="R2218" s="135">
        <f>'National average solar data'!N$32</f>
        <v>1.2639</v>
      </c>
      <c r="S2218" s="135">
        <f>'National average solar data'!O$32</f>
        <v>1.3004</v>
      </c>
      <c r="T2218" s="135">
        <f>'National average solar data'!P$32</f>
        <v>1.3307</v>
      </c>
      <c r="U2218" s="135">
        <f>'National average solar data'!Q$32</f>
        <v>1.3776999999999999</v>
      </c>
      <c r="V2218" s="135">
        <f>'National average solar data'!R$32</f>
        <v>1.5044</v>
      </c>
      <c r="W2218" s="135">
        <f>'National average solar data'!S$32</f>
        <v>1.7894000000000001</v>
      </c>
      <c r="X2218" s="135">
        <f>'National average solar data'!T$32</f>
        <v>2.5588000000000002</v>
      </c>
      <c r="Y2218" s="135">
        <f>'National average solar data'!U$32</f>
        <v>3.2046999999999999</v>
      </c>
      <c r="Z2218" s="135">
        <f>'National average solar data'!V$32</f>
        <v>5.0152000000000001</v>
      </c>
      <c r="AA2218" s="135">
        <f>'National average solar data'!W$32</f>
        <v>4</v>
      </c>
      <c r="AB2218" s="135">
        <f>'National average solar data'!X$32</f>
        <v>0</v>
      </c>
      <c r="AC2218" s="135">
        <f>'National average solar data'!Y$32</f>
        <v>0</v>
      </c>
      <c r="AD2218" s="135">
        <f>'National average solar data'!Z$32</f>
        <v>0</v>
      </c>
    </row>
    <row r="2219" spans="1:30" ht="12.6">
      <c r="A2219" s="10" t="s">
        <v>131</v>
      </c>
      <c r="B2219" s="10">
        <v>28</v>
      </c>
      <c r="C2219" s="10" t="s">
        <v>1512</v>
      </c>
      <c r="D2219" s="388">
        <v>44954</v>
      </c>
      <c r="E2219" s="389">
        <v>44954</v>
      </c>
      <c r="G2219" s="135">
        <f>'National average solar data'!C$32</f>
        <v>0</v>
      </c>
      <c r="H2219" s="135">
        <f>'National average solar data'!D$32</f>
        <v>0</v>
      </c>
      <c r="I2219" s="135">
        <f>'National average solar data'!E$32</f>
        <v>0</v>
      </c>
      <c r="J2219" s="135">
        <f>'National average solar data'!F$32</f>
        <v>0</v>
      </c>
      <c r="K2219" s="135">
        <f>'National average solar data'!G$32</f>
        <v>2.3851</v>
      </c>
      <c r="L2219" s="135">
        <f>'National average solar data'!H$32</f>
        <v>1.5496000000000001</v>
      </c>
      <c r="M2219" s="135">
        <f>'National average solar data'!I$32</f>
        <v>2.0369999999999999</v>
      </c>
      <c r="N2219" s="135">
        <f>'National average solar data'!J$32</f>
        <v>1.6294</v>
      </c>
      <c r="O2219" s="135">
        <f>'National average solar data'!K$32</f>
        <v>1.3247</v>
      </c>
      <c r="P2219" s="135">
        <f>'National average solar data'!L$32</f>
        <v>1.2588999999999999</v>
      </c>
      <c r="Q2219" s="135">
        <f>'National average solar data'!M$32</f>
        <v>1.2455000000000001</v>
      </c>
      <c r="R2219" s="135">
        <f>'National average solar data'!N$32</f>
        <v>1.2639</v>
      </c>
      <c r="S2219" s="135">
        <f>'National average solar data'!O$32</f>
        <v>1.3004</v>
      </c>
      <c r="T2219" s="135">
        <f>'National average solar data'!P$32</f>
        <v>1.3307</v>
      </c>
      <c r="U2219" s="135">
        <f>'National average solar data'!Q$32</f>
        <v>1.3776999999999999</v>
      </c>
      <c r="V2219" s="135">
        <f>'National average solar data'!R$32</f>
        <v>1.5044</v>
      </c>
      <c r="W2219" s="135">
        <f>'National average solar data'!S$32</f>
        <v>1.7894000000000001</v>
      </c>
      <c r="X2219" s="135">
        <f>'National average solar data'!T$32</f>
        <v>2.5588000000000002</v>
      </c>
      <c r="Y2219" s="135">
        <f>'National average solar data'!U$32</f>
        <v>3.2046999999999999</v>
      </c>
      <c r="Z2219" s="135">
        <f>'National average solar data'!V$32</f>
        <v>5.0152000000000001</v>
      </c>
      <c r="AA2219" s="135">
        <f>'National average solar data'!W$32</f>
        <v>4</v>
      </c>
      <c r="AB2219" s="135">
        <f>'National average solar data'!X$32</f>
        <v>0</v>
      </c>
      <c r="AC2219" s="135">
        <f>'National average solar data'!Y$32</f>
        <v>0</v>
      </c>
      <c r="AD2219" s="135">
        <f>'National average solar data'!Z$32</f>
        <v>0</v>
      </c>
    </row>
    <row r="2220" spans="1:30" ht="12.6">
      <c r="A2220" s="10" t="s">
        <v>131</v>
      </c>
      <c r="B2220" s="10">
        <v>29</v>
      </c>
      <c r="C2220" s="10" t="s">
        <v>1512</v>
      </c>
      <c r="D2220" s="388">
        <v>44955</v>
      </c>
      <c r="E2220" s="389">
        <v>44955</v>
      </c>
      <c r="G2220" s="135">
        <f>'National average solar data'!C$32</f>
        <v>0</v>
      </c>
      <c r="H2220" s="135">
        <f>'National average solar data'!D$32</f>
        <v>0</v>
      </c>
      <c r="I2220" s="135">
        <f>'National average solar data'!E$32</f>
        <v>0</v>
      </c>
      <c r="J2220" s="135">
        <f>'National average solar data'!F$32</f>
        <v>0</v>
      </c>
      <c r="K2220" s="135">
        <f>'National average solar data'!G$32</f>
        <v>2.3851</v>
      </c>
      <c r="L2220" s="135">
        <f>'National average solar data'!H$32</f>
        <v>1.5496000000000001</v>
      </c>
      <c r="M2220" s="135">
        <f>'National average solar data'!I$32</f>
        <v>2.0369999999999999</v>
      </c>
      <c r="N2220" s="135">
        <f>'National average solar data'!J$32</f>
        <v>1.6294</v>
      </c>
      <c r="O2220" s="135">
        <f>'National average solar data'!K$32</f>
        <v>1.3247</v>
      </c>
      <c r="P2220" s="135">
        <f>'National average solar data'!L$32</f>
        <v>1.2588999999999999</v>
      </c>
      <c r="Q2220" s="135">
        <f>'National average solar data'!M$32</f>
        <v>1.2455000000000001</v>
      </c>
      <c r="R2220" s="135">
        <f>'National average solar data'!N$32</f>
        <v>1.2639</v>
      </c>
      <c r="S2220" s="135">
        <f>'National average solar data'!O$32</f>
        <v>1.3004</v>
      </c>
      <c r="T2220" s="135">
        <f>'National average solar data'!P$32</f>
        <v>1.3307</v>
      </c>
      <c r="U2220" s="135">
        <f>'National average solar data'!Q$32</f>
        <v>1.3776999999999999</v>
      </c>
      <c r="V2220" s="135">
        <f>'National average solar data'!R$32</f>
        <v>1.5044</v>
      </c>
      <c r="W2220" s="135">
        <f>'National average solar data'!S$32</f>
        <v>1.7894000000000001</v>
      </c>
      <c r="X2220" s="135">
        <f>'National average solar data'!T$32</f>
        <v>2.5588000000000002</v>
      </c>
      <c r="Y2220" s="135">
        <f>'National average solar data'!U$32</f>
        <v>3.2046999999999999</v>
      </c>
      <c r="Z2220" s="135">
        <f>'National average solar data'!V$32</f>
        <v>5.0152000000000001</v>
      </c>
      <c r="AA2220" s="135">
        <f>'National average solar data'!W$32</f>
        <v>4</v>
      </c>
      <c r="AB2220" s="135">
        <f>'National average solar data'!X$32</f>
        <v>0</v>
      </c>
      <c r="AC2220" s="135">
        <f>'National average solar data'!Y$32</f>
        <v>0</v>
      </c>
      <c r="AD2220" s="135">
        <f>'National average solar data'!Z$32</f>
        <v>0</v>
      </c>
    </row>
    <row r="2221" spans="1:30" ht="12.6">
      <c r="A2221" s="10" t="s">
        <v>131</v>
      </c>
      <c r="B2221" s="10">
        <v>30</v>
      </c>
      <c r="C2221" s="10" t="s">
        <v>1512</v>
      </c>
      <c r="D2221" s="388">
        <v>44956</v>
      </c>
      <c r="E2221" s="389">
        <v>44956</v>
      </c>
      <c r="G2221" s="135">
        <f>'National average solar data'!C$32</f>
        <v>0</v>
      </c>
      <c r="H2221" s="135">
        <f>'National average solar data'!D$32</f>
        <v>0</v>
      </c>
      <c r="I2221" s="135">
        <f>'National average solar data'!E$32</f>
        <v>0</v>
      </c>
      <c r="J2221" s="135">
        <f>'National average solar data'!F$32</f>
        <v>0</v>
      </c>
      <c r="K2221" s="135">
        <f>'National average solar data'!G$32</f>
        <v>2.3851</v>
      </c>
      <c r="L2221" s="135">
        <f>'National average solar data'!H$32</f>
        <v>1.5496000000000001</v>
      </c>
      <c r="M2221" s="135">
        <f>'National average solar data'!I$32</f>
        <v>2.0369999999999999</v>
      </c>
      <c r="N2221" s="135">
        <f>'National average solar data'!J$32</f>
        <v>1.6294</v>
      </c>
      <c r="O2221" s="135">
        <f>'National average solar data'!K$32</f>
        <v>1.3247</v>
      </c>
      <c r="P2221" s="135">
        <f>'National average solar data'!L$32</f>
        <v>1.2588999999999999</v>
      </c>
      <c r="Q2221" s="135">
        <f>'National average solar data'!M$32</f>
        <v>1.2455000000000001</v>
      </c>
      <c r="R2221" s="135">
        <f>'National average solar data'!N$32</f>
        <v>1.2639</v>
      </c>
      <c r="S2221" s="135">
        <f>'National average solar data'!O$32</f>
        <v>1.3004</v>
      </c>
      <c r="T2221" s="135">
        <f>'National average solar data'!P$32</f>
        <v>1.3307</v>
      </c>
      <c r="U2221" s="135">
        <f>'National average solar data'!Q$32</f>
        <v>1.3776999999999999</v>
      </c>
      <c r="V2221" s="135">
        <f>'National average solar data'!R$32</f>
        <v>1.5044</v>
      </c>
      <c r="W2221" s="135">
        <f>'National average solar data'!S$32</f>
        <v>1.7894000000000001</v>
      </c>
      <c r="X2221" s="135">
        <f>'National average solar data'!T$32</f>
        <v>2.5588000000000002</v>
      </c>
      <c r="Y2221" s="135">
        <f>'National average solar data'!U$32</f>
        <v>3.2046999999999999</v>
      </c>
      <c r="Z2221" s="135">
        <f>'National average solar data'!V$32</f>
        <v>5.0152000000000001</v>
      </c>
      <c r="AA2221" s="135">
        <f>'National average solar data'!W$32</f>
        <v>4</v>
      </c>
      <c r="AB2221" s="135">
        <f>'National average solar data'!X$32</f>
        <v>0</v>
      </c>
      <c r="AC2221" s="135">
        <f>'National average solar data'!Y$32</f>
        <v>0</v>
      </c>
      <c r="AD2221" s="135">
        <f>'National average solar data'!Z$32</f>
        <v>0</v>
      </c>
    </row>
    <row r="2222" spans="1:30" ht="12.6">
      <c r="A2222" s="10" t="s">
        <v>131</v>
      </c>
      <c r="B2222" s="10">
        <v>31</v>
      </c>
      <c r="C2222" s="10" t="s">
        <v>1512</v>
      </c>
      <c r="D2222" s="388">
        <v>44957</v>
      </c>
      <c r="E2222" s="389">
        <v>44957</v>
      </c>
      <c r="G2222" s="135">
        <f>'National average solar data'!C$32</f>
        <v>0</v>
      </c>
      <c r="H2222" s="135">
        <f>'National average solar data'!D$32</f>
        <v>0</v>
      </c>
      <c r="I2222" s="135">
        <f>'National average solar data'!E$32</f>
        <v>0</v>
      </c>
      <c r="J2222" s="135">
        <f>'National average solar data'!F$32</f>
        <v>0</v>
      </c>
      <c r="K2222" s="135">
        <f>'National average solar data'!G$32</f>
        <v>2.3851</v>
      </c>
      <c r="L2222" s="135">
        <f>'National average solar data'!H$32</f>
        <v>1.5496000000000001</v>
      </c>
      <c r="M2222" s="135">
        <f>'National average solar data'!I$32</f>
        <v>2.0369999999999999</v>
      </c>
      <c r="N2222" s="135">
        <f>'National average solar data'!J$32</f>
        <v>1.6294</v>
      </c>
      <c r="O2222" s="135">
        <f>'National average solar data'!K$32</f>
        <v>1.3247</v>
      </c>
      <c r="P2222" s="135">
        <f>'National average solar data'!L$32</f>
        <v>1.2588999999999999</v>
      </c>
      <c r="Q2222" s="135">
        <f>'National average solar data'!M$32</f>
        <v>1.2455000000000001</v>
      </c>
      <c r="R2222" s="135">
        <f>'National average solar data'!N$32</f>
        <v>1.2639</v>
      </c>
      <c r="S2222" s="135">
        <f>'National average solar data'!O$32</f>
        <v>1.3004</v>
      </c>
      <c r="T2222" s="135">
        <f>'National average solar data'!P$32</f>
        <v>1.3307</v>
      </c>
      <c r="U2222" s="135">
        <f>'National average solar data'!Q$32</f>
        <v>1.3776999999999999</v>
      </c>
      <c r="V2222" s="135">
        <f>'National average solar data'!R$32</f>
        <v>1.5044</v>
      </c>
      <c r="W2222" s="135">
        <f>'National average solar data'!S$32</f>
        <v>1.7894000000000001</v>
      </c>
      <c r="X2222" s="135">
        <f>'National average solar data'!T$32</f>
        <v>2.5588000000000002</v>
      </c>
      <c r="Y2222" s="135">
        <f>'National average solar data'!U$32</f>
        <v>3.2046999999999999</v>
      </c>
      <c r="Z2222" s="135">
        <f>'National average solar data'!V$32</f>
        <v>5.0152000000000001</v>
      </c>
      <c r="AA2222" s="135">
        <f>'National average solar data'!W$32</f>
        <v>4</v>
      </c>
      <c r="AB2222" s="135">
        <f>'National average solar data'!X$32</f>
        <v>0</v>
      </c>
      <c r="AC2222" s="135">
        <f>'National average solar data'!Y$32</f>
        <v>0</v>
      </c>
      <c r="AD2222" s="135">
        <f>'National average solar data'!Z$32</f>
        <v>0</v>
      </c>
    </row>
    <row r="2223" spans="1:30" ht="12.6">
      <c r="A2223" s="10" t="s">
        <v>131</v>
      </c>
      <c r="B2223" s="10">
        <v>32</v>
      </c>
      <c r="C2223" s="10" t="s">
        <v>1512</v>
      </c>
      <c r="D2223" s="388">
        <v>44958</v>
      </c>
      <c r="E2223" s="389">
        <v>44958</v>
      </c>
      <c r="G2223" s="135">
        <f>'National average solar data'!C$33</f>
        <v>0</v>
      </c>
      <c r="H2223" s="135">
        <f>'National average solar data'!D$33</f>
        <v>0</v>
      </c>
      <c r="I2223" s="135">
        <f>'National average solar data'!E$33</f>
        <v>0</v>
      </c>
      <c r="J2223" s="135">
        <f>'National average solar data'!F$33</f>
        <v>0</v>
      </c>
      <c r="K2223" s="135">
        <f>'National average solar data'!G$33</f>
        <v>0</v>
      </c>
      <c r="L2223" s="135">
        <f>'National average solar data'!H$33</f>
        <v>0.14419999999999999</v>
      </c>
      <c r="M2223" s="135">
        <f>'National average solar data'!I$33</f>
        <v>1.0606</v>
      </c>
      <c r="N2223" s="135">
        <f>'National average solar data'!J$33</f>
        <v>1.3378000000000001</v>
      </c>
      <c r="O2223" s="135">
        <f>'National average solar data'!K$33</f>
        <v>1.2182999999999999</v>
      </c>
      <c r="P2223" s="135">
        <f>'National average solar data'!L$33</f>
        <v>1.1863999999999999</v>
      </c>
      <c r="Q2223" s="135">
        <f>'National average solar data'!M$33</f>
        <v>1.1876</v>
      </c>
      <c r="R2223" s="135">
        <f>'National average solar data'!N$33</f>
        <v>1.1952</v>
      </c>
      <c r="S2223" s="135">
        <f>'National average solar data'!O$33</f>
        <v>1.2181</v>
      </c>
      <c r="T2223" s="135">
        <f>'National average solar data'!P$33</f>
        <v>1.2661</v>
      </c>
      <c r="U2223" s="135">
        <f>'National average solar data'!Q$33</f>
        <v>1.2967</v>
      </c>
      <c r="V2223" s="135">
        <f>'National average solar data'!R$33</f>
        <v>1.4016</v>
      </c>
      <c r="W2223" s="135">
        <f>'National average solar data'!S$33</f>
        <v>1.6084000000000001</v>
      </c>
      <c r="X2223" s="135">
        <f>'National average solar data'!T$33</f>
        <v>2.0518999999999998</v>
      </c>
      <c r="Y2223" s="135">
        <f>'National average solar data'!U$33</f>
        <v>1.9742999999999999</v>
      </c>
      <c r="Z2223" s="135">
        <f>'National average solar data'!V$33</f>
        <v>1.0065</v>
      </c>
      <c r="AA2223" s="135">
        <f>'National average solar data'!W$33</f>
        <v>1.7078</v>
      </c>
      <c r="AB2223" s="135">
        <f>'National average solar data'!X$33</f>
        <v>0</v>
      </c>
      <c r="AC2223" s="135">
        <f>'National average solar data'!Y$33</f>
        <v>0</v>
      </c>
      <c r="AD2223" s="135">
        <f>'National average solar data'!Z$33</f>
        <v>0</v>
      </c>
    </row>
    <row r="2224" spans="1:30" ht="12.6">
      <c r="A2224" s="10" t="s">
        <v>131</v>
      </c>
      <c r="B2224" s="10">
        <v>33</v>
      </c>
      <c r="C2224" s="10" t="s">
        <v>1512</v>
      </c>
      <c r="D2224" s="388">
        <v>44959</v>
      </c>
      <c r="E2224" s="389">
        <v>44959</v>
      </c>
      <c r="G2224" s="135">
        <f>'National average solar data'!C$33</f>
        <v>0</v>
      </c>
      <c r="H2224" s="135">
        <f>'National average solar data'!D$33</f>
        <v>0</v>
      </c>
      <c r="I2224" s="135">
        <f>'National average solar data'!E$33</f>
        <v>0</v>
      </c>
      <c r="J2224" s="135">
        <f>'National average solar data'!F$33</f>
        <v>0</v>
      </c>
      <c r="K2224" s="135">
        <f>'National average solar data'!G$33</f>
        <v>0</v>
      </c>
      <c r="L2224" s="135">
        <f>'National average solar data'!H$33</f>
        <v>0.14419999999999999</v>
      </c>
      <c r="M2224" s="135">
        <f>'National average solar data'!I$33</f>
        <v>1.0606</v>
      </c>
      <c r="N2224" s="135">
        <f>'National average solar data'!J$33</f>
        <v>1.3378000000000001</v>
      </c>
      <c r="O2224" s="135">
        <f>'National average solar data'!K$33</f>
        <v>1.2182999999999999</v>
      </c>
      <c r="P2224" s="135">
        <f>'National average solar data'!L$33</f>
        <v>1.1863999999999999</v>
      </c>
      <c r="Q2224" s="135">
        <f>'National average solar data'!M$33</f>
        <v>1.1876</v>
      </c>
      <c r="R2224" s="135">
        <f>'National average solar data'!N$33</f>
        <v>1.1952</v>
      </c>
      <c r="S2224" s="135">
        <f>'National average solar data'!O$33</f>
        <v>1.2181</v>
      </c>
      <c r="T2224" s="135">
        <f>'National average solar data'!P$33</f>
        <v>1.2661</v>
      </c>
      <c r="U2224" s="135">
        <f>'National average solar data'!Q$33</f>
        <v>1.2967</v>
      </c>
      <c r="V2224" s="135">
        <f>'National average solar data'!R$33</f>
        <v>1.4016</v>
      </c>
      <c r="W2224" s="135">
        <f>'National average solar data'!S$33</f>
        <v>1.6084000000000001</v>
      </c>
      <c r="X2224" s="135">
        <f>'National average solar data'!T$33</f>
        <v>2.0518999999999998</v>
      </c>
      <c r="Y2224" s="135">
        <f>'National average solar data'!U$33</f>
        <v>1.9742999999999999</v>
      </c>
      <c r="Z2224" s="135">
        <f>'National average solar data'!V$33</f>
        <v>1.0065</v>
      </c>
      <c r="AA2224" s="135">
        <f>'National average solar data'!W$33</f>
        <v>1.7078</v>
      </c>
      <c r="AB2224" s="135">
        <f>'National average solar data'!X$33</f>
        <v>0</v>
      </c>
      <c r="AC2224" s="135">
        <f>'National average solar data'!Y$33</f>
        <v>0</v>
      </c>
      <c r="AD2224" s="135">
        <f>'National average solar data'!Z$33</f>
        <v>0</v>
      </c>
    </row>
    <row r="2225" spans="1:30" ht="12.6">
      <c r="A2225" s="10" t="s">
        <v>131</v>
      </c>
      <c r="B2225" s="10">
        <v>34</v>
      </c>
      <c r="C2225" s="10" t="s">
        <v>1512</v>
      </c>
      <c r="D2225" s="388">
        <v>44960</v>
      </c>
      <c r="E2225" s="389">
        <v>44960</v>
      </c>
      <c r="G2225" s="135">
        <f>'National average solar data'!C$33</f>
        <v>0</v>
      </c>
      <c r="H2225" s="135">
        <f>'National average solar data'!D$33</f>
        <v>0</v>
      </c>
      <c r="I2225" s="135">
        <f>'National average solar data'!E$33</f>
        <v>0</v>
      </c>
      <c r="J2225" s="135">
        <f>'National average solar data'!F$33</f>
        <v>0</v>
      </c>
      <c r="K2225" s="135">
        <f>'National average solar data'!G$33</f>
        <v>0</v>
      </c>
      <c r="L2225" s="135">
        <f>'National average solar data'!H$33</f>
        <v>0.14419999999999999</v>
      </c>
      <c r="M2225" s="135">
        <f>'National average solar data'!I$33</f>
        <v>1.0606</v>
      </c>
      <c r="N2225" s="135">
        <f>'National average solar data'!J$33</f>
        <v>1.3378000000000001</v>
      </c>
      <c r="O2225" s="135">
        <f>'National average solar data'!K$33</f>
        <v>1.2182999999999999</v>
      </c>
      <c r="P2225" s="135">
        <f>'National average solar data'!L$33</f>
        <v>1.1863999999999999</v>
      </c>
      <c r="Q2225" s="135">
        <f>'National average solar data'!M$33</f>
        <v>1.1876</v>
      </c>
      <c r="R2225" s="135">
        <f>'National average solar data'!N$33</f>
        <v>1.1952</v>
      </c>
      <c r="S2225" s="135">
        <f>'National average solar data'!O$33</f>
        <v>1.2181</v>
      </c>
      <c r="T2225" s="135">
        <f>'National average solar data'!P$33</f>
        <v>1.2661</v>
      </c>
      <c r="U2225" s="135">
        <f>'National average solar data'!Q$33</f>
        <v>1.2967</v>
      </c>
      <c r="V2225" s="135">
        <f>'National average solar data'!R$33</f>
        <v>1.4016</v>
      </c>
      <c r="W2225" s="135">
        <f>'National average solar data'!S$33</f>
        <v>1.6084000000000001</v>
      </c>
      <c r="X2225" s="135">
        <f>'National average solar data'!T$33</f>
        <v>2.0518999999999998</v>
      </c>
      <c r="Y2225" s="135">
        <f>'National average solar data'!U$33</f>
        <v>1.9742999999999999</v>
      </c>
      <c r="Z2225" s="135">
        <f>'National average solar data'!V$33</f>
        <v>1.0065</v>
      </c>
      <c r="AA2225" s="135">
        <f>'National average solar data'!W$33</f>
        <v>1.7078</v>
      </c>
      <c r="AB2225" s="135">
        <f>'National average solar data'!X$33</f>
        <v>0</v>
      </c>
      <c r="AC2225" s="135">
        <f>'National average solar data'!Y$33</f>
        <v>0</v>
      </c>
      <c r="AD2225" s="135">
        <f>'National average solar data'!Z$33</f>
        <v>0</v>
      </c>
    </row>
    <row r="2226" spans="1:30" ht="12.6">
      <c r="A2226" s="10" t="s">
        <v>131</v>
      </c>
      <c r="B2226" s="10">
        <v>35</v>
      </c>
      <c r="C2226" s="10" t="s">
        <v>1512</v>
      </c>
      <c r="D2226" s="388">
        <v>44961</v>
      </c>
      <c r="E2226" s="389">
        <v>44961</v>
      </c>
      <c r="G2226" s="135">
        <f>'National average solar data'!C$33</f>
        <v>0</v>
      </c>
      <c r="H2226" s="135">
        <f>'National average solar data'!D$33</f>
        <v>0</v>
      </c>
      <c r="I2226" s="135">
        <f>'National average solar data'!E$33</f>
        <v>0</v>
      </c>
      <c r="J2226" s="135">
        <f>'National average solar data'!F$33</f>
        <v>0</v>
      </c>
      <c r="K2226" s="135">
        <f>'National average solar data'!G$33</f>
        <v>0</v>
      </c>
      <c r="L2226" s="135">
        <f>'National average solar data'!H$33</f>
        <v>0.14419999999999999</v>
      </c>
      <c r="M2226" s="135">
        <f>'National average solar data'!I$33</f>
        <v>1.0606</v>
      </c>
      <c r="N2226" s="135">
        <f>'National average solar data'!J$33</f>
        <v>1.3378000000000001</v>
      </c>
      <c r="O2226" s="135">
        <f>'National average solar data'!K$33</f>
        <v>1.2182999999999999</v>
      </c>
      <c r="P2226" s="135">
        <f>'National average solar data'!L$33</f>
        <v>1.1863999999999999</v>
      </c>
      <c r="Q2226" s="135">
        <f>'National average solar data'!M$33</f>
        <v>1.1876</v>
      </c>
      <c r="R2226" s="135">
        <f>'National average solar data'!N$33</f>
        <v>1.1952</v>
      </c>
      <c r="S2226" s="135">
        <f>'National average solar data'!O$33</f>
        <v>1.2181</v>
      </c>
      <c r="T2226" s="135">
        <f>'National average solar data'!P$33</f>
        <v>1.2661</v>
      </c>
      <c r="U2226" s="135">
        <f>'National average solar data'!Q$33</f>
        <v>1.2967</v>
      </c>
      <c r="V2226" s="135">
        <f>'National average solar data'!R$33</f>
        <v>1.4016</v>
      </c>
      <c r="W2226" s="135">
        <f>'National average solar data'!S$33</f>
        <v>1.6084000000000001</v>
      </c>
      <c r="X2226" s="135">
        <f>'National average solar data'!T$33</f>
        <v>2.0518999999999998</v>
      </c>
      <c r="Y2226" s="135">
        <f>'National average solar data'!U$33</f>
        <v>1.9742999999999999</v>
      </c>
      <c r="Z2226" s="135">
        <f>'National average solar data'!V$33</f>
        <v>1.0065</v>
      </c>
      <c r="AA2226" s="135">
        <f>'National average solar data'!W$33</f>
        <v>1.7078</v>
      </c>
      <c r="AB2226" s="135">
        <f>'National average solar data'!X$33</f>
        <v>0</v>
      </c>
      <c r="AC2226" s="135">
        <f>'National average solar data'!Y$33</f>
        <v>0</v>
      </c>
      <c r="AD2226" s="135">
        <f>'National average solar data'!Z$33</f>
        <v>0</v>
      </c>
    </row>
    <row r="2227" spans="1:30" ht="12.6">
      <c r="A2227" s="10" t="s">
        <v>131</v>
      </c>
      <c r="B2227" s="10">
        <v>36</v>
      </c>
      <c r="C2227" s="10" t="s">
        <v>1512</v>
      </c>
      <c r="D2227" s="388">
        <v>44962</v>
      </c>
      <c r="E2227" s="389">
        <v>44962</v>
      </c>
      <c r="G2227" s="135">
        <f>'National average solar data'!C$33</f>
        <v>0</v>
      </c>
      <c r="H2227" s="135">
        <f>'National average solar data'!D$33</f>
        <v>0</v>
      </c>
      <c r="I2227" s="135">
        <f>'National average solar data'!E$33</f>
        <v>0</v>
      </c>
      <c r="J2227" s="135">
        <f>'National average solar data'!F$33</f>
        <v>0</v>
      </c>
      <c r="K2227" s="135">
        <f>'National average solar data'!G$33</f>
        <v>0</v>
      </c>
      <c r="L2227" s="135">
        <f>'National average solar data'!H$33</f>
        <v>0.14419999999999999</v>
      </c>
      <c r="M2227" s="135">
        <f>'National average solar data'!I$33</f>
        <v>1.0606</v>
      </c>
      <c r="N2227" s="135">
        <f>'National average solar data'!J$33</f>
        <v>1.3378000000000001</v>
      </c>
      <c r="O2227" s="135">
        <f>'National average solar data'!K$33</f>
        <v>1.2182999999999999</v>
      </c>
      <c r="P2227" s="135">
        <f>'National average solar data'!L$33</f>
        <v>1.1863999999999999</v>
      </c>
      <c r="Q2227" s="135">
        <f>'National average solar data'!M$33</f>
        <v>1.1876</v>
      </c>
      <c r="R2227" s="135">
        <f>'National average solar data'!N$33</f>
        <v>1.1952</v>
      </c>
      <c r="S2227" s="135">
        <f>'National average solar data'!O$33</f>
        <v>1.2181</v>
      </c>
      <c r="T2227" s="135">
        <f>'National average solar data'!P$33</f>
        <v>1.2661</v>
      </c>
      <c r="U2227" s="135">
        <f>'National average solar data'!Q$33</f>
        <v>1.2967</v>
      </c>
      <c r="V2227" s="135">
        <f>'National average solar data'!R$33</f>
        <v>1.4016</v>
      </c>
      <c r="W2227" s="135">
        <f>'National average solar data'!S$33</f>
        <v>1.6084000000000001</v>
      </c>
      <c r="X2227" s="135">
        <f>'National average solar data'!T$33</f>
        <v>2.0518999999999998</v>
      </c>
      <c r="Y2227" s="135">
        <f>'National average solar data'!U$33</f>
        <v>1.9742999999999999</v>
      </c>
      <c r="Z2227" s="135">
        <f>'National average solar data'!V$33</f>
        <v>1.0065</v>
      </c>
      <c r="AA2227" s="135">
        <f>'National average solar data'!W$33</f>
        <v>1.7078</v>
      </c>
      <c r="AB2227" s="135">
        <f>'National average solar data'!X$33</f>
        <v>0</v>
      </c>
      <c r="AC2227" s="135">
        <f>'National average solar data'!Y$33</f>
        <v>0</v>
      </c>
      <c r="AD2227" s="135">
        <f>'National average solar data'!Z$33</f>
        <v>0</v>
      </c>
    </row>
    <row r="2228" spans="1:30" ht="12.6">
      <c r="A2228" s="10" t="s">
        <v>131</v>
      </c>
      <c r="B2228" s="10">
        <v>37</v>
      </c>
      <c r="C2228" s="10" t="s">
        <v>1512</v>
      </c>
      <c r="D2228" s="388">
        <v>44963</v>
      </c>
      <c r="E2228" s="389">
        <v>44963</v>
      </c>
      <c r="G2228" s="135">
        <f>'National average solar data'!C$33</f>
        <v>0</v>
      </c>
      <c r="H2228" s="135">
        <f>'National average solar data'!D$33</f>
        <v>0</v>
      </c>
      <c r="I2228" s="135">
        <f>'National average solar data'!E$33</f>
        <v>0</v>
      </c>
      <c r="J2228" s="135">
        <f>'National average solar data'!F$33</f>
        <v>0</v>
      </c>
      <c r="K2228" s="135">
        <f>'National average solar data'!G$33</f>
        <v>0</v>
      </c>
      <c r="L2228" s="135">
        <f>'National average solar data'!H$33</f>
        <v>0.14419999999999999</v>
      </c>
      <c r="M2228" s="135">
        <f>'National average solar data'!I$33</f>
        <v>1.0606</v>
      </c>
      <c r="N2228" s="135">
        <f>'National average solar data'!J$33</f>
        <v>1.3378000000000001</v>
      </c>
      <c r="O2228" s="135">
        <f>'National average solar data'!K$33</f>
        <v>1.2182999999999999</v>
      </c>
      <c r="P2228" s="135">
        <f>'National average solar data'!L$33</f>
        <v>1.1863999999999999</v>
      </c>
      <c r="Q2228" s="135">
        <f>'National average solar data'!M$33</f>
        <v>1.1876</v>
      </c>
      <c r="R2228" s="135">
        <f>'National average solar data'!N$33</f>
        <v>1.1952</v>
      </c>
      <c r="S2228" s="135">
        <f>'National average solar data'!O$33</f>
        <v>1.2181</v>
      </c>
      <c r="T2228" s="135">
        <f>'National average solar data'!P$33</f>
        <v>1.2661</v>
      </c>
      <c r="U2228" s="135">
        <f>'National average solar data'!Q$33</f>
        <v>1.2967</v>
      </c>
      <c r="V2228" s="135">
        <f>'National average solar data'!R$33</f>
        <v>1.4016</v>
      </c>
      <c r="W2228" s="135">
        <f>'National average solar data'!S$33</f>
        <v>1.6084000000000001</v>
      </c>
      <c r="X2228" s="135">
        <f>'National average solar data'!T$33</f>
        <v>2.0518999999999998</v>
      </c>
      <c r="Y2228" s="135">
        <f>'National average solar data'!U$33</f>
        <v>1.9742999999999999</v>
      </c>
      <c r="Z2228" s="135">
        <f>'National average solar data'!V$33</f>
        <v>1.0065</v>
      </c>
      <c r="AA2228" s="135">
        <f>'National average solar data'!W$33</f>
        <v>1.7078</v>
      </c>
      <c r="AB2228" s="135">
        <f>'National average solar data'!X$33</f>
        <v>0</v>
      </c>
      <c r="AC2228" s="135">
        <f>'National average solar data'!Y$33</f>
        <v>0</v>
      </c>
      <c r="AD2228" s="135">
        <f>'National average solar data'!Z$33</f>
        <v>0</v>
      </c>
    </row>
    <row r="2229" spans="1:30" ht="12.6">
      <c r="A2229" s="10" t="s">
        <v>131</v>
      </c>
      <c r="B2229" s="10">
        <v>38</v>
      </c>
      <c r="C2229" s="10" t="s">
        <v>1512</v>
      </c>
      <c r="D2229" s="388">
        <v>44964</v>
      </c>
      <c r="E2229" s="389">
        <v>44964</v>
      </c>
      <c r="G2229" s="135">
        <f>'National average solar data'!C$33</f>
        <v>0</v>
      </c>
      <c r="H2229" s="135">
        <f>'National average solar data'!D$33</f>
        <v>0</v>
      </c>
      <c r="I2229" s="135">
        <f>'National average solar data'!E$33</f>
        <v>0</v>
      </c>
      <c r="J2229" s="135">
        <f>'National average solar data'!F$33</f>
        <v>0</v>
      </c>
      <c r="K2229" s="135">
        <f>'National average solar data'!G$33</f>
        <v>0</v>
      </c>
      <c r="L2229" s="135">
        <f>'National average solar data'!H$33</f>
        <v>0.14419999999999999</v>
      </c>
      <c r="M2229" s="135">
        <f>'National average solar data'!I$33</f>
        <v>1.0606</v>
      </c>
      <c r="N2229" s="135">
        <f>'National average solar data'!J$33</f>
        <v>1.3378000000000001</v>
      </c>
      <c r="O2229" s="135">
        <f>'National average solar data'!K$33</f>
        <v>1.2182999999999999</v>
      </c>
      <c r="P2229" s="135">
        <f>'National average solar data'!L$33</f>
        <v>1.1863999999999999</v>
      </c>
      <c r="Q2229" s="135">
        <f>'National average solar data'!M$33</f>
        <v>1.1876</v>
      </c>
      <c r="R2229" s="135">
        <f>'National average solar data'!N$33</f>
        <v>1.1952</v>
      </c>
      <c r="S2229" s="135">
        <f>'National average solar data'!O$33</f>
        <v>1.2181</v>
      </c>
      <c r="T2229" s="135">
        <f>'National average solar data'!P$33</f>
        <v>1.2661</v>
      </c>
      <c r="U2229" s="135">
        <f>'National average solar data'!Q$33</f>
        <v>1.2967</v>
      </c>
      <c r="V2229" s="135">
        <f>'National average solar data'!R$33</f>
        <v>1.4016</v>
      </c>
      <c r="W2229" s="135">
        <f>'National average solar data'!S$33</f>
        <v>1.6084000000000001</v>
      </c>
      <c r="X2229" s="135">
        <f>'National average solar data'!T$33</f>
        <v>2.0518999999999998</v>
      </c>
      <c r="Y2229" s="135">
        <f>'National average solar data'!U$33</f>
        <v>1.9742999999999999</v>
      </c>
      <c r="Z2229" s="135">
        <f>'National average solar data'!V$33</f>
        <v>1.0065</v>
      </c>
      <c r="AA2229" s="135">
        <f>'National average solar data'!W$33</f>
        <v>1.7078</v>
      </c>
      <c r="AB2229" s="135">
        <f>'National average solar data'!X$33</f>
        <v>0</v>
      </c>
      <c r="AC2229" s="135">
        <f>'National average solar data'!Y$33</f>
        <v>0</v>
      </c>
      <c r="AD2229" s="135">
        <f>'National average solar data'!Z$33</f>
        <v>0</v>
      </c>
    </row>
    <row r="2230" spans="1:30" ht="12.6">
      <c r="A2230" s="10" t="s">
        <v>131</v>
      </c>
      <c r="B2230" s="10">
        <v>39</v>
      </c>
      <c r="C2230" s="10" t="s">
        <v>1512</v>
      </c>
      <c r="D2230" s="388">
        <v>44965</v>
      </c>
      <c r="E2230" s="389">
        <v>44965</v>
      </c>
      <c r="G2230" s="135">
        <f>'National average solar data'!C$33</f>
        <v>0</v>
      </c>
      <c r="H2230" s="135">
        <f>'National average solar data'!D$33</f>
        <v>0</v>
      </c>
      <c r="I2230" s="135">
        <f>'National average solar data'!E$33</f>
        <v>0</v>
      </c>
      <c r="J2230" s="135">
        <f>'National average solar data'!F$33</f>
        <v>0</v>
      </c>
      <c r="K2230" s="135">
        <f>'National average solar data'!G$33</f>
        <v>0</v>
      </c>
      <c r="L2230" s="135">
        <f>'National average solar data'!H$33</f>
        <v>0.14419999999999999</v>
      </c>
      <c r="M2230" s="135">
        <f>'National average solar data'!I$33</f>
        <v>1.0606</v>
      </c>
      <c r="N2230" s="135">
        <f>'National average solar data'!J$33</f>
        <v>1.3378000000000001</v>
      </c>
      <c r="O2230" s="135">
        <f>'National average solar data'!K$33</f>
        <v>1.2182999999999999</v>
      </c>
      <c r="P2230" s="135">
        <f>'National average solar data'!L$33</f>
        <v>1.1863999999999999</v>
      </c>
      <c r="Q2230" s="135">
        <f>'National average solar data'!M$33</f>
        <v>1.1876</v>
      </c>
      <c r="R2230" s="135">
        <f>'National average solar data'!N$33</f>
        <v>1.1952</v>
      </c>
      <c r="S2230" s="135">
        <f>'National average solar data'!O$33</f>
        <v>1.2181</v>
      </c>
      <c r="T2230" s="135">
        <f>'National average solar data'!P$33</f>
        <v>1.2661</v>
      </c>
      <c r="U2230" s="135">
        <f>'National average solar data'!Q$33</f>
        <v>1.2967</v>
      </c>
      <c r="V2230" s="135">
        <f>'National average solar data'!R$33</f>
        <v>1.4016</v>
      </c>
      <c r="W2230" s="135">
        <f>'National average solar data'!S$33</f>
        <v>1.6084000000000001</v>
      </c>
      <c r="X2230" s="135">
        <f>'National average solar data'!T$33</f>
        <v>2.0518999999999998</v>
      </c>
      <c r="Y2230" s="135">
        <f>'National average solar data'!U$33</f>
        <v>1.9742999999999999</v>
      </c>
      <c r="Z2230" s="135">
        <f>'National average solar data'!V$33</f>
        <v>1.0065</v>
      </c>
      <c r="AA2230" s="135">
        <f>'National average solar data'!W$33</f>
        <v>1.7078</v>
      </c>
      <c r="AB2230" s="135">
        <f>'National average solar data'!X$33</f>
        <v>0</v>
      </c>
      <c r="AC2230" s="135">
        <f>'National average solar data'!Y$33</f>
        <v>0</v>
      </c>
      <c r="AD2230" s="135">
        <f>'National average solar data'!Z$33</f>
        <v>0</v>
      </c>
    </row>
    <row r="2231" spans="1:30" ht="12.6">
      <c r="A2231" s="10" t="s">
        <v>131</v>
      </c>
      <c r="B2231" s="10">
        <v>40</v>
      </c>
      <c r="C2231" s="10" t="s">
        <v>1512</v>
      </c>
      <c r="D2231" s="388">
        <v>44966</v>
      </c>
      <c r="E2231" s="389">
        <v>44966</v>
      </c>
      <c r="G2231" s="135">
        <f>'National average solar data'!C$33</f>
        <v>0</v>
      </c>
      <c r="H2231" s="135">
        <f>'National average solar data'!D$33</f>
        <v>0</v>
      </c>
      <c r="I2231" s="135">
        <f>'National average solar data'!E$33</f>
        <v>0</v>
      </c>
      <c r="J2231" s="135">
        <f>'National average solar data'!F$33</f>
        <v>0</v>
      </c>
      <c r="K2231" s="135">
        <f>'National average solar data'!G$33</f>
        <v>0</v>
      </c>
      <c r="L2231" s="135">
        <f>'National average solar data'!H$33</f>
        <v>0.14419999999999999</v>
      </c>
      <c r="M2231" s="135">
        <f>'National average solar data'!I$33</f>
        <v>1.0606</v>
      </c>
      <c r="N2231" s="135">
        <f>'National average solar data'!J$33</f>
        <v>1.3378000000000001</v>
      </c>
      <c r="O2231" s="135">
        <f>'National average solar data'!K$33</f>
        <v>1.2182999999999999</v>
      </c>
      <c r="P2231" s="135">
        <f>'National average solar data'!L$33</f>
        <v>1.1863999999999999</v>
      </c>
      <c r="Q2231" s="135">
        <f>'National average solar data'!M$33</f>
        <v>1.1876</v>
      </c>
      <c r="R2231" s="135">
        <f>'National average solar data'!N$33</f>
        <v>1.1952</v>
      </c>
      <c r="S2231" s="135">
        <f>'National average solar data'!O$33</f>
        <v>1.2181</v>
      </c>
      <c r="T2231" s="135">
        <f>'National average solar data'!P$33</f>
        <v>1.2661</v>
      </c>
      <c r="U2231" s="135">
        <f>'National average solar data'!Q$33</f>
        <v>1.2967</v>
      </c>
      <c r="V2231" s="135">
        <f>'National average solar data'!R$33</f>
        <v>1.4016</v>
      </c>
      <c r="W2231" s="135">
        <f>'National average solar data'!S$33</f>
        <v>1.6084000000000001</v>
      </c>
      <c r="X2231" s="135">
        <f>'National average solar data'!T$33</f>
        <v>2.0518999999999998</v>
      </c>
      <c r="Y2231" s="135">
        <f>'National average solar data'!U$33</f>
        <v>1.9742999999999999</v>
      </c>
      <c r="Z2231" s="135">
        <f>'National average solar data'!V$33</f>
        <v>1.0065</v>
      </c>
      <c r="AA2231" s="135">
        <f>'National average solar data'!W$33</f>
        <v>1.7078</v>
      </c>
      <c r="AB2231" s="135">
        <f>'National average solar data'!X$33</f>
        <v>0</v>
      </c>
      <c r="AC2231" s="135">
        <f>'National average solar data'!Y$33</f>
        <v>0</v>
      </c>
      <c r="AD2231" s="135">
        <f>'National average solar data'!Z$33</f>
        <v>0</v>
      </c>
    </row>
    <row r="2232" spans="1:30" ht="12.6">
      <c r="A2232" s="10" t="s">
        <v>131</v>
      </c>
      <c r="B2232" s="10">
        <v>41</v>
      </c>
      <c r="C2232" s="10" t="s">
        <v>1512</v>
      </c>
      <c r="D2232" s="388">
        <v>44967</v>
      </c>
      <c r="E2232" s="389">
        <v>44967</v>
      </c>
      <c r="G2232" s="135">
        <f>'National average solar data'!C$33</f>
        <v>0</v>
      </c>
      <c r="H2232" s="135">
        <f>'National average solar data'!D$33</f>
        <v>0</v>
      </c>
      <c r="I2232" s="135">
        <f>'National average solar data'!E$33</f>
        <v>0</v>
      </c>
      <c r="J2232" s="135">
        <f>'National average solar data'!F$33</f>
        <v>0</v>
      </c>
      <c r="K2232" s="135">
        <f>'National average solar data'!G$33</f>
        <v>0</v>
      </c>
      <c r="L2232" s="135">
        <f>'National average solar data'!H$33</f>
        <v>0.14419999999999999</v>
      </c>
      <c r="M2232" s="135">
        <f>'National average solar data'!I$33</f>
        <v>1.0606</v>
      </c>
      <c r="N2232" s="135">
        <f>'National average solar data'!J$33</f>
        <v>1.3378000000000001</v>
      </c>
      <c r="O2232" s="135">
        <f>'National average solar data'!K$33</f>
        <v>1.2182999999999999</v>
      </c>
      <c r="P2232" s="135">
        <f>'National average solar data'!L$33</f>
        <v>1.1863999999999999</v>
      </c>
      <c r="Q2232" s="135">
        <f>'National average solar data'!M$33</f>
        <v>1.1876</v>
      </c>
      <c r="R2232" s="135">
        <f>'National average solar data'!N$33</f>
        <v>1.1952</v>
      </c>
      <c r="S2232" s="135">
        <f>'National average solar data'!O$33</f>
        <v>1.2181</v>
      </c>
      <c r="T2232" s="135">
        <f>'National average solar data'!P$33</f>
        <v>1.2661</v>
      </c>
      <c r="U2232" s="135">
        <f>'National average solar data'!Q$33</f>
        <v>1.2967</v>
      </c>
      <c r="V2232" s="135">
        <f>'National average solar data'!R$33</f>
        <v>1.4016</v>
      </c>
      <c r="W2232" s="135">
        <f>'National average solar data'!S$33</f>
        <v>1.6084000000000001</v>
      </c>
      <c r="X2232" s="135">
        <f>'National average solar data'!T$33</f>
        <v>2.0518999999999998</v>
      </c>
      <c r="Y2232" s="135">
        <f>'National average solar data'!U$33</f>
        <v>1.9742999999999999</v>
      </c>
      <c r="Z2232" s="135">
        <f>'National average solar data'!V$33</f>
        <v>1.0065</v>
      </c>
      <c r="AA2232" s="135">
        <f>'National average solar data'!W$33</f>
        <v>1.7078</v>
      </c>
      <c r="AB2232" s="135">
        <f>'National average solar data'!X$33</f>
        <v>0</v>
      </c>
      <c r="AC2232" s="135">
        <f>'National average solar data'!Y$33</f>
        <v>0</v>
      </c>
      <c r="AD2232" s="135">
        <f>'National average solar data'!Z$33</f>
        <v>0</v>
      </c>
    </row>
    <row r="2233" spans="1:30" ht="12.6">
      <c r="A2233" s="10" t="s">
        <v>131</v>
      </c>
      <c r="B2233" s="10">
        <v>42</v>
      </c>
      <c r="C2233" s="10" t="s">
        <v>1512</v>
      </c>
      <c r="D2233" s="388">
        <v>44968</v>
      </c>
      <c r="E2233" s="389">
        <v>44968</v>
      </c>
      <c r="G2233" s="135">
        <f>'National average solar data'!C$33</f>
        <v>0</v>
      </c>
      <c r="H2233" s="135">
        <f>'National average solar data'!D$33</f>
        <v>0</v>
      </c>
      <c r="I2233" s="135">
        <f>'National average solar data'!E$33</f>
        <v>0</v>
      </c>
      <c r="J2233" s="135">
        <f>'National average solar data'!F$33</f>
        <v>0</v>
      </c>
      <c r="K2233" s="135">
        <f>'National average solar data'!G$33</f>
        <v>0</v>
      </c>
      <c r="L2233" s="135">
        <f>'National average solar data'!H$33</f>
        <v>0.14419999999999999</v>
      </c>
      <c r="M2233" s="135">
        <f>'National average solar data'!I$33</f>
        <v>1.0606</v>
      </c>
      <c r="N2233" s="135">
        <f>'National average solar data'!J$33</f>
        <v>1.3378000000000001</v>
      </c>
      <c r="O2233" s="135">
        <f>'National average solar data'!K$33</f>
        <v>1.2182999999999999</v>
      </c>
      <c r="P2233" s="135">
        <f>'National average solar data'!L$33</f>
        <v>1.1863999999999999</v>
      </c>
      <c r="Q2233" s="135">
        <f>'National average solar data'!M$33</f>
        <v>1.1876</v>
      </c>
      <c r="R2233" s="135">
        <f>'National average solar data'!N$33</f>
        <v>1.1952</v>
      </c>
      <c r="S2233" s="135">
        <f>'National average solar data'!O$33</f>
        <v>1.2181</v>
      </c>
      <c r="T2233" s="135">
        <f>'National average solar data'!P$33</f>
        <v>1.2661</v>
      </c>
      <c r="U2233" s="135">
        <f>'National average solar data'!Q$33</f>
        <v>1.2967</v>
      </c>
      <c r="V2233" s="135">
        <f>'National average solar data'!R$33</f>
        <v>1.4016</v>
      </c>
      <c r="W2233" s="135">
        <f>'National average solar data'!S$33</f>
        <v>1.6084000000000001</v>
      </c>
      <c r="X2233" s="135">
        <f>'National average solar data'!T$33</f>
        <v>2.0518999999999998</v>
      </c>
      <c r="Y2233" s="135">
        <f>'National average solar data'!U$33</f>
        <v>1.9742999999999999</v>
      </c>
      <c r="Z2233" s="135">
        <f>'National average solar data'!V$33</f>
        <v>1.0065</v>
      </c>
      <c r="AA2233" s="135">
        <f>'National average solar data'!W$33</f>
        <v>1.7078</v>
      </c>
      <c r="AB2233" s="135">
        <f>'National average solar data'!X$33</f>
        <v>0</v>
      </c>
      <c r="AC2233" s="135">
        <f>'National average solar data'!Y$33</f>
        <v>0</v>
      </c>
      <c r="AD2233" s="135">
        <f>'National average solar data'!Z$33</f>
        <v>0</v>
      </c>
    </row>
    <row r="2234" spans="1:30" ht="12.6">
      <c r="A2234" s="10" t="s">
        <v>131</v>
      </c>
      <c r="B2234" s="10">
        <v>43</v>
      </c>
      <c r="C2234" s="10" t="s">
        <v>1512</v>
      </c>
      <c r="D2234" s="388">
        <v>44969</v>
      </c>
      <c r="E2234" s="389">
        <v>44969</v>
      </c>
      <c r="G2234" s="135">
        <f>'National average solar data'!C$33</f>
        <v>0</v>
      </c>
      <c r="H2234" s="135">
        <f>'National average solar data'!D$33</f>
        <v>0</v>
      </c>
      <c r="I2234" s="135">
        <f>'National average solar data'!E$33</f>
        <v>0</v>
      </c>
      <c r="J2234" s="135">
        <f>'National average solar data'!F$33</f>
        <v>0</v>
      </c>
      <c r="K2234" s="135">
        <f>'National average solar data'!G$33</f>
        <v>0</v>
      </c>
      <c r="L2234" s="135">
        <f>'National average solar data'!H$33</f>
        <v>0.14419999999999999</v>
      </c>
      <c r="M2234" s="135">
        <f>'National average solar data'!I$33</f>
        <v>1.0606</v>
      </c>
      <c r="N2234" s="135">
        <f>'National average solar data'!J$33</f>
        <v>1.3378000000000001</v>
      </c>
      <c r="O2234" s="135">
        <f>'National average solar data'!K$33</f>
        <v>1.2182999999999999</v>
      </c>
      <c r="P2234" s="135">
        <f>'National average solar data'!L$33</f>
        <v>1.1863999999999999</v>
      </c>
      <c r="Q2234" s="135">
        <f>'National average solar data'!M$33</f>
        <v>1.1876</v>
      </c>
      <c r="R2234" s="135">
        <f>'National average solar data'!N$33</f>
        <v>1.1952</v>
      </c>
      <c r="S2234" s="135">
        <f>'National average solar data'!O$33</f>
        <v>1.2181</v>
      </c>
      <c r="T2234" s="135">
        <f>'National average solar data'!P$33</f>
        <v>1.2661</v>
      </c>
      <c r="U2234" s="135">
        <f>'National average solar data'!Q$33</f>
        <v>1.2967</v>
      </c>
      <c r="V2234" s="135">
        <f>'National average solar data'!R$33</f>
        <v>1.4016</v>
      </c>
      <c r="W2234" s="135">
        <f>'National average solar data'!S$33</f>
        <v>1.6084000000000001</v>
      </c>
      <c r="X2234" s="135">
        <f>'National average solar data'!T$33</f>
        <v>2.0518999999999998</v>
      </c>
      <c r="Y2234" s="135">
        <f>'National average solar data'!U$33</f>
        <v>1.9742999999999999</v>
      </c>
      <c r="Z2234" s="135">
        <f>'National average solar data'!V$33</f>
        <v>1.0065</v>
      </c>
      <c r="AA2234" s="135">
        <f>'National average solar data'!W$33</f>
        <v>1.7078</v>
      </c>
      <c r="AB2234" s="135">
        <f>'National average solar data'!X$33</f>
        <v>0</v>
      </c>
      <c r="AC2234" s="135">
        <f>'National average solar data'!Y$33</f>
        <v>0</v>
      </c>
      <c r="AD2234" s="135">
        <f>'National average solar data'!Z$33</f>
        <v>0</v>
      </c>
    </row>
    <row r="2235" spans="1:30" ht="12.6">
      <c r="A2235" s="10" t="s">
        <v>131</v>
      </c>
      <c r="B2235" s="10">
        <v>44</v>
      </c>
      <c r="C2235" s="10" t="s">
        <v>1512</v>
      </c>
      <c r="D2235" s="388">
        <v>44970</v>
      </c>
      <c r="E2235" s="389">
        <v>44970</v>
      </c>
      <c r="G2235" s="135">
        <f>'National average solar data'!C$33</f>
        <v>0</v>
      </c>
      <c r="H2235" s="135">
        <f>'National average solar data'!D$33</f>
        <v>0</v>
      </c>
      <c r="I2235" s="135">
        <f>'National average solar data'!E$33</f>
        <v>0</v>
      </c>
      <c r="J2235" s="135">
        <f>'National average solar data'!F$33</f>
        <v>0</v>
      </c>
      <c r="K2235" s="135">
        <f>'National average solar data'!G$33</f>
        <v>0</v>
      </c>
      <c r="L2235" s="135">
        <f>'National average solar data'!H$33</f>
        <v>0.14419999999999999</v>
      </c>
      <c r="M2235" s="135">
        <f>'National average solar data'!I$33</f>
        <v>1.0606</v>
      </c>
      <c r="N2235" s="135">
        <f>'National average solar data'!J$33</f>
        <v>1.3378000000000001</v>
      </c>
      <c r="O2235" s="135">
        <f>'National average solar data'!K$33</f>
        <v>1.2182999999999999</v>
      </c>
      <c r="P2235" s="135">
        <f>'National average solar data'!L$33</f>
        <v>1.1863999999999999</v>
      </c>
      <c r="Q2235" s="135">
        <f>'National average solar data'!M$33</f>
        <v>1.1876</v>
      </c>
      <c r="R2235" s="135">
        <f>'National average solar data'!N$33</f>
        <v>1.1952</v>
      </c>
      <c r="S2235" s="135">
        <f>'National average solar data'!O$33</f>
        <v>1.2181</v>
      </c>
      <c r="T2235" s="135">
        <f>'National average solar data'!P$33</f>
        <v>1.2661</v>
      </c>
      <c r="U2235" s="135">
        <f>'National average solar data'!Q$33</f>
        <v>1.2967</v>
      </c>
      <c r="V2235" s="135">
        <f>'National average solar data'!R$33</f>
        <v>1.4016</v>
      </c>
      <c r="W2235" s="135">
        <f>'National average solar data'!S$33</f>
        <v>1.6084000000000001</v>
      </c>
      <c r="X2235" s="135">
        <f>'National average solar data'!T$33</f>
        <v>2.0518999999999998</v>
      </c>
      <c r="Y2235" s="135">
        <f>'National average solar data'!U$33</f>
        <v>1.9742999999999999</v>
      </c>
      <c r="Z2235" s="135">
        <f>'National average solar data'!V$33</f>
        <v>1.0065</v>
      </c>
      <c r="AA2235" s="135">
        <f>'National average solar data'!W$33</f>
        <v>1.7078</v>
      </c>
      <c r="AB2235" s="135">
        <f>'National average solar data'!X$33</f>
        <v>0</v>
      </c>
      <c r="AC2235" s="135">
        <f>'National average solar data'!Y$33</f>
        <v>0</v>
      </c>
      <c r="AD2235" s="135">
        <f>'National average solar data'!Z$33</f>
        <v>0</v>
      </c>
    </row>
    <row r="2236" spans="1:30" ht="12.6">
      <c r="A2236" s="10" t="s">
        <v>131</v>
      </c>
      <c r="B2236" s="10">
        <v>45</v>
      </c>
      <c r="C2236" s="10" t="s">
        <v>1512</v>
      </c>
      <c r="D2236" s="388">
        <v>44971</v>
      </c>
      <c r="E2236" s="389">
        <v>44971</v>
      </c>
      <c r="G2236" s="135">
        <f>'National average solar data'!C$33</f>
        <v>0</v>
      </c>
      <c r="H2236" s="135">
        <f>'National average solar data'!D$33</f>
        <v>0</v>
      </c>
      <c r="I2236" s="135">
        <f>'National average solar data'!E$33</f>
        <v>0</v>
      </c>
      <c r="J2236" s="135">
        <f>'National average solar data'!F$33</f>
        <v>0</v>
      </c>
      <c r="K2236" s="135">
        <f>'National average solar data'!G$33</f>
        <v>0</v>
      </c>
      <c r="L2236" s="135">
        <f>'National average solar data'!H$33</f>
        <v>0.14419999999999999</v>
      </c>
      <c r="M2236" s="135">
        <f>'National average solar data'!I$33</f>
        <v>1.0606</v>
      </c>
      <c r="N2236" s="135">
        <f>'National average solar data'!J$33</f>
        <v>1.3378000000000001</v>
      </c>
      <c r="O2236" s="135">
        <f>'National average solar data'!K$33</f>
        <v>1.2182999999999999</v>
      </c>
      <c r="P2236" s="135">
        <f>'National average solar data'!L$33</f>
        <v>1.1863999999999999</v>
      </c>
      <c r="Q2236" s="135">
        <f>'National average solar data'!M$33</f>
        <v>1.1876</v>
      </c>
      <c r="R2236" s="135">
        <f>'National average solar data'!N$33</f>
        <v>1.1952</v>
      </c>
      <c r="S2236" s="135">
        <f>'National average solar data'!O$33</f>
        <v>1.2181</v>
      </c>
      <c r="T2236" s="135">
        <f>'National average solar data'!P$33</f>
        <v>1.2661</v>
      </c>
      <c r="U2236" s="135">
        <f>'National average solar data'!Q$33</f>
        <v>1.2967</v>
      </c>
      <c r="V2236" s="135">
        <f>'National average solar data'!R$33</f>
        <v>1.4016</v>
      </c>
      <c r="W2236" s="135">
        <f>'National average solar data'!S$33</f>
        <v>1.6084000000000001</v>
      </c>
      <c r="X2236" s="135">
        <f>'National average solar data'!T$33</f>
        <v>2.0518999999999998</v>
      </c>
      <c r="Y2236" s="135">
        <f>'National average solar data'!U$33</f>
        <v>1.9742999999999999</v>
      </c>
      <c r="Z2236" s="135">
        <f>'National average solar data'!V$33</f>
        <v>1.0065</v>
      </c>
      <c r="AA2236" s="135">
        <f>'National average solar data'!W$33</f>
        <v>1.7078</v>
      </c>
      <c r="AB2236" s="135">
        <f>'National average solar data'!X$33</f>
        <v>0</v>
      </c>
      <c r="AC2236" s="135">
        <f>'National average solar data'!Y$33</f>
        <v>0</v>
      </c>
      <c r="AD2236" s="135">
        <f>'National average solar data'!Z$33</f>
        <v>0</v>
      </c>
    </row>
    <row r="2237" spans="1:30" ht="12.6">
      <c r="A2237" s="10" t="s">
        <v>131</v>
      </c>
      <c r="B2237" s="10">
        <v>46</v>
      </c>
      <c r="C2237" s="10" t="s">
        <v>1512</v>
      </c>
      <c r="D2237" s="388">
        <v>44972</v>
      </c>
      <c r="E2237" s="389">
        <v>44972</v>
      </c>
      <c r="G2237" s="135">
        <f>'National average solar data'!C$33</f>
        <v>0</v>
      </c>
      <c r="H2237" s="135">
        <f>'National average solar data'!D$33</f>
        <v>0</v>
      </c>
      <c r="I2237" s="135">
        <f>'National average solar data'!E$33</f>
        <v>0</v>
      </c>
      <c r="J2237" s="135">
        <f>'National average solar data'!F$33</f>
        <v>0</v>
      </c>
      <c r="K2237" s="135">
        <f>'National average solar data'!G$33</f>
        <v>0</v>
      </c>
      <c r="L2237" s="135">
        <f>'National average solar data'!H$33</f>
        <v>0.14419999999999999</v>
      </c>
      <c r="M2237" s="135">
        <f>'National average solar data'!I$33</f>
        <v>1.0606</v>
      </c>
      <c r="N2237" s="135">
        <f>'National average solar data'!J$33</f>
        <v>1.3378000000000001</v>
      </c>
      <c r="O2237" s="135">
        <f>'National average solar data'!K$33</f>
        <v>1.2182999999999999</v>
      </c>
      <c r="P2237" s="135">
        <f>'National average solar data'!L$33</f>
        <v>1.1863999999999999</v>
      </c>
      <c r="Q2237" s="135">
        <f>'National average solar data'!M$33</f>
        <v>1.1876</v>
      </c>
      <c r="R2237" s="135">
        <f>'National average solar data'!N$33</f>
        <v>1.1952</v>
      </c>
      <c r="S2237" s="135">
        <f>'National average solar data'!O$33</f>
        <v>1.2181</v>
      </c>
      <c r="T2237" s="135">
        <f>'National average solar data'!P$33</f>
        <v>1.2661</v>
      </c>
      <c r="U2237" s="135">
        <f>'National average solar data'!Q$33</f>
        <v>1.2967</v>
      </c>
      <c r="V2237" s="135">
        <f>'National average solar data'!R$33</f>
        <v>1.4016</v>
      </c>
      <c r="W2237" s="135">
        <f>'National average solar data'!S$33</f>
        <v>1.6084000000000001</v>
      </c>
      <c r="X2237" s="135">
        <f>'National average solar data'!T$33</f>
        <v>2.0518999999999998</v>
      </c>
      <c r="Y2237" s="135">
        <f>'National average solar data'!U$33</f>
        <v>1.9742999999999999</v>
      </c>
      <c r="Z2237" s="135">
        <f>'National average solar data'!V$33</f>
        <v>1.0065</v>
      </c>
      <c r="AA2237" s="135">
        <f>'National average solar data'!W$33</f>
        <v>1.7078</v>
      </c>
      <c r="AB2237" s="135">
        <f>'National average solar data'!X$33</f>
        <v>0</v>
      </c>
      <c r="AC2237" s="135">
        <f>'National average solar data'!Y$33</f>
        <v>0</v>
      </c>
      <c r="AD2237" s="135">
        <f>'National average solar data'!Z$33</f>
        <v>0</v>
      </c>
    </row>
    <row r="2238" spans="1:30" ht="12.6">
      <c r="A2238" s="10" t="s">
        <v>131</v>
      </c>
      <c r="B2238" s="10">
        <v>47</v>
      </c>
      <c r="C2238" s="10" t="s">
        <v>1512</v>
      </c>
      <c r="D2238" s="388">
        <v>44973</v>
      </c>
      <c r="E2238" s="389">
        <v>44973</v>
      </c>
      <c r="G2238" s="135">
        <f>'National average solar data'!C$33</f>
        <v>0</v>
      </c>
      <c r="H2238" s="135">
        <f>'National average solar data'!D$33</f>
        <v>0</v>
      </c>
      <c r="I2238" s="135">
        <f>'National average solar data'!E$33</f>
        <v>0</v>
      </c>
      <c r="J2238" s="135">
        <f>'National average solar data'!F$33</f>
        <v>0</v>
      </c>
      <c r="K2238" s="135">
        <f>'National average solar data'!G$33</f>
        <v>0</v>
      </c>
      <c r="L2238" s="135">
        <f>'National average solar data'!H$33</f>
        <v>0.14419999999999999</v>
      </c>
      <c r="M2238" s="135">
        <f>'National average solar data'!I$33</f>
        <v>1.0606</v>
      </c>
      <c r="N2238" s="135">
        <f>'National average solar data'!J$33</f>
        <v>1.3378000000000001</v>
      </c>
      <c r="O2238" s="135">
        <f>'National average solar data'!K$33</f>
        <v>1.2182999999999999</v>
      </c>
      <c r="P2238" s="135">
        <f>'National average solar data'!L$33</f>
        <v>1.1863999999999999</v>
      </c>
      <c r="Q2238" s="135">
        <f>'National average solar data'!M$33</f>
        <v>1.1876</v>
      </c>
      <c r="R2238" s="135">
        <f>'National average solar data'!N$33</f>
        <v>1.1952</v>
      </c>
      <c r="S2238" s="135">
        <f>'National average solar data'!O$33</f>
        <v>1.2181</v>
      </c>
      <c r="T2238" s="135">
        <f>'National average solar data'!P$33</f>
        <v>1.2661</v>
      </c>
      <c r="U2238" s="135">
        <f>'National average solar data'!Q$33</f>
        <v>1.2967</v>
      </c>
      <c r="V2238" s="135">
        <f>'National average solar data'!R$33</f>
        <v>1.4016</v>
      </c>
      <c r="W2238" s="135">
        <f>'National average solar data'!S$33</f>
        <v>1.6084000000000001</v>
      </c>
      <c r="X2238" s="135">
        <f>'National average solar data'!T$33</f>
        <v>2.0518999999999998</v>
      </c>
      <c r="Y2238" s="135">
        <f>'National average solar data'!U$33</f>
        <v>1.9742999999999999</v>
      </c>
      <c r="Z2238" s="135">
        <f>'National average solar data'!V$33</f>
        <v>1.0065</v>
      </c>
      <c r="AA2238" s="135">
        <f>'National average solar data'!W$33</f>
        <v>1.7078</v>
      </c>
      <c r="AB2238" s="135">
        <f>'National average solar data'!X$33</f>
        <v>0</v>
      </c>
      <c r="AC2238" s="135">
        <f>'National average solar data'!Y$33</f>
        <v>0</v>
      </c>
      <c r="AD2238" s="135">
        <f>'National average solar data'!Z$33</f>
        <v>0</v>
      </c>
    </row>
    <row r="2239" spans="1:30" ht="12.6">
      <c r="A2239" s="10" t="s">
        <v>131</v>
      </c>
      <c r="B2239" s="10">
        <v>48</v>
      </c>
      <c r="C2239" s="10" t="s">
        <v>1512</v>
      </c>
      <c r="D2239" s="388">
        <v>44974</v>
      </c>
      <c r="E2239" s="389">
        <v>44974</v>
      </c>
      <c r="G2239" s="135">
        <f>'National average solar data'!C$33</f>
        <v>0</v>
      </c>
      <c r="H2239" s="135">
        <f>'National average solar data'!D$33</f>
        <v>0</v>
      </c>
      <c r="I2239" s="135">
        <f>'National average solar data'!E$33</f>
        <v>0</v>
      </c>
      <c r="J2239" s="135">
        <f>'National average solar data'!F$33</f>
        <v>0</v>
      </c>
      <c r="K2239" s="135">
        <f>'National average solar data'!G$33</f>
        <v>0</v>
      </c>
      <c r="L2239" s="135">
        <f>'National average solar data'!H$33</f>
        <v>0.14419999999999999</v>
      </c>
      <c r="M2239" s="135">
        <f>'National average solar data'!I$33</f>
        <v>1.0606</v>
      </c>
      <c r="N2239" s="135">
        <f>'National average solar data'!J$33</f>
        <v>1.3378000000000001</v>
      </c>
      <c r="O2239" s="135">
        <f>'National average solar data'!K$33</f>
        <v>1.2182999999999999</v>
      </c>
      <c r="P2239" s="135">
        <f>'National average solar data'!L$33</f>
        <v>1.1863999999999999</v>
      </c>
      <c r="Q2239" s="135">
        <f>'National average solar data'!M$33</f>
        <v>1.1876</v>
      </c>
      <c r="R2239" s="135">
        <f>'National average solar data'!N$33</f>
        <v>1.1952</v>
      </c>
      <c r="S2239" s="135">
        <f>'National average solar data'!O$33</f>
        <v>1.2181</v>
      </c>
      <c r="T2239" s="135">
        <f>'National average solar data'!P$33</f>
        <v>1.2661</v>
      </c>
      <c r="U2239" s="135">
        <f>'National average solar data'!Q$33</f>
        <v>1.2967</v>
      </c>
      <c r="V2239" s="135">
        <f>'National average solar data'!R$33</f>
        <v>1.4016</v>
      </c>
      <c r="W2239" s="135">
        <f>'National average solar data'!S$33</f>
        <v>1.6084000000000001</v>
      </c>
      <c r="X2239" s="135">
        <f>'National average solar data'!T$33</f>
        <v>2.0518999999999998</v>
      </c>
      <c r="Y2239" s="135">
        <f>'National average solar data'!U$33</f>
        <v>1.9742999999999999</v>
      </c>
      <c r="Z2239" s="135">
        <f>'National average solar data'!V$33</f>
        <v>1.0065</v>
      </c>
      <c r="AA2239" s="135">
        <f>'National average solar data'!W$33</f>
        <v>1.7078</v>
      </c>
      <c r="AB2239" s="135">
        <f>'National average solar data'!X$33</f>
        <v>0</v>
      </c>
      <c r="AC2239" s="135">
        <f>'National average solar data'!Y$33</f>
        <v>0</v>
      </c>
      <c r="AD2239" s="135">
        <f>'National average solar data'!Z$33</f>
        <v>0</v>
      </c>
    </row>
    <row r="2240" spans="1:30" ht="12.6">
      <c r="A2240" s="10" t="s">
        <v>131</v>
      </c>
      <c r="B2240" s="10">
        <v>49</v>
      </c>
      <c r="C2240" s="10" t="s">
        <v>1512</v>
      </c>
      <c r="D2240" s="388">
        <v>44975</v>
      </c>
      <c r="E2240" s="389">
        <v>44975</v>
      </c>
      <c r="G2240" s="135">
        <f>'National average solar data'!C$33</f>
        <v>0</v>
      </c>
      <c r="H2240" s="135">
        <f>'National average solar data'!D$33</f>
        <v>0</v>
      </c>
      <c r="I2240" s="135">
        <f>'National average solar data'!E$33</f>
        <v>0</v>
      </c>
      <c r="J2240" s="135">
        <f>'National average solar data'!F$33</f>
        <v>0</v>
      </c>
      <c r="K2240" s="135">
        <f>'National average solar data'!G$33</f>
        <v>0</v>
      </c>
      <c r="L2240" s="135">
        <f>'National average solar data'!H$33</f>
        <v>0.14419999999999999</v>
      </c>
      <c r="M2240" s="135">
        <f>'National average solar data'!I$33</f>
        <v>1.0606</v>
      </c>
      <c r="N2240" s="135">
        <f>'National average solar data'!J$33</f>
        <v>1.3378000000000001</v>
      </c>
      <c r="O2240" s="135">
        <f>'National average solar data'!K$33</f>
        <v>1.2182999999999999</v>
      </c>
      <c r="P2240" s="135">
        <f>'National average solar data'!L$33</f>
        <v>1.1863999999999999</v>
      </c>
      <c r="Q2240" s="135">
        <f>'National average solar data'!M$33</f>
        <v>1.1876</v>
      </c>
      <c r="R2240" s="135">
        <f>'National average solar data'!N$33</f>
        <v>1.1952</v>
      </c>
      <c r="S2240" s="135">
        <f>'National average solar data'!O$33</f>
        <v>1.2181</v>
      </c>
      <c r="T2240" s="135">
        <f>'National average solar data'!P$33</f>
        <v>1.2661</v>
      </c>
      <c r="U2240" s="135">
        <f>'National average solar data'!Q$33</f>
        <v>1.2967</v>
      </c>
      <c r="V2240" s="135">
        <f>'National average solar data'!R$33</f>
        <v>1.4016</v>
      </c>
      <c r="W2240" s="135">
        <f>'National average solar data'!S$33</f>
        <v>1.6084000000000001</v>
      </c>
      <c r="X2240" s="135">
        <f>'National average solar data'!T$33</f>
        <v>2.0518999999999998</v>
      </c>
      <c r="Y2240" s="135">
        <f>'National average solar data'!U$33</f>
        <v>1.9742999999999999</v>
      </c>
      <c r="Z2240" s="135">
        <f>'National average solar data'!V$33</f>
        <v>1.0065</v>
      </c>
      <c r="AA2240" s="135">
        <f>'National average solar data'!W$33</f>
        <v>1.7078</v>
      </c>
      <c r="AB2240" s="135">
        <f>'National average solar data'!X$33</f>
        <v>0</v>
      </c>
      <c r="AC2240" s="135">
        <f>'National average solar data'!Y$33</f>
        <v>0</v>
      </c>
      <c r="AD2240" s="135">
        <f>'National average solar data'!Z$33</f>
        <v>0</v>
      </c>
    </row>
    <row r="2241" spans="1:30" ht="12.6">
      <c r="A2241" s="10" t="s">
        <v>131</v>
      </c>
      <c r="B2241" s="10">
        <v>50</v>
      </c>
      <c r="C2241" s="10" t="s">
        <v>1512</v>
      </c>
      <c r="D2241" s="388">
        <v>44976</v>
      </c>
      <c r="E2241" s="389">
        <v>44976</v>
      </c>
      <c r="G2241" s="135">
        <f>'National average solar data'!C$33</f>
        <v>0</v>
      </c>
      <c r="H2241" s="135">
        <f>'National average solar data'!D$33</f>
        <v>0</v>
      </c>
      <c r="I2241" s="135">
        <f>'National average solar data'!E$33</f>
        <v>0</v>
      </c>
      <c r="J2241" s="135">
        <f>'National average solar data'!F$33</f>
        <v>0</v>
      </c>
      <c r="K2241" s="135">
        <f>'National average solar data'!G$33</f>
        <v>0</v>
      </c>
      <c r="L2241" s="135">
        <f>'National average solar data'!H$33</f>
        <v>0.14419999999999999</v>
      </c>
      <c r="M2241" s="135">
        <f>'National average solar data'!I$33</f>
        <v>1.0606</v>
      </c>
      <c r="N2241" s="135">
        <f>'National average solar data'!J$33</f>
        <v>1.3378000000000001</v>
      </c>
      <c r="O2241" s="135">
        <f>'National average solar data'!K$33</f>
        <v>1.2182999999999999</v>
      </c>
      <c r="P2241" s="135">
        <f>'National average solar data'!L$33</f>
        <v>1.1863999999999999</v>
      </c>
      <c r="Q2241" s="135">
        <f>'National average solar data'!M$33</f>
        <v>1.1876</v>
      </c>
      <c r="R2241" s="135">
        <f>'National average solar data'!N$33</f>
        <v>1.1952</v>
      </c>
      <c r="S2241" s="135">
        <f>'National average solar data'!O$33</f>
        <v>1.2181</v>
      </c>
      <c r="T2241" s="135">
        <f>'National average solar data'!P$33</f>
        <v>1.2661</v>
      </c>
      <c r="U2241" s="135">
        <f>'National average solar data'!Q$33</f>
        <v>1.2967</v>
      </c>
      <c r="V2241" s="135">
        <f>'National average solar data'!R$33</f>
        <v>1.4016</v>
      </c>
      <c r="W2241" s="135">
        <f>'National average solar data'!S$33</f>
        <v>1.6084000000000001</v>
      </c>
      <c r="X2241" s="135">
        <f>'National average solar data'!T$33</f>
        <v>2.0518999999999998</v>
      </c>
      <c r="Y2241" s="135">
        <f>'National average solar data'!U$33</f>
        <v>1.9742999999999999</v>
      </c>
      <c r="Z2241" s="135">
        <f>'National average solar data'!V$33</f>
        <v>1.0065</v>
      </c>
      <c r="AA2241" s="135">
        <f>'National average solar data'!W$33</f>
        <v>1.7078</v>
      </c>
      <c r="AB2241" s="135">
        <f>'National average solar data'!X$33</f>
        <v>0</v>
      </c>
      <c r="AC2241" s="135">
        <f>'National average solar data'!Y$33</f>
        <v>0</v>
      </c>
      <c r="AD2241" s="135">
        <f>'National average solar data'!Z$33</f>
        <v>0</v>
      </c>
    </row>
    <row r="2242" spans="1:30" ht="12.6">
      <c r="A2242" s="10" t="s">
        <v>131</v>
      </c>
      <c r="B2242" s="10">
        <v>51</v>
      </c>
      <c r="C2242" s="10" t="s">
        <v>1512</v>
      </c>
      <c r="D2242" s="388">
        <v>44977</v>
      </c>
      <c r="E2242" s="389">
        <v>44977</v>
      </c>
      <c r="G2242" s="135">
        <f>'National average solar data'!C$33</f>
        <v>0</v>
      </c>
      <c r="H2242" s="135">
        <f>'National average solar data'!D$33</f>
        <v>0</v>
      </c>
      <c r="I2242" s="135">
        <f>'National average solar data'!E$33</f>
        <v>0</v>
      </c>
      <c r="J2242" s="135">
        <f>'National average solar data'!F$33</f>
        <v>0</v>
      </c>
      <c r="K2242" s="135">
        <f>'National average solar data'!G$33</f>
        <v>0</v>
      </c>
      <c r="L2242" s="135">
        <f>'National average solar data'!H$33</f>
        <v>0.14419999999999999</v>
      </c>
      <c r="M2242" s="135">
        <f>'National average solar data'!I$33</f>
        <v>1.0606</v>
      </c>
      <c r="N2242" s="135">
        <f>'National average solar data'!J$33</f>
        <v>1.3378000000000001</v>
      </c>
      <c r="O2242" s="135">
        <f>'National average solar data'!K$33</f>
        <v>1.2182999999999999</v>
      </c>
      <c r="P2242" s="135">
        <f>'National average solar data'!L$33</f>
        <v>1.1863999999999999</v>
      </c>
      <c r="Q2242" s="135">
        <f>'National average solar data'!M$33</f>
        <v>1.1876</v>
      </c>
      <c r="R2242" s="135">
        <f>'National average solar data'!N$33</f>
        <v>1.1952</v>
      </c>
      <c r="S2242" s="135">
        <f>'National average solar data'!O$33</f>
        <v>1.2181</v>
      </c>
      <c r="T2242" s="135">
        <f>'National average solar data'!P$33</f>
        <v>1.2661</v>
      </c>
      <c r="U2242" s="135">
        <f>'National average solar data'!Q$33</f>
        <v>1.2967</v>
      </c>
      <c r="V2242" s="135">
        <f>'National average solar data'!R$33</f>
        <v>1.4016</v>
      </c>
      <c r="W2242" s="135">
        <f>'National average solar data'!S$33</f>
        <v>1.6084000000000001</v>
      </c>
      <c r="X2242" s="135">
        <f>'National average solar data'!T$33</f>
        <v>2.0518999999999998</v>
      </c>
      <c r="Y2242" s="135">
        <f>'National average solar data'!U$33</f>
        <v>1.9742999999999999</v>
      </c>
      <c r="Z2242" s="135">
        <f>'National average solar data'!V$33</f>
        <v>1.0065</v>
      </c>
      <c r="AA2242" s="135">
        <f>'National average solar data'!W$33</f>
        <v>1.7078</v>
      </c>
      <c r="AB2242" s="135">
        <f>'National average solar data'!X$33</f>
        <v>0</v>
      </c>
      <c r="AC2242" s="135">
        <f>'National average solar data'!Y$33</f>
        <v>0</v>
      </c>
      <c r="AD2242" s="135">
        <f>'National average solar data'!Z$33</f>
        <v>0</v>
      </c>
    </row>
    <row r="2243" spans="1:30" ht="12.6">
      <c r="A2243" s="10" t="s">
        <v>131</v>
      </c>
      <c r="B2243" s="10">
        <v>52</v>
      </c>
      <c r="C2243" s="10" t="s">
        <v>1512</v>
      </c>
      <c r="D2243" s="388">
        <v>44978</v>
      </c>
      <c r="E2243" s="389">
        <v>44978</v>
      </c>
      <c r="G2243" s="135">
        <f>'National average solar data'!C$33</f>
        <v>0</v>
      </c>
      <c r="H2243" s="135">
        <f>'National average solar data'!D$33</f>
        <v>0</v>
      </c>
      <c r="I2243" s="135">
        <f>'National average solar data'!E$33</f>
        <v>0</v>
      </c>
      <c r="J2243" s="135">
        <f>'National average solar data'!F$33</f>
        <v>0</v>
      </c>
      <c r="K2243" s="135">
        <f>'National average solar data'!G$33</f>
        <v>0</v>
      </c>
      <c r="L2243" s="135">
        <f>'National average solar data'!H$33</f>
        <v>0.14419999999999999</v>
      </c>
      <c r="M2243" s="135">
        <f>'National average solar data'!I$33</f>
        <v>1.0606</v>
      </c>
      <c r="N2243" s="135">
        <f>'National average solar data'!J$33</f>
        <v>1.3378000000000001</v>
      </c>
      <c r="O2243" s="135">
        <f>'National average solar data'!K$33</f>
        <v>1.2182999999999999</v>
      </c>
      <c r="P2243" s="135">
        <f>'National average solar data'!L$33</f>
        <v>1.1863999999999999</v>
      </c>
      <c r="Q2243" s="135">
        <f>'National average solar data'!M$33</f>
        <v>1.1876</v>
      </c>
      <c r="R2243" s="135">
        <f>'National average solar data'!N$33</f>
        <v>1.1952</v>
      </c>
      <c r="S2243" s="135">
        <f>'National average solar data'!O$33</f>
        <v>1.2181</v>
      </c>
      <c r="T2243" s="135">
        <f>'National average solar data'!P$33</f>
        <v>1.2661</v>
      </c>
      <c r="U2243" s="135">
        <f>'National average solar data'!Q$33</f>
        <v>1.2967</v>
      </c>
      <c r="V2243" s="135">
        <f>'National average solar data'!R$33</f>
        <v>1.4016</v>
      </c>
      <c r="W2243" s="135">
        <f>'National average solar data'!S$33</f>
        <v>1.6084000000000001</v>
      </c>
      <c r="X2243" s="135">
        <f>'National average solar data'!T$33</f>
        <v>2.0518999999999998</v>
      </c>
      <c r="Y2243" s="135">
        <f>'National average solar data'!U$33</f>
        <v>1.9742999999999999</v>
      </c>
      <c r="Z2243" s="135">
        <f>'National average solar data'!V$33</f>
        <v>1.0065</v>
      </c>
      <c r="AA2243" s="135">
        <f>'National average solar data'!W$33</f>
        <v>1.7078</v>
      </c>
      <c r="AB2243" s="135">
        <f>'National average solar data'!X$33</f>
        <v>0</v>
      </c>
      <c r="AC2243" s="135">
        <f>'National average solar data'!Y$33</f>
        <v>0</v>
      </c>
      <c r="AD2243" s="135">
        <f>'National average solar data'!Z$33</f>
        <v>0</v>
      </c>
    </row>
    <row r="2244" spans="1:30" ht="12.6">
      <c r="A2244" s="10" t="s">
        <v>131</v>
      </c>
      <c r="B2244" s="10">
        <v>53</v>
      </c>
      <c r="C2244" s="10" t="s">
        <v>1512</v>
      </c>
      <c r="D2244" s="388">
        <v>44979</v>
      </c>
      <c r="E2244" s="389">
        <v>44979</v>
      </c>
      <c r="G2244" s="135">
        <f>'National average solar data'!C$33</f>
        <v>0</v>
      </c>
      <c r="H2244" s="135">
        <f>'National average solar data'!D$33</f>
        <v>0</v>
      </c>
      <c r="I2244" s="135">
        <f>'National average solar data'!E$33</f>
        <v>0</v>
      </c>
      <c r="J2244" s="135">
        <f>'National average solar data'!F$33</f>
        <v>0</v>
      </c>
      <c r="K2244" s="135">
        <f>'National average solar data'!G$33</f>
        <v>0</v>
      </c>
      <c r="L2244" s="135">
        <f>'National average solar data'!H$33</f>
        <v>0.14419999999999999</v>
      </c>
      <c r="M2244" s="135">
        <f>'National average solar data'!I$33</f>
        <v>1.0606</v>
      </c>
      <c r="N2244" s="135">
        <f>'National average solar data'!J$33</f>
        <v>1.3378000000000001</v>
      </c>
      <c r="O2244" s="135">
        <f>'National average solar data'!K$33</f>
        <v>1.2182999999999999</v>
      </c>
      <c r="P2244" s="135">
        <f>'National average solar data'!L$33</f>
        <v>1.1863999999999999</v>
      </c>
      <c r="Q2244" s="135">
        <f>'National average solar data'!M$33</f>
        <v>1.1876</v>
      </c>
      <c r="R2244" s="135">
        <f>'National average solar data'!N$33</f>
        <v>1.1952</v>
      </c>
      <c r="S2244" s="135">
        <f>'National average solar data'!O$33</f>
        <v>1.2181</v>
      </c>
      <c r="T2244" s="135">
        <f>'National average solar data'!P$33</f>
        <v>1.2661</v>
      </c>
      <c r="U2244" s="135">
        <f>'National average solar data'!Q$33</f>
        <v>1.2967</v>
      </c>
      <c r="V2244" s="135">
        <f>'National average solar data'!R$33</f>
        <v>1.4016</v>
      </c>
      <c r="W2244" s="135">
        <f>'National average solar data'!S$33</f>
        <v>1.6084000000000001</v>
      </c>
      <c r="X2244" s="135">
        <f>'National average solar data'!T$33</f>
        <v>2.0518999999999998</v>
      </c>
      <c r="Y2244" s="135">
        <f>'National average solar data'!U$33</f>
        <v>1.9742999999999999</v>
      </c>
      <c r="Z2244" s="135">
        <f>'National average solar data'!V$33</f>
        <v>1.0065</v>
      </c>
      <c r="AA2244" s="135">
        <f>'National average solar data'!W$33</f>
        <v>1.7078</v>
      </c>
      <c r="AB2244" s="135">
        <f>'National average solar data'!X$33</f>
        <v>0</v>
      </c>
      <c r="AC2244" s="135">
        <f>'National average solar data'!Y$33</f>
        <v>0</v>
      </c>
      <c r="AD2244" s="135">
        <f>'National average solar data'!Z$33</f>
        <v>0</v>
      </c>
    </row>
    <row r="2245" spans="1:30" ht="12.6">
      <c r="A2245" s="10" t="s">
        <v>131</v>
      </c>
      <c r="B2245" s="10">
        <v>54</v>
      </c>
      <c r="C2245" s="10" t="s">
        <v>1512</v>
      </c>
      <c r="D2245" s="388">
        <v>44980</v>
      </c>
      <c r="E2245" s="389">
        <v>44980</v>
      </c>
      <c r="G2245" s="135">
        <f>'National average solar data'!C$33</f>
        <v>0</v>
      </c>
      <c r="H2245" s="135">
        <f>'National average solar data'!D$33</f>
        <v>0</v>
      </c>
      <c r="I2245" s="135">
        <f>'National average solar data'!E$33</f>
        <v>0</v>
      </c>
      <c r="J2245" s="135">
        <f>'National average solar data'!F$33</f>
        <v>0</v>
      </c>
      <c r="K2245" s="135">
        <f>'National average solar data'!G$33</f>
        <v>0</v>
      </c>
      <c r="L2245" s="135">
        <f>'National average solar data'!H$33</f>
        <v>0.14419999999999999</v>
      </c>
      <c r="M2245" s="135">
        <f>'National average solar data'!I$33</f>
        <v>1.0606</v>
      </c>
      <c r="N2245" s="135">
        <f>'National average solar data'!J$33</f>
        <v>1.3378000000000001</v>
      </c>
      <c r="O2245" s="135">
        <f>'National average solar data'!K$33</f>
        <v>1.2182999999999999</v>
      </c>
      <c r="P2245" s="135">
        <f>'National average solar data'!L$33</f>
        <v>1.1863999999999999</v>
      </c>
      <c r="Q2245" s="135">
        <f>'National average solar data'!M$33</f>
        <v>1.1876</v>
      </c>
      <c r="R2245" s="135">
        <f>'National average solar data'!N$33</f>
        <v>1.1952</v>
      </c>
      <c r="S2245" s="135">
        <f>'National average solar data'!O$33</f>
        <v>1.2181</v>
      </c>
      <c r="T2245" s="135">
        <f>'National average solar data'!P$33</f>
        <v>1.2661</v>
      </c>
      <c r="U2245" s="135">
        <f>'National average solar data'!Q$33</f>
        <v>1.2967</v>
      </c>
      <c r="V2245" s="135">
        <f>'National average solar data'!R$33</f>
        <v>1.4016</v>
      </c>
      <c r="W2245" s="135">
        <f>'National average solar data'!S$33</f>
        <v>1.6084000000000001</v>
      </c>
      <c r="X2245" s="135">
        <f>'National average solar data'!T$33</f>
        <v>2.0518999999999998</v>
      </c>
      <c r="Y2245" s="135">
        <f>'National average solar data'!U$33</f>
        <v>1.9742999999999999</v>
      </c>
      <c r="Z2245" s="135">
        <f>'National average solar data'!V$33</f>
        <v>1.0065</v>
      </c>
      <c r="AA2245" s="135">
        <f>'National average solar data'!W$33</f>
        <v>1.7078</v>
      </c>
      <c r="AB2245" s="135">
        <f>'National average solar data'!X$33</f>
        <v>0</v>
      </c>
      <c r="AC2245" s="135">
        <f>'National average solar data'!Y$33</f>
        <v>0</v>
      </c>
      <c r="AD2245" s="135">
        <f>'National average solar data'!Z$33</f>
        <v>0</v>
      </c>
    </row>
    <row r="2246" spans="1:30" ht="12.6">
      <c r="A2246" s="10" t="s">
        <v>131</v>
      </c>
      <c r="B2246" s="10">
        <v>55</v>
      </c>
      <c r="C2246" s="10" t="s">
        <v>1512</v>
      </c>
      <c r="D2246" s="388">
        <v>44981</v>
      </c>
      <c r="E2246" s="389">
        <v>44981</v>
      </c>
      <c r="G2246" s="135">
        <f>'National average solar data'!C$33</f>
        <v>0</v>
      </c>
      <c r="H2246" s="135">
        <f>'National average solar data'!D$33</f>
        <v>0</v>
      </c>
      <c r="I2246" s="135">
        <f>'National average solar data'!E$33</f>
        <v>0</v>
      </c>
      <c r="J2246" s="135">
        <f>'National average solar data'!F$33</f>
        <v>0</v>
      </c>
      <c r="K2246" s="135">
        <f>'National average solar data'!G$33</f>
        <v>0</v>
      </c>
      <c r="L2246" s="135">
        <f>'National average solar data'!H$33</f>
        <v>0.14419999999999999</v>
      </c>
      <c r="M2246" s="135">
        <f>'National average solar data'!I$33</f>
        <v>1.0606</v>
      </c>
      <c r="N2246" s="135">
        <f>'National average solar data'!J$33</f>
        <v>1.3378000000000001</v>
      </c>
      <c r="O2246" s="135">
        <f>'National average solar data'!K$33</f>
        <v>1.2182999999999999</v>
      </c>
      <c r="P2246" s="135">
        <f>'National average solar data'!L$33</f>
        <v>1.1863999999999999</v>
      </c>
      <c r="Q2246" s="135">
        <f>'National average solar data'!M$33</f>
        <v>1.1876</v>
      </c>
      <c r="R2246" s="135">
        <f>'National average solar data'!N$33</f>
        <v>1.1952</v>
      </c>
      <c r="S2246" s="135">
        <f>'National average solar data'!O$33</f>
        <v>1.2181</v>
      </c>
      <c r="T2246" s="135">
        <f>'National average solar data'!P$33</f>
        <v>1.2661</v>
      </c>
      <c r="U2246" s="135">
        <f>'National average solar data'!Q$33</f>
        <v>1.2967</v>
      </c>
      <c r="V2246" s="135">
        <f>'National average solar data'!R$33</f>
        <v>1.4016</v>
      </c>
      <c r="W2246" s="135">
        <f>'National average solar data'!S$33</f>
        <v>1.6084000000000001</v>
      </c>
      <c r="X2246" s="135">
        <f>'National average solar data'!T$33</f>
        <v>2.0518999999999998</v>
      </c>
      <c r="Y2246" s="135">
        <f>'National average solar data'!U$33</f>
        <v>1.9742999999999999</v>
      </c>
      <c r="Z2246" s="135">
        <f>'National average solar data'!V$33</f>
        <v>1.0065</v>
      </c>
      <c r="AA2246" s="135">
        <f>'National average solar data'!W$33</f>
        <v>1.7078</v>
      </c>
      <c r="AB2246" s="135">
        <f>'National average solar data'!X$33</f>
        <v>0</v>
      </c>
      <c r="AC2246" s="135">
        <f>'National average solar data'!Y$33</f>
        <v>0</v>
      </c>
      <c r="AD2246" s="135">
        <f>'National average solar data'!Z$33</f>
        <v>0</v>
      </c>
    </row>
    <row r="2247" spans="1:30" ht="12.6">
      <c r="A2247" s="10" t="s">
        <v>131</v>
      </c>
      <c r="B2247" s="10">
        <v>56</v>
      </c>
      <c r="C2247" s="10" t="s">
        <v>1512</v>
      </c>
      <c r="D2247" s="388">
        <v>44982</v>
      </c>
      <c r="E2247" s="389">
        <v>44982</v>
      </c>
      <c r="G2247" s="135">
        <f>'National average solar data'!C$33</f>
        <v>0</v>
      </c>
      <c r="H2247" s="135">
        <f>'National average solar data'!D$33</f>
        <v>0</v>
      </c>
      <c r="I2247" s="135">
        <f>'National average solar data'!E$33</f>
        <v>0</v>
      </c>
      <c r="J2247" s="135">
        <f>'National average solar data'!F$33</f>
        <v>0</v>
      </c>
      <c r="K2247" s="135">
        <f>'National average solar data'!G$33</f>
        <v>0</v>
      </c>
      <c r="L2247" s="135">
        <f>'National average solar data'!H$33</f>
        <v>0.14419999999999999</v>
      </c>
      <c r="M2247" s="135">
        <f>'National average solar data'!I$33</f>
        <v>1.0606</v>
      </c>
      <c r="N2247" s="135">
        <f>'National average solar data'!J$33</f>
        <v>1.3378000000000001</v>
      </c>
      <c r="O2247" s="135">
        <f>'National average solar data'!K$33</f>
        <v>1.2182999999999999</v>
      </c>
      <c r="P2247" s="135">
        <f>'National average solar data'!L$33</f>
        <v>1.1863999999999999</v>
      </c>
      <c r="Q2247" s="135">
        <f>'National average solar data'!M$33</f>
        <v>1.1876</v>
      </c>
      <c r="R2247" s="135">
        <f>'National average solar data'!N$33</f>
        <v>1.1952</v>
      </c>
      <c r="S2247" s="135">
        <f>'National average solar data'!O$33</f>
        <v>1.2181</v>
      </c>
      <c r="T2247" s="135">
        <f>'National average solar data'!P$33</f>
        <v>1.2661</v>
      </c>
      <c r="U2247" s="135">
        <f>'National average solar data'!Q$33</f>
        <v>1.2967</v>
      </c>
      <c r="V2247" s="135">
        <f>'National average solar data'!R$33</f>
        <v>1.4016</v>
      </c>
      <c r="W2247" s="135">
        <f>'National average solar data'!S$33</f>
        <v>1.6084000000000001</v>
      </c>
      <c r="X2247" s="135">
        <f>'National average solar data'!T$33</f>
        <v>2.0518999999999998</v>
      </c>
      <c r="Y2247" s="135">
        <f>'National average solar data'!U$33</f>
        <v>1.9742999999999999</v>
      </c>
      <c r="Z2247" s="135">
        <f>'National average solar data'!V$33</f>
        <v>1.0065</v>
      </c>
      <c r="AA2247" s="135">
        <f>'National average solar data'!W$33</f>
        <v>1.7078</v>
      </c>
      <c r="AB2247" s="135">
        <f>'National average solar data'!X$33</f>
        <v>0</v>
      </c>
      <c r="AC2247" s="135">
        <f>'National average solar data'!Y$33</f>
        <v>0</v>
      </c>
      <c r="AD2247" s="135">
        <f>'National average solar data'!Z$33</f>
        <v>0</v>
      </c>
    </row>
    <row r="2248" spans="1:30" ht="12.6">
      <c r="A2248" s="10" t="s">
        <v>131</v>
      </c>
      <c r="B2248" s="10">
        <v>57</v>
      </c>
      <c r="C2248" s="10" t="s">
        <v>1512</v>
      </c>
      <c r="D2248" s="388">
        <v>44983</v>
      </c>
      <c r="E2248" s="389">
        <v>44983</v>
      </c>
      <c r="G2248" s="135">
        <f>'National average solar data'!C$33</f>
        <v>0</v>
      </c>
      <c r="H2248" s="135">
        <f>'National average solar data'!D$33</f>
        <v>0</v>
      </c>
      <c r="I2248" s="135">
        <f>'National average solar data'!E$33</f>
        <v>0</v>
      </c>
      <c r="J2248" s="135">
        <f>'National average solar data'!F$33</f>
        <v>0</v>
      </c>
      <c r="K2248" s="135">
        <f>'National average solar data'!G$33</f>
        <v>0</v>
      </c>
      <c r="L2248" s="135">
        <f>'National average solar data'!H$33</f>
        <v>0.14419999999999999</v>
      </c>
      <c r="M2248" s="135">
        <f>'National average solar data'!I$33</f>
        <v>1.0606</v>
      </c>
      <c r="N2248" s="135">
        <f>'National average solar data'!J$33</f>
        <v>1.3378000000000001</v>
      </c>
      <c r="O2248" s="135">
        <f>'National average solar data'!K$33</f>
        <v>1.2182999999999999</v>
      </c>
      <c r="P2248" s="135">
        <f>'National average solar data'!L$33</f>
        <v>1.1863999999999999</v>
      </c>
      <c r="Q2248" s="135">
        <f>'National average solar data'!M$33</f>
        <v>1.1876</v>
      </c>
      <c r="R2248" s="135">
        <f>'National average solar data'!N$33</f>
        <v>1.1952</v>
      </c>
      <c r="S2248" s="135">
        <f>'National average solar data'!O$33</f>
        <v>1.2181</v>
      </c>
      <c r="T2248" s="135">
        <f>'National average solar data'!P$33</f>
        <v>1.2661</v>
      </c>
      <c r="U2248" s="135">
        <f>'National average solar data'!Q$33</f>
        <v>1.2967</v>
      </c>
      <c r="V2248" s="135">
        <f>'National average solar data'!R$33</f>
        <v>1.4016</v>
      </c>
      <c r="W2248" s="135">
        <f>'National average solar data'!S$33</f>
        <v>1.6084000000000001</v>
      </c>
      <c r="X2248" s="135">
        <f>'National average solar data'!T$33</f>
        <v>2.0518999999999998</v>
      </c>
      <c r="Y2248" s="135">
        <f>'National average solar data'!U$33</f>
        <v>1.9742999999999999</v>
      </c>
      <c r="Z2248" s="135">
        <f>'National average solar data'!V$33</f>
        <v>1.0065</v>
      </c>
      <c r="AA2248" s="135">
        <f>'National average solar data'!W$33</f>
        <v>1.7078</v>
      </c>
      <c r="AB2248" s="135">
        <f>'National average solar data'!X$33</f>
        <v>0</v>
      </c>
      <c r="AC2248" s="135">
        <f>'National average solar data'!Y$33</f>
        <v>0</v>
      </c>
      <c r="AD2248" s="135">
        <f>'National average solar data'!Z$33</f>
        <v>0</v>
      </c>
    </row>
    <row r="2249" spans="1:30" ht="12.6">
      <c r="A2249" s="10" t="s">
        <v>131</v>
      </c>
      <c r="B2249" s="10">
        <v>58</v>
      </c>
      <c r="C2249" s="10" t="s">
        <v>1512</v>
      </c>
      <c r="D2249" s="388">
        <v>44984</v>
      </c>
      <c r="E2249" s="389">
        <v>44984</v>
      </c>
      <c r="G2249" s="135">
        <f>'National average solar data'!C$33</f>
        <v>0</v>
      </c>
      <c r="H2249" s="135">
        <f>'National average solar data'!D$33</f>
        <v>0</v>
      </c>
      <c r="I2249" s="135">
        <f>'National average solar data'!E$33</f>
        <v>0</v>
      </c>
      <c r="J2249" s="135">
        <f>'National average solar data'!F$33</f>
        <v>0</v>
      </c>
      <c r="K2249" s="135">
        <f>'National average solar data'!G$33</f>
        <v>0</v>
      </c>
      <c r="L2249" s="135">
        <f>'National average solar data'!H$33</f>
        <v>0.14419999999999999</v>
      </c>
      <c r="M2249" s="135">
        <f>'National average solar data'!I$33</f>
        <v>1.0606</v>
      </c>
      <c r="N2249" s="135">
        <f>'National average solar data'!J$33</f>
        <v>1.3378000000000001</v>
      </c>
      <c r="O2249" s="135">
        <f>'National average solar data'!K$33</f>
        <v>1.2182999999999999</v>
      </c>
      <c r="P2249" s="135">
        <f>'National average solar data'!L$33</f>
        <v>1.1863999999999999</v>
      </c>
      <c r="Q2249" s="135">
        <f>'National average solar data'!M$33</f>
        <v>1.1876</v>
      </c>
      <c r="R2249" s="135">
        <f>'National average solar data'!N$33</f>
        <v>1.1952</v>
      </c>
      <c r="S2249" s="135">
        <f>'National average solar data'!O$33</f>
        <v>1.2181</v>
      </c>
      <c r="T2249" s="135">
        <f>'National average solar data'!P$33</f>
        <v>1.2661</v>
      </c>
      <c r="U2249" s="135">
        <f>'National average solar data'!Q$33</f>
        <v>1.2967</v>
      </c>
      <c r="V2249" s="135">
        <f>'National average solar data'!R$33</f>
        <v>1.4016</v>
      </c>
      <c r="W2249" s="135">
        <f>'National average solar data'!S$33</f>
        <v>1.6084000000000001</v>
      </c>
      <c r="X2249" s="135">
        <f>'National average solar data'!T$33</f>
        <v>2.0518999999999998</v>
      </c>
      <c r="Y2249" s="135">
        <f>'National average solar data'!U$33</f>
        <v>1.9742999999999999</v>
      </c>
      <c r="Z2249" s="135">
        <f>'National average solar data'!V$33</f>
        <v>1.0065</v>
      </c>
      <c r="AA2249" s="135">
        <f>'National average solar data'!W$33</f>
        <v>1.7078</v>
      </c>
      <c r="AB2249" s="135">
        <f>'National average solar data'!X$33</f>
        <v>0</v>
      </c>
      <c r="AC2249" s="135">
        <f>'National average solar data'!Y$33</f>
        <v>0</v>
      </c>
      <c r="AD2249" s="135">
        <f>'National average solar data'!Z$33</f>
        <v>0</v>
      </c>
    </row>
    <row r="2250" spans="1:30" ht="12.6">
      <c r="A2250" s="10" t="s">
        <v>131</v>
      </c>
      <c r="B2250" s="10">
        <v>59</v>
      </c>
      <c r="C2250" s="10" t="s">
        <v>1512</v>
      </c>
      <c r="D2250" s="388">
        <v>44985</v>
      </c>
      <c r="E2250" s="389">
        <v>44985</v>
      </c>
      <c r="G2250" s="135">
        <f>'National average solar data'!C$33</f>
        <v>0</v>
      </c>
      <c r="H2250" s="135">
        <f>'National average solar data'!D$33</f>
        <v>0</v>
      </c>
      <c r="I2250" s="135">
        <f>'National average solar data'!E$33</f>
        <v>0</v>
      </c>
      <c r="J2250" s="135">
        <f>'National average solar data'!F$33</f>
        <v>0</v>
      </c>
      <c r="K2250" s="135">
        <f>'National average solar data'!G$33</f>
        <v>0</v>
      </c>
      <c r="L2250" s="135">
        <f>'National average solar data'!H$33</f>
        <v>0.14419999999999999</v>
      </c>
      <c r="M2250" s="135">
        <f>'National average solar data'!I$33</f>
        <v>1.0606</v>
      </c>
      <c r="N2250" s="135">
        <f>'National average solar data'!J$33</f>
        <v>1.3378000000000001</v>
      </c>
      <c r="O2250" s="135">
        <f>'National average solar data'!K$33</f>
        <v>1.2182999999999999</v>
      </c>
      <c r="P2250" s="135">
        <f>'National average solar data'!L$33</f>
        <v>1.1863999999999999</v>
      </c>
      <c r="Q2250" s="135">
        <f>'National average solar data'!M$33</f>
        <v>1.1876</v>
      </c>
      <c r="R2250" s="135">
        <f>'National average solar data'!N$33</f>
        <v>1.1952</v>
      </c>
      <c r="S2250" s="135">
        <f>'National average solar data'!O$33</f>
        <v>1.2181</v>
      </c>
      <c r="T2250" s="135">
        <f>'National average solar data'!P$33</f>
        <v>1.2661</v>
      </c>
      <c r="U2250" s="135">
        <f>'National average solar data'!Q$33</f>
        <v>1.2967</v>
      </c>
      <c r="V2250" s="135">
        <f>'National average solar data'!R$33</f>
        <v>1.4016</v>
      </c>
      <c r="W2250" s="135">
        <f>'National average solar data'!S$33</f>
        <v>1.6084000000000001</v>
      </c>
      <c r="X2250" s="135">
        <f>'National average solar data'!T$33</f>
        <v>2.0518999999999998</v>
      </c>
      <c r="Y2250" s="135">
        <f>'National average solar data'!U$33</f>
        <v>1.9742999999999999</v>
      </c>
      <c r="Z2250" s="135">
        <f>'National average solar data'!V$33</f>
        <v>1.0065</v>
      </c>
      <c r="AA2250" s="135">
        <f>'National average solar data'!W$33</f>
        <v>1.7078</v>
      </c>
      <c r="AB2250" s="135">
        <f>'National average solar data'!X$33</f>
        <v>0</v>
      </c>
      <c r="AC2250" s="135">
        <f>'National average solar data'!Y$33</f>
        <v>0</v>
      </c>
      <c r="AD2250" s="135">
        <f>'National average solar data'!Z$33</f>
        <v>0</v>
      </c>
    </row>
    <row r="2251" spans="1:30" ht="12.6">
      <c r="A2251" s="10" t="s">
        <v>131</v>
      </c>
      <c r="B2251" s="10">
        <v>60</v>
      </c>
      <c r="C2251" s="10" t="s">
        <v>1513</v>
      </c>
      <c r="D2251" s="388">
        <v>44986</v>
      </c>
      <c r="E2251" s="389">
        <v>44986</v>
      </c>
      <c r="G2251" s="135">
        <f>'National average solar data'!C$34</f>
        <v>0</v>
      </c>
      <c r="H2251" s="135">
        <f>'National average solar data'!D$34</f>
        <v>0</v>
      </c>
      <c r="I2251" s="135">
        <f>'National average solar data'!E$34</f>
        <v>0</v>
      </c>
      <c r="J2251" s="135">
        <f>'National average solar data'!F$34</f>
        <v>0</v>
      </c>
      <c r="K2251" s="135">
        <f>'National average solar data'!G$34</f>
        <v>0</v>
      </c>
      <c r="L2251" s="135">
        <f>'National average solar data'!H$34</f>
        <v>0</v>
      </c>
      <c r="M2251" s="135">
        <f>'National average solar data'!I$34</f>
        <v>0.29520000000000002</v>
      </c>
      <c r="N2251" s="135">
        <f>'National average solar data'!J$34</f>
        <v>1.0552999999999999</v>
      </c>
      <c r="O2251" s="135">
        <f>'National average solar data'!K$34</f>
        <v>1.0804</v>
      </c>
      <c r="P2251" s="135">
        <f>'National average solar data'!L$34</f>
        <v>1.0731999999999999</v>
      </c>
      <c r="Q2251" s="135">
        <f>'National average solar data'!M$34</f>
        <v>1.0900000000000001</v>
      </c>
      <c r="R2251" s="135">
        <f>'National average solar data'!N$34</f>
        <v>1.0994999999999999</v>
      </c>
      <c r="S2251" s="135">
        <f>'National average solar data'!O$34</f>
        <v>1.1122000000000001</v>
      </c>
      <c r="T2251" s="135">
        <f>'National average solar data'!P$34</f>
        <v>1.1184000000000001</v>
      </c>
      <c r="U2251" s="135">
        <f>'National average solar data'!Q$34</f>
        <v>1.1312</v>
      </c>
      <c r="V2251" s="135">
        <f>'National average solar data'!R$34</f>
        <v>1.1587000000000001</v>
      </c>
      <c r="W2251" s="135">
        <f>'National average solar data'!S$34</f>
        <v>1.1986000000000001</v>
      </c>
      <c r="X2251" s="135">
        <f>'National average solar data'!T$34</f>
        <v>1.1145</v>
      </c>
      <c r="Y2251" s="135">
        <f>'National average solar data'!U$34</f>
        <v>0.54320000000000002</v>
      </c>
      <c r="Z2251" s="135">
        <f>'National average solar data'!V$34</f>
        <v>4.24E-2</v>
      </c>
      <c r="AA2251" s="135">
        <f>'National average solar data'!W$34</f>
        <v>0</v>
      </c>
      <c r="AB2251" s="135">
        <f>'National average solar data'!X$34</f>
        <v>0</v>
      </c>
      <c r="AC2251" s="135">
        <f>'National average solar data'!Y$34</f>
        <v>0</v>
      </c>
      <c r="AD2251" s="135">
        <f>'National average solar data'!Z$34</f>
        <v>0</v>
      </c>
    </row>
    <row r="2252" spans="1:30" ht="12.6">
      <c r="A2252" s="10" t="s">
        <v>131</v>
      </c>
      <c r="B2252" s="10">
        <v>61</v>
      </c>
      <c r="C2252" s="10" t="s">
        <v>1513</v>
      </c>
      <c r="D2252" s="388">
        <v>44987</v>
      </c>
      <c r="E2252" s="389">
        <v>44987</v>
      </c>
      <c r="G2252" s="135">
        <f>'National average solar data'!C$34</f>
        <v>0</v>
      </c>
      <c r="H2252" s="135">
        <f>'National average solar data'!D$34</f>
        <v>0</v>
      </c>
      <c r="I2252" s="135">
        <f>'National average solar data'!E$34</f>
        <v>0</v>
      </c>
      <c r="J2252" s="135">
        <f>'National average solar data'!F$34</f>
        <v>0</v>
      </c>
      <c r="K2252" s="135">
        <f>'National average solar data'!G$34</f>
        <v>0</v>
      </c>
      <c r="L2252" s="135">
        <f>'National average solar data'!H$34</f>
        <v>0</v>
      </c>
      <c r="M2252" s="135">
        <f>'National average solar data'!I$34</f>
        <v>0.29520000000000002</v>
      </c>
      <c r="N2252" s="135">
        <f>'National average solar data'!J$34</f>
        <v>1.0552999999999999</v>
      </c>
      <c r="O2252" s="135">
        <f>'National average solar data'!K$34</f>
        <v>1.0804</v>
      </c>
      <c r="P2252" s="135">
        <f>'National average solar data'!L$34</f>
        <v>1.0731999999999999</v>
      </c>
      <c r="Q2252" s="135">
        <f>'National average solar data'!M$34</f>
        <v>1.0900000000000001</v>
      </c>
      <c r="R2252" s="135">
        <f>'National average solar data'!N$34</f>
        <v>1.0994999999999999</v>
      </c>
      <c r="S2252" s="135">
        <f>'National average solar data'!O$34</f>
        <v>1.1122000000000001</v>
      </c>
      <c r="T2252" s="135">
        <f>'National average solar data'!P$34</f>
        <v>1.1184000000000001</v>
      </c>
      <c r="U2252" s="135">
        <f>'National average solar data'!Q$34</f>
        <v>1.1312</v>
      </c>
      <c r="V2252" s="135">
        <f>'National average solar data'!R$34</f>
        <v>1.1587000000000001</v>
      </c>
      <c r="W2252" s="135">
        <f>'National average solar data'!S$34</f>
        <v>1.1986000000000001</v>
      </c>
      <c r="X2252" s="135">
        <f>'National average solar data'!T$34</f>
        <v>1.1145</v>
      </c>
      <c r="Y2252" s="135">
        <f>'National average solar data'!U$34</f>
        <v>0.54320000000000002</v>
      </c>
      <c r="Z2252" s="135">
        <f>'National average solar data'!V$34</f>
        <v>4.24E-2</v>
      </c>
      <c r="AA2252" s="135">
        <f>'National average solar data'!W$34</f>
        <v>0</v>
      </c>
      <c r="AB2252" s="135">
        <f>'National average solar data'!X$34</f>
        <v>0</v>
      </c>
      <c r="AC2252" s="135">
        <f>'National average solar data'!Y$34</f>
        <v>0</v>
      </c>
      <c r="AD2252" s="135">
        <f>'National average solar data'!Z$34</f>
        <v>0</v>
      </c>
    </row>
    <row r="2253" spans="1:30" ht="12.6">
      <c r="A2253" s="10" t="s">
        <v>131</v>
      </c>
      <c r="B2253" s="10">
        <v>62</v>
      </c>
      <c r="C2253" s="10" t="s">
        <v>1513</v>
      </c>
      <c r="D2253" s="388">
        <v>44988</v>
      </c>
      <c r="E2253" s="389">
        <v>44988</v>
      </c>
      <c r="G2253" s="135">
        <f>'National average solar data'!C$34</f>
        <v>0</v>
      </c>
      <c r="H2253" s="135">
        <f>'National average solar data'!D$34</f>
        <v>0</v>
      </c>
      <c r="I2253" s="135">
        <f>'National average solar data'!E$34</f>
        <v>0</v>
      </c>
      <c r="J2253" s="135">
        <f>'National average solar data'!F$34</f>
        <v>0</v>
      </c>
      <c r="K2253" s="135">
        <f>'National average solar data'!G$34</f>
        <v>0</v>
      </c>
      <c r="L2253" s="135">
        <f>'National average solar data'!H$34</f>
        <v>0</v>
      </c>
      <c r="M2253" s="135">
        <f>'National average solar data'!I$34</f>
        <v>0.29520000000000002</v>
      </c>
      <c r="N2253" s="135">
        <f>'National average solar data'!J$34</f>
        <v>1.0552999999999999</v>
      </c>
      <c r="O2253" s="135">
        <f>'National average solar data'!K$34</f>
        <v>1.0804</v>
      </c>
      <c r="P2253" s="135">
        <f>'National average solar data'!L$34</f>
        <v>1.0731999999999999</v>
      </c>
      <c r="Q2253" s="135">
        <f>'National average solar data'!M$34</f>
        <v>1.0900000000000001</v>
      </c>
      <c r="R2253" s="135">
        <f>'National average solar data'!N$34</f>
        <v>1.0994999999999999</v>
      </c>
      <c r="S2253" s="135">
        <f>'National average solar data'!O$34</f>
        <v>1.1122000000000001</v>
      </c>
      <c r="T2253" s="135">
        <f>'National average solar data'!P$34</f>
        <v>1.1184000000000001</v>
      </c>
      <c r="U2253" s="135">
        <f>'National average solar data'!Q$34</f>
        <v>1.1312</v>
      </c>
      <c r="V2253" s="135">
        <f>'National average solar data'!R$34</f>
        <v>1.1587000000000001</v>
      </c>
      <c r="W2253" s="135">
        <f>'National average solar data'!S$34</f>
        <v>1.1986000000000001</v>
      </c>
      <c r="X2253" s="135">
        <f>'National average solar data'!T$34</f>
        <v>1.1145</v>
      </c>
      <c r="Y2253" s="135">
        <f>'National average solar data'!U$34</f>
        <v>0.54320000000000002</v>
      </c>
      <c r="Z2253" s="135">
        <f>'National average solar data'!V$34</f>
        <v>4.24E-2</v>
      </c>
      <c r="AA2253" s="135">
        <f>'National average solar data'!W$34</f>
        <v>0</v>
      </c>
      <c r="AB2253" s="135">
        <f>'National average solar data'!X$34</f>
        <v>0</v>
      </c>
      <c r="AC2253" s="135">
        <f>'National average solar data'!Y$34</f>
        <v>0</v>
      </c>
      <c r="AD2253" s="135">
        <f>'National average solar data'!Z$34</f>
        <v>0</v>
      </c>
    </row>
    <row r="2254" spans="1:30" ht="12.6">
      <c r="A2254" s="10" t="s">
        <v>131</v>
      </c>
      <c r="B2254" s="10">
        <v>63</v>
      </c>
      <c r="C2254" s="10" t="s">
        <v>1513</v>
      </c>
      <c r="D2254" s="388">
        <v>44989</v>
      </c>
      <c r="E2254" s="389">
        <v>44989</v>
      </c>
      <c r="G2254" s="135">
        <f>'National average solar data'!C$34</f>
        <v>0</v>
      </c>
      <c r="H2254" s="135">
        <f>'National average solar data'!D$34</f>
        <v>0</v>
      </c>
      <c r="I2254" s="135">
        <f>'National average solar data'!E$34</f>
        <v>0</v>
      </c>
      <c r="J2254" s="135">
        <f>'National average solar data'!F$34</f>
        <v>0</v>
      </c>
      <c r="K2254" s="135">
        <f>'National average solar data'!G$34</f>
        <v>0</v>
      </c>
      <c r="L2254" s="135">
        <f>'National average solar data'!H$34</f>
        <v>0</v>
      </c>
      <c r="M2254" s="135">
        <f>'National average solar data'!I$34</f>
        <v>0.29520000000000002</v>
      </c>
      <c r="N2254" s="135">
        <f>'National average solar data'!J$34</f>
        <v>1.0552999999999999</v>
      </c>
      <c r="O2254" s="135">
        <f>'National average solar data'!K$34</f>
        <v>1.0804</v>
      </c>
      <c r="P2254" s="135">
        <f>'National average solar data'!L$34</f>
        <v>1.0731999999999999</v>
      </c>
      <c r="Q2254" s="135">
        <f>'National average solar data'!M$34</f>
        <v>1.0900000000000001</v>
      </c>
      <c r="R2254" s="135">
        <f>'National average solar data'!N$34</f>
        <v>1.0994999999999999</v>
      </c>
      <c r="S2254" s="135">
        <f>'National average solar data'!O$34</f>
        <v>1.1122000000000001</v>
      </c>
      <c r="T2254" s="135">
        <f>'National average solar data'!P$34</f>
        <v>1.1184000000000001</v>
      </c>
      <c r="U2254" s="135">
        <f>'National average solar data'!Q$34</f>
        <v>1.1312</v>
      </c>
      <c r="V2254" s="135">
        <f>'National average solar data'!R$34</f>
        <v>1.1587000000000001</v>
      </c>
      <c r="W2254" s="135">
        <f>'National average solar data'!S$34</f>
        <v>1.1986000000000001</v>
      </c>
      <c r="X2254" s="135">
        <f>'National average solar data'!T$34</f>
        <v>1.1145</v>
      </c>
      <c r="Y2254" s="135">
        <f>'National average solar data'!U$34</f>
        <v>0.54320000000000002</v>
      </c>
      <c r="Z2254" s="135">
        <f>'National average solar data'!V$34</f>
        <v>4.24E-2</v>
      </c>
      <c r="AA2254" s="135">
        <f>'National average solar data'!W$34</f>
        <v>0</v>
      </c>
      <c r="AB2254" s="135">
        <f>'National average solar data'!X$34</f>
        <v>0</v>
      </c>
      <c r="AC2254" s="135">
        <f>'National average solar data'!Y$34</f>
        <v>0</v>
      </c>
      <c r="AD2254" s="135">
        <f>'National average solar data'!Z$34</f>
        <v>0</v>
      </c>
    </row>
    <row r="2255" spans="1:30" ht="12.6">
      <c r="A2255" s="10" t="s">
        <v>131</v>
      </c>
      <c r="B2255" s="10">
        <v>64</v>
      </c>
      <c r="C2255" s="10" t="s">
        <v>1513</v>
      </c>
      <c r="D2255" s="388">
        <v>44990</v>
      </c>
      <c r="E2255" s="389">
        <v>44990</v>
      </c>
      <c r="G2255" s="135">
        <f>'National average solar data'!C$34</f>
        <v>0</v>
      </c>
      <c r="H2255" s="135">
        <f>'National average solar data'!D$34</f>
        <v>0</v>
      </c>
      <c r="I2255" s="135">
        <f>'National average solar data'!E$34</f>
        <v>0</v>
      </c>
      <c r="J2255" s="135">
        <f>'National average solar data'!F$34</f>
        <v>0</v>
      </c>
      <c r="K2255" s="135">
        <f>'National average solar data'!G$34</f>
        <v>0</v>
      </c>
      <c r="L2255" s="135">
        <f>'National average solar data'!H$34</f>
        <v>0</v>
      </c>
      <c r="M2255" s="135">
        <f>'National average solar data'!I$34</f>
        <v>0.29520000000000002</v>
      </c>
      <c r="N2255" s="135">
        <f>'National average solar data'!J$34</f>
        <v>1.0552999999999999</v>
      </c>
      <c r="O2255" s="135">
        <f>'National average solar data'!K$34</f>
        <v>1.0804</v>
      </c>
      <c r="P2255" s="135">
        <f>'National average solar data'!L$34</f>
        <v>1.0731999999999999</v>
      </c>
      <c r="Q2255" s="135">
        <f>'National average solar data'!M$34</f>
        <v>1.0900000000000001</v>
      </c>
      <c r="R2255" s="135">
        <f>'National average solar data'!N$34</f>
        <v>1.0994999999999999</v>
      </c>
      <c r="S2255" s="135">
        <f>'National average solar data'!O$34</f>
        <v>1.1122000000000001</v>
      </c>
      <c r="T2255" s="135">
        <f>'National average solar data'!P$34</f>
        <v>1.1184000000000001</v>
      </c>
      <c r="U2255" s="135">
        <f>'National average solar data'!Q$34</f>
        <v>1.1312</v>
      </c>
      <c r="V2255" s="135">
        <f>'National average solar data'!R$34</f>
        <v>1.1587000000000001</v>
      </c>
      <c r="W2255" s="135">
        <f>'National average solar data'!S$34</f>
        <v>1.1986000000000001</v>
      </c>
      <c r="X2255" s="135">
        <f>'National average solar data'!T$34</f>
        <v>1.1145</v>
      </c>
      <c r="Y2255" s="135">
        <f>'National average solar data'!U$34</f>
        <v>0.54320000000000002</v>
      </c>
      <c r="Z2255" s="135">
        <f>'National average solar data'!V$34</f>
        <v>4.24E-2</v>
      </c>
      <c r="AA2255" s="135">
        <f>'National average solar data'!W$34</f>
        <v>0</v>
      </c>
      <c r="AB2255" s="135">
        <f>'National average solar data'!X$34</f>
        <v>0</v>
      </c>
      <c r="AC2255" s="135">
        <f>'National average solar data'!Y$34</f>
        <v>0</v>
      </c>
      <c r="AD2255" s="135">
        <f>'National average solar data'!Z$34</f>
        <v>0</v>
      </c>
    </row>
    <row r="2256" spans="1:30" ht="12.6">
      <c r="A2256" s="10" t="s">
        <v>131</v>
      </c>
      <c r="B2256" s="10">
        <v>65</v>
      </c>
      <c r="C2256" s="10" t="s">
        <v>1513</v>
      </c>
      <c r="D2256" s="388">
        <v>44991</v>
      </c>
      <c r="E2256" s="389">
        <v>44991</v>
      </c>
      <c r="G2256" s="135">
        <f>'National average solar data'!C$34</f>
        <v>0</v>
      </c>
      <c r="H2256" s="135">
        <f>'National average solar data'!D$34</f>
        <v>0</v>
      </c>
      <c r="I2256" s="135">
        <f>'National average solar data'!E$34</f>
        <v>0</v>
      </c>
      <c r="J2256" s="135">
        <f>'National average solar data'!F$34</f>
        <v>0</v>
      </c>
      <c r="K2256" s="135">
        <f>'National average solar data'!G$34</f>
        <v>0</v>
      </c>
      <c r="L2256" s="135">
        <f>'National average solar data'!H$34</f>
        <v>0</v>
      </c>
      <c r="M2256" s="135">
        <f>'National average solar data'!I$34</f>
        <v>0.29520000000000002</v>
      </c>
      <c r="N2256" s="135">
        <f>'National average solar data'!J$34</f>
        <v>1.0552999999999999</v>
      </c>
      <c r="O2256" s="135">
        <f>'National average solar data'!K$34</f>
        <v>1.0804</v>
      </c>
      <c r="P2256" s="135">
        <f>'National average solar data'!L$34</f>
        <v>1.0731999999999999</v>
      </c>
      <c r="Q2256" s="135">
        <f>'National average solar data'!M$34</f>
        <v>1.0900000000000001</v>
      </c>
      <c r="R2256" s="135">
        <f>'National average solar data'!N$34</f>
        <v>1.0994999999999999</v>
      </c>
      <c r="S2256" s="135">
        <f>'National average solar data'!O$34</f>
        <v>1.1122000000000001</v>
      </c>
      <c r="T2256" s="135">
        <f>'National average solar data'!P$34</f>
        <v>1.1184000000000001</v>
      </c>
      <c r="U2256" s="135">
        <f>'National average solar data'!Q$34</f>
        <v>1.1312</v>
      </c>
      <c r="V2256" s="135">
        <f>'National average solar data'!R$34</f>
        <v>1.1587000000000001</v>
      </c>
      <c r="W2256" s="135">
        <f>'National average solar data'!S$34</f>
        <v>1.1986000000000001</v>
      </c>
      <c r="X2256" s="135">
        <f>'National average solar data'!T$34</f>
        <v>1.1145</v>
      </c>
      <c r="Y2256" s="135">
        <f>'National average solar data'!U$34</f>
        <v>0.54320000000000002</v>
      </c>
      <c r="Z2256" s="135">
        <f>'National average solar data'!V$34</f>
        <v>4.24E-2</v>
      </c>
      <c r="AA2256" s="135">
        <f>'National average solar data'!W$34</f>
        <v>0</v>
      </c>
      <c r="AB2256" s="135">
        <f>'National average solar data'!X$34</f>
        <v>0</v>
      </c>
      <c r="AC2256" s="135">
        <f>'National average solar data'!Y$34</f>
        <v>0</v>
      </c>
      <c r="AD2256" s="135">
        <f>'National average solar data'!Z$34</f>
        <v>0</v>
      </c>
    </row>
    <row r="2257" spans="1:30" ht="12.6">
      <c r="A2257" s="10" t="s">
        <v>131</v>
      </c>
      <c r="B2257" s="10">
        <v>66</v>
      </c>
      <c r="C2257" s="10" t="s">
        <v>1513</v>
      </c>
      <c r="D2257" s="388">
        <v>44992</v>
      </c>
      <c r="E2257" s="389">
        <v>44992</v>
      </c>
      <c r="G2257" s="135">
        <f>'National average solar data'!C$34</f>
        <v>0</v>
      </c>
      <c r="H2257" s="135">
        <f>'National average solar data'!D$34</f>
        <v>0</v>
      </c>
      <c r="I2257" s="135">
        <f>'National average solar data'!E$34</f>
        <v>0</v>
      </c>
      <c r="J2257" s="135">
        <f>'National average solar data'!F$34</f>
        <v>0</v>
      </c>
      <c r="K2257" s="135">
        <f>'National average solar data'!G$34</f>
        <v>0</v>
      </c>
      <c r="L2257" s="135">
        <f>'National average solar data'!H$34</f>
        <v>0</v>
      </c>
      <c r="M2257" s="135">
        <f>'National average solar data'!I$34</f>
        <v>0.29520000000000002</v>
      </c>
      <c r="N2257" s="135">
        <f>'National average solar data'!J$34</f>
        <v>1.0552999999999999</v>
      </c>
      <c r="O2257" s="135">
        <f>'National average solar data'!K$34</f>
        <v>1.0804</v>
      </c>
      <c r="P2257" s="135">
        <f>'National average solar data'!L$34</f>
        <v>1.0731999999999999</v>
      </c>
      <c r="Q2257" s="135">
        <f>'National average solar data'!M$34</f>
        <v>1.0900000000000001</v>
      </c>
      <c r="R2257" s="135">
        <f>'National average solar data'!N$34</f>
        <v>1.0994999999999999</v>
      </c>
      <c r="S2257" s="135">
        <f>'National average solar data'!O$34</f>
        <v>1.1122000000000001</v>
      </c>
      <c r="T2257" s="135">
        <f>'National average solar data'!P$34</f>
        <v>1.1184000000000001</v>
      </c>
      <c r="U2257" s="135">
        <f>'National average solar data'!Q$34</f>
        <v>1.1312</v>
      </c>
      <c r="V2257" s="135">
        <f>'National average solar data'!R$34</f>
        <v>1.1587000000000001</v>
      </c>
      <c r="W2257" s="135">
        <f>'National average solar data'!S$34</f>
        <v>1.1986000000000001</v>
      </c>
      <c r="X2257" s="135">
        <f>'National average solar data'!T$34</f>
        <v>1.1145</v>
      </c>
      <c r="Y2257" s="135">
        <f>'National average solar data'!U$34</f>
        <v>0.54320000000000002</v>
      </c>
      <c r="Z2257" s="135">
        <f>'National average solar data'!V$34</f>
        <v>4.24E-2</v>
      </c>
      <c r="AA2257" s="135">
        <f>'National average solar data'!W$34</f>
        <v>0</v>
      </c>
      <c r="AB2257" s="135">
        <f>'National average solar data'!X$34</f>
        <v>0</v>
      </c>
      <c r="AC2257" s="135">
        <f>'National average solar data'!Y$34</f>
        <v>0</v>
      </c>
      <c r="AD2257" s="135">
        <f>'National average solar data'!Z$34</f>
        <v>0</v>
      </c>
    </row>
    <row r="2258" spans="1:30" ht="12.6">
      <c r="A2258" s="10" t="s">
        <v>131</v>
      </c>
      <c r="B2258" s="10">
        <v>67</v>
      </c>
      <c r="C2258" s="10" t="s">
        <v>1513</v>
      </c>
      <c r="D2258" s="388">
        <v>44993</v>
      </c>
      <c r="E2258" s="389">
        <v>44993</v>
      </c>
      <c r="G2258" s="135">
        <f>'National average solar data'!C$34</f>
        <v>0</v>
      </c>
      <c r="H2258" s="135">
        <f>'National average solar data'!D$34</f>
        <v>0</v>
      </c>
      <c r="I2258" s="135">
        <f>'National average solar data'!E$34</f>
        <v>0</v>
      </c>
      <c r="J2258" s="135">
        <f>'National average solar data'!F$34</f>
        <v>0</v>
      </c>
      <c r="K2258" s="135">
        <f>'National average solar data'!G$34</f>
        <v>0</v>
      </c>
      <c r="L2258" s="135">
        <f>'National average solar data'!H$34</f>
        <v>0</v>
      </c>
      <c r="M2258" s="135">
        <f>'National average solar data'!I$34</f>
        <v>0.29520000000000002</v>
      </c>
      <c r="N2258" s="135">
        <f>'National average solar data'!J$34</f>
        <v>1.0552999999999999</v>
      </c>
      <c r="O2258" s="135">
        <f>'National average solar data'!K$34</f>
        <v>1.0804</v>
      </c>
      <c r="P2258" s="135">
        <f>'National average solar data'!L$34</f>
        <v>1.0731999999999999</v>
      </c>
      <c r="Q2258" s="135">
        <f>'National average solar data'!M$34</f>
        <v>1.0900000000000001</v>
      </c>
      <c r="R2258" s="135">
        <f>'National average solar data'!N$34</f>
        <v>1.0994999999999999</v>
      </c>
      <c r="S2258" s="135">
        <f>'National average solar data'!O$34</f>
        <v>1.1122000000000001</v>
      </c>
      <c r="T2258" s="135">
        <f>'National average solar data'!P$34</f>
        <v>1.1184000000000001</v>
      </c>
      <c r="U2258" s="135">
        <f>'National average solar data'!Q$34</f>
        <v>1.1312</v>
      </c>
      <c r="V2258" s="135">
        <f>'National average solar data'!R$34</f>
        <v>1.1587000000000001</v>
      </c>
      <c r="W2258" s="135">
        <f>'National average solar data'!S$34</f>
        <v>1.1986000000000001</v>
      </c>
      <c r="X2258" s="135">
        <f>'National average solar data'!T$34</f>
        <v>1.1145</v>
      </c>
      <c r="Y2258" s="135">
        <f>'National average solar data'!U$34</f>
        <v>0.54320000000000002</v>
      </c>
      <c r="Z2258" s="135">
        <f>'National average solar data'!V$34</f>
        <v>4.24E-2</v>
      </c>
      <c r="AA2258" s="135">
        <f>'National average solar data'!W$34</f>
        <v>0</v>
      </c>
      <c r="AB2258" s="135">
        <f>'National average solar data'!X$34</f>
        <v>0</v>
      </c>
      <c r="AC2258" s="135">
        <f>'National average solar data'!Y$34</f>
        <v>0</v>
      </c>
      <c r="AD2258" s="135">
        <f>'National average solar data'!Z$34</f>
        <v>0</v>
      </c>
    </row>
    <row r="2259" spans="1:30" ht="12.6">
      <c r="A2259" s="10" t="s">
        <v>131</v>
      </c>
      <c r="B2259" s="10">
        <v>68</v>
      </c>
      <c r="C2259" s="10" t="s">
        <v>1513</v>
      </c>
      <c r="D2259" s="388">
        <v>44994</v>
      </c>
      <c r="E2259" s="389">
        <v>44994</v>
      </c>
      <c r="G2259" s="135">
        <f>'National average solar data'!C$34</f>
        <v>0</v>
      </c>
      <c r="H2259" s="135">
        <f>'National average solar data'!D$34</f>
        <v>0</v>
      </c>
      <c r="I2259" s="135">
        <f>'National average solar data'!E$34</f>
        <v>0</v>
      </c>
      <c r="J2259" s="135">
        <f>'National average solar data'!F$34</f>
        <v>0</v>
      </c>
      <c r="K2259" s="135">
        <f>'National average solar data'!G$34</f>
        <v>0</v>
      </c>
      <c r="L2259" s="135">
        <f>'National average solar data'!H$34</f>
        <v>0</v>
      </c>
      <c r="M2259" s="135">
        <f>'National average solar data'!I$34</f>
        <v>0.29520000000000002</v>
      </c>
      <c r="N2259" s="135">
        <f>'National average solar data'!J$34</f>
        <v>1.0552999999999999</v>
      </c>
      <c r="O2259" s="135">
        <f>'National average solar data'!K$34</f>
        <v>1.0804</v>
      </c>
      <c r="P2259" s="135">
        <f>'National average solar data'!L$34</f>
        <v>1.0731999999999999</v>
      </c>
      <c r="Q2259" s="135">
        <f>'National average solar data'!M$34</f>
        <v>1.0900000000000001</v>
      </c>
      <c r="R2259" s="135">
        <f>'National average solar data'!N$34</f>
        <v>1.0994999999999999</v>
      </c>
      <c r="S2259" s="135">
        <f>'National average solar data'!O$34</f>
        <v>1.1122000000000001</v>
      </c>
      <c r="T2259" s="135">
        <f>'National average solar data'!P$34</f>
        <v>1.1184000000000001</v>
      </c>
      <c r="U2259" s="135">
        <f>'National average solar data'!Q$34</f>
        <v>1.1312</v>
      </c>
      <c r="V2259" s="135">
        <f>'National average solar data'!R$34</f>
        <v>1.1587000000000001</v>
      </c>
      <c r="W2259" s="135">
        <f>'National average solar data'!S$34</f>
        <v>1.1986000000000001</v>
      </c>
      <c r="X2259" s="135">
        <f>'National average solar data'!T$34</f>
        <v>1.1145</v>
      </c>
      <c r="Y2259" s="135">
        <f>'National average solar data'!U$34</f>
        <v>0.54320000000000002</v>
      </c>
      <c r="Z2259" s="135">
        <f>'National average solar data'!V$34</f>
        <v>4.24E-2</v>
      </c>
      <c r="AA2259" s="135">
        <f>'National average solar data'!W$34</f>
        <v>0</v>
      </c>
      <c r="AB2259" s="135">
        <f>'National average solar data'!X$34</f>
        <v>0</v>
      </c>
      <c r="AC2259" s="135">
        <f>'National average solar data'!Y$34</f>
        <v>0</v>
      </c>
      <c r="AD2259" s="135">
        <f>'National average solar data'!Z$34</f>
        <v>0</v>
      </c>
    </row>
    <row r="2260" spans="1:30" ht="12.6">
      <c r="A2260" s="10" t="s">
        <v>131</v>
      </c>
      <c r="B2260" s="10">
        <v>69</v>
      </c>
      <c r="C2260" s="10" t="s">
        <v>1513</v>
      </c>
      <c r="D2260" s="388">
        <v>44995</v>
      </c>
      <c r="E2260" s="389">
        <v>44995</v>
      </c>
      <c r="G2260" s="135">
        <f>'National average solar data'!C$34</f>
        <v>0</v>
      </c>
      <c r="H2260" s="135">
        <f>'National average solar data'!D$34</f>
        <v>0</v>
      </c>
      <c r="I2260" s="135">
        <f>'National average solar data'!E$34</f>
        <v>0</v>
      </c>
      <c r="J2260" s="135">
        <f>'National average solar data'!F$34</f>
        <v>0</v>
      </c>
      <c r="K2260" s="135">
        <f>'National average solar data'!G$34</f>
        <v>0</v>
      </c>
      <c r="L2260" s="135">
        <f>'National average solar data'!H$34</f>
        <v>0</v>
      </c>
      <c r="M2260" s="135">
        <f>'National average solar data'!I$34</f>
        <v>0.29520000000000002</v>
      </c>
      <c r="N2260" s="135">
        <f>'National average solar data'!J$34</f>
        <v>1.0552999999999999</v>
      </c>
      <c r="O2260" s="135">
        <f>'National average solar data'!K$34</f>
        <v>1.0804</v>
      </c>
      <c r="P2260" s="135">
        <f>'National average solar data'!L$34</f>
        <v>1.0731999999999999</v>
      </c>
      <c r="Q2260" s="135">
        <f>'National average solar data'!M$34</f>
        <v>1.0900000000000001</v>
      </c>
      <c r="R2260" s="135">
        <f>'National average solar data'!N$34</f>
        <v>1.0994999999999999</v>
      </c>
      <c r="S2260" s="135">
        <f>'National average solar data'!O$34</f>
        <v>1.1122000000000001</v>
      </c>
      <c r="T2260" s="135">
        <f>'National average solar data'!P$34</f>
        <v>1.1184000000000001</v>
      </c>
      <c r="U2260" s="135">
        <f>'National average solar data'!Q$34</f>
        <v>1.1312</v>
      </c>
      <c r="V2260" s="135">
        <f>'National average solar data'!R$34</f>
        <v>1.1587000000000001</v>
      </c>
      <c r="W2260" s="135">
        <f>'National average solar data'!S$34</f>
        <v>1.1986000000000001</v>
      </c>
      <c r="X2260" s="135">
        <f>'National average solar data'!T$34</f>
        <v>1.1145</v>
      </c>
      <c r="Y2260" s="135">
        <f>'National average solar data'!U$34</f>
        <v>0.54320000000000002</v>
      </c>
      <c r="Z2260" s="135">
        <f>'National average solar data'!V$34</f>
        <v>4.24E-2</v>
      </c>
      <c r="AA2260" s="135">
        <f>'National average solar data'!W$34</f>
        <v>0</v>
      </c>
      <c r="AB2260" s="135">
        <f>'National average solar data'!X$34</f>
        <v>0</v>
      </c>
      <c r="AC2260" s="135">
        <f>'National average solar data'!Y$34</f>
        <v>0</v>
      </c>
      <c r="AD2260" s="135">
        <f>'National average solar data'!Z$34</f>
        <v>0</v>
      </c>
    </row>
    <row r="2261" spans="1:30" ht="12.6">
      <c r="A2261" s="10" t="s">
        <v>131</v>
      </c>
      <c r="B2261" s="10">
        <v>70</v>
      </c>
      <c r="C2261" s="10" t="s">
        <v>1513</v>
      </c>
      <c r="D2261" s="388">
        <v>44996</v>
      </c>
      <c r="E2261" s="389">
        <v>44996</v>
      </c>
      <c r="G2261" s="135">
        <f>'National average solar data'!C$34</f>
        <v>0</v>
      </c>
      <c r="H2261" s="135">
        <f>'National average solar data'!D$34</f>
        <v>0</v>
      </c>
      <c r="I2261" s="135">
        <f>'National average solar data'!E$34</f>
        <v>0</v>
      </c>
      <c r="J2261" s="135">
        <f>'National average solar data'!F$34</f>
        <v>0</v>
      </c>
      <c r="K2261" s="135">
        <f>'National average solar data'!G$34</f>
        <v>0</v>
      </c>
      <c r="L2261" s="135">
        <f>'National average solar data'!H$34</f>
        <v>0</v>
      </c>
      <c r="M2261" s="135">
        <f>'National average solar data'!I$34</f>
        <v>0.29520000000000002</v>
      </c>
      <c r="N2261" s="135">
        <f>'National average solar data'!J$34</f>
        <v>1.0552999999999999</v>
      </c>
      <c r="O2261" s="135">
        <f>'National average solar data'!K$34</f>
        <v>1.0804</v>
      </c>
      <c r="P2261" s="135">
        <f>'National average solar data'!L$34</f>
        <v>1.0731999999999999</v>
      </c>
      <c r="Q2261" s="135">
        <f>'National average solar data'!M$34</f>
        <v>1.0900000000000001</v>
      </c>
      <c r="R2261" s="135">
        <f>'National average solar data'!N$34</f>
        <v>1.0994999999999999</v>
      </c>
      <c r="S2261" s="135">
        <f>'National average solar data'!O$34</f>
        <v>1.1122000000000001</v>
      </c>
      <c r="T2261" s="135">
        <f>'National average solar data'!P$34</f>
        <v>1.1184000000000001</v>
      </c>
      <c r="U2261" s="135">
        <f>'National average solar data'!Q$34</f>
        <v>1.1312</v>
      </c>
      <c r="V2261" s="135">
        <f>'National average solar data'!R$34</f>
        <v>1.1587000000000001</v>
      </c>
      <c r="W2261" s="135">
        <f>'National average solar data'!S$34</f>
        <v>1.1986000000000001</v>
      </c>
      <c r="X2261" s="135">
        <f>'National average solar data'!T$34</f>
        <v>1.1145</v>
      </c>
      <c r="Y2261" s="135">
        <f>'National average solar data'!U$34</f>
        <v>0.54320000000000002</v>
      </c>
      <c r="Z2261" s="135">
        <f>'National average solar data'!V$34</f>
        <v>4.24E-2</v>
      </c>
      <c r="AA2261" s="135">
        <f>'National average solar data'!W$34</f>
        <v>0</v>
      </c>
      <c r="AB2261" s="135">
        <f>'National average solar data'!X$34</f>
        <v>0</v>
      </c>
      <c r="AC2261" s="135">
        <f>'National average solar data'!Y$34</f>
        <v>0</v>
      </c>
      <c r="AD2261" s="135">
        <f>'National average solar data'!Z$34</f>
        <v>0</v>
      </c>
    </row>
    <row r="2262" spans="1:30" ht="12.6">
      <c r="A2262" s="10" t="s">
        <v>131</v>
      </c>
      <c r="B2262" s="10">
        <v>71</v>
      </c>
      <c r="C2262" s="10" t="s">
        <v>1513</v>
      </c>
      <c r="D2262" s="388">
        <v>44997</v>
      </c>
      <c r="E2262" s="389">
        <v>44997</v>
      </c>
      <c r="G2262" s="135">
        <f>'National average solar data'!C$34</f>
        <v>0</v>
      </c>
      <c r="H2262" s="135">
        <f>'National average solar data'!D$34</f>
        <v>0</v>
      </c>
      <c r="I2262" s="135">
        <f>'National average solar data'!E$34</f>
        <v>0</v>
      </c>
      <c r="J2262" s="135">
        <f>'National average solar data'!F$34</f>
        <v>0</v>
      </c>
      <c r="K2262" s="135">
        <f>'National average solar data'!G$34</f>
        <v>0</v>
      </c>
      <c r="L2262" s="135">
        <f>'National average solar data'!H$34</f>
        <v>0</v>
      </c>
      <c r="M2262" s="135">
        <f>'National average solar data'!I$34</f>
        <v>0.29520000000000002</v>
      </c>
      <c r="N2262" s="135">
        <f>'National average solar data'!J$34</f>
        <v>1.0552999999999999</v>
      </c>
      <c r="O2262" s="135">
        <f>'National average solar data'!K$34</f>
        <v>1.0804</v>
      </c>
      <c r="P2262" s="135">
        <f>'National average solar data'!L$34</f>
        <v>1.0731999999999999</v>
      </c>
      <c r="Q2262" s="135">
        <f>'National average solar data'!M$34</f>
        <v>1.0900000000000001</v>
      </c>
      <c r="R2262" s="135">
        <f>'National average solar data'!N$34</f>
        <v>1.0994999999999999</v>
      </c>
      <c r="S2262" s="135">
        <f>'National average solar data'!O$34</f>
        <v>1.1122000000000001</v>
      </c>
      <c r="T2262" s="135">
        <f>'National average solar data'!P$34</f>
        <v>1.1184000000000001</v>
      </c>
      <c r="U2262" s="135">
        <f>'National average solar data'!Q$34</f>
        <v>1.1312</v>
      </c>
      <c r="V2262" s="135">
        <f>'National average solar data'!R$34</f>
        <v>1.1587000000000001</v>
      </c>
      <c r="W2262" s="135">
        <f>'National average solar data'!S$34</f>
        <v>1.1986000000000001</v>
      </c>
      <c r="X2262" s="135">
        <f>'National average solar data'!T$34</f>
        <v>1.1145</v>
      </c>
      <c r="Y2262" s="135">
        <f>'National average solar data'!U$34</f>
        <v>0.54320000000000002</v>
      </c>
      <c r="Z2262" s="135">
        <f>'National average solar data'!V$34</f>
        <v>4.24E-2</v>
      </c>
      <c r="AA2262" s="135">
        <f>'National average solar data'!W$34</f>
        <v>0</v>
      </c>
      <c r="AB2262" s="135">
        <f>'National average solar data'!X$34</f>
        <v>0</v>
      </c>
      <c r="AC2262" s="135">
        <f>'National average solar data'!Y$34</f>
        <v>0</v>
      </c>
      <c r="AD2262" s="135">
        <f>'National average solar data'!Z$34</f>
        <v>0</v>
      </c>
    </row>
    <row r="2263" spans="1:30" ht="12.6">
      <c r="A2263" s="10" t="s">
        <v>131</v>
      </c>
      <c r="B2263" s="10">
        <v>72</v>
      </c>
      <c r="C2263" s="10" t="s">
        <v>1513</v>
      </c>
      <c r="D2263" s="388">
        <v>44998</v>
      </c>
      <c r="E2263" s="389">
        <v>44998</v>
      </c>
      <c r="G2263" s="135">
        <f>'National average solar data'!C$34</f>
        <v>0</v>
      </c>
      <c r="H2263" s="135">
        <f>'National average solar data'!D$34</f>
        <v>0</v>
      </c>
      <c r="I2263" s="135">
        <f>'National average solar data'!E$34</f>
        <v>0</v>
      </c>
      <c r="J2263" s="135">
        <f>'National average solar data'!F$34</f>
        <v>0</v>
      </c>
      <c r="K2263" s="135">
        <f>'National average solar data'!G$34</f>
        <v>0</v>
      </c>
      <c r="L2263" s="135">
        <f>'National average solar data'!H$34</f>
        <v>0</v>
      </c>
      <c r="M2263" s="135">
        <f>'National average solar data'!I$34</f>
        <v>0.29520000000000002</v>
      </c>
      <c r="N2263" s="135">
        <f>'National average solar data'!J$34</f>
        <v>1.0552999999999999</v>
      </c>
      <c r="O2263" s="135">
        <f>'National average solar data'!K$34</f>
        <v>1.0804</v>
      </c>
      <c r="P2263" s="135">
        <f>'National average solar data'!L$34</f>
        <v>1.0731999999999999</v>
      </c>
      <c r="Q2263" s="135">
        <f>'National average solar data'!M$34</f>
        <v>1.0900000000000001</v>
      </c>
      <c r="R2263" s="135">
        <f>'National average solar data'!N$34</f>
        <v>1.0994999999999999</v>
      </c>
      <c r="S2263" s="135">
        <f>'National average solar data'!O$34</f>
        <v>1.1122000000000001</v>
      </c>
      <c r="T2263" s="135">
        <f>'National average solar data'!P$34</f>
        <v>1.1184000000000001</v>
      </c>
      <c r="U2263" s="135">
        <f>'National average solar data'!Q$34</f>
        <v>1.1312</v>
      </c>
      <c r="V2263" s="135">
        <f>'National average solar data'!R$34</f>
        <v>1.1587000000000001</v>
      </c>
      <c r="W2263" s="135">
        <f>'National average solar data'!S$34</f>
        <v>1.1986000000000001</v>
      </c>
      <c r="X2263" s="135">
        <f>'National average solar data'!T$34</f>
        <v>1.1145</v>
      </c>
      <c r="Y2263" s="135">
        <f>'National average solar data'!U$34</f>
        <v>0.54320000000000002</v>
      </c>
      <c r="Z2263" s="135">
        <f>'National average solar data'!V$34</f>
        <v>4.24E-2</v>
      </c>
      <c r="AA2263" s="135">
        <f>'National average solar data'!W$34</f>
        <v>0</v>
      </c>
      <c r="AB2263" s="135">
        <f>'National average solar data'!X$34</f>
        <v>0</v>
      </c>
      <c r="AC2263" s="135">
        <f>'National average solar data'!Y$34</f>
        <v>0</v>
      </c>
      <c r="AD2263" s="135">
        <f>'National average solar data'!Z$34</f>
        <v>0</v>
      </c>
    </row>
    <row r="2264" spans="1:30" ht="12.6">
      <c r="A2264" s="10" t="s">
        <v>131</v>
      </c>
      <c r="B2264" s="10">
        <v>73</v>
      </c>
      <c r="C2264" s="10" t="s">
        <v>1513</v>
      </c>
      <c r="D2264" s="388">
        <v>44999</v>
      </c>
      <c r="E2264" s="389">
        <v>44999</v>
      </c>
      <c r="G2264" s="135">
        <f>'National average solar data'!C$34</f>
        <v>0</v>
      </c>
      <c r="H2264" s="135">
        <f>'National average solar data'!D$34</f>
        <v>0</v>
      </c>
      <c r="I2264" s="135">
        <f>'National average solar data'!E$34</f>
        <v>0</v>
      </c>
      <c r="J2264" s="135">
        <f>'National average solar data'!F$34</f>
        <v>0</v>
      </c>
      <c r="K2264" s="135">
        <f>'National average solar data'!G$34</f>
        <v>0</v>
      </c>
      <c r="L2264" s="135">
        <f>'National average solar data'!H$34</f>
        <v>0</v>
      </c>
      <c r="M2264" s="135">
        <f>'National average solar data'!I$34</f>
        <v>0.29520000000000002</v>
      </c>
      <c r="N2264" s="135">
        <f>'National average solar data'!J$34</f>
        <v>1.0552999999999999</v>
      </c>
      <c r="O2264" s="135">
        <f>'National average solar data'!K$34</f>
        <v>1.0804</v>
      </c>
      <c r="P2264" s="135">
        <f>'National average solar data'!L$34</f>
        <v>1.0731999999999999</v>
      </c>
      <c r="Q2264" s="135">
        <f>'National average solar data'!M$34</f>
        <v>1.0900000000000001</v>
      </c>
      <c r="R2264" s="135">
        <f>'National average solar data'!N$34</f>
        <v>1.0994999999999999</v>
      </c>
      <c r="S2264" s="135">
        <f>'National average solar data'!O$34</f>
        <v>1.1122000000000001</v>
      </c>
      <c r="T2264" s="135">
        <f>'National average solar data'!P$34</f>
        <v>1.1184000000000001</v>
      </c>
      <c r="U2264" s="135">
        <f>'National average solar data'!Q$34</f>
        <v>1.1312</v>
      </c>
      <c r="V2264" s="135">
        <f>'National average solar data'!R$34</f>
        <v>1.1587000000000001</v>
      </c>
      <c r="W2264" s="135">
        <f>'National average solar data'!S$34</f>
        <v>1.1986000000000001</v>
      </c>
      <c r="X2264" s="135">
        <f>'National average solar data'!T$34</f>
        <v>1.1145</v>
      </c>
      <c r="Y2264" s="135">
        <f>'National average solar data'!U$34</f>
        <v>0.54320000000000002</v>
      </c>
      <c r="Z2264" s="135">
        <f>'National average solar data'!V$34</f>
        <v>4.24E-2</v>
      </c>
      <c r="AA2264" s="135">
        <f>'National average solar data'!W$34</f>
        <v>0</v>
      </c>
      <c r="AB2264" s="135">
        <f>'National average solar data'!X$34</f>
        <v>0</v>
      </c>
      <c r="AC2264" s="135">
        <f>'National average solar data'!Y$34</f>
        <v>0</v>
      </c>
      <c r="AD2264" s="135">
        <f>'National average solar data'!Z$34</f>
        <v>0</v>
      </c>
    </row>
    <row r="2265" spans="1:30" ht="12.6">
      <c r="A2265" s="10" t="s">
        <v>131</v>
      </c>
      <c r="B2265" s="10">
        <v>74</v>
      </c>
      <c r="C2265" s="10" t="s">
        <v>1513</v>
      </c>
      <c r="D2265" s="388">
        <v>45000</v>
      </c>
      <c r="E2265" s="389">
        <v>45000</v>
      </c>
      <c r="G2265" s="135">
        <f>'National average solar data'!C$34</f>
        <v>0</v>
      </c>
      <c r="H2265" s="135">
        <f>'National average solar data'!D$34</f>
        <v>0</v>
      </c>
      <c r="I2265" s="135">
        <f>'National average solar data'!E$34</f>
        <v>0</v>
      </c>
      <c r="J2265" s="135">
        <f>'National average solar data'!F$34</f>
        <v>0</v>
      </c>
      <c r="K2265" s="135">
        <f>'National average solar data'!G$34</f>
        <v>0</v>
      </c>
      <c r="L2265" s="135">
        <f>'National average solar data'!H$34</f>
        <v>0</v>
      </c>
      <c r="M2265" s="135">
        <f>'National average solar data'!I$34</f>
        <v>0.29520000000000002</v>
      </c>
      <c r="N2265" s="135">
        <f>'National average solar data'!J$34</f>
        <v>1.0552999999999999</v>
      </c>
      <c r="O2265" s="135">
        <f>'National average solar data'!K$34</f>
        <v>1.0804</v>
      </c>
      <c r="P2265" s="135">
        <f>'National average solar data'!L$34</f>
        <v>1.0731999999999999</v>
      </c>
      <c r="Q2265" s="135">
        <f>'National average solar data'!M$34</f>
        <v>1.0900000000000001</v>
      </c>
      <c r="R2265" s="135">
        <f>'National average solar data'!N$34</f>
        <v>1.0994999999999999</v>
      </c>
      <c r="S2265" s="135">
        <f>'National average solar data'!O$34</f>
        <v>1.1122000000000001</v>
      </c>
      <c r="T2265" s="135">
        <f>'National average solar data'!P$34</f>
        <v>1.1184000000000001</v>
      </c>
      <c r="U2265" s="135">
        <f>'National average solar data'!Q$34</f>
        <v>1.1312</v>
      </c>
      <c r="V2265" s="135">
        <f>'National average solar data'!R$34</f>
        <v>1.1587000000000001</v>
      </c>
      <c r="W2265" s="135">
        <f>'National average solar data'!S$34</f>
        <v>1.1986000000000001</v>
      </c>
      <c r="X2265" s="135">
        <f>'National average solar data'!T$34</f>
        <v>1.1145</v>
      </c>
      <c r="Y2265" s="135">
        <f>'National average solar data'!U$34</f>
        <v>0.54320000000000002</v>
      </c>
      <c r="Z2265" s="135">
        <f>'National average solar data'!V$34</f>
        <v>4.24E-2</v>
      </c>
      <c r="AA2265" s="135">
        <f>'National average solar data'!W$34</f>
        <v>0</v>
      </c>
      <c r="AB2265" s="135">
        <f>'National average solar data'!X$34</f>
        <v>0</v>
      </c>
      <c r="AC2265" s="135">
        <f>'National average solar data'!Y$34</f>
        <v>0</v>
      </c>
      <c r="AD2265" s="135">
        <f>'National average solar data'!Z$34</f>
        <v>0</v>
      </c>
    </row>
    <row r="2266" spans="1:30" ht="12.6">
      <c r="A2266" s="10" t="s">
        <v>131</v>
      </c>
      <c r="B2266" s="10">
        <v>75</v>
      </c>
      <c r="C2266" s="10" t="s">
        <v>1513</v>
      </c>
      <c r="D2266" s="388">
        <v>45001</v>
      </c>
      <c r="E2266" s="389">
        <v>45001</v>
      </c>
      <c r="G2266" s="135">
        <f>'National average solar data'!C$34</f>
        <v>0</v>
      </c>
      <c r="H2266" s="135">
        <f>'National average solar data'!D$34</f>
        <v>0</v>
      </c>
      <c r="I2266" s="135">
        <f>'National average solar data'!E$34</f>
        <v>0</v>
      </c>
      <c r="J2266" s="135">
        <f>'National average solar data'!F$34</f>
        <v>0</v>
      </c>
      <c r="K2266" s="135">
        <f>'National average solar data'!G$34</f>
        <v>0</v>
      </c>
      <c r="L2266" s="135">
        <f>'National average solar data'!H$34</f>
        <v>0</v>
      </c>
      <c r="M2266" s="135">
        <f>'National average solar data'!I$34</f>
        <v>0.29520000000000002</v>
      </c>
      <c r="N2266" s="135">
        <f>'National average solar data'!J$34</f>
        <v>1.0552999999999999</v>
      </c>
      <c r="O2266" s="135">
        <f>'National average solar data'!K$34</f>
        <v>1.0804</v>
      </c>
      <c r="P2266" s="135">
        <f>'National average solar data'!L$34</f>
        <v>1.0731999999999999</v>
      </c>
      <c r="Q2266" s="135">
        <f>'National average solar data'!M$34</f>
        <v>1.0900000000000001</v>
      </c>
      <c r="R2266" s="135">
        <f>'National average solar data'!N$34</f>
        <v>1.0994999999999999</v>
      </c>
      <c r="S2266" s="135">
        <f>'National average solar data'!O$34</f>
        <v>1.1122000000000001</v>
      </c>
      <c r="T2266" s="135">
        <f>'National average solar data'!P$34</f>
        <v>1.1184000000000001</v>
      </c>
      <c r="U2266" s="135">
        <f>'National average solar data'!Q$34</f>
        <v>1.1312</v>
      </c>
      <c r="V2266" s="135">
        <f>'National average solar data'!R$34</f>
        <v>1.1587000000000001</v>
      </c>
      <c r="W2266" s="135">
        <f>'National average solar data'!S$34</f>
        <v>1.1986000000000001</v>
      </c>
      <c r="X2266" s="135">
        <f>'National average solar data'!T$34</f>
        <v>1.1145</v>
      </c>
      <c r="Y2266" s="135">
        <f>'National average solar data'!U$34</f>
        <v>0.54320000000000002</v>
      </c>
      <c r="Z2266" s="135">
        <f>'National average solar data'!V$34</f>
        <v>4.24E-2</v>
      </c>
      <c r="AA2266" s="135">
        <f>'National average solar data'!W$34</f>
        <v>0</v>
      </c>
      <c r="AB2266" s="135">
        <f>'National average solar data'!X$34</f>
        <v>0</v>
      </c>
      <c r="AC2266" s="135">
        <f>'National average solar data'!Y$34</f>
        <v>0</v>
      </c>
      <c r="AD2266" s="135">
        <f>'National average solar data'!Z$34</f>
        <v>0</v>
      </c>
    </row>
    <row r="2267" spans="1:30" ht="12.6">
      <c r="A2267" s="10" t="s">
        <v>131</v>
      </c>
      <c r="B2267" s="10">
        <v>76</v>
      </c>
      <c r="C2267" s="10" t="s">
        <v>1513</v>
      </c>
      <c r="D2267" s="388">
        <v>45002</v>
      </c>
      <c r="E2267" s="389">
        <v>45002</v>
      </c>
      <c r="G2267" s="135">
        <f>'National average solar data'!C$34</f>
        <v>0</v>
      </c>
      <c r="H2267" s="135">
        <f>'National average solar data'!D$34</f>
        <v>0</v>
      </c>
      <c r="I2267" s="135">
        <f>'National average solar data'!E$34</f>
        <v>0</v>
      </c>
      <c r="J2267" s="135">
        <f>'National average solar data'!F$34</f>
        <v>0</v>
      </c>
      <c r="K2267" s="135">
        <f>'National average solar data'!G$34</f>
        <v>0</v>
      </c>
      <c r="L2267" s="135">
        <f>'National average solar data'!H$34</f>
        <v>0</v>
      </c>
      <c r="M2267" s="135">
        <f>'National average solar data'!I$34</f>
        <v>0.29520000000000002</v>
      </c>
      <c r="N2267" s="135">
        <f>'National average solar data'!J$34</f>
        <v>1.0552999999999999</v>
      </c>
      <c r="O2267" s="135">
        <f>'National average solar data'!K$34</f>
        <v>1.0804</v>
      </c>
      <c r="P2267" s="135">
        <f>'National average solar data'!L$34</f>
        <v>1.0731999999999999</v>
      </c>
      <c r="Q2267" s="135">
        <f>'National average solar data'!M$34</f>
        <v>1.0900000000000001</v>
      </c>
      <c r="R2267" s="135">
        <f>'National average solar data'!N$34</f>
        <v>1.0994999999999999</v>
      </c>
      <c r="S2267" s="135">
        <f>'National average solar data'!O$34</f>
        <v>1.1122000000000001</v>
      </c>
      <c r="T2267" s="135">
        <f>'National average solar data'!P$34</f>
        <v>1.1184000000000001</v>
      </c>
      <c r="U2267" s="135">
        <f>'National average solar data'!Q$34</f>
        <v>1.1312</v>
      </c>
      <c r="V2267" s="135">
        <f>'National average solar data'!R$34</f>
        <v>1.1587000000000001</v>
      </c>
      <c r="W2267" s="135">
        <f>'National average solar data'!S$34</f>
        <v>1.1986000000000001</v>
      </c>
      <c r="X2267" s="135">
        <f>'National average solar data'!T$34</f>
        <v>1.1145</v>
      </c>
      <c r="Y2267" s="135">
        <f>'National average solar data'!U$34</f>
        <v>0.54320000000000002</v>
      </c>
      <c r="Z2267" s="135">
        <f>'National average solar data'!V$34</f>
        <v>4.24E-2</v>
      </c>
      <c r="AA2267" s="135">
        <f>'National average solar data'!W$34</f>
        <v>0</v>
      </c>
      <c r="AB2267" s="135">
        <f>'National average solar data'!X$34</f>
        <v>0</v>
      </c>
      <c r="AC2267" s="135">
        <f>'National average solar data'!Y$34</f>
        <v>0</v>
      </c>
      <c r="AD2267" s="135">
        <f>'National average solar data'!Z$34</f>
        <v>0</v>
      </c>
    </row>
    <row r="2268" spans="1:30" ht="12.6">
      <c r="A2268" s="10" t="s">
        <v>131</v>
      </c>
      <c r="B2268" s="10">
        <v>77</v>
      </c>
      <c r="C2268" s="10" t="s">
        <v>1513</v>
      </c>
      <c r="D2268" s="388">
        <v>45003</v>
      </c>
      <c r="E2268" s="389">
        <v>45003</v>
      </c>
      <c r="G2268" s="135">
        <f>'National average solar data'!C$34</f>
        <v>0</v>
      </c>
      <c r="H2268" s="135">
        <f>'National average solar data'!D$34</f>
        <v>0</v>
      </c>
      <c r="I2268" s="135">
        <f>'National average solar data'!E$34</f>
        <v>0</v>
      </c>
      <c r="J2268" s="135">
        <f>'National average solar data'!F$34</f>
        <v>0</v>
      </c>
      <c r="K2268" s="135">
        <f>'National average solar data'!G$34</f>
        <v>0</v>
      </c>
      <c r="L2268" s="135">
        <f>'National average solar data'!H$34</f>
        <v>0</v>
      </c>
      <c r="M2268" s="135">
        <f>'National average solar data'!I$34</f>
        <v>0.29520000000000002</v>
      </c>
      <c r="N2268" s="135">
        <f>'National average solar data'!J$34</f>
        <v>1.0552999999999999</v>
      </c>
      <c r="O2268" s="135">
        <f>'National average solar data'!K$34</f>
        <v>1.0804</v>
      </c>
      <c r="P2268" s="135">
        <f>'National average solar data'!L$34</f>
        <v>1.0731999999999999</v>
      </c>
      <c r="Q2268" s="135">
        <f>'National average solar data'!M$34</f>
        <v>1.0900000000000001</v>
      </c>
      <c r="R2268" s="135">
        <f>'National average solar data'!N$34</f>
        <v>1.0994999999999999</v>
      </c>
      <c r="S2268" s="135">
        <f>'National average solar data'!O$34</f>
        <v>1.1122000000000001</v>
      </c>
      <c r="T2268" s="135">
        <f>'National average solar data'!P$34</f>
        <v>1.1184000000000001</v>
      </c>
      <c r="U2268" s="135">
        <f>'National average solar data'!Q$34</f>
        <v>1.1312</v>
      </c>
      <c r="V2268" s="135">
        <f>'National average solar data'!R$34</f>
        <v>1.1587000000000001</v>
      </c>
      <c r="W2268" s="135">
        <f>'National average solar data'!S$34</f>
        <v>1.1986000000000001</v>
      </c>
      <c r="X2268" s="135">
        <f>'National average solar data'!T$34</f>
        <v>1.1145</v>
      </c>
      <c r="Y2268" s="135">
        <f>'National average solar data'!U$34</f>
        <v>0.54320000000000002</v>
      </c>
      <c r="Z2268" s="135">
        <f>'National average solar data'!V$34</f>
        <v>4.24E-2</v>
      </c>
      <c r="AA2268" s="135">
        <f>'National average solar data'!W$34</f>
        <v>0</v>
      </c>
      <c r="AB2268" s="135">
        <f>'National average solar data'!X$34</f>
        <v>0</v>
      </c>
      <c r="AC2268" s="135">
        <f>'National average solar data'!Y$34</f>
        <v>0</v>
      </c>
      <c r="AD2268" s="135">
        <f>'National average solar data'!Z$34</f>
        <v>0</v>
      </c>
    </row>
    <row r="2269" spans="1:30" ht="12.6">
      <c r="A2269" s="10" t="s">
        <v>131</v>
      </c>
      <c r="B2269" s="10">
        <v>78</v>
      </c>
      <c r="C2269" s="10" t="s">
        <v>1513</v>
      </c>
      <c r="D2269" s="388">
        <v>45004</v>
      </c>
      <c r="E2269" s="389">
        <v>45004</v>
      </c>
      <c r="G2269" s="135">
        <f>'National average solar data'!C$34</f>
        <v>0</v>
      </c>
      <c r="H2269" s="135">
        <f>'National average solar data'!D$34</f>
        <v>0</v>
      </c>
      <c r="I2269" s="135">
        <f>'National average solar data'!E$34</f>
        <v>0</v>
      </c>
      <c r="J2269" s="135">
        <f>'National average solar data'!F$34</f>
        <v>0</v>
      </c>
      <c r="K2269" s="135">
        <f>'National average solar data'!G$34</f>
        <v>0</v>
      </c>
      <c r="L2269" s="135">
        <f>'National average solar data'!H$34</f>
        <v>0</v>
      </c>
      <c r="M2269" s="135">
        <f>'National average solar data'!I$34</f>
        <v>0.29520000000000002</v>
      </c>
      <c r="N2269" s="135">
        <f>'National average solar data'!J$34</f>
        <v>1.0552999999999999</v>
      </c>
      <c r="O2269" s="135">
        <f>'National average solar data'!K$34</f>
        <v>1.0804</v>
      </c>
      <c r="P2269" s="135">
        <f>'National average solar data'!L$34</f>
        <v>1.0731999999999999</v>
      </c>
      <c r="Q2269" s="135">
        <f>'National average solar data'!M$34</f>
        <v>1.0900000000000001</v>
      </c>
      <c r="R2269" s="135">
        <f>'National average solar data'!N$34</f>
        <v>1.0994999999999999</v>
      </c>
      <c r="S2269" s="135">
        <f>'National average solar data'!O$34</f>
        <v>1.1122000000000001</v>
      </c>
      <c r="T2269" s="135">
        <f>'National average solar data'!P$34</f>
        <v>1.1184000000000001</v>
      </c>
      <c r="U2269" s="135">
        <f>'National average solar data'!Q$34</f>
        <v>1.1312</v>
      </c>
      <c r="V2269" s="135">
        <f>'National average solar data'!R$34</f>
        <v>1.1587000000000001</v>
      </c>
      <c r="W2269" s="135">
        <f>'National average solar data'!S$34</f>
        <v>1.1986000000000001</v>
      </c>
      <c r="X2269" s="135">
        <f>'National average solar data'!T$34</f>
        <v>1.1145</v>
      </c>
      <c r="Y2269" s="135">
        <f>'National average solar data'!U$34</f>
        <v>0.54320000000000002</v>
      </c>
      <c r="Z2269" s="135">
        <f>'National average solar data'!V$34</f>
        <v>4.24E-2</v>
      </c>
      <c r="AA2269" s="135">
        <f>'National average solar data'!W$34</f>
        <v>0</v>
      </c>
      <c r="AB2269" s="135">
        <f>'National average solar data'!X$34</f>
        <v>0</v>
      </c>
      <c r="AC2269" s="135">
        <f>'National average solar data'!Y$34</f>
        <v>0</v>
      </c>
      <c r="AD2269" s="135">
        <f>'National average solar data'!Z$34</f>
        <v>0</v>
      </c>
    </row>
    <row r="2270" spans="1:30" ht="12.6">
      <c r="A2270" s="10" t="s">
        <v>131</v>
      </c>
      <c r="B2270" s="10">
        <v>79</v>
      </c>
      <c r="C2270" s="10" t="s">
        <v>1513</v>
      </c>
      <c r="D2270" s="388">
        <v>45005</v>
      </c>
      <c r="E2270" s="389">
        <v>45005</v>
      </c>
      <c r="G2270" s="135">
        <f>'National average solar data'!C$34</f>
        <v>0</v>
      </c>
      <c r="H2270" s="135">
        <f>'National average solar data'!D$34</f>
        <v>0</v>
      </c>
      <c r="I2270" s="135">
        <f>'National average solar data'!E$34</f>
        <v>0</v>
      </c>
      <c r="J2270" s="135">
        <f>'National average solar data'!F$34</f>
        <v>0</v>
      </c>
      <c r="K2270" s="135">
        <f>'National average solar data'!G$34</f>
        <v>0</v>
      </c>
      <c r="L2270" s="135">
        <f>'National average solar data'!H$34</f>
        <v>0</v>
      </c>
      <c r="M2270" s="135">
        <f>'National average solar data'!I$34</f>
        <v>0.29520000000000002</v>
      </c>
      <c r="N2270" s="135">
        <f>'National average solar data'!J$34</f>
        <v>1.0552999999999999</v>
      </c>
      <c r="O2270" s="135">
        <f>'National average solar data'!K$34</f>
        <v>1.0804</v>
      </c>
      <c r="P2270" s="135">
        <f>'National average solar data'!L$34</f>
        <v>1.0731999999999999</v>
      </c>
      <c r="Q2270" s="135">
        <f>'National average solar data'!M$34</f>
        <v>1.0900000000000001</v>
      </c>
      <c r="R2270" s="135">
        <f>'National average solar data'!N$34</f>
        <v>1.0994999999999999</v>
      </c>
      <c r="S2270" s="135">
        <f>'National average solar data'!O$34</f>
        <v>1.1122000000000001</v>
      </c>
      <c r="T2270" s="135">
        <f>'National average solar data'!P$34</f>
        <v>1.1184000000000001</v>
      </c>
      <c r="U2270" s="135">
        <f>'National average solar data'!Q$34</f>
        <v>1.1312</v>
      </c>
      <c r="V2270" s="135">
        <f>'National average solar data'!R$34</f>
        <v>1.1587000000000001</v>
      </c>
      <c r="W2270" s="135">
        <f>'National average solar data'!S$34</f>
        <v>1.1986000000000001</v>
      </c>
      <c r="X2270" s="135">
        <f>'National average solar data'!T$34</f>
        <v>1.1145</v>
      </c>
      <c r="Y2270" s="135">
        <f>'National average solar data'!U$34</f>
        <v>0.54320000000000002</v>
      </c>
      <c r="Z2270" s="135">
        <f>'National average solar data'!V$34</f>
        <v>4.24E-2</v>
      </c>
      <c r="AA2270" s="135">
        <f>'National average solar data'!W$34</f>
        <v>0</v>
      </c>
      <c r="AB2270" s="135">
        <f>'National average solar data'!X$34</f>
        <v>0</v>
      </c>
      <c r="AC2270" s="135">
        <f>'National average solar data'!Y$34</f>
        <v>0</v>
      </c>
      <c r="AD2270" s="135">
        <f>'National average solar data'!Z$34</f>
        <v>0</v>
      </c>
    </row>
    <row r="2271" spans="1:30" ht="12.6">
      <c r="A2271" s="10" t="s">
        <v>131</v>
      </c>
      <c r="B2271" s="10">
        <v>80</v>
      </c>
      <c r="C2271" s="10" t="s">
        <v>1513</v>
      </c>
      <c r="D2271" s="388">
        <v>45006</v>
      </c>
      <c r="E2271" s="389">
        <v>45006</v>
      </c>
      <c r="G2271" s="135">
        <f>'National average solar data'!C$34</f>
        <v>0</v>
      </c>
      <c r="H2271" s="135">
        <f>'National average solar data'!D$34</f>
        <v>0</v>
      </c>
      <c r="I2271" s="135">
        <f>'National average solar data'!E$34</f>
        <v>0</v>
      </c>
      <c r="J2271" s="135">
        <f>'National average solar data'!F$34</f>
        <v>0</v>
      </c>
      <c r="K2271" s="135">
        <f>'National average solar data'!G$34</f>
        <v>0</v>
      </c>
      <c r="L2271" s="135">
        <f>'National average solar data'!H$34</f>
        <v>0</v>
      </c>
      <c r="M2271" s="135">
        <f>'National average solar data'!I$34</f>
        <v>0.29520000000000002</v>
      </c>
      <c r="N2271" s="135">
        <f>'National average solar data'!J$34</f>
        <v>1.0552999999999999</v>
      </c>
      <c r="O2271" s="135">
        <f>'National average solar data'!K$34</f>
        <v>1.0804</v>
      </c>
      <c r="P2271" s="135">
        <f>'National average solar data'!L$34</f>
        <v>1.0731999999999999</v>
      </c>
      <c r="Q2271" s="135">
        <f>'National average solar data'!M$34</f>
        <v>1.0900000000000001</v>
      </c>
      <c r="R2271" s="135">
        <f>'National average solar data'!N$34</f>
        <v>1.0994999999999999</v>
      </c>
      <c r="S2271" s="135">
        <f>'National average solar data'!O$34</f>
        <v>1.1122000000000001</v>
      </c>
      <c r="T2271" s="135">
        <f>'National average solar data'!P$34</f>
        <v>1.1184000000000001</v>
      </c>
      <c r="U2271" s="135">
        <f>'National average solar data'!Q$34</f>
        <v>1.1312</v>
      </c>
      <c r="V2271" s="135">
        <f>'National average solar data'!R$34</f>
        <v>1.1587000000000001</v>
      </c>
      <c r="W2271" s="135">
        <f>'National average solar data'!S$34</f>
        <v>1.1986000000000001</v>
      </c>
      <c r="X2271" s="135">
        <f>'National average solar data'!T$34</f>
        <v>1.1145</v>
      </c>
      <c r="Y2271" s="135">
        <f>'National average solar data'!U$34</f>
        <v>0.54320000000000002</v>
      </c>
      <c r="Z2271" s="135">
        <f>'National average solar data'!V$34</f>
        <v>4.24E-2</v>
      </c>
      <c r="AA2271" s="135">
        <f>'National average solar data'!W$34</f>
        <v>0</v>
      </c>
      <c r="AB2271" s="135">
        <f>'National average solar data'!X$34</f>
        <v>0</v>
      </c>
      <c r="AC2271" s="135">
        <f>'National average solar data'!Y$34</f>
        <v>0</v>
      </c>
      <c r="AD2271" s="135">
        <f>'National average solar data'!Z$34</f>
        <v>0</v>
      </c>
    </row>
    <row r="2272" spans="1:30" ht="12.6">
      <c r="A2272" s="10" t="s">
        <v>131</v>
      </c>
      <c r="B2272" s="10">
        <v>81</v>
      </c>
      <c r="C2272" s="10" t="s">
        <v>1513</v>
      </c>
      <c r="D2272" s="388">
        <v>45007</v>
      </c>
      <c r="E2272" s="389">
        <v>45007</v>
      </c>
      <c r="G2272" s="135">
        <f>'National average solar data'!C$34</f>
        <v>0</v>
      </c>
      <c r="H2272" s="135">
        <f>'National average solar data'!D$34</f>
        <v>0</v>
      </c>
      <c r="I2272" s="135">
        <f>'National average solar data'!E$34</f>
        <v>0</v>
      </c>
      <c r="J2272" s="135">
        <f>'National average solar data'!F$34</f>
        <v>0</v>
      </c>
      <c r="K2272" s="135">
        <f>'National average solar data'!G$34</f>
        <v>0</v>
      </c>
      <c r="L2272" s="135">
        <f>'National average solar data'!H$34</f>
        <v>0</v>
      </c>
      <c r="M2272" s="135">
        <f>'National average solar data'!I$34</f>
        <v>0.29520000000000002</v>
      </c>
      <c r="N2272" s="135">
        <f>'National average solar data'!J$34</f>
        <v>1.0552999999999999</v>
      </c>
      <c r="O2272" s="135">
        <f>'National average solar data'!K$34</f>
        <v>1.0804</v>
      </c>
      <c r="P2272" s="135">
        <f>'National average solar data'!L$34</f>
        <v>1.0731999999999999</v>
      </c>
      <c r="Q2272" s="135">
        <f>'National average solar data'!M$34</f>
        <v>1.0900000000000001</v>
      </c>
      <c r="R2272" s="135">
        <f>'National average solar data'!N$34</f>
        <v>1.0994999999999999</v>
      </c>
      <c r="S2272" s="135">
        <f>'National average solar data'!O$34</f>
        <v>1.1122000000000001</v>
      </c>
      <c r="T2272" s="135">
        <f>'National average solar data'!P$34</f>
        <v>1.1184000000000001</v>
      </c>
      <c r="U2272" s="135">
        <f>'National average solar data'!Q$34</f>
        <v>1.1312</v>
      </c>
      <c r="V2272" s="135">
        <f>'National average solar data'!R$34</f>
        <v>1.1587000000000001</v>
      </c>
      <c r="W2272" s="135">
        <f>'National average solar data'!S$34</f>
        <v>1.1986000000000001</v>
      </c>
      <c r="X2272" s="135">
        <f>'National average solar data'!T$34</f>
        <v>1.1145</v>
      </c>
      <c r="Y2272" s="135">
        <f>'National average solar data'!U$34</f>
        <v>0.54320000000000002</v>
      </c>
      <c r="Z2272" s="135">
        <f>'National average solar data'!V$34</f>
        <v>4.24E-2</v>
      </c>
      <c r="AA2272" s="135">
        <f>'National average solar data'!W$34</f>
        <v>0</v>
      </c>
      <c r="AB2272" s="135">
        <f>'National average solar data'!X$34</f>
        <v>0</v>
      </c>
      <c r="AC2272" s="135">
        <f>'National average solar data'!Y$34</f>
        <v>0</v>
      </c>
      <c r="AD2272" s="135">
        <f>'National average solar data'!Z$34</f>
        <v>0</v>
      </c>
    </row>
    <row r="2273" spans="1:30" ht="12.6">
      <c r="A2273" s="10" t="s">
        <v>131</v>
      </c>
      <c r="B2273" s="10">
        <v>82</v>
      </c>
      <c r="C2273" s="10" t="s">
        <v>1513</v>
      </c>
      <c r="D2273" s="388">
        <v>45008</v>
      </c>
      <c r="E2273" s="389">
        <v>45008</v>
      </c>
      <c r="G2273" s="135">
        <f>'National average solar data'!C$34</f>
        <v>0</v>
      </c>
      <c r="H2273" s="135">
        <f>'National average solar data'!D$34</f>
        <v>0</v>
      </c>
      <c r="I2273" s="135">
        <f>'National average solar data'!E$34</f>
        <v>0</v>
      </c>
      <c r="J2273" s="135">
        <f>'National average solar data'!F$34</f>
        <v>0</v>
      </c>
      <c r="K2273" s="135">
        <f>'National average solar data'!G$34</f>
        <v>0</v>
      </c>
      <c r="L2273" s="135">
        <f>'National average solar data'!H$34</f>
        <v>0</v>
      </c>
      <c r="M2273" s="135">
        <f>'National average solar data'!I$34</f>
        <v>0.29520000000000002</v>
      </c>
      <c r="N2273" s="135">
        <f>'National average solar data'!J$34</f>
        <v>1.0552999999999999</v>
      </c>
      <c r="O2273" s="135">
        <f>'National average solar data'!K$34</f>
        <v>1.0804</v>
      </c>
      <c r="P2273" s="135">
        <f>'National average solar data'!L$34</f>
        <v>1.0731999999999999</v>
      </c>
      <c r="Q2273" s="135">
        <f>'National average solar data'!M$34</f>
        <v>1.0900000000000001</v>
      </c>
      <c r="R2273" s="135">
        <f>'National average solar data'!N$34</f>
        <v>1.0994999999999999</v>
      </c>
      <c r="S2273" s="135">
        <f>'National average solar data'!O$34</f>
        <v>1.1122000000000001</v>
      </c>
      <c r="T2273" s="135">
        <f>'National average solar data'!P$34</f>
        <v>1.1184000000000001</v>
      </c>
      <c r="U2273" s="135">
        <f>'National average solar data'!Q$34</f>
        <v>1.1312</v>
      </c>
      <c r="V2273" s="135">
        <f>'National average solar data'!R$34</f>
        <v>1.1587000000000001</v>
      </c>
      <c r="W2273" s="135">
        <f>'National average solar data'!S$34</f>
        <v>1.1986000000000001</v>
      </c>
      <c r="X2273" s="135">
        <f>'National average solar data'!T$34</f>
        <v>1.1145</v>
      </c>
      <c r="Y2273" s="135">
        <f>'National average solar data'!U$34</f>
        <v>0.54320000000000002</v>
      </c>
      <c r="Z2273" s="135">
        <f>'National average solar data'!V$34</f>
        <v>4.24E-2</v>
      </c>
      <c r="AA2273" s="135">
        <f>'National average solar data'!W$34</f>
        <v>0</v>
      </c>
      <c r="AB2273" s="135">
        <f>'National average solar data'!X$34</f>
        <v>0</v>
      </c>
      <c r="AC2273" s="135">
        <f>'National average solar data'!Y$34</f>
        <v>0</v>
      </c>
      <c r="AD2273" s="135">
        <f>'National average solar data'!Z$34</f>
        <v>0</v>
      </c>
    </row>
    <row r="2274" spans="1:30" ht="12.6">
      <c r="A2274" s="10" t="s">
        <v>131</v>
      </c>
      <c r="B2274" s="10">
        <v>83</v>
      </c>
      <c r="C2274" s="10" t="s">
        <v>1513</v>
      </c>
      <c r="D2274" s="388">
        <v>45009</v>
      </c>
      <c r="E2274" s="389">
        <v>45009</v>
      </c>
      <c r="G2274" s="135">
        <f>'National average solar data'!C$34</f>
        <v>0</v>
      </c>
      <c r="H2274" s="135">
        <f>'National average solar data'!D$34</f>
        <v>0</v>
      </c>
      <c r="I2274" s="135">
        <f>'National average solar data'!E$34</f>
        <v>0</v>
      </c>
      <c r="J2274" s="135">
        <f>'National average solar data'!F$34</f>
        <v>0</v>
      </c>
      <c r="K2274" s="135">
        <f>'National average solar data'!G$34</f>
        <v>0</v>
      </c>
      <c r="L2274" s="135">
        <f>'National average solar data'!H$34</f>
        <v>0</v>
      </c>
      <c r="M2274" s="135">
        <f>'National average solar data'!I$34</f>
        <v>0.29520000000000002</v>
      </c>
      <c r="N2274" s="135">
        <f>'National average solar data'!J$34</f>
        <v>1.0552999999999999</v>
      </c>
      <c r="O2274" s="135">
        <f>'National average solar data'!K$34</f>
        <v>1.0804</v>
      </c>
      <c r="P2274" s="135">
        <f>'National average solar data'!L$34</f>
        <v>1.0731999999999999</v>
      </c>
      <c r="Q2274" s="135">
        <f>'National average solar data'!M$34</f>
        <v>1.0900000000000001</v>
      </c>
      <c r="R2274" s="135">
        <f>'National average solar data'!N$34</f>
        <v>1.0994999999999999</v>
      </c>
      <c r="S2274" s="135">
        <f>'National average solar data'!O$34</f>
        <v>1.1122000000000001</v>
      </c>
      <c r="T2274" s="135">
        <f>'National average solar data'!P$34</f>
        <v>1.1184000000000001</v>
      </c>
      <c r="U2274" s="135">
        <f>'National average solar data'!Q$34</f>
        <v>1.1312</v>
      </c>
      <c r="V2274" s="135">
        <f>'National average solar data'!R$34</f>
        <v>1.1587000000000001</v>
      </c>
      <c r="W2274" s="135">
        <f>'National average solar data'!S$34</f>
        <v>1.1986000000000001</v>
      </c>
      <c r="X2274" s="135">
        <f>'National average solar data'!T$34</f>
        <v>1.1145</v>
      </c>
      <c r="Y2274" s="135">
        <f>'National average solar data'!U$34</f>
        <v>0.54320000000000002</v>
      </c>
      <c r="Z2274" s="135">
        <f>'National average solar data'!V$34</f>
        <v>4.24E-2</v>
      </c>
      <c r="AA2274" s="135">
        <f>'National average solar data'!W$34</f>
        <v>0</v>
      </c>
      <c r="AB2274" s="135">
        <f>'National average solar data'!X$34</f>
        <v>0</v>
      </c>
      <c r="AC2274" s="135">
        <f>'National average solar data'!Y$34</f>
        <v>0</v>
      </c>
      <c r="AD2274" s="135">
        <f>'National average solar data'!Z$34</f>
        <v>0</v>
      </c>
    </row>
    <row r="2275" spans="1:30" ht="12.6">
      <c r="A2275" s="10" t="s">
        <v>131</v>
      </c>
      <c r="B2275" s="10">
        <v>84</v>
      </c>
      <c r="C2275" s="10" t="s">
        <v>1513</v>
      </c>
      <c r="D2275" s="388">
        <v>45010</v>
      </c>
      <c r="E2275" s="389">
        <v>45010</v>
      </c>
      <c r="G2275" s="135">
        <f>'National average solar data'!C$34</f>
        <v>0</v>
      </c>
      <c r="H2275" s="135">
        <f>'National average solar data'!D$34</f>
        <v>0</v>
      </c>
      <c r="I2275" s="135">
        <f>'National average solar data'!E$34</f>
        <v>0</v>
      </c>
      <c r="J2275" s="135">
        <f>'National average solar data'!F$34</f>
        <v>0</v>
      </c>
      <c r="K2275" s="135">
        <f>'National average solar data'!G$34</f>
        <v>0</v>
      </c>
      <c r="L2275" s="135">
        <f>'National average solar data'!H$34</f>
        <v>0</v>
      </c>
      <c r="M2275" s="135">
        <f>'National average solar data'!I$34</f>
        <v>0.29520000000000002</v>
      </c>
      <c r="N2275" s="135">
        <f>'National average solar data'!J$34</f>
        <v>1.0552999999999999</v>
      </c>
      <c r="O2275" s="135">
        <f>'National average solar data'!K$34</f>
        <v>1.0804</v>
      </c>
      <c r="P2275" s="135">
        <f>'National average solar data'!L$34</f>
        <v>1.0731999999999999</v>
      </c>
      <c r="Q2275" s="135">
        <f>'National average solar data'!M$34</f>
        <v>1.0900000000000001</v>
      </c>
      <c r="R2275" s="135">
        <f>'National average solar data'!N$34</f>
        <v>1.0994999999999999</v>
      </c>
      <c r="S2275" s="135">
        <f>'National average solar data'!O$34</f>
        <v>1.1122000000000001</v>
      </c>
      <c r="T2275" s="135">
        <f>'National average solar data'!P$34</f>
        <v>1.1184000000000001</v>
      </c>
      <c r="U2275" s="135">
        <f>'National average solar data'!Q$34</f>
        <v>1.1312</v>
      </c>
      <c r="V2275" s="135">
        <f>'National average solar data'!R$34</f>
        <v>1.1587000000000001</v>
      </c>
      <c r="W2275" s="135">
        <f>'National average solar data'!S$34</f>
        <v>1.1986000000000001</v>
      </c>
      <c r="X2275" s="135">
        <f>'National average solar data'!T$34</f>
        <v>1.1145</v>
      </c>
      <c r="Y2275" s="135">
        <f>'National average solar data'!U$34</f>
        <v>0.54320000000000002</v>
      </c>
      <c r="Z2275" s="135">
        <f>'National average solar data'!V$34</f>
        <v>4.24E-2</v>
      </c>
      <c r="AA2275" s="135">
        <f>'National average solar data'!W$34</f>
        <v>0</v>
      </c>
      <c r="AB2275" s="135">
        <f>'National average solar data'!X$34</f>
        <v>0</v>
      </c>
      <c r="AC2275" s="135">
        <f>'National average solar data'!Y$34</f>
        <v>0</v>
      </c>
      <c r="AD2275" s="135">
        <f>'National average solar data'!Z$34</f>
        <v>0</v>
      </c>
    </row>
    <row r="2276" spans="1:30" ht="12.6">
      <c r="A2276" s="10" t="s">
        <v>131</v>
      </c>
      <c r="B2276" s="10">
        <v>85</v>
      </c>
      <c r="C2276" s="10" t="s">
        <v>1513</v>
      </c>
      <c r="D2276" s="388">
        <v>45011</v>
      </c>
      <c r="E2276" s="389">
        <v>45011</v>
      </c>
      <c r="G2276" s="135">
        <f>'National average solar data'!C$34</f>
        <v>0</v>
      </c>
      <c r="H2276" s="135">
        <f>'National average solar data'!D$34</f>
        <v>0</v>
      </c>
      <c r="I2276" s="135">
        <f>'National average solar data'!E$34</f>
        <v>0</v>
      </c>
      <c r="J2276" s="135">
        <f>'National average solar data'!F$34</f>
        <v>0</v>
      </c>
      <c r="K2276" s="135">
        <f>'National average solar data'!G$34</f>
        <v>0</v>
      </c>
      <c r="L2276" s="135">
        <f>'National average solar data'!H$34</f>
        <v>0</v>
      </c>
      <c r="M2276" s="135">
        <f>'National average solar data'!I$34</f>
        <v>0.29520000000000002</v>
      </c>
      <c r="N2276" s="135">
        <f>'National average solar data'!J$34</f>
        <v>1.0552999999999999</v>
      </c>
      <c r="O2276" s="135">
        <f>'National average solar data'!K$34</f>
        <v>1.0804</v>
      </c>
      <c r="P2276" s="135">
        <f>'National average solar data'!L$34</f>
        <v>1.0731999999999999</v>
      </c>
      <c r="Q2276" s="135">
        <f>'National average solar data'!M$34</f>
        <v>1.0900000000000001</v>
      </c>
      <c r="R2276" s="135">
        <f>'National average solar data'!N$34</f>
        <v>1.0994999999999999</v>
      </c>
      <c r="S2276" s="135">
        <f>'National average solar data'!O$34</f>
        <v>1.1122000000000001</v>
      </c>
      <c r="T2276" s="135">
        <f>'National average solar data'!P$34</f>
        <v>1.1184000000000001</v>
      </c>
      <c r="U2276" s="135">
        <f>'National average solar data'!Q$34</f>
        <v>1.1312</v>
      </c>
      <c r="V2276" s="135">
        <f>'National average solar data'!R$34</f>
        <v>1.1587000000000001</v>
      </c>
      <c r="W2276" s="135">
        <f>'National average solar data'!S$34</f>
        <v>1.1986000000000001</v>
      </c>
      <c r="X2276" s="135">
        <f>'National average solar data'!T$34</f>
        <v>1.1145</v>
      </c>
      <c r="Y2276" s="135">
        <f>'National average solar data'!U$34</f>
        <v>0.54320000000000002</v>
      </c>
      <c r="Z2276" s="135">
        <f>'National average solar data'!V$34</f>
        <v>4.24E-2</v>
      </c>
      <c r="AA2276" s="135">
        <f>'National average solar data'!W$34</f>
        <v>0</v>
      </c>
      <c r="AB2276" s="135">
        <f>'National average solar data'!X$34</f>
        <v>0</v>
      </c>
      <c r="AC2276" s="135">
        <f>'National average solar data'!Y$34</f>
        <v>0</v>
      </c>
      <c r="AD2276" s="135">
        <f>'National average solar data'!Z$34</f>
        <v>0</v>
      </c>
    </row>
    <row r="2277" spans="1:30" ht="12.6">
      <c r="A2277" s="10" t="s">
        <v>131</v>
      </c>
      <c r="B2277" s="10">
        <v>86</v>
      </c>
      <c r="C2277" s="10" t="s">
        <v>1513</v>
      </c>
      <c r="D2277" s="388">
        <v>45012</v>
      </c>
      <c r="E2277" s="389">
        <v>45012</v>
      </c>
      <c r="G2277" s="135">
        <f>'National average solar data'!C$34</f>
        <v>0</v>
      </c>
      <c r="H2277" s="135">
        <f>'National average solar data'!D$34</f>
        <v>0</v>
      </c>
      <c r="I2277" s="135">
        <f>'National average solar data'!E$34</f>
        <v>0</v>
      </c>
      <c r="J2277" s="135">
        <f>'National average solar data'!F$34</f>
        <v>0</v>
      </c>
      <c r="K2277" s="135">
        <f>'National average solar data'!G$34</f>
        <v>0</v>
      </c>
      <c r="L2277" s="135">
        <f>'National average solar data'!H$34</f>
        <v>0</v>
      </c>
      <c r="M2277" s="135">
        <f>'National average solar data'!I$34</f>
        <v>0.29520000000000002</v>
      </c>
      <c r="N2277" s="135">
        <f>'National average solar data'!J$34</f>
        <v>1.0552999999999999</v>
      </c>
      <c r="O2277" s="135">
        <f>'National average solar data'!K$34</f>
        <v>1.0804</v>
      </c>
      <c r="P2277" s="135">
        <f>'National average solar data'!L$34</f>
        <v>1.0731999999999999</v>
      </c>
      <c r="Q2277" s="135">
        <f>'National average solar data'!M$34</f>
        <v>1.0900000000000001</v>
      </c>
      <c r="R2277" s="135">
        <f>'National average solar data'!N$34</f>
        <v>1.0994999999999999</v>
      </c>
      <c r="S2277" s="135">
        <f>'National average solar data'!O$34</f>
        <v>1.1122000000000001</v>
      </c>
      <c r="T2277" s="135">
        <f>'National average solar data'!P$34</f>
        <v>1.1184000000000001</v>
      </c>
      <c r="U2277" s="135">
        <f>'National average solar data'!Q$34</f>
        <v>1.1312</v>
      </c>
      <c r="V2277" s="135">
        <f>'National average solar data'!R$34</f>
        <v>1.1587000000000001</v>
      </c>
      <c r="W2277" s="135">
        <f>'National average solar data'!S$34</f>
        <v>1.1986000000000001</v>
      </c>
      <c r="X2277" s="135">
        <f>'National average solar data'!T$34</f>
        <v>1.1145</v>
      </c>
      <c r="Y2277" s="135">
        <f>'National average solar data'!U$34</f>
        <v>0.54320000000000002</v>
      </c>
      <c r="Z2277" s="135">
        <f>'National average solar data'!V$34</f>
        <v>4.24E-2</v>
      </c>
      <c r="AA2277" s="135">
        <f>'National average solar data'!W$34</f>
        <v>0</v>
      </c>
      <c r="AB2277" s="135">
        <f>'National average solar data'!X$34</f>
        <v>0</v>
      </c>
      <c r="AC2277" s="135">
        <f>'National average solar data'!Y$34</f>
        <v>0</v>
      </c>
      <c r="AD2277" s="135">
        <f>'National average solar data'!Z$34</f>
        <v>0</v>
      </c>
    </row>
    <row r="2278" spans="1:30" ht="12.6">
      <c r="A2278" s="10" t="s">
        <v>131</v>
      </c>
      <c r="B2278" s="10">
        <v>87</v>
      </c>
      <c r="C2278" s="10" t="s">
        <v>1513</v>
      </c>
      <c r="D2278" s="388">
        <v>45013</v>
      </c>
      <c r="E2278" s="389">
        <v>45013</v>
      </c>
      <c r="G2278" s="135">
        <f>'National average solar data'!C$34</f>
        <v>0</v>
      </c>
      <c r="H2278" s="135">
        <f>'National average solar data'!D$34</f>
        <v>0</v>
      </c>
      <c r="I2278" s="135">
        <f>'National average solar data'!E$34</f>
        <v>0</v>
      </c>
      <c r="J2278" s="135">
        <f>'National average solar data'!F$34</f>
        <v>0</v>
      </c>
      <c r="K2278" s="135">
        <f>'National average solar data'!G$34</f>
        <v>0</v>
      </c>
      <c r="L2278" s="135">
        <f>'National average solar data'!H$34</f>
        <v>0</v>
      </c>
      <c r="M2278" s="135">
        <f>'National average solar data'!I$34</f>
        <v>0.29520000000000002</v>
      </c>
      <c r="N2278" s="135">
        <f>'National average solar data'!J$34</f>
        <v>1.0552999999999999</v>
      </c>
      <c r="O2278" s="135">
        <f>'National average solar data'!K$34</f>
        <v>1.0804</v>
      </c>
      <c r="P2278" s="135">
        <f>'National average solar data'!L$34</f>
        <v>1.0731999999999999</v>
      </c>
      <c r="Q2278" s="135">
        <f>'National average solar data'!M$34</f>
        <v>1.0900000000000001</v>
      </c>
      <c r="R2278" s="135">
        <f>'National average solar data'!N$34</f>
        <v>1.0994999999999999</v>
      </c>
      <c r="S2278" s="135">
        <f>'National average solar data'!O$34</f>
        <v>1.1122000000000001</v>
      </c>
      <c r="T2278" s="135">
        <f>'National average solar data'!P$34</f>
        <v>1.1184000000000001</v>
      </c>
      <c r="U2278" s="135">
        <f>'National average solar data'!Q$34</f>
        <v>1.1312</v>
      </c>
      <c r="V2278" s="135">
        <f>'National average solar data'!R$34</f>
        <v>1.1587000000000001</v>
      </c>
      <c r="W2278" s="135">
        <f>'National average solar data'!S$34</f>
        <v>1.1986000000000001</v>
      </c>
      <c r="X2278" s="135">
        <f>'National average solar data'!T$34</f>
        <v>1.1145</v>
      </c>
      <c r="Y2278" s="135">
        <f>'National average solar data'!U$34</f>
        <v>0.54320000000000002</v>
      </c>
      <c r="Z2278" s="135">
        <f>'National average solar data'!V$34</f>
        <v>4.24E-2</v>
      </c>
      <c r="AA2278" s="135">
        <f>'National average solar data'!W$34</f>
        <v>0</v>
      </c>
      <c r="AB2278" s="135">
        <f>'National average solar data'!X$34</f>
        <v>0</v>
      </c>
      <c r="AC2278" s="135">
        <f>'National average solar data'!Y$34</f>
        <v>0</v>
      </c>
      <c r="AD2278" s="135">
        <f>'National average solar data'!Z$34</f>
        <v>0</v>
      </c>
    </row>
    <row r="2279" spans="1:30" ht="12.6">
      <c r="A2279" s="10" t="s">
        <v>131</v>
      </c>
      <c r="B2279" s="10">
        <v>88</v>
      </c>
      <c r="C2279" s="10" t="s">
        <v>1513</v>
      </c>
      <c r="D2279" s="388">
        <v>45014</v>
      </c>
      <c r="E2279" s="389">
        <v>45014</v>
      </c>
      <c r="G2279" s="135">
        <f>'National average solar data'!C$34</f>
        <v>0</v>
      </c>
      <c r="H2279" s="135">
        <f>'National average solar data'!D$34</f>
        <v>0</v>
      </c>
      <c r="I2279" s="135">
        <f>'National average solar data'!E$34</f>
        <v>0</v>
      </c>
      <c r="J2279" s="135">
        <f>'National average solar data'!F$34</f>
        <v>0</v>
      </c>
      <c r="K2279" s="135">
        <f>'National average solar data'!G$34</f>
        <v>0</v>
      </c>
      <c r="L2279" s="135">
        <f>'National average solar data'!H$34</f>
        <v>0</v>
      </c>
      <c r="M2279" s="135">
        <f>'National average solar data'!I$34</f>
        <v>0.29520000000000002</v>
      </c>
      <c r="N2279" s="135">
        <f>'National average solar data'!J$34</f>
        <v>1.0552999999999999</v>
      </c>
      <c r="O2279" s="135">
        <f>'National average solar data'!K$34</f>
        <v>1.0804</v>
      </c>
      <c r="P2279" s="135">
        <f>'National average solar data'!L$34</f>
        <v>1.0731999999999999</v>
      </c>
      <c r="Q2279" s="135">
        <f>'National average solar data'!M$34</f>
        <v>1.0900000000000001</v>
      </c>
      <c r="R2279" s="135">
        <f>'National average solar data'!N$34</f>
        <v>1.0994999999999999</v>
      </c>
      <c r="S2279" s="135">
        <f>'National average solar data'!O$34</f>
        <v>1.1122000000000001</v>
      </c>
      <c r="T2279" s="135">
        <f>'National average solar data'!P$34</f>
        <v>1.1184000000000001</v>
      </c>
      <c r="U2279" s="135">
        <f>'National average solar data'!Q$34</f>
        <v>1.1312</v>
      </c>
      <c r="V2279" s="135">
        <f>'National average solar data'!R$34</f>
        <v>1.1587000000000001</v>
      </c>
      <c r="W2279" s="135">
        <f>'National average solar data'!S$34</f>
        <v>1.1986000000000001</v>
      </c>
      <c r="X2279" s="135">
        <f>'National average solar data'!T$34</f>
        <v>1.1145</v>
      </c>
      <c r="Y2279" s="135">
        <f>'National average solar data'!U$34</f>
        <v>0.54320000000000002</v>
      </c>
      <c r="Z2279" s="135">
        <f>'National average solar data'!V$34</f>
        <v>4.24E-2</v>
      </c>
      <c r="AA2279" s="135">
        <f>'National average solar data'!W$34</f>
        <v>0</v>
      </c>
      <c r="AB2279" s="135">
        <f>'National average solar data'!X$34</f>
        <v>0</v>
      </c>
      <c r="AC2279" s="135">
        <f>'National average solar data'!Y$34</f>
        <v>0</v>
      </c>
      <c r="AD2279" s="135">
        <f>'National average solar data'!Z$34</f>
        <v>0</v>
      </c>
    </row>
    <row r="2280" spans="1:30" ht="12.6">
      <c r="A2280" s="10" t="s">
        <v>131</v>
      </c>
      <c r="B2280" s="10">
        <v>89</v>
      </c>
      <c r="C2280" s="10" t="s">
        <v>1513</v>
      </c>
      <c r="D2280" s="388">
        <v>45015</v>
      </c>
      <c r="E2280" s="389">
        <v>45015</v>
      </c>
      <c r="G2280" s="135">
        <f>'National average solar data'!C$34</f>
        <v>0</v>
      </c>
      <c r="H2280" s="135">
        <f>'National average solar data'!D$34</f>
        <v>0</v>
      </c>
      <c r="I2280" s="135">
        <f>'National average solar data'!E$34</f>
        <v>0</v>
      </c>
      <c r="J2280" s="135">
        <f>'National average solar data'!F$34</f>
        <v>0</v>
      </c>
      <c r="K2280" s="135">
        <f>'National average solar data'!G$34</f>
        <v>0</v>
      </c>
      <c r="L2280" s="135">
        <f>'National average solar data'!H$34</f>
        <v>0</v>
      </c>
      <c r="M2280" s="135">
        <f>'National average solar data'!I$34</f>
        <v>0.29520000000000002</v>
      </c>
      <c r="N2280" s="135">
        <f>'National average solar data'!J$34</f>
        <v>1.0552999999999999</v>
      </c>
      <c r="O2280" s="135">
        <f>'National average solar data'!K$34</f>
        <v>1.0804</v>
      </c>
      <c r="P2280" s="135">
        <f>'National average solar data'!L$34</f>
        <v>1.0731999999999999</v>
      </c>
      <c r="Q2280" s="135">
        <f>'National average solar data'!M$34</f>
        <v>1.0900000000000001</v>
      </c>
      <c r="R2280" s="135">
        <f>'National average solar data'!N$34</f>
        <v>1.0994999999999999</v>
      </c>
      <c r="S2280" s="135">
        <f>'National average solar data'!O$34</f>
        <v>1.1122000000000001</v>
      </c>
      <c r="T2280" s="135">
        <f>'National average solar data'!P$34</f>
        <v>1.1184000000000001</v>
      </c>
      <c r="U2280" s="135">
        <f>'National average solar data'!Q$34</f>
        <v>1.1312</v>
      </c>
      <c r="V2280" s="135">
        <f>'National average solar data'!R$34</f>
        <v>1.1587000000000001</v>
      </c>
      <c r="W2280" s="135">
        <f>'National average solar data'!S$34</f>
        <v>1.1986000000000001</v>
      </c>
      <c r="X2280" s="135">
        <f>'National average solar data'!T$34</f>
        <v>1.1145</v>
      </c>
      <c r="Y2280" s="135">
        <f>'National average solar data'!U$34</f>
        <v>0.54320000000000002</v>
      </c>
      <c r="Z2280" s="135">
        <f>'National average solar data'!V$34</f>
        <v>4.24E-2</v>
      </c>
      <c r="AA2280" s="135">
        <f>'National average solar data'!W$34</f>
        <v>0</v>
      </c>
      <c r="AB2280" s="135">
        <f>'National average solar data'!X$34</f>
        <v>0</v>
      </c>
      <c r="AC2280" s="135">
        <f>'National average solar data'!Y$34</f>
        <v>0</v>
      </c>
      <c r="AD2280" s="135">
        <f>'National average solar data'!Z$34</f>
        <v>0</v>
      </c>
    </row>
    <row r="2281" spans="1:30" ht="12.6">
      <c r="A2281" s="10" t="s">
        <v>131</v>
      </c>
      <c r="B2281" s="10">
        <v>90</v>
      </c>
      <c r="C2281" s="10" t="s">
        <v>1513</v>
      </c>
      <c r="D2281" s="388">
        <v>45016</v>
      </c>
      <c r="E2281" s="389">
        <v>45016</v>
      </c>
      <c r="G2281" s="135">
        <f>'National average solar data'!C$34</f>
        <v>0</v>
      </c>
      <c r="H2281" s="135">
        <f>'National average solar data'!D$34</f>
        <v>0</v>
      </c>
      <c r="I2281" s="135">
        <f>'National average solar data'!E$34</f>
        <v>0</v>
      </c>
      <c r="J2281" s="135">
        <f>'National average solar data'!F$34</f>
        <v>0</v>
      </c>
      <c r="K2281" s="135">
        <f>'National average solar data'!G$34</f>
        <v>0</v>
      </c>
      <c r="L2281" s="135">
        <f>'National average solar data'!H$34</f>
        <v>0</v>
      </c>
      <c r="M2281" s="135">
        <f>'National average solar data'!I$34</f>
        <v>0.29520000000000002</v>
      </c>
      <c r="N2281" s="135">
        <f>'National average solar data'!J$34</f>
        <v>1.0552999999999999</v>
      </c>
      <c r="O2281" s="135">
        <f>'National average solar data'!K$34</f>
        <v>1.0804</v>
      </c>
      <c r="P2281" s="135">
        <f>'National average solar data'!L$34</f>
        <v>1.0731999999999999</v>
      </c>
      <c r="Q2281" s="135">
        <f>'National average solar data'!M$34</f>
        <v>1.0900000000000001</v>
      </c>
      <c r="R2281" s="135">
        <f>'National average solar data'!N$34</f>
        <v>1.0994999999999999</v>
      </c>
      <c r="S2281" s="135">
        <f>'National average solar data'!O$34</f>
        <v>1.1122000000000001</v>
      </c>
      <c r="T2281" s="135">
        <f>'National average solar data'!P$34</f>
        <v>1.1184000000000001</v>
      </c>
      <c r="U2281" s="135">
        <f>'National average solar data'!Q$34</f>
        <v>1.1312</v>
      </c>
      <c r="V2281" s="135">
        <f>'National average solar data'!R$34</f>
        <v>1.1587000000000001</v>
      </c>
      <c r="W2281" s="135">
        <f>'National average solar data'!S$34</f>
        <v>1.1986000000000001</v>
      </c>
      <c r="X2281" s="135">
        <f>'National average solar data'!T$34</f>
        <v>1.1145</v>
      </c>
      <c r="Y2281" s="135">
        <f>'National average solar data'!U$34</f>
        <v>0.54320000000000002</v>
      </c>
      <c r="Z2281" s="135">
        <f>'National average solar data'!V$34</f>
        <v>4.24E-2</v>
      </c>
      <c r="AA2281" s="135">
        <f>'National average solar data'!W$34</f>
        <v>0</v>
      </c>
      <c r="AB2281" s="135">
        <f>'National average solar data'!X$34</f>
        <v>0</v>
      </c>
      <c r="AC2281" s="135">
        <f>'National average solar data'!Y$34</f>
        <v>0</v>
      </c>
      <c r="AD2281" s="135">
        <f>'National average solar data'!Z$34</f>
        <v>0</v>
      </c>
    </row>
    <row r="2282" spans="1:30" ht="12.6">
      <c r="A2282" s="10" t="s">
        <v>131</v>
      </c>
      <c r="B2282" s="10">
        <v>91</v>
      </c>
      <c r="C2282" s="10" t="s">
        <v>1513</v>
      </c>
      <c r="D2282" s="388">
        <v>45017</v>
      </c>
      <c r="E2282" s="389">
        <v>45017</v>
      </c>
      <c r="G2282" s="135">
        <f>'National average solar data'!C$35</f>
        <v>0</v>
      </c>
      <c r="H2282" s="135">
        <f>'National average solar data'!D$35</f>
        <v>0</v>
      </c>
      <c r="I2282" s="135">
        <f>'National average solar data'!E$35</f>
        <v>0</v>
      </c>
      <c r="J2282" s="135">
        <f>'National average solar data'!F$35</f>
        <v>0</v>
      </c>
      <c r="K2282" s="135">
        <f>'National average solar data'!G$35</f>
        <v>0</v>
      </c>
      <c r="L2282" s="135">
        <f>'National average solar data'!H$35</f>
        <v>6.3E-3</v>
      </c>
      <c r="M2282" s="135">
        <f>'National average solar data'!I$35</f>
        <v>0.1191</v>
      </c>
      <c r="N2282" s="135">
        <f>'National average solar data'!J$35</f>
        <v>0.65169999999999995</v>
      </c>
      <c r="O2282" s="135">
        <f>'National average solar data'!K$35</f>
        <v>0.86990000000000001</v>
      </c>
      <c r="P2282" s="135">
        <f>'National average solar data'!L$35</f>
        <v>0.90620000000000001</v>
      </c>
      <c r="Q2282" s="135">
        <f>'National average solar data'!M$35</f>
        <v>0.91600000000000004</v>
      </c>
      <c r="R2282" s="135">
        <f>'National average solar data'!N$35</f>
        <v>0.9173</v>
      </c>
      <c r="S2282" s="135">
        <f>'National average solar data'!O$35</f>
        <v>0.90280000000000005</v>
      </c>
      <c r="T2282" s="135">
        <f>'National average solar data'!P$35</f>
        <v>0.87029999999999996</v>
      </c>
      <c r="U2282" s="135">
        <f>'National average solar data'!Q$35</f>
        <v>0.84889999999999999</v>
      </c>
      <c r="V2282" s="135">
        <f>'National average solar data'!R$35</f>
        <v>0.78310000000000002</v>
      </c>
      <c r="W2282" s="135">
        <f>'National average solar data'!S$35</f>
        <v>0.65149999999999997</v>
      </c>
      <c r="X2282" s="135">
        <f>'National average solar data'!T$35</f>
        <v>0.27729999999999999</v>
      </c>
      <c r="Y2282" s="135">
        <f>'National average solar data'!U$35</f>
        <v>1.2800000000000001E-2</v>
      </c>
      <c r="Z2282" s="135">
        <f>'National average solar data'!V$35</f>
        <v>0</v>
      </c>
      <c r="AA2282" s="135">
        <f>'National average solar data'!W$35</f>
        <v>0</v>
      </c>
      <c r="AB2282" s="135">
        <f>'National average solar data'!X$35</f>
        <v>0</v>
      </c>
      <c r="AC2282" s="135">
        <f>'National average solar data'!Y$35</f>
        <v>0</v>
      </c>
      <c r="AD2282" s="135">
        <f>'National average solar data'!Z$35</f>
        <v>0</v>
      </c>
    </row>
    <row r="2283" spans="1:30" ht="12.6">
      <c r="A2283" s="10" t="s">
        <v>131</v>
      </c>
      <c r="B2283" s="10">
        <v>92</v>
      </c>
      <c r="C2283" s="10" t="s">
        <v>1513</v>
      </c>
      <c r="D2283" s="388">
        <v>45018</v>
      </c>
      <c r="E2283" s="389">
        <v>45018</v>
      </c>
      <c r="G2283" s="135">
        <f>'National average solar data'!C$35</f>
        <v>0</v>
      </c>
      <c r="H2283" s="135">
        <f>'National average solar data'!D$35</f>
        <v>0</v>
      </c>
      <c r="I2283" s="135">
        <f>'National average solar data'!E$35</f>
        <v>0</v>
      </c>
      <c r="J2283" s="135">
        <f>'National average solar data'!F$35</f>
        <v>0</v>
      </c>
      <c r="K2283" s="135">
        <f>'National average solar data'!G$35</f>
        <v>0</v>
      </c>
      <c r="L2283" s="135">
        <f>'National average solar data'!H$35</f>
        <v>6.3E-3</v>
      </c>
      <c r="M2283" s="135">
        <f>'National average solar data'!I$35</f>
        <v>0.1191</v>
      </c>
      <c r="N2283" s="135">
        <f>'National average solar data'!J$35</f>
        <v>0.65169999999999995</v>
      </c>
      <c r="O2283" s="135">
        <f>'National average solar data'!K$35</f>
        <v>0.86990000000000001</v>
      </c>
      <c r="P2283" s="135">
        <f>'National average solar data'!L$35</f>
        <v>0.90620000000000001</v>
      </c>
      <c r="Q2283" s="135">
        <f>'National average solar data'!M$35</f>
        <v>0.91600000000000004</v>
      </c>
      <c r="R2283" s="135">
        <f>'National average solar data'!N$35</f>
        <v>0.9173</v>
      </c>
      <c r="S2283" s="135">
        <f>'National average solar data'!O$35</f>
        <v>0.90280000000000005</v>
      </c>
      <c r="T2283" s="135">
        <f>'National average solar data'!P$35</f>
        <v>0.87029999999999996</v>
      </c>
      <c r="U2283" s="135">
        <f>'National average solar data'!Q$35</f>
        <v>0.84889999999999999</v>
      </c>
      <c r="V2283" s="135">
        <f>'National average solar data'!R$35</f>
        <v>0.78310000000000002</v>
      </c>
      <c r="W2283" s="135">
        <f>'National average solar data'!S$35</f>
        <v>0.65149999999999997</v>
      </c>
      <c r="X2283" s="135">
        <f>'National average solar data'!T$35</f>
        <v>0.27729999999999999</v>
      </c>
      <c r="Y2283" s="135">
        <f>'National average solar data'!U$35</f>
        <v>1.2800000000000001E-2</v>
      </c>
      <c r="Z2283" s="135">
        <f>'National average solar data'!V$35</f>
        <v>0</v>
      </c>
      <c r="AA2283" s="135">
        <f>'National average solar data'!W$35</f>
        <v>0</v>
      </c>
      <c r="AB2283" s="135">
        <f>'National average solar data'!X$35</f>
        <v>0</v>
      </c>
      <c r="AC2283" s="135">
        <f>'National average solar data'!Y$35</f>
        <v>0</v>
      </c>
      <c r="AD2283" s="135">
        <f>'National average solar data'!Z$35</f>
        <v>0</v>
      </c>
    </row>
    <row r="2284" spans="1:30" ht="12.6">
      <c r="A2284" s="10" t="s">
        <v>131</v>
      </c>
      <c r="B2284" s="10">
        <v>93</v>
      </c>
      <c r="C2284" s="10" t="s">
        <v>1513</v>
      </c>
      <c r="D2284" s="388">
        <v>45019</v>
      </c>
      <c r="E2284" s="389">
        <v>45019</v>
      </c>
      <c r="G2284" s="135">
        <f>'National average solar data'!C$35</f>
        <v>0</v>
      </c>
      <c r="H2284" s="135">
        <f>'National average solar data'!D$35</f>
        <v>0</v>
      </c>
      <c r="I2284" s="135">
        <f>'National average solar data'!E$35</f>
        <v>0</v>
      </c>
      <c r="J2284" s="135">
        <f>'National average solar data'!F$35</f>
        <v>0</v>
      </c>
      <c r="K2284" s="135">
        <f>'National average solar data'!G$35</f>
        <v>0</v>
      </c>
      <c r="L2284" s="135">
        <f>'National average solar data'!H$35</f>
        <v>6.3E-3</v>
      </c>
      <c r="M2284" s="135">
        <f>'National average solar data'!I$35</f>
        <v>0.1191</v>
      </c>
      <c r="N2284" s="135">
        <f>'National average solar data'!J$35</f>
        <v>0.65169999999999995</v>
      </c>
      <c r="O2284" s="135">
        <f>'National average solar data'!K$35</f>
        <v>0.86990000000000001</v>
      </c>
      <c r="P2284" s="135">
        <f>'National average solar data'!L$35</f>
        <v>0.90620000000000001</v>
      </c>
      <c r="Q2284" s="135">
        <f>'National average solar data'!M$35</f>
        <v>0.91600000000000004</v>
      </c>
      <c r="R2284" s="135">
        <f>'National average solar data'!N$35</f>
        <v>0.9173</v>
      </c>
      <c r="S2284" s="135">
        <f>'National average solar data'!O$35</f>
        <v>0.90280000000000005</v>
      </c>
      <c r="T2284" s="135">
        <f>'National average solar data'!P$35</f>
        <v>0.87029999999999996</v>
      </c>
      <c r="U2284" s="135">
        <f>'National average solar data'!Q$35</f>
        <v>0.84889999999999999</v>
      </c>
      <c r="V2284" s="135">
        <f>'National average solar data'!R$35</f>
        <v>0.78310000000000002</v>
      </c>
      <c r="W2284" s="135">
        <f>'National average solar data'!S$35</f>
        <v>0.65149999999999997</v>
      </c>
      <c r="X2284" s="135">
        <f>'National average solar data'!T$35</f>
        <v>0.27729999999999999</v>
      </c>
      <c r="Y2284" s="135">
        <f>'National average solar data'!U$35</f>
        <v>1.2800000000000001E-2</v>
      </c>
      <c r="Z2284" s="135">
        <f>'National average solar data'!V$35</f>
        <v>0</v>
      </c>
      <c r="AA2284" s="135">
        <f>'National average solar data'!W$35</f>
        <v>0</v>
      </c>
      <c r="AB2284" s="135">
        <f>'National average solar data'!X$35</f>
        <v>0</v>
      </c>
      <c r="AC2284" s="135">
        <f>'National average solar data'!Y$35</f>
        <v>0</v>
      </c>
      <c r="AD2284" s="135">
        <f>'National average solar data'!Z$35</f>
        <v>0</v>
      </c>
    </row>
    <row r="2285" spans="1:30" ht="12.6">
      <c r="A2285" s="10" t="s">
        <v>131</v>
      </c>
      <c r="B2285" s="10">
        <v>94</v>
      </c>
      <c r="C2285" s="10" t="s">
        <v>1513</v>
      </c>
      <c r="D2285" s="388">
        <v>45020</v>
      </c>
      <c r="E2285" s="389">
        <v>45020</v>
      </c>
      <c r="G2285" s="135">
        <f>'National average solar data'!C$35</f>
        <v>0</v>
      </c>
      <c r="H2285" s="135">
        <f>'National average solar data'!D$35</f>
        <v>0</v>
      </c>
      <c r="I2285" s="135">
        <f>'National average solar data'!E$35</f>
        <v>0</v>
      </c>
      <c r="J2285" s="135">
        <f>'National average solar data'!F$35</f>
        <v>0</v>
      </c>
      <c r="K2285" s="135">
        <f>'National average solar data'!G$35</f>
        <v>0</v>
      </c>
      <c r="L2285" s="135">
        <f>'National average solar data'!H$35</f>
        <v>6.3E-3</v>
      </c>
      <c r="M2285" s="135">
        <f>'National average solar data'!I$35</f>
        <v>0.1191</v>
      </c>
      <c r="N2285" s="135">
        <f>'National average solar data'!J$35</f>
        <v>0.65169999999999995</v>
      </c>
      <c r="O2285" s="135">
        <f>'National average solar data'!K$35</f>
        <v>0.86990000000000001</v>
      </c>
      <c r="P2285" s="135">
        <f>'National average solar data'!L$35</f>
        <v>0.90620000000000001</v>
      </c>
      <c r="Q2285" s="135">
        <f>'National average solar data'!M$35</f>
        <v>0.91600000000000004</v>
      </c>
      <c r="R2285" s="135">
        <f>'National average solar data'!N$35</f>
        <v>0.9173</v>
      </c>
      <c r="S2285" s="135">
        <f>'National average solar data'!O$35</f>
        <v>0.90280000000000005</v>
      </c>
      <c r="T2285" s="135">
        <f>'National average solar data'!P$35</f>
        <v>0.87029999999999996</v>
      </c>
      <c r="U2285" s="135">
        <f>'National average solar data'!Q$35</f>
        <v>0.84889999999999999</v>
      </c>
      <c r="V2285" s="135">
        <f>'National average solar data'!R$35</f>
        <v>0.78310000000000002</v>
      </c>
      <c r="W2285" s="135">
        <f>'National average solar data'!S$35</f>
        <v>0.65149999999999997</v>
      </c>
      <c r="X2285" s="135">
        <f>'National average solar data'!T$35</f>
        <v>0.27729999999999999</v>
      </c>
      <c r="Y2285" s="135">
        <f>'National average solar data'!U$35</f>
        <v>1.2800000000000001E-2</v>
      </c>
      <c r="Z2285" s="135">
        <f>'National average solar data'!V$35</f>
        <v>0</v>
      </c>
      <c r="AA2285" s="135">
        <f>'National average solar data'!W$35</f>
        <v>0</v>
      </c>
      <c r="AB2285" s="135">
        <f>'National average solar data'!X$35</f>
        <v>0</v>
      </c>
      <c r="AC2285" s="135">
        <f>'National average solar data'!Y$35</f>
        <v>0</v>
      </c>
      <c r="AD2285" s="135">
        <f>'National average solar data'!Z$35</f>
        <v>0</v>
      </c>
    </row>
    <row r="2286" spans="1:30" ht="12.6">
      <c r="A2286" s="10" t="s">
        <v>131</v>
      </c>
      <c r="B2286" s="10">
        <v>95</v>
      </c>
      <c r="C2286" s="10" t="s">
        <v>1513</v>
      </c>
      <c r="D2286" s="388">
        <v>45021</v>
      </c>
      <c r="E2286" s="389">
        <v>45021</v>
      </c>
      <c r="G2286" s="135">
        <f>'National average solar data'!C$35</f>
        <v>0</v>
      </c>
      <c r="H2286" s="135">
        <f>'National average solar data'!D$35</f>
        <v>0</v>
      </c>
      <c r="I2286" s="135">
        <f>'National average solar data'!E$35</f>
        <v>0</v>
      </c>
      <c r="J2286" s="135">
        <f>'National average solar data'!F$35</f>
        <v>0</v>
      </c>
      <c r="K2286" s="135">
        <f>'National average solar data'!G$35</f>
        <v>0</v>
      </c>
      <c r="L2286" s="135">
        <f>'National average solar data'!H$35</f>
        <v>6.3E-3</v>
      </c>
      <c r="M2286" s="135">
        <f>'National average solar data'!I$35</f>
        <v>0.1191</v>
      </c>
      <c r="N2286" s="135">
        <f>'National average solar data'!J$35</f>
        <v>0.65169999999999995</v>
      </c>
      <c r="O2286" s="135">
        <f>'National average solar data'!K$35</f>
        <v>0.86990000000000001</v>
      </c>
      <c r="P2286" s="135">
        <f>'National average solar data'!L$35</f>
        <v>0.90620000000000001</v>
      </c>
      <c r="Q2286" s="135">
        <f>'National average solar data'!M$35</f>
        <v>0.91600000000000004</v>
      </c>
      <c r="R2286" s="135">
        <f>'National average solar data'!N$35</f>
        <v>0.9173</v>
      </c>
      <c r="S2286" s="135">
        <f>'National average solar data'!O$35</f>
        <v>0.90280000000000005</v>
      </c>
      <c r="T2286" s="135">
        <f>'National average solar data'!P$35</f>
        <v>0.87029999999999996</v>
      </c>
      <c r="U2286" s="135">
        <f>'National average solar data'!Q$35</f>
        <v>0.84889999999999999</v>
      </c>
      <c r="V2286" s="135">
        <f>'National average solar data'!R$35</f>
        <v>0.78310000000000002</v>
      </c>
      <c r="W2286" s="135">
        <f>'National average solar data'!S$35</f>
        <v>0.65149999999999997</v>
      </c>
      <c r="X2286" s="135">
        <f>'National average solar data'!T$35</f>
        <v>0.27729999999999999</v>
      </c>
      <c r="Y2286" s="135">
        <f>'National average solar data'!U$35</f>
        <v>1.2800000000000001E-2</v>
      </c>
      <c r="Z2286" s="135">
        <f>'National average solar data'!V$35</f>
        <v>0</v>
      </c>
      <c r="AA2286" s="135">
        <f>'National average solar data'!W$35</f>
        <v>0</v>
      </c>
      <c r="AB2286" s="135">
        <f>'National average solar data'!X$35</f>
        <v>0</v>
      </c>
      <c r="AC2286" s="135">
        <f>'National average solar data'!Y$35</f>
        <v>0</v>
      </c>
      <c r="AD2286" s="135">
        <f>'National average solar data'!Z$35</f>
        <v>0</v>
      </c>
    </row>
    <row r="2287" spans="1:30" ht="12.6">
      <c r="A2287" s="10" t="s">
        <v>131</v>
      </c>
      <c r="B2287" s="10">
        <v>96</v>
      </c>
      <c r="C2287" s="10" t="s">
        <v>1513</v>
      </c>
      <c r="D2287" s="388">
        <v>45022</v>
      </c>
      <c r="E2287" s="389">
        <v>45022</v>
      </c>
      <c r="G2287" s="135">
        <f>'National average solar data'!C$35</f>
        <v>0</v>
      </c>
      <c r="H2287" s="135">
        <f>'National average solar data'!D$35</f>
        <v>0</v>
      </c>
      <c r="I2287" s="135">
        <f>'National average solar data'!E$35</f>
        <v>0</v>
      </c>
      <c r="J2287" s="135">
        <f>'National average solar data'!F$35</f>
        <v>0</v>
      </c>
      <c r="K2287" s="135">
        <f>'National average solar data'!G$35</f>
        <v>0</v>
      </c>
      <c r="L2287" s="135">
        <f>'National average solar data'!H$35</f>
        <v>6.3E-3</v>
      </c>
      <c r="M2287" s="135">
        <f>'National average solar data'!I$35</f>
        <v>0.1191</v>
      </c>
      <c r="N2287" s="135">
        <f>'National average solar data'!J$35</f>
        <v>0.65169999999999995</v>
      </c>
      <c r="O2287" s="135">
        <f>'National average solar data'!K$35</f>
        <v>0.86990000000000001</v>
      </c>
      <c r="P2287" s="135">
        <f>'National average solar data'!L$35</f>
        <v>0.90620000000000001</v>
      </c>
      <c r="Q2287" s="135">
        <f>'National average solar data'!M$35</f>
        <v>0.91600000000000004</v>
      </c>
      <c r="R2287" s="135">
        <f>'National average solar data'!N$35</f>
        <v>0.9173</v>
      </c>
      <c r="S2287" s="135">
        <f>'National average solar data'!O$35</f>
        <v>0.90280000000000005</v>
      </c>
      <c r="T2287" s="135">
        <f>'National average solar data'!P$35</f>
        <v>0.87029999999999996</v>
      </c>
      <c r="U2287" s="135">
        <f>'National average solar data'!Q$35</f>
        <v>0.84889999999999999</v>
      </c>
      <c r="V2287" s="135">
        <f>'National average solar data'!R$35</f>
        <v>0.78310000000000002</v>
      </c>
      <c r="W2287" s="135">
        <f>'National average solar data'!S$35</f>
        <v>0.65149999999999997</v>
      </c>
      <c r="X2287" s="135">
        <f>'National average solar data'!T$35</f>
        <v>0.27729999999999999</v>
      </c>
      <c r="Y2287" s="135">
        <f>'National average solar data'!U$35</f>
        <v>1.2800000000000001E-2</v>
      </c>
      <c r="Z2287" s="135">
        <f>'National average solar data'!V$35</f>
        <v>0</v>
      </c>
      <c r="AA2287" s="135">
        <f>'National average solar data'!W$35</f>
        <v>0</v>
      </c>
      <c r="AB2287" s="135">
        <f>'National average solar data'!X$35</f>
        <v>0</v>
      </c>
      <c r="AC2287" s="135">
        <f>'National average solar data'!Y$35</f>
        <v>0</v>
      </c>
      <c r="AD2287" s="135">
        <f>'National average solar data'!Z$35</f>
        <v>0</v>
      </c>
    </row>
    <row r="2288" spans="1:30" ht="12.6">
      <c r="A2288" s="10" t="s">
        <v>131</v>
      </c>
      <c r="B2288" s="10">
        <v>97</v>
      </c>
      <c r="C2288" s="10" t="s">
        <v>1513</v>
      </c>
      <c r="D2288" s="388">
        <v>45023</v>
      </c>
      <c r="E2288" s="389">
        <v>45023</v>
      </c>
      <c r="G2288" s="135">
        <f>'National average solar data'!C$35</f>
        <v>0</v>
      </c>
      <c r="H2288" s="135">
        <f>'National average solar data'!D$35</f>
        <v>0</v>
      </c>
      <c r="I2288" s="135">
        <f>'National average solar data'!E$35</f>
        <v>0</v>
      </c>
      <c r="J2288" s="135">
        <f>'National average solar data'!F$35</f>
        <v>0</v>
      </c>
      <c r="K2288" s="135">
        <f>'National average solar data'!G$35</f>
        <v>0</v>
      </c>
      <c r="L2288" s="135">
        <f>'National average solar data'!H$35</f>
        <v>6.3E-3</v>
      </c>
      <c r="M2288" s="135">
        <f>'National average solar data'!I$35</f>
        <v>0.1191</v>
      </c>
      <c r="N2288" s="135">
        <f>'National average solar data'!J$35</f>
        <v>0.65169999999999995</v>
      </c>
      <c r="O2288" s="135">
        <f>'National average solar data'!K$35</f>
        <v>0.86990000000000001</v>
      </c>
      <c r="P2288" s="135">
        <f>'National average solar data'!L$35</f>
        <v>0.90620000000000001</v>
      </c>
      <c r="Q2288" s="135">
        <f>'National average solar data'!M$35</f>
        <v>0.91600000000000004</v>
      </c>
      <c r="R2288" s="135">
        <f>'National average solar data'!N$35</f>
        <v>0.9173</v>
      </c>
      <c r="S2288" s="135">
        <f>'National average solar data'!O$35</f>
        <v>0.90280000000000005</v>
      </c>
      <c r="T2288" s="135">
        <f>'National average solar data'!P$35</f>
        <v>0.87029999999999996</v>
      </c>
      <c r="U2288" s="135">
        <f>'National average solar data'!Q$35</f>
        <v>0.84889999999999999</v>
      </c>
      <c r="V2288" s="135">
        <f>'National average solar data'!R$35</f>
        <v>0.78310000000000002</v>
      </c>
      <c r="W2288" s="135">
        <f>'National average solar data'!S$35</f>
        <v>0.65149999999999997</v>
      </c>
      <c r="X2288" s="135">
        <f>'National average solar data'!T$35</f>
        <v>0.27729999999999999</v>
      </c>
      <c r="Y2288" s="135">
        <f>'National average solar data'!U$35</f>
        <v>1.2800000000000001E-2</v>
      </c>
      <c r="Z2288" s="135">
        <f>'National average solar data'!V$35</f>
        <v>0</v>
      </c>
      <c r="AA2288" s="135">
        <f>'National average solar data'!W$35</f>
        <v>0</v>
      </c>
      <c r="AB2288" s="135">
        <f>'National average solar data'!X$35</f>
        <v>0</v>
      </c>
      <c r="AC2288" s="135">
        <f>'National average solar data'!Y$35</f>
        <v>0</v>
      </c>
      <c r="AD2288" s="135">
        <f>'National average solar data'!Z$35</f>
        <v>0</v>
      </c>
    </row>
    <row r="2289" spans="1:30" ht="12.6">
      <c r="A2289" s="10" t="s">
        <v>131</v>
      </c>
      <c r="B2289" s="10">
        <v>98</v>
      </c>
      <c r="C2289" s="10" t="s">
        <v>1513</v>
      </c>
      <c r="D2289" s="388">
        <v>45024</v>
      </c>
      <c r="E2289" s="389">
        <v>45024</v>
      </c>
      <c r="G2289" s="135">
        <f>'National average solar data'!C$35</f>
        <v>0</v>
      </c>
      <c r="H2289" s="135">
        <f>'National average solar data'!D$35</f>
        <v>0</v>
      </c>
      <c r="I2289" s="135">
        <f>'National average solar data'!E$35</f>
        <v>0</v>
      </c>
      <c r="J2289" s="135">
        <f>'National average solar data'!F$35</f>
        <v>0</v>
      </c>
      <c r="K2289" s="135">
        <f>'National average solar data'!G$35</f>
        <v>0</v>
      </c>
      <c r="L2289" s="135">
        <f>'National average solar data'!H$35</f>
        <v>6.3E-3</v>
      </c>
      <c r="M2289" s="135">
        <f>'National average solar data'!I$35</f>
        <v>0.1191</v>
      </c>
      <c r="N2289" s="135">
        <f>'National average solar data'!J$35</f>
        <v>0.65169999999999995</v>
      </c>
      <c r="O2289" s="135">
        <f>'National average solar data'!K$35</f>
        <v>0.86990000000000001</v>
      </c>
      <c r="P2289" s="135">
        <f>'National average solar data'!L$35</f>
        <v>0.90620000000000001</v>
      </c>
      <c r="Q2289" s="135">
        <f>'National average solar data'!M$35</f>
        <v>0.91600000000000004</v>
      </c>
      <c r="R2289" s="135">
        <f>'National average solar data'!N$35</f>
        <v>0.9173</v>
      </c>
      <c r="S2289" s="135">
        <f>'National average solar data'!O$35</f>
        <v>0.90280000000000005</v>
      </c>
      <c r="T2289" s="135">
        <f>'National average solar data'!P$35</f>
        <v>0.87029999999999996</v>
      </c>
      <c r="U2289" s="135">
        <f>'National average solar data'!Q$35</f>
        <v>0.84889999999999999</v>
      </c>
      <c r="V2289" s="135">
        <f>'National average solar data'!R$35</f>
        <v>0.78310000000000002</v>
      </c>
      <c r="W2289" s="135">
        <f>'National average solar data'!S$35</f>
        <v>0.65149999999999997</v>
      </c>
      <c r="X2289" s="135">
        <f>'National average solar data'!T$35</f>
        <v>0.27729999999999999</v>
      </c>
      <c r="Y2289" s="135">
        <f>'National average solar data'!U$35</f>
        <v>1.2800000000000001E-2</v>
      </c>
      <c r="Z2289" s="135">
        <f>'National average solar data'!V$35</f>
        <v>0</v>
      </c>
      <c r="AA2289" s="135">
        <f>'National average solar data'!W$35</f>
        <v>0</v>
      </c>
      <c r="AB2289" s="135">
        <f>'National average solar data'!X$35</f>
        <v>0</v>
      </c>
      <c r="AC2289" s="135">
        <f>'National average solar data'!Y$35</f>
        <v>0</v>
      </c>
      <c r="AD2289" s="135">
        <f>'National average solar data'!Z$35</f>
        <v>0</v>
      </c>
    </row>
    <row r="2290" spans="1:30" ht="12.6">
      <c r="A2290" s="10" t="s">
        <v>131</v>
      </c>
      <c r="B2290" s="10">
        <v>99</v>
      </c>
      <c r="C2290" s="10" t="s">
        <v>1513</v>
      </c>
      <c r="D2290" s="388">
        <v>45025</v>
      </c>
      <c r="E2290" s="389">
        <v>45025</v>
      </c>
      <c r="G2290" s="135">
        <f>'National average solar data'!C$35</f>
        <v>0</v>
      </c>
      <c r="H2290" s="135">
        <f>'National average solar data'!D$35</f>
        <v>0</v>
      </c>
      <c r="I2290" s="135">
        <f>'National average solar data'!E$35</f>
        <v>0</v>
      </c>
      <c r="J2290" s="135">
        <f>'National average solar data'!F$35</f>
        <v>0</v>
      </c>
      <c r="K2290" s="135">
        <f>'National average solar data'!G$35</f>
        <v>0</v>
      </c>
      <c r="L2290" s="135">
        <f>'National average solar data'!H$35</f>
        <v>6.3E-3</v>
      </c>
      <c r="M2290" s="135">
        <f>'National average solar data'!I$35</f>
        <v>0.1191</v>
      </c>
      <c r="N2290" s="135">
        <f>'National average solar data'!J$35</f>
        <v>0.65169999999999995</v>
      </c>
      <c r="O2290" s="135">
        <f>'National average solar data'!K$35</f>
        <v>0.86990000000000001</v>
      </c>
      <c r="P2290" s="135">
        <f>'National average solar data'!L$35</f>
        <v>0.90620000000000001</v>
      </c>
      <c r="Q2290" s="135">
        <f>'National average solar data'!M$35</f>
        <v>0.91600000000000004</v>
      </c>
      <c r="R2290" s="135">
        <f>'National average solar data'!N$35</f>
        <v>0.9173</v>
      </c>
      <c r="S2290" s="135">
        <f>'National average solar data'!O$35</f>
        <v>0.90280000000000005</v>
      </c>
      <c r="T2290" s="135">
        <f>'National average solar data'!P$35</f>
        <v>0.87029999999999996</v>
      </c>
      <c r="U2290" s="135">
        <f>'National average solar data'!Q$35</f>
        <v>0.84889999999999999</v>
      </c>
      <c r="V2290" s="135">
        <f>'National average solar data'!R$35</f>
        <v>0.78310000000000002</v>
      </c>
      <c r="W2290" s="135">
        <f>'National average solar data'!S$35</f>
        <v>0.65149999999999997</v>
      </c>
      <c r="X2290" s="135">
        <f>'National average solar data'!T$35</f>
        <v>0.27729999999999999</v>
      </c>
      <c r="Y2290" s="135">
        <f>'National average solar data'!U$35</f>
        <v>1.2800000000000001E-2</v>
      </c>
      <c r="Z2290" s="135">
        <f>'National average solar data'!V$35</f>
        <v>0</v>
      </c>
      <c r="AA2290" s="135">
        <f>'National average solar data'!W$35</f>
        <v>0</v>
      </c>
      <c r="AB2290" s="135">
        <f>'National average solar data'!X$35</f>
        <v>0</v>
      </c>
      <c r="AC2290" s="135">
        <f>'National average solar data'!Y$35</f>
        <v>0</v>
      </c>
      <c r="AD2290" s="135">
        <f>'National average solar data'!Z$35</f>
        <v>0</v>
      </c>
    </row>
    <row r="2291" spans="1:30" ht="12.6">
      <c r="A2291" s="10" t="s">
        <v>131</v>
      </c>
      <c r="B2291" s="10">
        <v>100</v>
      </c>
      <c r="C2291" s="10" t="s">
        <v>1513</v>
      </c>
      <c r="D2291" s="388">
        <v>45026</v>
      </c>
      <c r="E2291" s="389">
        <v>45026</v>
      </c>
      <c r="G2291" s="135">
        <f>'National average solar data'!C$35</f>
        <v>0</v>
      </c>
      <c r="H2291" s="135">
        <f>'National average solar data'!D$35</f>
        <v>0</v>
      </c>
      <c r="I2291" s="135">
        <f>'National average solar data'!E$35</f>
        <v>0</v>
      </c>
      <c r="J2291" s="135">
        <f>'National average solar data'!F$35</f>
        <v>0</v>
      </c>
      <c r="K2291" s="135">
        <f>'National average solar data'!G$35</f>
        <v>0</v>
      </c>
      <c r="L2291" s="135">
        <f>'National average solar data'!H$35</f>
        <v>6.3E-3</v>
      </c>
      <c r="M2291" s="135">
        <f>'National average solar data'!I$35</f>
        <v>0.1191</v>
      </c>
      <c r="N2291" s="135">
        <f>'National average solar data'!J$35</f>
        <v>0.65169999999999995</v>
      </c>
      <c r="O2291" s="135">
        <f>'National average solar data'!K$35</f>
        <v>0.86990000000000001</v>
      </c>
      <c r="P2291" s="135">
        <f>'National average solar data'!L$35</f>
        <v>0.90620000000000001</v>
      </c>
      <c r="Q2291" s="135">
        <f>'National average solar data'!M$35</f>
        <v>0.91600000000000004</v>
      </c>
      <c r="R2291" s="135">
        <f>'National average solar data'!N$35</f>
        <v>0.9173</v>
      </c>
      <c r="S2291" s="135">
        <f>'National average solar data'!O$35</f>
        <v>0.90280000000000005</v>
      </c>
      <c r="T2291" s="135">
        <f>'National average solar data'!P$35</f>
        <v>0.87029999999999996</v>
      </c>
      <c r="U2291" s="135">
        <f>'National average solar data'!Q$35</f>
        <v>0.84889999999999999</v>
      </c>
      <c r="V2291" s="135">
        <f>'National average solar data'!R$35</f>
        <v>0.78310000000000002</v>
      </c>
      <c r="W2291" s="135">
        <f>'National average solar data'!S$35</f>
        <v>0.65149999999999997</v>
      </c>
      <c r="X2291" s="135">
        <f>'National average solar data'!T$35</f>
        <v>0.27729999999999999</v>
      </c>
      <c r="Y2291" s="135">
        <f>'National average solar data'!U$35</f>
        <v>1.2800000000000001E-2</v>
      </c>
      <c r="Z2291" s="135">
        <f>'National average solar data'!V$35</f>
        <v>0</v>
      </c>
      <c r="AA2291" s="135">
        <f>'National average solar data'!W$35</f>
        <v>0</v>
      </c>
      <c r="AB2291" s="135">
        <f>'National average solar data'!X$35</f>
        <v>0</v>
      </c>
      <c r="AC2291" s="135">
        <f>'National average solar data'!Y$35</f>
        <v>0</v>
      </c>
      <c r="AD2291" s="135">
        <f>'National average solar data'!Z$35</f>
        <v>0</v>
      </c>
    </row>
    <row r="2292" spans="1:30" ht="12.6">
      <c r="A2292" s="10" t="s">
        <v>131</v>
      </c>
      <c r="B2292" s="10">
        <v>101</v>
      </c>
      <c r="C2292" s="10" t="s">
        <v>1513</v>
      </c>
      <c r="D2292" s="388">
        <v>45027</v>
      </c>
      <c r="E2292" s="389">
        <v>45027</v>
      </c>
      <c r="G2292" s="135">
        <f>'National average solar data'!C$35</f>
        <v>0</v>
      </c>
      <c r="H2292" s="135">
        <f>'National average solar data'!D$35</f>
        <v>0</v>
      </c>
      <c r="I2292" s="135">
        <f>'National average solar data'!E$35</f>
        <v>0</v>
      </c>
      <c r="J2292" s="135">
        <f>'National average solar data'!F$35</f>
        <v>0</v>
      </c>
      <c r="K2292" s="135">
        <f>'National average solar data'!G$35</f>
        <v>0</v>
      </c>
      <c r="L2292" s="135">
        <f>'National average solar data'!H$35</f>
        <v>6.3E-3</v>
      </c>
      <c r="M2292" s="135">
        <f>'National average solar data'!I$35</f>
        <v>0.1191</v>
      </c>
      <c r="N2292" s="135">
        <f>'National average solar data'!J$35</f>
        <v>0.65169999999999995</v>
      </c>
      <c r="O2292" s="135">
        <f>'National average solar data'!K$35</f>
        <v>0.86990000000000001</v>
      </c>
      <c r="P2292" s="135">
        <f>'National average solar data'!L$35</f>
        <v>0.90620000000000001</v>
      </c>
      <c r="Q2292" s="135">
        <f>'National average solar data'!M$35</f>
        <v>0.91600000000000004</v>
      </c>
      <c r="R2292" s="135">
        <f>'National average solar data'!N$35</f>
        <v>0.9173</v>
      </c>
      <c r="S2292" s="135">
        <f>'National average solar data'!O$35</f>
        <v>0.90280000000000005</v>
      </c>
      <c r="T2292" s="135">
        <f>'National average solar data'!P$35</f>
        <v>0.87029999999999996</v>
      </c>
      <c r="U2292" s="135">
        <f>'National average solar data'!Q$35</f>
        <v>0.84889999999999999</v>
      </c>
      <c r="V2292" s="135">
        <f>'National average solar data'!R$35</f>
        <v>0.78310000000000002</v>
      </c>
      <c r="W2292" s="135">
        <f>'National average solar data'!S$35</f>
        <v>0.65149999999999997</v>
      </c>
      <c r="X2292" s="135">
        <f>'National average solar data'!T$35</f>
        <v>0.27729999999999999</v>
      </c>
      <c r="Y2292" s="135">
        <f>'National average solar data'!U$35</f>
        <v>1.2800000000000001E-2</v>
      </c>
      <c r="Z2292" s="135">
        <f>'National average solar data'!V$35</f>
        <v>0</v>
      </c>
      <c r="AA2292" s="135">
        <f>'National average solar data'!W$35</f>
        <v>0</v>
      </c>
      <c r="AB2292" s="135">
        <f>'National average solar data'!X$35</f>
        <v>0</v>
      </c>
      <c r="AC2292" s="135">
        <f>'National average solar data'!Y$35</f>
        <v>0</v>
      </c>
      <c r="AD2292" s="135">
        <f>'National average solar data'!Z$35</f>
        <v>0</v>
      </c>
    </row>
    <row r="2293" spans="1:30" ht="12.6">
      <c r="A2293" s="10" t="s">
        <v>131</v>
      </c>
      <c r="B2293" s="10">
        <v>102</v>
      </c>
      <c r="C2293" s="10" t="s">
        <v>1513</v>
      </c>
      <c r="D2293" s="388">
        <v>45028</v>
      </c>
      <c r="E2293" s="389">
        <v>45028</v>
      </c>
      <c r="G2293" s="135">
        <f>'National average solar data'!C$35</f>
        <v>0</v>
      </c>
      <c r="H2293" s="135">
        <f>'National average solar data'!D$35</f>
        <v>0</v>
      </c>
      <c r="I2293" s="135">
        <f>'National average solar data'!E$35</f>
        <v>0</v>
      </c>
      <c r="J2293" s="135">
        <f>'National average solar data'!F$35</f>
        <v>0</v>
      </c>
      <c r="K2293" s="135">
        <f>'National average solar data'!G$35</f>
        <v>0</v>
      </c>
      <c r="L2293" s="135">
        <f>'National average solar data'!H$35</f>
        <v>6.3E-3</v>
      </c>
      <c r="M2293" s="135">
        <f>'National average solar data'!I$35</f>
        <v>0.1191</v>
      </c>
      <c r="N2293" s="135">
        <f>'National average solar data'!J$35</f>
        <v>0.65169999999999995</v>
      </c>
      <c r="O2293" s="135">
        <f>'National average solar data'!K$35</f>
        <v>0.86990000000000001</v>
      </c>
      <c r="P2293" s="135">
        <f>'National average solar data'!L$35</f>
        <v>0.90620000000000001</v>
      </c>
      <c r="Q2293" s="135">
        <f>'National average solar data'!M$35</f>
        <v>0.91600000000000004</v>
      </c>
      <c r="R2293" s="135">
        <f>'National average solar data'!N$35</f>
        <v>0.9173</v>
      </c>
      <c r="S2293" s="135">
        <f>'National average solar data'!O$35</f>
        <v>0.90280000000000005</v>
      </c>
      <c r="T2293" s="135">
        <f>'National average solar data'!P$35</f>
        <v>0.87029999999999996</v>
      </c>
      <c r="U2293" s="135">
        <f>'National average solar data'!Q$35</f>
        <v>0.84889999999999999</v>
      </c>
      <c r="V2293" s="135">
        <f>'National average solar data'!R$35</f>
        <v>0.78310000000000002</v>
      </c>
      <c r="W2293" s="135">
        <f>'National average solar data'!S$35</f>
        <v>0.65149999999999997</v>
      </c>
      <c r="X2293" s="135">
        <f>'National average solar data'!T$35</f>
        <v>0.27729999999999999</v>
      </c>
      <c r="Y2293" s="135">
        <f>'National average solar data'!U$35</f>
        <v>1.2800000000000001E-2</v>
      </c>
      <c r="Z2293" s="135">
        <f>'National average solar data'!V$35</f>
        <v>0</v>
      </c>
      <c r="AA2293" s="135">
        <f>'National average solar data'!W$35</f>
        <v>0</v>
      </c>
      <c r="AB2293" s="135">
        <f>'National average solar data'!X$35</f>
        <v>0</v>
      </c>
      <c r="AC2293" s="135">
        <f>'National average solar data'!Y$35</f>
        <v>0</v>
      </c>
      <c r="AD2293" s="135">
        <f>'National average solar data'!Z$35</f>
        <v>0</v>
      </c>
    </row>
    <row r="2294" spans="1:30" ht="12.6">
      <c r="A2294" s="10" t="s">
        <v>131</v>
      </c>
      <c r="B2294" s="10">
        <v>103</v>
      </c>
      <c r="C2294" s="10" t="s">
        <v>1513</v>
      </c>
      <c r="D2294" s="388">
        <v>45029</v>
      </c>
      <c r="E2294" s="389">
        <v>45029</v>
      </c>
      <c r="G2294" s="135">
        <f>'National average solar data'!C$35</f>
        <v>0</v>
      </c>
      <c r="H2294" s="135">
        <f>'National average solar data'!D$35</f>
        <v>0</v>
      </c>
      <c r="I2294" s="135">
        <f>'National average solar data'!E$35</f>
        <v>0</v>
      </c>
      <c r="J2294" s="135">
        <f>'National average solar data'!F$35</f>
        <v>0</v>
      </c>
      <c r="K2294" s="135">
        <f>'National average solar data'!G$35</f>
        <v>0</v>
      </c>
      <c r="L2294" s="135">
        <f>'National average solar data'!H$35</f>
        <v>6.3E-3</v>
      </c>
      <c r="M2294" s="135">
        <f>'National average solar data'!I$35</f>
        <v>0.1191</v>
      </c>
      <c r="N2294" s="135">
        <f>'National average solar data'!J$35</f>
        <v>0.65169999999999995</v>
      </c>
      <c r="O2294" s="135">
        <f>'National average solar data'!K$35</f>
        <v>0.86990000000000001</v>
      </c>
      <c r="P2294" s="135">
        <f>'National average solar data'!L$35</f>
        <v>0.90620000000000001</v>
      </c>
      <c r="Q2294" s="135">
        <f>'National average solar data'!M$35</f>
        <v>0.91600000000000004</v>
      </c>
      <c r="R2294" s="135">
        <f>'National average solar data'!N$35</f>
        <v>0.9173</v>
      </c>
      <c r="S2294" s="135">
        <f>'National average solar data'!O$35</f>
        <v>0.90280000000000005</v>
      </c>
      <c r="T2294" s="135">
        <f>'National average solar data'!P$35</f>
        <v>0.87029999999999996</v>
      </c>
      <c r="U2294" s="135">
        <f>'National average solar data'!Q$35</f>
        <v>0.84889999999999999</v>
      </c>
      <c r="V2294" s="135">
        <f>'National average solar data'!R$35</f>
        <v>0.78310000000000002</v>
      </c>
      <c r="W2294" s="135">
        <f>'National average solar data'!S$35</f>
        <v>0.65149999999999997</v>
      </c>
      <c r="X2294" s="135">
        <f>'National average solar data'!T$35</f>
        <v>0.27729999999999999</v>
      </c>
      <c r="Y2294" s="135">
        <f>'National average solar data'!U$35</f>
        <v>1.2800000000000001E-2</v>
      </c>
      <c r="Z2294" s="135">
        <f>'National average solar data'!V$35</f>
        <v>0</v>
      </c>
      <c r="AA2294" s="135">
        <f>'National average solar data'!W$35</f>
        <v>0</v>
      </c>
      <c r="AB2294" s="135">
        <f>'National average solar data'!X$35</f>
        <v>0</v>
      </c>
      <c r="AC2294" s="135">
        <f>'National average solar data'!Y$35</f>
        <v>0</v>
      </c>
      <c r="AD2294" s="135">
        <f>'National average solar data'!Z$35</f>
        <v>0</v>
      </c>
    </row>
    <row r="2295" spans="1:30" ht="12.6">
      <c r="A2295" s="10" t="s">
        <v>131</v>
      </c>
      <c r="B2295" s="10">
        <v>104</v>
      </c>
      <c r="C2295" s="10" t="s">
        <v>1513</v>
      </c>
      <c r="D2295" s="388">
        <v>45030</v>
      </c>
      <c r="E2295" s="389">
        <v>45030</v>
      </c>
      <c r="G2295" s="135">
        <f>'National average solar data'!C$35</f>
        <v>0</v>
      </c>
      <c r="H2295" s="135">
        <f>'National average solar data'!D$35</f>
        <v>0</v>
      </c>
      <c r="I2295" s="135">
        <f>'National average solar data'!E$35</f>
        <v>0</v>
      </c>
      <c r="J2295" s="135">
        <f>'National average solar data'!F$35</f>
        <v>0</v>
      </c>
      <c r="K2295" s="135">
        <f>'National average solar data'!G$35</f>
        <v>0</v>
      </c>
      <c r="L2295" s="135">
        <f>'National average solar data'!H$35</f>
        <v>6.3E-3</v>
      </c>
      <c r="M2295" s="135">
        <f>'National average solar data'!I$35</f>
        <v>0.1191</v>
      </c>
      <c r="N2295" s="135">
        <f>'National average solar data'!J$35</f>
        <v>0.65169999999999995</v>
      </c>
      <c r="O2295" s="135">
        <f>'National average solar data'!K$35</f>
        <v>0.86990000000000001</v>
      </c>
      <c r="P2295" s="135">
        <f>'National average solar data'!L$35</f>
        <v>0.90620000000000001</v>
      </c>
      <c r="Q2295" s="135">
        <f>'National average solar data'!M$35</f>
        <v>0.91600000000000004</v>
      </c>
      <c r="R2295" s="135">
        <f>'National average solar data'!N$35</f>
        <v>0.9173</v>
      </c>
      <c r="S2295" s="135">
        <f>'National average solar data'!O$35</f>
        <v>0.90280000000000005</v>
      </c>
      <c r="T2295" s="135">
        <f>'National average solar data'!P$35</f>
        <v>0.87029999999999996</v>
      </c>
      <c r="U2295" s="135">
        <f>'National average solar data'!Q$35</f>
        <v>0.84889999999999999</v>
      </c>
      <c r="V2295" s="135">
        <f>'National average solar data'!R$35</f>
        <v>0.78310000000000002</v>
      </c>
      <c r="W2295" s="135">
        <f>'National average solar data'!S$35</f>
        <v>0.65149999999999997</v>
      </c>
      <c r="X2295" s="135">
        <f>'National average solar data'!T$35</f>
        <v>0.27729999999999999</v>
      </c>
      <c r="Y2295" s="135">
        <f>'National average solar data'!U$35</f>
        <v>1.2800000000000001E-2</v>
      </c>
      <c r="Z2295" s="135">
        <f>'National average solar data'!V$35</f>
        <v>0</v>
      </c>
      <c r="AA2295" s="135">
        <f>'National average solar data'!W$35</f>
        <v>0</v>
      </c>
      <c r="AB2295" s="135">
        <f>'National average solar data'!X$35</f>
        <v>0</v>
      </c>
      <c r="AC2295" s="135">
        <f>'National average solar data'!Y$35</f>
        <v>0</v>
      </c>
      <c r="AD2295" s="135">
        <f>'National average solar data'!Z$35</f>
        <v>0</v>
      </c>
    </row>
    <row r="2296" spans="1:30" ht="12.6">
      <c r="A2296" s="10" t="s">
        <v>131</v>
      </c>
      <c r="B2296" s="10">
        <v>105</v>
      </c>
      <c r="C2296" s="10" t="s">
        <v>1513</v>
      </c>
      <c r="D2296" s="388">
        <v>45031</v>
      </c>
      <c r="E2296" s="389">
        <v>45031</v>
      </c>
      <c r="G2296" s="135">
        <f>'National average solar data'!C$35</f>
        <v>0</v>
      </c>
      <c r="H2296" s="135">
        <f>'National average solar data'!D$35</f>
        <v>0</v>
      </c>
      <c r="I2296" s="135">
        <f>'National average solar data'!E$35</f>
        <v>0</v>
      </c>
      <c r="J2296" s="135">
        <f>'National average solar data'!F$35</f>
        <v>0</v>
      </c>
      <c r="K2296" s="135">
        <f>'National average solar data'!G$35</f>
        <v>0</v>
      </c>
      <c r="L2296" s="135">
        <f>'National average solar data'!H$35</f>
        <v>6.3E-3</v>
      </c>
      <c r="M2296" s="135">
        <f>'National average solar data'!I$35</f>
        <v>0.1191</v>
      </c>
      <c r="N2296" s="135">
        <f>'National average solar data'!J$35</f>
        <v>0.65169999999999995</v>
      </c>
      <c r="O2296" s="135">
        <f>'National average solar data'!K$35</f>
        <v>0.86990000000000001</v>
      </c>
      <c r="P2296" s="135">
        <f>'National average solar data'!L$35</f>
        <v>0.90620000000000001</v>
      </c>
      <c r="Q2296" s="135">
        <f>'National average solar data'!M$35</f>
        <v>0.91600000000000004</v>
      </c>
      <c r="R2296" s="135">
        <f>'National average solar data'!N$35</f>
        <v>0.9173</v>
      </c>
      <c r="S2296" s="135">
        <f>'National average solar data'!O$35</f>
        <v>0.90280000000000005</v>
      </c>
      <c r="T2296" s="135">
        <f>'National average solar data'!P$35</f>
        <v>0.87029999999999996</v>
      </c>
      <c r="U2296" s="135">
        <f>'National average solar data'!Q$35</f>
        <v>0.84889999999999999</v>
      </c>
      <c r="V2296" s="135">
        <f>'National average solar data'!R$35</f>
        <v>0.78310000000000002</v>
      </c>
      <c r="W2296" s="135">
        <f>'National average solar data'!S$35</f>
        <v>0.65149999999999997</v>
      </c>
      <c r="X2296" s="135">
        <f>'National average solar data'!T$35</f>
        <v>0.27729999999999999</v>
      </c>
      <c r="Y2296" s="135">
        <f>'National average solar data'!U$35</f>
        <v>1.2800000000000001E-2</v>
      </c>
      <c r="Z2296" s="135">
        <f>'National average solar data'!V$35</f>
        <v>0</v>
      </c>
      <c r="AA2296" s="135">
        <f>'National average solar data'!W$35</f>
        <v>0</v>
      </c>
      <c r="AB2296" s="135">
        <f>'National average solar data'!X$35</f>
        <v>0</v>
      </c>
      <c r="AC2296" s="135">
        <f>'National average solar data'!Y$35</f>
        <v>0</v>
      </c>
      <c r="AD2296" s="135">
        <f>'National average solar data'!Z$35</f>
        <v>0</v>
      </c>
    </row>
    <row r="2297" spans="1:30" ht="12.6">
      <c r="A2297" s="10" t="s">
        <v>131</v>
      </c>
      <c r="B2297" s="10">
        <v>106</v>
      </c>
      <c r="C2297" s="10" t="s">
        <v>1513</v>
      </c>
      <c r="D2297" s="388">
        <v>45032</v>
      </c>
      <c r="E2297" s="389">
        <v>45032</v>
      </c>
      <c r="G2297" s="135">
        <f>'National average solar data'!C$35</f>
        <v>0</v>
      </c>
      <c r="H2297" s="135">
        <f>'National average solar data'!D$35</f>
        <v>0</v>
      </c>
      <c r="I2297" s="135">
        <f>'National average solar data'!E$35</f>
        <v>0</v>
      </c>
      <c r="J2297" s="135">
        <f>'National average solar data'!F$35</f>
        <v>0</v>
      </c>
      <c r="K2297" s="135">
        <f>'National average solar data'!G$35</f>
        <v>0</v>
      </c>
      <c r="L2297" s="135">
        <f>'National average solar data'!H$35</f>
        <v>6.3E-3</v>
      </c>
      <c r="M2297" s="135">
        <f>'National average solar data'!I$35</f>
        <v>0.1191</v>
      </c>
      <c r="N2297" s="135">
        <f>'National average solar data'!J$35</f>
        <v>0.65169999999999995</v>
      </c>
      <c r="O2297" s="135">
        <f>'National average solar data'!K$35</f>
        <v>0.86990000000000001</v>
      </c>
      <c r="P2297" s="135">
        <f>'National average solar data'!L$35</f>
        <v>0.90620000000000001</v>
      </c>
      <c r="Q2297" s="135">
        <f>'National average solar data'!M$35</f>
        <v>0.91600000000000004</v>
      </c>
      <c r="R2297" s="135">
        <f>'National average solar data'!N$35</f>
        <v>0.9173</v>
      </c>
      <c r="S2297" s="135">
        <f>'National average solar data'!O$35</f>
        <v>0.90280000000000005</v>
      </c>
      <c r="T2297" s="135">
        <f>'National average solar data'!P$35</f>
        <v>0.87029999999999996</v>
      </c>
      <c r="U2297" s="135">
        <f>'National average solar data'!Q$35</f>
        <v>0.84889999999999999</v>
      </c>
      <c r="V2297" s="135">
        <f>'National average solar data'!R$35</f>
        <v>0.78310000000000002</v>
      </c>
      <c r="W2297" s="135">
        <f>'National average solar data'!S$35</f>
        <v>0.65149999999999997</v>
      </c>
      <c r="X2297" s="135">
        <f>'National average solar data'!T$35</f>
        <v>0.27729999999999999</v>
      </c>
      <c r="Y2297" s="135">
        <f>'National average solar data'!U$35</f>
        <v>1.2800000000000001E-2</v>
      </c>
      <c r="Z2297" s="135">
        <f>'National average solar data'!V$35</f>
        <v>0</v>
      </c>
      <c r="AA2297" s="135">
        <f>'National average solar data'!W$35</f>
        <v>0</v>
      </c>
      <c r="AB2297" s="135">
        <f>'National average solar data'!X$35</f>
        <v>0</v>
      </c>
      <c r="AC2297" s="135">
        <f>'National average solar data'!Y$35</f>
        <v>0</v>
      </c>
      <c r="AD2297" s="135">
        <f>'National average solar data'!Z$35</f>
        <v>0</v>
      </c>
    </row>
    <row r="2298" spans="1:30" ht="12.6">
      <c r="A2298" s="10" t="s">
        <v>131</v>
      </c>
      <c r="B2298" s="10">
        <v>107</v>
      </c>
      <c r="C2298" s="10" t="s">
        <v>1513</v>
      </c>
      <c r="D2298" s="388">
        <v>45033</v>
      </c>
      <c r="E2298" s="389">
        <v>45033</v>
      </c>
      <c r="G2298" s="135">
        <f>'National average solar data'!C$35</f>
        <v>0</v>
      </c>
      <c r="H2298" s="135">
        <f>'National average solar data'!D$35</f>
        <v>0</v>
      </c>
      <c r="I2298" s="135">
        <f>'National average solar data'!E$35</f>
        <v>0</v>
      </c>
      <c r="J2298" s="135">
        <f>'National average solar data'!F$35</f>
        <v>0</v>
      </c>
      <c r="K2298" s="135">
        <f>'National average solar data'!G$35</f>
        <v>0</v>
      </c>
      <c r="L2298" s="135">
        <f>'National average solar data'!H$35</f>
        <v>6.3E-3</v>
      </c>
      <c r="M2298" s="135">
        <f>'National average solar data'!I$35</f>
        <v>0.1191</v>
      </c>
      <c r="N2298" s="135">
        <f>'National average solar data'!J$35</f>
        <v>0.65169999999999995</v>
      </c>
      <c r="O2298" s="135">
        <f>'National average solar data'!K$35</f>
        <v>0.86990000000000001</v>
      </c>
      <c r="P2298" s="135">
        <f>'National average solar data'!L$35</f>
        <v>0.90620000000000001</v>
      </c>
      <c r="Q2298" s="135">
        <f>'National average solar data'!M$35</f>
        <v>0.91600000000000004</v>
      </c>
      <c r="R2298" s="135">
        <f>'National average solar data'!N$35</f>
        <v>0.9173</v>
      </c>
      <c r="S2298" s="135">
        <f>'National average solar data'!O$35</f>
        <v>0.90280000000000005</v>
      </c>
      <c r="T2298" s="135">
        <f>'National average solar data'!P$35</f>
        <v>0.87029999999999996</v>
      </c>
      <c r="U2298" s="135">
        <f>'National average solar data'!Q$35</f>
        <v>0.84889999999999999</v>
      </c>
      <c r="V2298" s="135">
        <f>'National average solar data'!R$35</f>
        <v>0.78310000000000002</v>
      </c>
      <c r="W2298" s="135">
        <f>'National average solar data'!S$35</f>
        <v>0.65149999999999997</v>
      </c>
      <c r="X2298" s="135">
        <f>'National average solar data'!T$35</f>
        <v>0.27729999999999999</v>
      </c>
      <c r="Y2298" s="135">
        <f>'National average solar data'!U$35</f>
        <v>1.2800000000000001E-2</v>
      </c>
      <c r="Z2298" s="135">
        <f>'National average solar data'!V$35</f>
        <v>0</v>
      </c>
      <c r="AA2298" s="135">
        <f>'National average solar data'!W$35</f>
        <v>0</v>
      </c>
      <c r="AB2298" s="135">
        <f>'National average solar data'!X$35</f>
        <v>0</v>
      </c>
      <c r="AC2298" s="135">
        <f>'National average solar data'!Y$35</f>
        <v>0</v>
      </c>
      <c r="AD2298" s="135">
        <f>'National average solar data'!Z$35</f>
        <v>0</v>
      </c>
    </row>
    <row r="2299" spans="1:30" ht="12.6">
      <c r="A2299" s="10" t="s">
        <v>131</v>
      </c>
      <c r="B2299" s="10">
        <v>108</v>
      </c>
      <c r="C2299" s="10" t="s">
        <v>1513</v>
      </c>
      <c r="D2299" s="388">
        <v>45034</v>
      </c>
      <c r="E2299" s="389">
        <v>45034</v>
      </c>
      <c r="G2299" s="135">
        <f>'National average solar data'!C$35</f>
        <v>0</v>
      </c>
      <c r="H2299" s="135">
        <f>'National average solar data'!D$35</f>
        <v>0</v>
      </c>
      <c r="I2299" s="135">
        <f>'National average solar data'!E$35</f>
        <v>0</v>
      </c>
      <c r="J2299" s="135">
        <f>'National average solar data'!F$35</f>
        <v>0</v>
      </c>
      <c r="K2299" s="135">
        <f>'National average solar data'!G$35</f>
        <v>0</v>
      </c>
      <c r="L2299" s="135">
        <f>'National average solar data'!H$35</f>
        <v>6.3E-3</v>
      </c>
      <c r="M2299" s="135">
        <f>'National average solar data'!I$35</f>
        <v>0.1191</v>
      </c>
      <c r="N2299" s="135">
        <f>'National average solar data'!J$35</f>
        <v>0.65169999999999995</v>
      </c>
      <c r="O2299" s="135">
        <f>'National average solar data'!K$35</f>
        <v>0.86990000000000001</v>
      </c>
      <c r="P2299" s="135">
        <f>'National average solar data'!L$35</f>
        <v>0.90620000000000001</v>
      </c>
      <c r="Q2299" s="135">
        <f>'National average solar data'!M$35</f>
        <v>0.91600000000000004</v>
      </c>
      <c r="R2299" s="135">
        <f>'National average solar data'!N$35</f>
        <v>0.9173</v>
      </c>
      <c r="S2299" s="135">
        <f>'National average solar data'!O$35</f>
        <v>0.90280000000000005</v>
      </c>
      <c r="T2299" s="135">
        <f>'National average solar data'!P$35</f>
        <v>0.87029999999999996</v>
      </c>
      <c r="U2299" s="135">
        <f>'National average solar data'!Q$35</f>
        <v>0.84889999999999999</v>
      </c>
      <c r="V2299" s="135">
        <f>'National average solar data'!R$35</f>
        <v>0.78310000000000002</v>
      </c>
      <c r="W2299" s="135">
        <f>'National average solar data'!S$35</f>
        <v>0.65149999999999997</v>
      </c>
      <c r="X2299" s="135">
        <f>'National average solar data'!T$35</f>
        <v>0.27729999999999999</v>
      </c>
      <c r="Y2299" s="135">
        <f>'National average solar data'!U$35</f>
        <v>1.2800000000000001E-2</v>
      </c>
      <c r="Z2299" s="135">
        <f>'National average solar data'!V$35</f>
        <v>0</v>
      </c>
      <c r="AA2299" s="135">
        <f>'National average solar data'!W$35</f>
        <v>0</v>
      </c>
      <c r="AB2299" s="135">
        <f>'National average solar data'!X$35</f>
        <v>0</v>
      </c>
      <c r="AC2299" s="135">
        <f>'National average solar data'!Y$35</f>
        <v>0</v>
      </c>
      <c r="AD2299" s="135">
        <f>'National average solar data'!Z$35</f>
        <v>0</v>
      </c>
    </row>
    <row r="2300" spans="1:30" ht="12.6">
      <c r="A2300" s="10" t="s">
        <v>131</v>
      </c>
      <c r="B2300" s="10">
        <v>109</v>
      </c>
      <c r="C2300" s="10" t="s">
        <v>1513</v>
      </c>
      <c r="D2300" s="388">
        <v>45035</v>
      </c>
      <c r="E2300" s="389">
        <v>45035</v>
      </c>
      <c r="G2300" s="135">
        <f>'National average solar data'!C$35</f>
        <v>0</v>
      </c>
      <c r="H2300" s="135">
        <f>'National average solar data'!D$35</f>
        <v>0</v>
      </c>
      <c r="I2300" s="135">
        <f>'National average solar data'!E$35</f>
        <v>0</v>
      </c>
      <c r="J2300" s="135">
        <f>'National average solar data'!F$35</f>
        <v>0</v>
      </c>
      <c r="K2300" s="135">
        <f>'National average solar data'!G$35</f>
        <v>0</v>
      </c>
      <c r="L2300" s="135">
        <f>'National average solar data'!H$35</f>
        <v>6.3E-3</v>
      </c>
      <c r="M2300" s="135">
        <f>'National average solar data'!I$35</f>
        <v>0.1191</v>
      </c>
      <c r="N2300" s="135">
        <f>'National average solar data'!J$35</f>
        <v>0.65169999999999995</v>
      </c>
      <c r="O2300" s="135">
        <f>'National average solar data'!K$35</f>
        <v>0.86990000000000001</v>
      </c>
      <c r="P2300" s="135">
        <f>'National average solar data'!L$35</f>
        <v>0.90620000000000001</v>
      </c>
      <c r="Q2300" s="135">
        <f>'National average solar data'!M$35</f>
        <v>0.91600000000000004</v>
      </c>
      <c r="R2300" s="135">
        <f>'National average solar data'!N$35</f>
        <v>0.9173</v>
      </c>
      <c r="S2300" s="135">
        <f>'National average solar data'!O$35</f>
        <v>0.90280000000000005</v>
      </c>
      <c r="T2300" s="135">
        <f>'National average solar data'!P$35</f>
        <v>0.87029999999999996</v>
      </c>
      <c r="U2300" s="135">
        <f>'National average solar data'!Q$35</f>
        <v>0.84889999999999999</v>
      </c>
      <c r="V2300" s="135">
        <f>'National average solar data'!R$35</f>
        <v>0.78310000000000002</v>
      </c>
      <c r="W2300" s="135">
        <f>'National average solar data'!S$35</f>
        <v>0.65149999999999997</v>
      </c>
      <c r="X2300" s="135">
        <f>'National average solar data'!T$35</f>
        <v>0.27729999999999999</v>
      </c>
      <c r="Y2300" s="135">
        <f>'National average solar data'!U$35</f>
        <v>1.2800000000000001E-2</v>
      </c>
      <c r="Z2300" s="135">
        <f>'National average solar data'!V$35</f>
        <v>0</v>
      </c>
      <c r="AA2300" s="135">
        <f>'National average solar data'!W$35</f>
        <v>0</v>
      </c>
      <c r="AB2300" s="135">
        <f>'National average solar data'!X$35</f>
        <v>0</v>
      </c>
      <c r="AC2300" s="135">
        <f>'National average solar data'!Y$35</f>
        <v>0</v>
      </c>
      <c r="AD2300" s="135">
        <f>'National average solar data'!Z$35</f>
        <v>0</v>
      </c>
    </row>
    <row r="2301" spans="1:30" ht="12.6">
      <c r="A2301" s="10" t="s">
        <v>131</v>
      </c>
      <c r="B2301" s="10">
        <v>110</v>
      </c>
      <c r="C2301" s="10" t="s">
        <v>1513</v>
      </c>
      <c r="D2301" s="388">
        <v>45036</v>
      </c>
      <c r="E2301" s="389">
        <v>45036</v>
      </c>
      <c r="G2301" s="135">
        <f>'National average solar data'!C$35</f>
        <v>0</v>
      </c>
      <c r="H2301" s="135">
        <f>'National average solar data'!D$35</f>
        <v>0</v>
      </c>
      <c r="I2301" s="135">
        <f>'National average solar data'!E$35</f>
        <v>0</v>
      </c>
      <c r="J2301" s="135">
        <f>'National average solar data'!F$35</f>
        <v>0</v>
      </c>
      <c r="K2301" s="135">
        <f>'National average solar data'!G$35</f>
        <v>0</v>
      </c>
      <c r="L2301" s="135">
        <f>'National average solar data'!H$35</f>
        <v>6.3E-3</v>
      </c>
      <c r="M2301" s="135">
        <f>'National average solar data'!I$35</f>
        <v>0.1191</v>
      </c>
      <c r="N2301" s="135">
        <f>'National average solar data'!J$35</f>
        <v>0.65169999999999995</v>
      </c>
      <c r="O2301" s="135">
        <f>'National average solar data'!K$35</f>
        <v>0.86990000000000001</v>
      </c>
      <c r="P2301" s="135">
        <f>'National average solar data'!L$35</f>
        <v>0.90620000000000001</v>
      </c>
      <c r="Q2301" s="135">
        <f>'National average solar data'!M$35</f>
        <v>0.91600000000000004</v>
      </c>
      <c r="R2301" s="135">
        <f>'National average solar data'!N$35</f>
        <v>0.9173</v>
      </c>
      <c r="S2301" s="135">
        <f>'National average solar data'!O$35</f>
        <v>0.90280000000000005</v>
      </c>
      <c r="T2301" s="135">
        <f>'National average solar data'!P$35</f>
        <v>0.87029999999999996</v>
      </c>
      <c r="U2301" s="135">
        <f>'National average solar data'!Q$35</f>
        <v>0.84889999999999999</v>
      </c>
      <c r="V2301" s="135">
        <f>'National average solar data'!R$35</f>
        <v>0.78310000000000002</v>
      </c>
      <c r="W2301" s="135">
        <f>'National average solar data'!S$35</f>
        <v>0.65149999999999997</v>
      </c>
      <c r="X2301" s="135">
        <f>'National average solar data'!T$35</f>
        <v>0.27729999999999999</v>
      </c>
      <c r="Y2301" s="135">
        <f>'National average solar data'!U$35</f>
        <v>1.2800000000000001E-2</v>
      </c>
      <c r="Z2301" s="135">
        <f>'National average solar data'!V$35</f>
        <v>0</v>
      </c>
      <c r="AA2301" s="135">
        <f>'National average solar data'!W$35</f>
        <v>0</v>
      </c>
      <c r="AB2301" s="135">
        <f>'National average solar data'!X$35</f>
        <v>0</v>
      </c>
      <c r="AC2301" s="135">
        <f>'National average solar data'!Y$35</f>
        <v>0</v>
      </c>
      <c r="AD2301" s="135">
        <f>'National average solar data'!Z$35</f>
        <v>0</v>
      </c>
    </row>
    <row r="2302" spans="1:30" ht="12.6">
      <c r="A2302" s="10" t="s">
        <v>131</v>
      </c>
      <c r="B2302" s="10">
        <v>111</v>
      </c>
      <c r="C2302" s="10" t="s">
        <v>1513</v>
      </c>
      <c r="D2302" s="388">
        <v>45037</v>
      </c>
      <c r="E2302" s="389">
        <v>45037</v>
      </c>
      <c r="G2302" s="135">
        <f>'National average solar data'!C$35</f>
        <v>0</v>
      </c>
      <c r="H2302" s="135">
        <f>'National average solar data'!D$35</f>
        <v>0</v>
      </c>
      <c r="I2302" s="135">
        <f>'National average solar data'!E$35</f>
        <v>0</v>
      </c>
      <c r="J2302" s="135">
        <f>'National average solar data'!F$35</f>
        <v>0</v>
      </c>
      <c r="K2302" s="135">
        <f>'National average solar data'!G$35</f>
        <v>0</v>
      </c>
      <c r="L2302" s="135">
        <f>'National average solar data'!H$35</f>
        <v>6.3E-3</v>
      </c>
      <c r="M2302" s="135">
        <f>'National average solar data'!I$35</f>
        <v>0.1191</v>
      </c>
      <c r="N2302" s="135">
        <f>'National average solar data'!J$35</f>
        <v>0.65169999999999995</v>
      </c>
      <c r="O2302" s="135">
        <f>'National average solar data'!K$35</f>
        <v>0.86990000000000001</v>
      </c>
      <c r="P2302" s="135">
        <f>'National average solar data'!L$35</f>
        <v>0.90620000000000001</v>
      </c>
      <c r="Q2302" s="135">
        <f>'National average solar data'!M$35</f>
        <v>0.91600000000000004</v>
      </c>
      <c r="R2302" s="135">
        <f>'National average solar data'!N$35</f>
        <v>0.9173</v>
      </c>
      <c r="S2302" s="135">
        <f>'National average solar data'!O$35</f>
        <v>0.90280000000000005</v>
      </c>
      <c r="T2302" s="135">
        <f>'National average solar data'!P$35</f>
        <v>0.87029999999999996</v>
      </c>
      <c r="U2302" s="135">
        <f>'National average solar data'!Q$35</f>
        <v>0.84889999999999999</v>
      </c>
      <c r="V2302" s="135">
        <f>'National average solar data'!R$35</f>
        <v>0.78310000000000002</v>
      </c>
      <c r="W2302" s="135">
        <f>'National average solar data'!S$35</f>
        <v>0.65149999999999997</v>
      </c>
      <c r="X2302" s="135">
        <f>'National average solar data'!T$35</f>
        <v>0.27729999999999999</v>
      </c>
      <c r="Y2302" s="135">
        <f>'National average solar data'!U$35</f>
        <v>1.2800000000000001E-2</v>
      </c>
      <c r="Z2302" s="135">
        <f>'National average solar data'!V$35</f>
        <v>0</v>
      </c>
      <c r="AA2302" s="135">
        <f>'National average solar data'!W$35</f>
        <v>0</v>
      </c>
      <c r="AB2302" s="135">
        <f>'National average solar data'!X$35</f>
        <v>0</v>
      </c>
      <c r="AC2302" s="135">
        <f>'National average solar data'!Y$35</f>
        <v>0</v>
      </c>
      <c r="AD2302" s="135">
        <f>'National average solar data'!Z$35</f>
        <v>0</v>
      </c>
    </row>
    <row r="2303" spans="1:30" ht="12.6">
      <c r="A2303" s="10" t="s">
        <v>131</v>
      </c>
      <c r="B2303" s="10">
        <v>112</v>
      </c>
      <c r="C2303" s="10" t="s">
        <v>1513</v>
      </c>
      <c r="D2303" s="388">
        <v>45038</v>
      </c>
      <c r="E2303" s="389">
        <v>45038</v>
      </c>
      <c r="G2303" s="135">
        <f>'National average solar data'!C$35</f>
        <v>0</v>
      </c>
      <c r="H2303" s="135">
        <f>'National average solar data'!D$35</f>
        <v>0</v>
      </c>
      <c r="I2303" s="135">
        <f>'National average solar data'!E$35</f>
        <v>0</v>
      </c>
      <c r="J2303" s="135">
        <f>'National average solar data'!F$35</f>
        <v>0</v>
      </c>
      <c r="K2303" s="135">
        <f>'National average solar data'!G$35</f>
        <v>0</v>
      </c>
      <c r="L2303" s="135">
        <f>'National average solar data'!H$35</f>
        <v>6.3E-3</v>
      </c>
      <c r="M2303" s="135">
        <f>'National average solar data'!I$35</f>
        <v>0.1191</v>
      </c>
      <c r="N2303" s="135">
        <f>'National average solar data'!J$35</f>
        <v>0.65169999999999995</v>
      </c>
      <c r="O2303" s="135">
        <f>'National average solar data'!K$35</f>
        <v>0.86990000000000001</v>
      </c>
      <c r="P2303" s="135">
        <f>'National average solar data'!L$35</f>
        <v>0.90620000000000001</v>
      </c>
      <c r="Q2303" s="135">
        <f>'National average solar data'!M$35</f>
        <v>0.91600000000000004</v>
      </c>
      <c r="R2303" s="135">
        <f>'National average solar data'!N$35</f>
        <v>0.9173</v>
      </c>
      <c r="S2303" s="135">
        <f>'National average solar data'!O$35</f>
        <v>0.90280000000000005</v>
      </c>
      <c r="T2303" s="135">
        <f>'National average solar data'!P$35</f>
        <v>0.87029999999999996</v>
      </c>
      <c r="U2303" s="135">
        <f>'National average solar data'!Q$35</f>
        <v>0.84889999999999999</v>
      </c>
      <c r="V2303" s="135">
        <f>'National average solar data'!R$35</f>
        <v>0.78310000000000002</v>
      </c>
      <c r="W2303" s="135">
        <f>'National average solar data'!S$35</f>
        <v>0.65149999999999997</v>
      </c>
      <c r="X2303" s="135">
        <f>'National average solar data'!T$35</f>
        <v>0.27729999999999999</v>
      </c>
      <c r="Y2303" s="135">
        <f>'National average solar data'!U$35</f>
        <v>1.2800000000000001E-2</v>
      </c>
      <c r="Z2303" s="135">
        <f>'National average solar data'!V$35</f>
        <v>0</v>
      </c>
      <c r="AA2303" s="135">
        <f>'National average solar data'!W$35</f>
        <v>0</v>
      </c>
      <c r="AB2303" s="135">
        <f>'National average solar data'!X$35</f>
        <v>0</v>
      </c>
      <c r="AC2303" s="135">
        <f>'National average solar data'!Y$35</f>
        <v>0</v>
      </c>
      <c r="AD2303" s="135">
        <f>'National average solar data'!Z$35</f>
        <v>0</v>
      </c>
    </row>
    <row r="2304" spans="1:30" ht="12.6">
      <c r="A2304" s="10" t="s">
        <v>131</v>
      </c>
      <c r="B2304" s="10">
        <v>113</v>
      </c>
      <c r="C2304" s="10" t="s">
        <v>1513</v>
      </c>
      <c r="D2304" s="388">
        <v>45039</v>
      </c>
      <c r="E2304" s="389">
        <v>45039</v>
      </c>
      <c r="G2304" s="135">
        <f>'National average solar data'!C$35</f>
        <v>0</v>
      </c>
      <c r="H2304" s="135">
        <f>'National average solar data'!D$35</f>
        <v>0</v>
      </c>
      <c r="I2304" s="135">
        <f>'National average solar data'!E$35</f>
        <v>0</v>
      </c>
      <c r="J2304" s="135">
        <f>'National average solar data'!F$35</f>
        <v>0</v>
      </c>
      <c r="K2304" s="135">
        <f>'National average solar data'!G$35</f>
        <v>0</v>
      </c>
      <c r="L2304" s="135">
        <f>'National average solar data'!H$35</f>
        <v>6.3E-3</v>
      </c>
      <c r="M2304" s="135">
        <f>'National average solar data'!I$35</f>
        <v>0.1191</v>
      </c>
      <c r="N2304" s="135">
        <f>'National average solar data'!J$35</f>
        <v>0.65169999999999995</v>
      </c>
      <c r="O2304" s="135">
        <f>'National average solar data'!K$35</f>
        <v>0.86990000000000001</v>
      </c>
      <c r="P2304" s="135">
        <f>'National average solar data'!L$35</f>
        <v>0.90620000000000001</v>
      </c>
      <c r="Q2304" s="135">
        <f>'National average solar data'!M$35</f>
        <v>0.91600000000000004</v>
      </c>
      <c r="R2304" s="135">
        <f>'National average solar data'!N$35</f>
        <v>0.9173</v>
      </c>
      <c r="S2304" s="135">
        <f>'National average solar data'!O$35</f>
        <v>0.90280000000000005</v>
      </c>
      <c r="T2304" s="135">
        <f>'National average solar data'!P$35</f>
        <v>0.87029999999999996</v>
      </c>
      <c r="U2304" s="135">
        <f>'National average solar data'!Q$35</f>
        <v>0.84889999999999999</v>
      </c>
      <c r="V2304" s="135">
        <f>'National average solar data'!R$35</f>
        <v>0.78310000000000002</v>
      </c>
      <c r="W2304" s="135">
        <f>'National average solar data'!S$35</f>
        <v>0.65149999999999997</v>
      </c>
      <c r="X2304" s="135">
        <f>'National average solar data'!T$35</f>
        <v>0.27729999999999999</v>
      </c>
      <c r="Y2304" s="135">
        <f>'National average solar data'!U$35</f>
        <v>1.2800000000000001E-2</v>
      </c>
      <c r="Z2304" s="135">
        <f>'National average solar data'!V$35</f>
        <v>0</v>
      </c>
      <c r="AA2304" s="135">
        <f>'National average solar data'!W$35</f>
        <v>0</v>
      </c>
      <c r="AB2304" s="135">
        <f>'National average solar data'!X$35</f>
        <v>0</v>
      </c>
      <c r="AC2304" s="135">
        <f>'National average solar data'!Y$35</f>
        <v>0</v>
      </c>
      <c r="AD2304" s="135">
        <f>'National average solar data'!Z$35</f>
        <v>0</v>
      </c>
    </row>
    <row r="2305" spans="1:30" ht="12.6">
      <c r="A2305" s="10" t="s">
        <v>131</v>
      </c>
      <c r="B2305" s="10">
        <v>114</v>
      </c>
      <c r="C2305" s="10" t="s">
        <v>1513</v>
      </c>
      <c r="D2305" s="388">
        <v>45040</v>
      </c>
      <c r="E2305" s="389">
        <v>45040</v>
      </c>
      <c r="G2305" s="135">
        <f>'National average solar data'!C$35</f>
        <v>0</v>
      </c>
      <c r="H2305" s="135">
        <f>'National average solar data'!D$35</f>
        <v>0</v>
      </c>
      <c r="I2305" s="135">
        <f>'National average solar data'!E$35</f>
        <v>0</v>
      </c>
      <c r="J2305" s="135">
        <f>'National average solar data'!F$35</f>
        <v>0</v>
      </c>
      <c r="K2305" s="135">
        <f>'National average solar data'!G$35</f>
        <v>0</v>
      </c>
      <c r="L2305" s="135">
        <f>'National average solar data'!H$35</f>
        <v>6.3E-3</v>
      </c>
      <c r="M2305" s="135">
        <f>'National average solar data'!I$35</f>
        <v>0.1191</v>
      </c>
      <c r="N2305" s="135">
        <f>'National average solar data'!J$35</f>
        <v>0.65169999999999995</v>
      </c>
      <c r="O2305" s="135">
        <f>'National average solar data'!K$35</f>
        <v>0.86990000000000001</v>
      </c>
      <c r="P2305" s="135">
        <f>'National average solar data'!L$35</f>
        <v>0.90620000000000001</v>
      </c>
      <c r="Q2305" s="135">
        <f>'National average solar data'!M$35</f>
        <v>0.91600000000000004</v>
      </c>
      <c r="R2305" s="135">
        <f>'National average solar data'!N$35</f>
        <v>0.9173</v>
      </c>
      <c r="S2305" s="135">
        <f>'National average solar data'!O$35</f>
        <v>0.90280000000000005</v>
      </c>
      <c r="T2305" s="135">
        <f>'National average solar data'!P$35</f>
        <v>0.87029999999999996</v>
      </c>
      <c r="U2305" s="135">
        <f>'National average solar data'!Q$35</f>
        <v>0.84889999999999999</v>
      </c>
      <c r="V2305" s="135">
        <f>'National average solar data'!R$35</f>
        <v>0.78310000000000002</v>
      </c>
      <c r="W2305" s="135">
        <f>'National average solar data'!S$35</f>
        <v>0.65149999999999997</v>
      </c>
      <c r="X2305" s="135">
        <f>'National average solar data'!T$35</f>
        <v>0.27729999999999999</v>
      </c>
      <c r="Y2305" s="135">
        <f>'National average solar data'!U$35</f>
        <v>1.2800000000000001E-2</v>
      </c>
      <c r="Z2305" s="135">
        <f>'National average solar data'!V$35</f>
        <v>0</v>
      </c>
      <c r="AA2305" s="135">
        <f>'National average solar data'!W$35</f>
        <v>0</v>
      </c>
      <c r="AB2305" s="135">
        <f>'National average solar data'!X$35</f>
        <v>0</v>
      </c>
      <c r="AC2305" s="135">
        <f>'National average solar data'!Y$35</f>
        <v>0</v>
      </c>
      <c r="AD2305" s="135">
        <f>'National average solar data'!Z$35</f>
        <v>0</v>
      </c>
    </row>
    <row r="2306" spans="1:30" ht="12.6">
      <c r="A2306" s="10" t="s">
        <v>131</v>
      </c>
      <c r="B2306" s="10">
        <v>115</v>
      </c>
      <c r="C2306" s="10" t="s">
        <v>1513</v>
      </c>
      <c r="D2306" s="388">
        <v>45041</v>
      </c>
      <c r="E2306" s="389">
        <v>45041</v>
      </c>
      <c r="G2306" s="135">
        <f>'National average solar data'!C$35</f>
        <v>0</v>
      </c>
      <c r="H2306" s="135">
        <f>'National average solar data'!D$35</f>
        <v>0</v>
      </c>
      <c r="I2306" s="135">
        <f>'National average solar data'!E$35</f>
        <v>0</v>
      </c>
      <c r="J2306" s="135">
        <f>'National average solar data'!F$35</f>
        <v>0</v>
      </c>
      <c r="K2306" s="135">
        <f>'National average solar data'!G$35</f>
        <v>0</v>
      </c>
      <c r="L2306" s="135">
        <f>'National average solar data'!H$35</f>
        <v>6.3E-3</v>
      </c>
      <c r="M2306" s="135">
        <f>'National average solar data'!I$35</f>
        <v>0.1191</v>
      </c>
      <c r="N2306" s="135">
        <f>'National average solar data'!J$35</f>
        <v>0.65169999999999995</v>
      </c>
      <c r="O2306" s="135">
        <f>'National average solar data'!K$35</f>
        <v>0.86990000000000001</v>
      </c>
      <c r="P2306" s="135">
        <f>'National average solar data'!L$35</f>
        <v>0.90620000000000001</v>
      </c>
      <c r="Q2306" s="135">
        <f>'National average solar data'!M$35</f>
        <v>0.91600000000000004</v>
      </c>
      <c r="R2306" s="135">
        <f>'National average solar data'!N$35</f>
        <v>0.9173</v>
      </c>
      <c r="S2306" s="135">
        <f>'National average solar data'!O$35</f>
        <v>0.90280000000000005</v>
      </c>
      <c r="T2306" s="135">
        <f>'National average solar data'!P$35</f>
        <v>0.87029999999999996</v>
      </c>
      <c r="U2306" s="135">
        <f>'National average solar data'!Q$35</f>
        <v>0.84889999999999999</v>
      </c>
      <c r="V2306" s="135">
        <f>'National average solar data'!R$35</f>
        <v>0.78310000000000002</v>
      </c>
      <c r="W2306" s="135">
        <f>'National average solar data'!S$35</f>
        <v>0.65149999999999997</v>
      </c>
      <c r="X2306" s="135">
        <f>'National average solar data'!T$35</f>
        <v>0.27729999999999999</v>
      </c>
      <c r="Y2306" s="135">
        <f>'National average solar data'!U$35</f>
        <v>1.2800000000000001E-2</v>
      </c>
      <c r="Z2306" s="135">
        <f>'National average solar data'!V$35</f>
        <v>0</v>
      </c>
      <c r="AA2306" s="135">
        <f>'National average solar data'!W$35</f>
        <v>0</v>
      </c>
      <c r="AB2306" s="135">
        <f>'National average solar data'!X$35</f>
        <v>0</v>
      </c>
      <c r="AC2306" s="135">
        <f>'National average solar data'!Y$35</f>
        <v>0</v>
      </c>
      <c r="AD2306" s="135">
        <f>'National average solar data'!Z$35</f>
        <v>0</v>
      </c>
    </row>
    <row r="2307" spans="1:30" ht="12.6">
      <c r="A2307" s="10" t="s">
        <v>131</v>
      </c>
      <c r="B2307" s="10">
        <v>116</v>
      </c>
      <c r="C2307" s="10" t="s">
        <v>1513</v>
      </c>
      <c r="D2307" s="388">
        <v>45042</v>
      </c>
      <c r="E2307" s="389">
        <v>45042</v>
      </c>
      <c r="G2307" s="135">
        <f>'National average solar data'!C$35</f>
        <v>0</v>
      </c>
      <c r="H2307" s="135">
        <f>'National average solar data'!D$35</f>
        <v>0</v>
      </c>
      <c r="I2307" s="135">
        <f>'National average solar data'!E$35</f>
        <v>0</v>
      </c>
      <c r="J2307" s="135">
        <f>'National average solar data'!F$35</f>
        <v>0</v>
      </c>
      <c r="K2307" s="135">
        <f>'National average solar data'!G$35</f>
        <v>0</v>
      </c>
      <c r="L2307" s="135">
        <f>'National average solar data'!H$35</f>
        <v>6.3E-3</v>
      </c>
      <c r="M2307" s="135">
        <f>'National average solar data'!I$35</f>
        <v>0.1191</v>
      </c>
      <c r="N2307" s="135">
        <f>'National average solar data'!J$35</f>
        <v>0.65169999999999995</v>
      </c>
      <c r="O2307" s="135">
        <f>'National average solar data'!K$35</f>
        <v>0.86990000000000001</v>
      </c>
      <c r="P2307" s="135">
        <f>'National average solar data'!L$35</f>
        <v>0.90620000000000001</v>
      </c>
      <c r="Q2307" s="135">
        <f>'National average solar data'!M$35</f>
        <v>0.91600000000000004</v>
      </c>
      <c r="R2307" s="135">
        <f>'National average solar data'!N$35</f>
        <v>0.9173</v>
      </c>
      <c r="S2307" s="135">
        <f>'National average solar data'!O$35</f>
        <v>0.90280000000000005</v>
      </c>
      <c r="T2307" s="135">
        <f>'National average solar data'!P$35</f>
        <v>0.87029999999999996</v>
      </c>
      <c r="U2307" s="135">
        <f>'National average solar data'!Q$35</f>
        <v>0.84889999999999999</v>
      </c>
      <c r="V2307" s="135">
        <f>'National average solar data'!R$35</f>
        <v>0.78310000000000002</v>
      </c>
      <c r="W2307" s="135">
        <f>'National average solar data'!S$35</f>
        <v>0.65149999999999997</v>
      </c>
      <c r="X2307" s="135">
        <f>'National average solar data'!T$35</f>
        <v>0.27729999999999999</v>
      </c>
      <c r="Y2307" s="135">
        <f>'National average solar data'!U$35</f>
        <v>1.2800000000000001E-2</v>
      </c>
      <c r="Z2307" s="135">
        <f>'National average solar data'!V$35</f>
        <v>0</v>
      </c>
      <c r="AA2307" s="135">
        <f>'National average solar data'!W$35</f>
        <v>0</v>
      </c>
      <c r="AB2307" s="135">
        <f>'National average solar data'!X$35</f>
        <v>0</v>
      </c>
      <c r="AC2307" s="135">
        <f>'National average solar data'!Y$35</f>
        <v>0</v>
      </c>
      <c r="AD2307" s="135">
        <f>'National average solar data'!Z$35</f>
        <v>0</v>
      </c>
    </row>
    <row r="2308" spans="1:30" ht="12.6">
      <c r="A2308" s="10" t="s">
        <v>131</v>
      </c>
      <c r="B2308" s="10">
        <v>117</v>
      </c>
      <c r="C2308" s="10" t="s">
        <v>1513</v>
      </c>
      <c r="D2308" s="388">
        <v>45043</v>
      </c>
      <c r="E2308" s="389">
        <v>45043</v>
      </c>
      <c r="G2308" s="135">
        <f>'National average solar data'!C$35</f>
        <v>0</v>
      </c>
      <c r="H2308" s="135">
        <f>'National average solar data'!D$35</f>
        <v>0</v>
      </c>
      <c r="I2308" s="135">
        <f>'National average solar data'!E$35</f>
        <v>0</v>
      </c>
      <c r="J2308" s="135">
        <f>'National average solar data'!F$35</f>
        <v>0</v>
      </c>
      <c r="K2308" s="135">
        <f>'National average solar data'!G$35</f>
        <v>0</v>
      </c>
      <c r="L2308" s="135">
        <f>'National average solar data'!H$35</f>
        <v>6.3E-3</v>
      </c>
      <c r="M2308" s="135">
        <f>'National average solar data'!I$35</f>
        <v>0.1191</v>
      </c>
      <c r="N2308" s="135">
        <f>'National average solar data'!J$35</f>
        <v>0.65169999999999995</v>
      </c>
      <c r="O2308" s="135">
        <f>'National average solar data'!K$35</f>
        <v>0.86990000000000001</v>
      </c>
      <c r="P2308" s="135">
        <f>'National average solar data'!L$35</f>
        <v>0.90620000000000001</v>
      </c>
      <c r="Q2308" s="135">
        <f>'National average solar data'!M$35</f>
        <v>0.91600000000000004</v>
      </c>
      <c r="R2308" s="135">
        <f>'National average solar data'!N$35</f>
        <v>0.9173</v>
      </c>
      <c r="S2308" s="135">
        <f>'National average solar data'!O$35</f>
        <v>0.90280000000000005</v>
      </c>
      <c r="T2308" s="135">
        <f>'National average solar data'!P$35</f>
        <v>0.87029999999999996</v>
      </c>
      <c r="U2308" s="135">
        <f>'National average solar data'!Q$35</f>
        <v>0.84889999999999999</v>
      </c>
      <c r="V2308" s="135">
        <f>'National average solar data'!R$35</f>
        <v>0.78310000000000002</v>
      </c>
      <c r="W2308" s="135">
        <f>'National average solar data'!S$35</f>
        <v>0.65149999999999997</v>
      </c>
      <c r="X2308" s="135">
        <f>'National average solar data'!T$35</f>
        <v>0.27729999999999999</v>
      </c>
      <c r="Y2308" s="135">
        <f>'National average solar data'!U$35</f>
        <v>1.2800000000000001E-2</v>
      </c>
      <c r="Z2308" s="135">
        <f>'National average solar data'!V$35</f>
        <v>0</v>
      </c>
      <c r="AA2308" s="135">
        <f>'National average solar data'!W$35</f>
        <v>0</v>
      </c>
      <c r="AB2308" s="135">
        <f>'National average solar data'!X$35</f>
        <v>0</v>
      </c>
      <c r="AC2308" s="135">
        <f>'National average solar data'!Y$35</f>
        <v>0</v>
      </c>
      <c r="AD2308" s="135">
        <f>'National average solar data'!Z$35</f>
        <v>0</v>
      </c>
    </row>
    <row r="2309" spans="1:30" ht="12.6">
      <c r="A2309" s="10" t="s">
        <v>131</v>
      </c>
      <c r="B2309" s="10">
        <v>118</v>
      </c>
      <c r="C2309" s="10" t="s">
        <v>1513</v>
      </c>
      <c r="D2309" s="388">
        <v>45044</v>
      </c>
      <c r="E2309" s="389">
        <v>45044</v>
      </c>
      <c r="G2309" s="135">
        <f>'National average solar data'!C$35</f>
        <v>0</v>
      </c>
      <c r="H2309" s="135">
        <f>'National average solar data'!D$35</f>
        <v>0</v>
      </c>
      <c r="I2309" s="135">
        <f>'National average solar data'!E$35</f>
        <v>0</v>
      </c>
      <c r="J2309" s="135">
        <f>'National average solar data'!F$35</f>
        <v>0</v>
      </c>
      <c r="K2309" s="135">
        <f>'National average solar data'!G$35</f>
        <v>0</v>
      </c>
      <c r="L2309" s="135">
        <f>'National average solar data'!H$35</f>
        <v>6.3E-3</v>
      </c>
      <c r="M2309" s="135">
        <f>'National average solar data'!I$35</f>
        <v>0.1191</v>
      </c>
      <c r="N2309" s="135">
        <f>'National average solar data'!J$35</f>
        <v>0.65169999999999995</v>
      </c>
      <c r="O2309" s="135">
        <f>'National average solar data'!K$35</f>
        <v>0.86990000000000001</v>
      </c>
      <c r="P2309" s="135">
        <f>'National average solar data'!L$35</f>
        <v>0.90620000000000001</v>
      </c>
      <c r="Q2309" s="135">
        <f>'National average solar data'!M$35</f>
        <v>0.91600000000000004</v>
      </c>
      <c r="R2309" s="135">
        <f>'National average solar data'!N$35</f>
        <v>0.9173</v>
      </c>
      <c r="S2309" s="135">
        <f>'National average solar data'!O$35</f>
        <v>0.90280000000000005</v>
      </c>
      <c r="T2309" s="135">
        <f>'National average solar data'!P$35</f>
        <v>0.87029999999999996</v>
      </c>
      <c r="U2309" s="135">
        <f>'National average solar data'!Q$35</f>
        <v>0.84889999999999999</v>
      </c>
      <c r="V2309" s="135">
        <f>'National average solar data'!R$35</f>
        <v>0.78310000000000002</v>
      </c>
      <c r="W2309" s="135">
        <f>'National average solar data'!S$35</f>
        <v>0.65149999999999997</v>
      </c>
      <c r="X2309" s="135">
        <f>'National average solar data'!T$35</f>
        <v>0.27729999999999999</v>
      </c>
      <c r="Y2309" s="135">
        <f>'National average solar data'!U$35</f>
        <v>1.2800000000000001E-2</v>
      </c>
      <c r="Z2309" s="135">
        <f>'National average solar data'!V$35</f>
        <v>0</v>
      </c>
      <c r="AA2309" s="135">
        <f>'National average solar data'!W$35</f>
        <v>0</v>
      </c>
      <c r="AB2309" s="135">
        <f>'National average solar data'!X$35</f>
        <v>0</v>
      </c>
      <c r="AC2309" s="135">
        <f>'National average solar data'!Y$35</f>
        <v>0</v>
      </c>
      <c r="AD2309" s="135">
        <f>'National average solar data'!Z$35</f>
        <v>0</v>
      </c>
    </row>
    <row r="2310" spans="1:30" ht="12.6">
      <c r="A2310" s="10" t="s">
        <v>131</v>
      </c>
      <c r="B2310" s="10">
        <v>119</v>
      </c>
      <c r="C2310" s="10" t="s">
        <v>1513</v>
      </c>
      <c r="D2310" s="388">
        <v>45045</v>
      </c>
      <c r="E2310" s="389">
        <v>45045</v>
      </c>
      <c r="G2310" s="135">
        <f>'National average solar data'!C$35</f>
        <v>0</v>
      </c>
      <c r="H2310" s="135">
        <f>'National average solar data'!D$35</f>
        <v>0</v>
      </c>
      <c r="I2310" s="135">
        <f>'National average solar data'!E$35</f>
        <v>0</v>
      </c>
      <c r="J2310" s="135">
        <f>'National average solar data'!F$35</f>
        <v>0</v>
      </c>
      <c r="K2310" s="135">
        <f>'National average solar data'!G$35</f>
        <v>0</v>
      </c>
      <c r="L2310" s="135">
        <f>'National average solar data'!H$35</f>
        <v>6.3E-3</v>
      </c>
      <c r="M2310" s="135">
        <f>'National average solar data'!I$35</f>
        <v>0.1191</v>
      </c>
      <c r="N2310" s="135">
        <f>'National average solar data'!J$35</f>
        <v>0.65169999999999995</v>
      </c>
      <c r="O2310" s="135">
        <f>'National average solar data'!K$35</f>
        <v>0.86990000000000001</v>
      </c>
      <c r="P2310" s="135">
        <f>'National average solar data'!L$35</f>
        <v>0.90620000000000001</v>
      </c>
      <c r="Q2310" s="135">
        <f>'National average solar data'!M$35</f>
        <v>0.91600000000000004</v>
      </c>
      <c r="R2310" s="135">
        <f>'National average solar data'!N$35</f>
        <v>0.9173</v>
      </c>
      <c r="S2310" s="135">
        <f>'National average solar data'!O$35</f>
        <v>0.90280000000000005</v>
      </c>
      <c r="T2310" s="135">
        <f>'National average solar data'!P$35</f>
        <v>0.87029999999999996</v>
      </c>
      <c r="U2310" s="135">
        <f>'National average solar data'!Q$35</f>
        <v>0.84889999999999999</v>
      </c>
      <c r="V2310" s="135">
        <f>'National average solar data'!R$35</f>
        <v>0.78310000000000002</v>
      </c>
      <c r="W2310" s="135">
        <f>'National average solar data'!S$35</f>
        <v>0.65149999999999997</v>
      </c>
      <c r="X2310" s="135">
        <f>'National average solar data'!T$35</f>
        <v>0.27729999999999999</v>
      </c>
      <c r="Y2310" s="135">
        <f>'National average solar data'!U$35</f>
        <v>1.2800000000000001E-2</v>
      </c>
      <c r="Z2310" s="135">
        <f>'National average solar data'!V$35</f>
        <v>0</v>
      </c>
      <c r="AA2310" s="135">
        <f>'National average solar data'!W$35</f>
        <v>0</v>
      </c>
      <c r="AB2310" s="135">
        <f>'National average solar data'!X$35</f>
        <v>0</v>
      </c>
      <c r="AC2310" s="135">
        <f>'National average solar data'!Y$35</f>
        <v>0</v>
      </c>
      <c r="AD2310" s="135">
        <f>'National average solar data'!Z$35</f>
        <v>0</v>
      </c>
    </row>
    <row r="2311" spans="1:30" ht="12.6">
      <c r="A2311" s="10" t="s">
        <v>131</v>
      </c>
      <c r="B2311" s="10">
        <v>120</v>
      </c>
      <c r="C2311" s="10" t="s">
        <v>1513</v>
      </c>
      <c r="D2311" s="388">
        <v>45046</v>
      </c>
      <c r="E2311" s="389">
        <v>45046</v>
      </c>
      <c r="G2311" s="135">
        <f>'National average solar data'!C$35</f>
        <v>0</v>
      </c>
      <c r="H2311" s="135">
        <f>'National average solar data'!D$35</f>
        <v>0</v>
      </c>
      <c r="I2311" s="135">
        <f>'National average solar data'!E$35</f>
        <v>0</v>
      </c>
      <c r="J2311" s="135">
        <f>'National average solar data'!F$35</f>
        <v>0</v>
      </c>
      <c r="K2311" s="135">
        <f>'National average solar data'!G$35</f>
        <v>0</v>
      </c>
      <c r="L2311" s="135">
        <f>'National average solar data'!H$35</f>
        <v>6.3E-3</v>
      </c>
      <c r="M2311" s="135">
        <f>'National average solar data'!I$35</f>
        <v>0.1191</v>
      </c>
      <c r="N2311" s="135">
        <f>'National average solar data'!J$35</f>
        <v>0.65169999999999995</v>
      </c>
      <c r="O2311" s="135">
        <f>'National average solar data'!K$35</f>
        <v>0.86990000000000001</v>
      </c>
      <c r="P2311" s="135">
        <f>'National average solar data'!L$35</f>
        <v>0.90620000000000001</v>
      </c>
      <c r="Q2311" s="135">
        <f>'National average solar data'!M$35</f>
        <v>0.91600000000000004</v>
      </c>
      <c r="R2311" s="135">
        <f>'National average solar data'!N$35</f>
        <v>0.9173</v>
      </c>
      <c r="S2311" s="135">
        <f>'National average solar data'!O$35</f>
        <v>0.90280000000000005</v>
      </c>
      <c r="T2311" s="135">
        <f>'National average solar data'!P$35</f>
        <v>0.87029999999999996</v>
      </c>
      <c r="U2311" s="135">
        <f>'National average solar data'!Q$35</f>
        <v>0.84889999999999999</v>
      </c>
      <c r="V2311" s="135">
        <f>'National average solar data'!R$35</f>
        <v>0.78310000000000002</v>
      </c>
      <c r="W2311" s="135">
        <f>'National average solar data'!S$35</f>
        <v>0.65149999999999997</v>
      </c>
      <c r="X2311" s="135">
        <f>'National average solar data'!T$35</f>
        <v>0.27729999999999999</v>
      </c>
      <c r="Y2311" s="135">
        <f>'National average solar data'!U$35</f>
        <v>1.2800000000000001E-2</v>
      </c>
      <c r="Z2311" s="135">
        <f>'National average solar data'!V$35</f>
        <v>0</v>
      </c>
      <c r="AA2311" s="135">
        <f>'National average solar data'!W$35</f>
        <v>0</v>
      </c>
      <c r="AB2311" s="135">
        <f>'National average solar data'!X$35</f>
        <v>0</v>
      </c>
      <c r="AC2311" s="135">
        <f>'National average solar data'!Y$35</f>
        <v>0</v>
      </c>
      <c r="AD2311" s="135">
        <f>'National average solar data'!Z$35</f>
        <v>0</v>
      </c>
    </row>
    <row r="2312" spans="1:30" ht="12.6">
      <c r="A2312" s="10" t="s">
        <v>131</v>
      </c>
      <c r="B2312" s="10">
        <v>121</v>
      </c>
      <c r="C2312" s="10" t="s">
        <v>1513</v>
      </c>
      <c r="D2312" s="388">
        <v>45047</v>
      </c>
      <c r="E2312" s="389">
        <v>45047</v>
      </c>
      <c r="G2312" s="135">
        <f>'National average solar data'!C$36</f>
        <v>0</v>
      </c>
      <c r="H2312" s="135">
        <f>'National average solar data'!D$36</f>
        <v>0</v>
      </c>
      <c r="I2312" s="135">
        <f>'National average solar data'!E$36</f>
        <v>0</v>
      </c>
      <c r="J2312" s="135">
        <f>'National average solar data'!F$36</f>
        <v>0</v>
      </c>
      <c r="K2312" s="135">
        <f>'National average solar data'!G$36</f>
        <v>0</v>
      </c>
      <c r="L2312" s="135">
        <f>'National average solar data'!H$36</f>
        <v>0</v>
      </c>
      <c r="M2312" s="135">
        <f>'National average solar data'!I$36</f>
        <v>0</v>
      </c>
      <c r="N2312" s="135">
        <f>'National average solar data'!J$36</f>
        <v>0.17460000000000001</v>
      </c>
      <c r="O2312" s="135">
        <f>'National average solar data'!K$36</f>
        <v>0.59109999999999996</v>
      </c>
      <c r="P2312" s="135">
        <f>'National average solar data'!L$36</f>
        <v>0.71050000000000002</v>
      </c>
      <c r="Q2312" s="135">
        <f>'National average solar data'!M$36</f>
        <v>0.75029999999999997</v>
      </c>
      <c r="R2312" s="135">
        <f>'National average solar data'!N$36</f>
        <v>0.74150000000000005</v>
      </c>
      <c r="S2312" s="135">
        <f>'National average solar data'!O$36</f>
        <v>0.72260000000000002</v>
      </c>
      <c r="T2312" s="135">
        <f>'National average solar data'!P$36</f>
        <v>0.71109999999999995</v>
      </c>
      <c r="U2312" s="135">
        <f>'National average solar data'!Q$36</f>
        <v>0.69579999999999997</v>
      </c>
      <c r="V2312" s="135">
        <f>'National average solar data'!R$36</f>
        <v>0.58679999999999999</v>
      </c>
      <c r="W2312" s="135">
        <f>'National average solar data'!S$36</f>
        <v>0.3508</v>
      </c>
      <c r="X2312" s="135">
        <f>'National average solar data'!T$36</f>
        <v>3.5299999999999998E-2</v>
      </c>
      <c r="Y2312" s="135">
        <f>'National average solar data'!U$36</f>
        <v>0</v>
      </c>
      <c r="Z2312" s="135">
        <f>'National average solar data'!V$36</f>
        <v>0</v>
      </c>
      <c r="AA2312" s="135">
        <f>'National average solar data'!W$36</f>
        <v>0</v>
      </c>
      <c r="AB2312" s="135">
        <f>'National average solar data'!X$36</f>
        <v>0</v>
      </c>
      <c r="AC2312" s="135">
        <f>'National average solar data'!Y$36</f>
        <v>0</v>
      </c>
      <c r="AD2312" s="135">
        <f>'National average solar data'!Z$36</f>
        <v>0</v>
      </c>
    </row>
    <row r="2313" spans="1:30" ht="12.6">
      <c r="A2313" s="10" t="s">
        <v>131</v>
      </c>
      <c r="B2313" s="10">
        <v>122</v>
      </c>
      <c r="C2313" s="10" t="s">
        <v>1513</v>
      </c>
      <c r="D2313" s="388">
        <v>45048</v>
      </c>
      <c r="E2313" s="389">
        <v>45048</v>
      </c>
      <c r="G2313" s="135">
        <f>'National average solar data'!C$36</f>
        <v>0</v>
      </c>
      <c r="H2313" s="135">
        <f>'National average solar data'!D$36</f>
        <v>0</v>
      </c>
      <c r="I2313" s="135">
        <f>'National average solar data'!E$36</f>
        <v>0</v>
      </c>
      <c r="J2313" s="135">
        <f>'National average solar data'!F$36</f>
        <v>0</v>
      </c>
      <c r="K2313" s="135">
        <f>'National average solar data'!G$36</f>
        <v>0</v>
      </c>
      <c r="L2313" s="135">
        <f>'National average solar data'!H$36</f>
        <v>0</v>
      </c>
      <c r="M2313" s="135">
        <f>'National average solar data'!I$36</f>
        <v>0</v>
      </c>
      <c r="N2313" s="135">
        <f>'National average solar data'!J$36</f>
        <v>0.17460000000000001</v>
      </c>
      <c r="O2313" s="135">
        <f>'National average solar data'!K$36</f>
        <v>0.59109999999999996</v>
      </c>
      <c r="P2313" s="135">
        <f>'National average solar data'!L$36</f>
        <v>0.71050000000000002</v>
      </c>
      <c r="Q2313" s="135">
        <f>'National average solar data'!M$36</f>
        <v>0.75029999999999997</v>
      </c>
      <c r="R2313" s="135">
        <f>'National average solar data'!N$36</f>
        <v>0.74150000000000005</v>
      </c>
      <c r="S2313" s="135">
        <f>'National average solar data'!O$36</f>
        <v>0.72260000000000002</v>
      </c>
      <c r="T2313" s="135">
        <f>'National average solar data'!P$36</f>
        <v>0.71109999999999995</v>
      </c>
      <c r="U2313" s="135">
        <f>'National average solar data'!Q$36</f>
        <v>0.69579999999999997</v>
      </c>
      <c r="V2313" s="135">
        <f>'National average solar data'!R$36</f>
        <v>0.58679999999999999</v>
      </c>
      <c r="W2313" s="135">
        <f>'National average solar data'!S$36</f>
        <v>0.3508</v>
      </c>
      <c r="X2313" s="135">
        <f>'National average solar data'!T$36</f>
        <v>3.5299999999999998E-2</v>
      </c>
      <c r="Y2313" s="135">
        <f>'National average solar data'!U$36</f>
        <v>0</v>
      </c>
      <c r="Z2313" s="135">
        <f>'National average solar data'!V$36</f>
        <v>0</v>
      </c>
      <c r="AA2313" s="135">
        <f>'National average solar data'!W$36</f>
        <v>0</v>
      </c>
      <c r="AB2313" s="135">
        <f>'National average solar data'!X$36</f>
        <v>0</v>
      </c>
      <c r="AC2313" s="135">
        <f>'National average solar data'!Y$36</f>
        <v>0</v>
      </c>
      <c r="AD2313" s="135">
        <f>'National average solar data'!Z$36</f>
        <v>0</v>
      </c>
    </row>
    <row r="2314" spans="1:30" ht="12.6">
      <c r="A2314" s="10" t="s">
        <v>131</v>
      </c>
      <c r="B2314" s="10">
        <v>123</v>
      </c>
      <c r="C2314" s="10" t="s">
        <v>1513</v>
      </c>
      <c r="D2314" s="388">
        <v>45049</v>
      </c>
      <c r="E2314" s="389">
        <v>45049</v>
      </c>
      <c r="G2314" s="135">
        <f>'National average solar data'!C$36</f>
        <v>0</v>
      </c>
      <c r="H2314" s="135">
        <f>'National average solar data'!D$36</f>
        <v>0</v>
      </c>
      <c r="I2314" s="135">
        <f>'National average solar data'!E$36</f>
        <v>0</v>
      </c>
      <c r="J2314" s="135">
        <f>'National average solar data'!F$36</f>
        <v>0</v>
      </c>
      <c r="K2314" s="135">
        <f>'National average solar data'!G$36</f>
        <v>0</v>
      </c>
      <c r="L2314" s="135">
        <f>'National average solar data'!H$36</f>
        <v>0</v>
      </c>
      <c r="M2314" s="135">
        <f>'National average solar data'!I$36</f>
        <v>0</v>
      </c>
      <c r="N2314" s="135">
        <f>'National average solar data'!J$36</f>
        <v>0.17460000000000001</v>
      </c>
      <c r="O2314" s="135">
        <f>'National average solar data'!K$36</f>
        <v>0.59109999999999996</v>
      </c>
      <c r="P2314" s="135">
        <f>'National average solar data'!L$36</f>
        <v>0.71050000000000002</v>
      </c>
      <c r="Q2314" s="135">
        <f>'National average solar data'!M$36</f>
        <v>0.75029999999999997</v>
      </c>
      <c r="R2314" s="135">
        <f>'National average solar data'!N$36</f>
        <v>0.74150000000000005</v>
      </c>
      <c r="S2314" s="135">
        <f>'National average solar data'!O$36</f>
        <v>0.72260000000000002</v>
      </c>
      <c r="T2314" s="135">
        <f>'National average solar data'!P$36</f>
        <v>0.71109999999999995</v>
      </c>
      <c r="U2314" s="135">
        <f>'National average solar data'!Q$36</f>
        <v>0.69579999999999997</v>
      </c>
      <c r="V2314" s="135">
        <f>'National average solar data'!R$36</f>
        <v>0.58679999999999999</v>
      </c>
      <c r="W2314" s="135">
        <f>'National average solar data'!S$36</f>
        <v>0.3508</v>
      </c>
      <c r="X2314" s="135">
        <f>'National average solar data'!T$36</f>
        <v>3.5299999999999998E-2</v>
      </c>
      <c r="Y2314" s="135">
        <f>'National average solar data'!U$36</f>
        <v>0</v>
      </c>
      <c r="Z2314" s="135">
        <f>'National average solar data'!V$36</f>
        <v>0</v>
      </c>
      <c r="AA2314" s="135">
        <f>'National average solar data'!W$36</f>
        <v>0</v>
      </c>
      <c r="AB2314" s="135">
        <f>'National average solar data'!X$36</f>
        <v>0</v>
      </c>
      <c r="AC2314" s="135">
        <f>'National average solar data'!Y$36</f>
        <v>0</v>
      </c>
      <c r="AD2314" s="135">
        <f>'National average solar data'!Z$36</f>
        <v>0</v>
      </c>
    </row>
    <row r="2315" spans="1:30" ht="12.6">
      <c r="A2315" s="10" t="s">
        <v>131</v>
      </c>
      <c r="B2315" s="10">
        <v>124</v>
      </c>
      <c r="C2315" s="10" t="s">
        <v>1513</v>
      </c>
      <c r="D2315" s="388">
        <v>45050</v>
      </c>
      <c r="E2315" s="389">
        <v>45050</v>
      </c>
      <c r="G2315" s="135">
        <f>'National average solar data'!C$36</f>
        <v>0</v>
      </c>
      <c r="H2315" s="135">
        <f>'National average solar data'!D$36</f>
        <v>0</v>
      </c>
      <c r="I2315" s="135">
        <f>'National average solar data'!E$36</f>
        <v>0</v>
      </c>
      <c r="J2315" s="135">
        <f>'National average solar data'!F$36</f>
        <v>0</v>
      </c>
      <c r="K2315" s="135">
        <f>'National average solar data'!G$36</f>
        <v>0</v>
      </c>
      <c r="L2315" s="135">
        <f>'National average solar data'!H$36</f>
        <v>0</v>
      </c>
      <c r="M2315" s="135">
        <f>'National average solar data'!I$36</f>
        <v>0</v>
      </c>
      <c r="N2315" s="135">
        <f>'National average solar data'!J$36</f>
        <v>0.17460000000000001</v>
      </c>
      <c r="O2315" s="135">
        <f>'National average solar data'!K$36</f>
        <v>0.59109999999999996</v>
      </c>
      <c r="P2315" s="135">
        <f>'National average solar data'!L$36</f>
        <v>0.71050000000000002</v>
      </c>
      <c r="Q2315" s="135">
        <f>'National average solar data'!M$36</f>
        <v>0.75029999999999997</v>
      </c>
      <c r="R2315" s="135">
        <f>'National average solar data'!N$36</f>
        <v>0.74150000000000005</v>
      </c>
      <c r="S2315" s="135">
        <f>'National average solar data'!O$36</f>
        <v>0.72260000000000002</v>
      </c>
      <c r="T2315" s="135">
        <f>'National average solar data'!P$36</f>
        <v>0.71109999999999995</v>
      </c>
      <c r="U2315" s="135">
        <f>'National average solar data'!Q$36</f>
        <v>0.69579999999999997</v>
      </c>
      <c r="V2315" s="135">
        <f>'National average solar data'!R$36</f>
        <v>0.58679999999999999</v>
      </c>
      <c r="W2315" s="135">
        <f>'National average solar data'!S$36</f>
        <v>0.3508</v>
      </c>
      <c r="X2315" s="135">
        <f>'National average solar data'!T$36</f>
        <v>3.5299999999999998E-2</v>
      </c>
      <c r="Y2315" s="135">
        <f>'National average solar data'!U$36</f>
        <v>0</v>
      </c>
      <c r="Z2315" s="135">
        <f>'National average solar data'!V$36</f>
        <v>0</v>
      </c>
      <c r="AA2315" s="135">
        <f>'National average solar data'!W$36</f>
        <v>0</v>
      </c>
      <c r="AB2315" s="135">
        <f>'National average solar data'!X$36</f>
        <v>0</v>
      </c>
      <c r="AC2315" s="135">
        <f>'National average solar data'!Y$36</f>
        <v>0</v>
      </c>
      <c r="AD2315" s="135">
        <f>'National average solar data'!Z$36</f>
        <v>0</v>
      </c>
    </row>
    <row r="2316" spans="1:30" ht="12.6">
      <c r="A2316" s="10" t="s">
        <v>131</v>
      </c>
      <c r="B2316" s="10">
        <v>125</v>
      </c>
      <c r="C2316" s="10" t="s">
        <v>1513</v>
      </c>
      <c r="D2316" s="388">
        <v>45051</v>
      </c>
      <c r="E2316" s="389">
        <v>45051</v>
      </c>
      <c r="G2316" s="135">
        <f>'National average solar data'!C$36</f>
        <v>0</v>
      </c>
      <c r="H2316" s="135">
        <f>'National average solar data'!D$36</f>
        <v>0</v>
      </c>
      <c r="I2316" s="135">
        <f>'National average solar data'!E$36</f>
        <v>0</v>
      </c>
      <c r="J2316" s="135">
        <f>'National average solar data'!F$36</f>
        <v>0</v>
      </c>
      <c r="K2316" s="135">
        <f>'National average solar data'!G$36</f>
        <v>0</v>
      </c>
      <c r="L2316" s="135">
        <f>'National average solar data'!H$36</f>
        <v>0</v>
      </c>
      <c r="M2316" s="135">
        <f>'National average solar data'!I$36</f>
        <v>0</v>
      </c>
      <c r="N2316" s="135">
        <f>'National average solar data'!J$36</f>
        <v>0.17460000000000001</v>
      </c>
      <c r="O2316" s="135">
        <f>'National average solar data'!K$36</f>
        <v>0.59109999999999996</v>
      </c>
      <c r="P2316" s="135">
        <f>'National average solar data'!L$36</f>
        <v>0.71050000000000002</v>
      </c>
      <c r="Q2316" s="135">
        <f>'National average solar data'!M$36</f>
        <v>0.75029999999999997</v>
      </c>
      <c r="R2316" s="135">
        <f>'National average solar data'!N$36</f>
        <v>0.74150000000000005</v>
      </c>
      <c r="S2316" s="135">
        <f>'National average solar data'!O$36</f>
        <v>0.72260000000000002</v>
      </c>
      <c r="T2316" s="135">
        <f>'National average solar data'!P$36</f>
        <v>0.71109999999999995</v>
      </c>
      <c r="U2316" s="135">
        <f>'National average solar data'!Q$36</f>
        <v>0.69579999999999997</v>
      </c>
      <c r="V2316" s="135">
        <f>'National average solar data'!R$36</f>
        <v>0.58679999999999999</v>
      </c>
      <c r="W2316" s="135">
        <f>'National average solar data'!S$36</f>
        <v>0.3508</v>
      </c>
      <c r="X2316" s="135">
        <f>'National average solar data'!T$36</f>
        <v>3.5299999999999998E-2</v>
      </c>
      <c r="Y2316" s="135">
        <f>'National average solar data'!U$36</f>
        <v>0</v>
      </c>
      <c r="Z2316" s="135">
        <f>'National average solar data'!V$36</f>
        <v>0</v>
      </c>
      <c r="AA2316" s="135">
        <f>'National average solar data'!W$36</f>
        <v>0</v>
      </c>
      <c r="AB2316" s="135">
        <f>'National average solar data'!X$36</f>
        <v>0</v>
      </c>
      <c r="AC2316" s="135">
        <f>'National average solar data'!Y$36</f>
        <v>0</v>
      </c>
      <c r="AD2316" s="135">
        <f>'National average solar data'!Z$36</f>
        <v>0</v>
      </c>
    </row>
    <row r="2317" spans="1:30" ht="12.6">
      <c r="A2317" s="10" t="s">
        <v>131</v>
      </c>
      <c r="B2317" s="10">
        <v>126</v>
      </c>
      <c r="C2317" s="10" t="s">
        <v>1513</v>
      </c>
      <c r="D2317" s="388">
        <v>45052</v>
      </c>
      <c r="E2317" s="389">
        <v>45052</v>
      </c>
      <c r="G2317" s="135">
        <f>'National average solar data'!C$36</f>
        <v>0</v>
      </c>
      <c r="H2317" s="135">
        <f>'National average solar data'!D$36</f>
        <v>0</v>
      </c>
      <c r="I2317" s="135">
        <f>'National average solar data'!E$36</f>
        <v>0</v>
      </c>
      <c r="J2317" s="135">
        <f>'National average solar data'!F$36</f>
        <v>0</v>
      </c>
      <c r="K2317" s="135">
        <f>'National average solar data'!G$36</f>
        <v>0</v>
      </c>
      <c r="L2317" s="135">
        <f>'National average solar data'!H$36</f>
        <v>0</v>
      </c>
      <c r="M2317" s="135">
        <f>'National average solar data'!I$36</f>
        <v>0</v>
      </c>
      <c r="N2317" s="135">
        <f>'National average solar data'!J$36</f>
        <v>0.17460000000000001</v>
      </c>
      <c r="O2317" s="135">
        <f>'National average solar data'!K$36</f>
        <v>0.59109999999999996</v>
      </c>
      <c r="P2317" s="135">
        <f>'National average solar data'!L$36</f>
        <v>0.71050000000000002</v>
      </c>
      <c r="Q2317" s="135">
        <f>'National average solar data'!M$36</f>
        <v>0.75029999999999997</v>
      </c>
      <c r="R2317" s="135">
        <f>'National average solar data'!N$36</f>
        <v>0.74150000000000005</v>
      </c>
      <c r="S2317" s="135">
        <f>'National average solar data'!O$36</f>
        <v>0.72260000000000002</v>
      </c>
      <c r="T2317" s="135">
        <f>'National average solar data'!P$36</f>
        <v>0.71109999999999995</v>
      </c>
      <c r="U2317" s="135">
        <f>'National average solar data'!Q$36</f>
        <v>0.69579999999999997</v>
      </c>
      <c r="V2317" s="135">
        <f>'National average solar data'!R$36</f>
        <v>0.58679999999999999</v>
      </c>
      <c r="W2317" s="135">
        <f>'National average solar data'!S$36</f>
        <v>0.3508</v>
      </c>
      <c r="X2317" s="135">
        <f>'National average solar data'!T$36</f>
        <v>3.5299999999999998E-2</v>
      </c>
      <c r="Y2317" s="135">
        <f>'National average solar data'!U$36</f>
        <v>0</v>
      </c>
      <c r="Z2317" s="135">
        <f>'National average solar data'!V$36</f>
        <v>0</v>
      </c>
      <c r="AA2317" s="135">
        <f>'National average solar data'!W$36</f>
        <v>0</v>
      </c>
      <c r="AB2317" s="135">
        <f>'National average solar data'!X$36</f>
        <v>0</v>
      </c>
      <c r="AC2317" s="135">
        <f>'National average solar data'!Y$36</f>
        <v>0</v>
      </c>
      <c r="AD2317" s="135">
        <f>'National average solar data'!Z$36</f>
        <v>0</v>
      </c>
    </row>
    <row r="2318" spans="1:30" ht="12.6">
      <c r="A2318" s="10" t="s">
        <v>131</v>
      </c>
      <c r="B2318" s="10">
        <v>127</v>
      </c>
      <c r="C2318" s="10" t="s">
        <v>1513</v>
      </c>
      <c r="D2318" s="388">
        <v>45053</v>
      </c>
      <c r="E2318" s="389">
        <v>45053</v>
      </c>
      <c r="G2318" s="135">
        <f>'National average solar data'!C$36</f>
        <v>0</v>
      </c>
      <c r="H2318" s="135">
        <f>'National average solar data'!D$36</f>
        <v>0</v>
      </c>
      <c r="I2318" s="135">
        <f>'National average solar data'!E$36</f>
        <v>0</v>
      </c>
      <c r="J2318" s="135">
        <f>'National average solar data'!F$36</f>
        <v>0</v>
      </c>
      <c r="K2318" s="135">
        <f>'National average solar data'!G$36</f>
        <v>0</v>
      </c>
      <c r="L2318" s="135">
        <f>'National average solar data'!H$36</f>
        <v>0</v>
      </c>
      <c r="M2318" s="135">
        <f>'National average solar data'!I$36</f>
        <v>0</v>
      </c>
      <c r="N2318" s="135">
        <f>'National average solar data'!J$36</f>
        <v>0.17460000000000001</v>
      </c>
      <c r="O2318" s="135">
        <f>'National average solar data'!K$36</f>
        <v>0.59109999999999996</v>
      </c>
      <c r="P2318" s="135">
        <f>'National average solar data'!L$36</f>
        <v>0.71050000000000002</v>
      </c>
      <c r="Q2318" s="135">
        <f>'National average solar data'!M$36</f>
        <v>0.75029999999999997</v>
      </c>
      <c r="R2318" s="135">
        <f>'National average solar data'!N$36</f>
        <v>0.74150000000000005</v>
      </c>
      <c r="S2318" s="135">
        <f>'National average solar data'!O$36</f>
        <v>0.72260000000000002</v>
      </c>
      <c r="T2318" s="135">
        <f>'National average solar data'!P$36</f>
        <v>0.71109999999999995</v>
      </c>
      <c r="U2318" s="135">
        <f>'National average solar data'!Q$36</f>
        <v>0.69579999999999997</v>
      </c>
      <c r="V2318" s="135">
        <f>'National average solar data'!R$36</f>
        <v>0.58679999999999999</v>
      </c>
      <c r="W2318" s="135">
        <f>'National average solar data'!S$36</f>
        <v>0.3508</v>
      </c>
      <c r="X2318" s="135">
        <f>'National average solar data'!T$36</f>
        <v>3.5299999999999998E-2</v>
      </c>
      <c r="Y2318" s="135">
        <f>'National average solar data'!U$36</f>
        <v>0</v>
      </c>
      <c r="Z2318" s="135">
        <f>'National average solar data'!V$36</f>
        <v>0</v>
      </c>
      <c r="AA2318" s="135">
        <f>'National average solar data'!W$36</f>
        <v>0</v>
      </c>
      <c r="AB2318" s="135">
        <f>'National average solar data'!X$36</f>
        <v>0</v>
      </c>
      <c r="AC2318" s="135">
        <f>'National average solar data'!Y$36</f>
        <v>0</v>
      </c>
      <c r="AD2318" s="135">
        <f>'National average solar data'!Z$36</f>
        <v>0</v>
      </c>
    </row>
    <row r="2319" spans="1:30" ht="12.6">
      <c r="A2319" s="10" t="s">
        <v>131</v>
      </c>
      <c r="B2319" s="10">
        <v>128</v>
      </c>
      <c r="C2319" s="10" t="s">
        <v>1513</v>
      </c>
      <c r="D2319" s="388">
        <v>45054</v>
      </c>
      <c r="E2319" s="389">
        <v>45054</v>
      </c>
      <c r="G2319" s="135">
        <f>'National average solar data'!C$36</f>
        <v>0</v>
      </c>
      <c r="H2319" s="135">
        <f>'National average solar data'!D$36</f>
        <v>0</v>
      </c>
      <c r="I2319" s="135">
        <f>'National average solar data'!E$36</f>
        <v>0</v>
      </c>
      <c r="J2319" s="135">
        <f>'National average solar data'!F$36</f>
        <v>0</v>
      </c>
      <c r="K2319" s="135">
        <f>'National average solar data'!G$36</f>
        <v>0</v>
      </c>
      <c r="L2319" s="135">
        <f>'National average solar data'!H$36</f>
        <v>0</v>
      </c>
      <c r="M2319" s="135">
        <f>'National average solar data'!I$36</f>
        <v>0</v>
      </c>
      <c r="N2319" s="135">
        <f>'National average solar data'!J$36</f>
        <v>0.17460000000000001</v>
      </c>
      <c r="O2319" s="135">
        <f>'National average solar data'!K$36</f>
        <v>0.59109999999999996</v>
      </c>
      <c r="P2319" s="135">
        <f>'National average solar data'!L$36</f>
        <v>0.71050000000000002</v>
      </c>
      <c r="Q2319" s="135">
        <f>'National average solar data'!M$36</f>
        <v>0.75029999999999997</v>
      </c>
      <c r="R2319" s="135">
        <f>'National average solar data'!N$36</f>
        <v>0.74150000000000005</v>
      </c>
      <c r="S2319" s="135">
        <f>'National average solar data'!O$36</f>
        <v>0.72260000000000002</v>
      </c>
      <c r="T2319" s="135">
        <f>'National average solar data'!P$36</f>
        <v>0.71109999999999995</v>
      </c>
      <c r="U2319" s="135">
        <f>'National average solar data'!Q$36</f>
        <v>0.69579999999999997</v>
      </c>
      <c r="V2319" s="135">
        <f>'National average solar data'!R$36</f>
        <v>0.58679999999999999</v>
      </c>
      <c r="W2319" s="135">
        <f>'National average solar data'!S$36</f>
        <v>0.3508</v>
      </c>
      <c r="X2319" s="135">
        <f>'National average solar data'!T$36</f>
        <v>3.5299999999999998E-2</v>
      </c>
      <c r="Y2319" s="135">
        <f>'National average solar data'!U$36</f>
        <v>0</v>
      </c>
      <c r="Z2319" s="135">
        <f>'National average solar data'!V$36</f>
        <v>0</v>
      </c>
      <c r="AA2319" s="135">
        <f>'National average solar data'!W$36</f>
        <v>0</v>
      </c>
      <c r="AB2319" s="135">
        <f>'National average solar data'!X$36</f>
        <v>0</v>
      </c>
      <c r="AC2319" s="135">
        <f>'National average solar data'!Y$36</f>
        <v>0</v>
      </c>
      <c r="AD2319" s="135">
        <f>'National average solar data'!Z$36</f>
        <v>0</v>
      </c>
    </row>
    <row r="2320" spans="1:30" ht="12.6">
      <c r="A2320" s="10" t="s">
        <v>131</v>
      </c>
      <c r="B2320" s="10">
        <v>129</v>
      </c>
      <c r="C2320" s="10" t="s">
        <v>1513</v>
      </c>
      <c r="D2320" s="388">
        <v>45055</v>
      </c>
      <c r="E2320" s="389">
        <v>45055</v>
      </c>
      <c r="G2320" s="135">
        <f>'National average solar data'!C$36</f>
        <v>0</v>
      </c>
      <c r="H2320" s="135">
        <f>'National average solar data'!D$36</f>
        <v>0</v>
      </c>
      <c r="I2320" s="135">
        <f>'National average solar data'!E$36</f>
        <v>0</v>
      </c>
      <c r="J2320" s="135">
        <f>'National average solar data'!F$36</f>
        <v>0</v>
      </c>
      <c r="K2320" s="135">
        <f>'National average solar data'!G$36</f>
        <v>0</v>
      </c>
      <c r="L2320" s="135">
        <f>'National average solar data'!H$36</f>
        <v>0</v>
      </c>
      <c r="M2320" s="135">
        <f>'National average solar data'!I$36</f>
        <v>0</v>
      </c>
      <c r="N2320" s="135">
        <f>'National average solar data'!J$36</f>
        <v>0.17460000000000001</v>
      </c>
      <c r="O2320" s="135">
        <f>'National average solar data'!K$36</f>
        <v>0.59109999999999996</v>
      </c>
      <c r="P2320" s="135">
        <f>'National average solar data'!L$36</f>
        <v>0.71050000000000002</v>
      </c>
      <c r="Q2320" s="135">
        <f>'National average solar data'!M$36</f>
        <v>0.75029999999999997</v>
      </c>
      <c r="R2320" s="135">
        <f>'National average solar data'!N$36</f>
        <v>0.74150000000000005</v>
      </c>
      <c r="S2320" s="135">
        <f>'National average solar data'!O$36</f>
        <v>0.72260000000000002</v>
      </c>
      <c r="T2320" s="135">
        <f>'National average solar data'!P$36</f>
        <v>0.71109999999999995</v>
      </c>
      <c r="U2320" s="135">
        <f>'National average solar data'!Q$36</f>
        <v>0.69579999999999997</v>
      </c>
      <c r="V2320" s="135">
        <f>'National average solar data'!R$36</f>
        <v>0.58679999999999999</v>
      </c>
      <c r="W2320" s="135">
        <f>'National average solar data'!S$36</f>
        <v>0.3508</v>
      </c>
      <c r="X2320" s="135">
        <f>'National average solar data'!T$36</f>
        <v>3.5299999999999998E-2</v>
      </c>
      <c r="Y2320" s="135">
        <f>'National average solar data'!U$36</f>
        <v>0</v>
      </c>
      <c r="Z2320" s="135">
        <f>'National average solar data'!V$36</f>
        <v>0</v>
      </c>
      <c r="AA2320" s="135">
        <f>'National average solar data'!W$36</f>
        <v>0</v>
      </c>
      <c r="AB2320" s="135">
        <f>'National average solar data'!X$36</f>
        <v>0</v>
      </c>
      <c r="AC2320" s="135">
        <f>'National average solar data'!Y$36</f>
        <v>0</v>
      </c>
      <c r="AD2320" s="135">
        <f>'National average solar data'!Z$36</f>
        <v>0</v>
      </c>
    </row>
    <row r="2321" spans="1:30" ht="12.6">
      <c r="A2321" s="10" t="s">
        <v>131</v>
      </c>
      <c r="B2321" s="10">
        <v>130</v>
      </c>
      <c r="C2321" s="10" t="s">
        <v>1513</v>
      </c>
      <c r="D2321" s="388">
        <v>45056</v>
      </c>
      <c r="E2321" s="389">
        <v>45056</v>
      </c>
      <c r="G2321" s="135">
        <f>'National average solar data'!C$36</f>
        <v>0</v>
      </c>
      <c r="H2321" s="135">
        <f>'National average solar data'!D$36</f>
        <v>0</v>
      </c>
      <c r="I2321" s="135">
        <f>'National average solar data'!E$36</f>
        <v>0</v>
      </c>
      <c r="J2321" s="135">
        <f>'National average solar data'!F$36</f>
        <v>0</v>
      </c>
      <c r="K2321" s="135">
        <f>'National average solar data'!G$36</f>
        <v>0</v>
      </c>
      <c r="L2321" s="135">
        <f>'National average solar data'!H$36</f>
        <v>0</v>
      </c>
      <c r="M2321" s="135">
        <f>'National average solar data'!I$36</f>
        <v>0</v>
      </c>
      <c r="N2321" s="135">
        <f>'National average solar data'!J$36</f>
        <v>0.17460000000000001</v>
      </c>
      <c r="O2321" s="135">
        <f>'National average solar data'!K$36</f>
        <v>0.59109999999999996</v>
      </c>
      <c r="P2321" s="135">
        <f>'National average solar data'!L$36</f>
        <v>0.71050000000000002</v>
      </c>
      <c r="Q2321" s="135">
        <f>'National average solar data'!M$36</f>
        <v>0.75029999999999997</v>
      </c>
      <c r="R2321" s="135">
        <f>'National average solar data'!N$36</f>
        <v>0.74150000000000005</v>
      </c>
      <c r="S2321" s="135">
        <f>'National average solar data'!O$36</f>
        <v>0.72260000000000002</v>
      </c>
      <c r="T2321" s="135">
        <f>'National average solar data'!P$36</f>
        <v>0.71109999999999995</v>
      </c>
      <c r="U2321" s="135">
        <f>'National average solar data'!Q$36</f>
        <v>0.69579999999999997</v>
      </c>
      <c r="V2321" s="135">
        <f>'National average solar data'!R$36</f>
        <v>0.58679999999999999</v>
      </c>
      <c r="W2321" s="135">
        <f>'National average solar data'!S$36</f>
        <v>0.3508</v>
      </c>
      <c r="X2321" s="135">
        <f>'National average solar data'!T$36</f>
        <v>3.5299999999999998E-2</v>
      </c>
      <c r="Y2321" s="135">
        <f>'National average solar data'!U$36</f>
        <v>0</v>
      </c>
      <c r="Z2321" s="135">
        <f>'National average solar data'!V$36</f>
        <v>0</v>
      </c>
      <c r="AA2321" s="135">
        <f>'National average solar data'!W$36</f>
        <v>0</v>
      </c>
      <c r="AB2321" s="135">
        <f>'National average solar data'!X$36</f>
        <v>0</v>
      </c>
      <c r="AC2321" s="135">
        <f>'National average solar data'!Y$36</f>
        <v>0</v>
      </c>
      <c r="AD2321" s="135">
        <f>'National average solar data'!Z$36</f>
        <v>0</v>
      </c>
    </row>
    <row r="2322" spans="1:30" ht="12.6">
      <c r="A2322" s="10" t="s">
        <v>131</v>
      </c>
      <c r="B2322" s="10">
        <v>131</v>
      </c>
      <c r="C2322" s="10" t="s">
        <v>1513</v>
      </c>
      <c r="D2322" s="388">
        <v>45057</v>
      </c>
      <c r="E2322" s="389">
        <v>45057</v>
      </c>
      <c r="G2322" s="135">
        <f>'National average solar data'!C$36</f>
        <v>0</v>
      </c>
      <c r="H2322" s="135">
        <f>'National average solar data'!D$36</f>
        <v>0</v>
      </c>
      <c r="I2322" s="135">
        <f>'National average solar data'!E$36</f>
        <v>0</v>
      </c>
      <c r="J2322" s="135">
        <f>'National average solar data'!F$36</f>
        <v>0</v>
      </c>
      <c r="K2322" s="135">
        <f>'National average solar data'!G$36</f>
        <v>0</v>
      </c>
      <c r="L2322" s="135">
        <f>'National average solar data'!H$36</f>
        <v>0</v>
      </c>
      <c r="M2322" s="135">
        <f>'National average solar data'!I$36</f>
        <v>0</v>
      </c>
      <c r="N2322" s="135">
        <f>'National average solar data'!J$36</f>
        <v>0.17460000000000001</v>
      </c>
      <c r="O2322" s="135">
        <f>'National average solar data'!K$36</f>
        <v>0.59109999999999996</v>
      </c>
      <c r="P2322" s="135">
        <f>'National average solar data'!L$36</f>
        <v>0.71050000000000002</v>
      </c>
      <c r="Q2322" s="135">
        <f>'National average solar data'!M$36</f>
        <v>0.75029999999999997</v>
      </c>
      <c r="R2322" s="135">
        <f>'National average solar data'!N$36</f>
        <v>0.74150000000000005</v>
      </c>
      <c r="S2322" s="135">
        <f>'National average solar data'!O$36</f>
        <v>0.72260000000000002</v>
      </c>
      <c r="T2322" s="135">
        <f>'National average solar data'!P$36</f>
        <v>0.71109999999999995</v>
      </c>
      <c r="U2322" s="135">
        <f>'National average solar data'!Q$36</f>
        <v>0.69579999999999997</v>
      </c>
      <c r="V2322" s="135">
        <f>'National average solar data'!R$36</f>
        <v>0.58679999999999999</v>
      </c>
      <c r="W2322" s="135">
        <f>'National average solar data'!S$36</f>
        <v>0.3508</v>
      </c>
      <c r="X2322" s="135">
        <f>'National average solar data'!T$36</f>
        <v>3.5299999999999998E-2</v>
      </c>
      <c r="Y2322" s="135">
        <f>'National average solar data'!U$36</f>
        <v>0</v>
      </c>
      <c r="Z2322" s="135">
        <f>'National average solar data'!V$36</f>
        <v>0</v>
      </c>
      <c r="AA2322" s="135">
        <f>'National average solar data'!W$36</f>
        <v>0</v>
      </c>
      <c r="AB2322" s="135">
        <f>'National average solar data'!X$36</f>
        <v>0</v>
      </c>
      <c r="AC2322" s="135">
        <f>'National average solar data'!Y$36</f>
        <v>0</v>
      </c>
      <c r="AD2322" s="135">
        <f>'National average solar data'!Z$36</f>
        <v>0</v>
      </c>
    </row>
    <row r="2323" spans="1:30" ht="12.6">
      <c r="A2323" s="10" t="s">
        <v>131</v>
      </c>
      <c r="B2323" s="10">
        <v>132</v>
      </c>
      <c r="C2323" s="10" t="s">
        <v>1513</v>
      </c>
      <c r="D2323" s="388">
        <v>45058</v>
      </c>
      <c r="E2323" s="389">
        <v>45058</v>
      </c>
      <c r="G2323" s="135">
        <f>'National average solar data'!C$36</f>
        <v>0</v>
      </c>
      <c r="H2323" s="135">
        <f>'National average solar data'!D$36</f>
        <v>0</v>
      </c>
      <c r="I2323" s="135">
        <f>'National average solar data'!E$36</f>
        <v>0</v>
      </c>
      <c r="J2323" s="135">
        <f>'National average solar data'!F$36</f>
        <v>0</v>
      </c>
      <c r="K2323" s="135">
        <f>'National average solar data'!G$36</f>
        <v>0</v>
      </c>
      <c r="L2323" s="135">
        <f>'National average solar data'!H$36</f>
        <v>0</v>
      </c>
      <c r="M2323" s="135">
        <f>'National average solar data'!I$36</f>
        <v>0</v>
      </c>
      <c r="N2323" s="135">
        <f>'National average solar data'!J$36</f>
        <v>0.17460000000000001</v>
      </c>
      <c r="O2323" s="135">
        <f>'National average solar data'!K$36</f>
        <v>0.59109999999999996</v>
      </c>
      <c r="P2323" s="135">
        <f>'National average solar data'!L$36</f>
        <v>0.71050000000000002</v>
      </c>
      <c r="Q2323" s="135">
        <f>'National average solar data'!M$36</f>
        <v>0.75029999999999997</v>
      </c>
      <c r="R2323" s="135">
        <f>'National average solar data'!N$36</f>
        <v>0.74150000000000005</v>
      </c>
      <c r="S2323" s="135">
        <f>'National average solar data'!O$36</f>
        <v>0.72260000000000002</v>
      </c>
      <c r="T2323" s="135">
        <f>'National average solar data'!P$36</f>
        <v>0.71109999999999995</v>
      </c>
      <c r="U2323" s="135">
        <f>'National average solar data'!Q$36</f>
        <v>0.69579999999999997</v>
      </c>
      <c r="V2323" s="135">
        <f>'National average solar data'!R$36</f>
        <v>0.58679999999999999</v>
      </c>
      <c r="W2323" s="135">
        <f>'National average solar data'!S$36</f>
        <v>0.3508</v>
      </c>
      <c r="X2323" s="135">
        <f>'National average solar data'!T$36</f>
        <v>3.5299999999999998E-2</v>
      </c>
      <c r="Y2323" s="135">
        <f>'National average solar data'!U$36</f>
        <v>0</v>
      </c>
      <c r="Z2323" s="135">
        <f>'National average solar data'!V$36</f>
        <v>0</v>
      </c>
      <c r="AA2323" s="135">
        <f>'National average solar data'!W$36</f>
        <v>0</v>
      </c>
      <c r="AB2323" s="135">
        <f>'National average solar data'!X$36</f>
        <v>0</v>
      </c>
      <c r="AC2323" s="135">
        <f>'National average solar data'!Y$36</f>
        <v>0</v>
      </c>
      <c r="AD2323" s="135">
        <f>'National average solar data'!Z$36</f>
        <v>0</v>
      </c>
    </row>
    <row r="2324" spans="1:30" ht="12.6">
      <c r="A2324" s="10" t="s">
        <v>131</v>
      </c>
      <c r="B2324" s="10">
        <v>133</v>
      </c>
      <c r="C2324" s="10" t="s">
        <v>1513</v>
      </c>
      <c r="D2324" s="388">
        <v>45059</v>
      </c>
      <c r="E2324" s="389">
        <v>45059</v>
      </c>
      <c r="G2324" s="135">
        <f>'National average solar data'!C$36</f>
        <v>0</v>
      </c>
      <c r="H2324" s="135">
        <f>'National average solar data'!D$36</f>
        <v>0</v>
      </c>
      <c r="I2324" s="135">
        <f>'National average solar data'!E$36</f>
        <v>0</v>
      </c>
      <c r="J2324" s="135">
        <f>'National average solar data'!F$36</f>
        <v>0</v>
      </c>
      <c r="K2324" s="135">
        <f>'National average solar data'!G$36</f>
        <v>0</v>
      </c>
      <c r="L2324" s="135">
        <f>'National average solar data'!H$36</f>
        <v>0</v>
      </c>
      <c r="M2324" s="135">
        <f>'National average solar data'!I$36</f>
        <v>0</v>
      </c>
      <c r="N2324" s="135">
        <f>'National average solar data'!J$36</f>
        <v>0.17460000000000001</v>
      </c>
      <c r="O2324" s="135">
        <f>'National average solar data'!K$36</f>
        <v>0.59109999999999996</v>
      </c>
      <c r="P2324" s="135">
        <f>'National average solar data'!L$36</f>
        <v>0.71050000000000002</v>
      </c>
      <c r="Q2324" s="135">
        <f>'National average solar data'!M$36</f>
        <v>0.75029999999999997</v>
      </c>
      <c r="R2324" s="135">
        <f>'National average solar data'!N$36</f>
        <v>0.74150000000000005</v>
      </c>
      <c r="S2324" s="135">
        <f>'National average solar data'!O$36</f>
        <v>0.72260000000000002</v>
      </c>
      <c r="T2324" s="135">
        <f>'National average solar data'!P$36</f>
        <v>0.71109999999999995</v>
      </c>
      <c r="U2324" s="135">
        <f>'National average solar data'!Q$36</f>
        <v>0.69579999999999997</v>
      </c>
      <c r="V2324" s="135">
        <f>'National average solar data'!R$36</f>
        <v>0.58679999999999999</v>
      </c>
      <c r="W2324" s="135">
        <f>'National average solar data'!S$36</f>
        <v>0.3508</v>
      </c>
      <c r="X2324" s="135">
        <f>'National average solar data'!T$36</f>
        <v>3.5299999999999998E-2</v>
      </c>
      <c r="Y2324" s="135">
        <f>'National average solar data'!U$36</f>
        <v>0</v>
      </c>
      <c r="Z2324" s="135">
        <f>'National average solar data'!V$36</f>
        <v>0</v>
      </c>
      <c r="AA2324" s="135">
        <f>'National average solar data'!W$36</f>
        <v>0</v>
      </c>
      <c r="AB2324" s="135">
        <f>'National average solar data'!X$36</f>
        <v>0</v>
      </c>
      <c r="AC2324" s="135">
        <f>'National average solar data'!Y$36</f>
        <v>0</v>
      </c>
      <c r="AD2324" s="135">
        <f>'National average solar data'!Z$36</f>
        <v>0</v>
      </c>
    </row>
    <row r="2325" spans="1:30" ht="12.6">
      <c r="A2325" s="10" t="s">
        <v>131</v>
      </c>
      <c r="B2325" s="10">
        <v>134</v>
      </c>
      <c r="C2325" s="10" t="s">
        <v>1513</v>
      </c>
      <c r="D2325" s="388">
        <v>45060</v>
      </c>
      <c r="E2325" s="389">
        <v>45060</v>
      </c>
      <c r="G2325" s="135">
        <f>'National average solar data'!C$36</f>
        <v>0</v>
      </c>
      <c r="H2325" s="135">
        <f>'National average solar data'!D$36</f>
        <v>0</v>
      </c>
      <c r="I2325" s="135">
        <f>'National average solar data'!E$36</f>
        <v>0</v>
      </c>
      <c r="J2325" s="135">
        <f>'National average solar data'!F$36</f>
        <v>0</v>
      </c>
      <c r="K2325" s="135">
        <f>'National average solar data'!G$36</f>
        <v>0</v>
      </c>
      <c r="L2325" s="135">
        <f>'National average solar data'!H$36</f>
        <v>0</v>
      </c>
      <c r="M2325" s="135">
        <f>'National average solar data'!I$36</f>
        <v>0</v>
      </c>
      <c r="N2325" s="135">
        <f>'National average solar data'!J$36</f>
        <v>0.17460000000000001</v>
      </c>
      <c r="O2325" s="135">
        <f>'National average solar data'!K$36</f>
        <v>0.59109999999999996</v>
      </c>
      <c r="P2325" s="135">
        <f>'National average solar data'!L$36</f>
        <v>0.71050000000000002</v>
      </c>
      <c r="Q2325" s="135">
        <f>'National average solar data'!M$36</f>
        <v>0.75029999999999997</v>
      </c>
      <c r="R2325" s="135">
        <f>'National average solar data'!N$36</f>
        <v>0.74150000000000005</v>
      </c>
      <c r="S2325" s="135">
        <f>'National average solar data'!O$36</f>
        <v>0.72260000000000002</v>
      </c>
      <c r="T2325" s="135">
        <f>'National average solar data'!P$36</f>
        <v>0.71109999999999995</v>
      </c>
      <c r="U2325" s="135">
        <f>'National average solar data'!Q$36</f>
        <v>0.69579999999999997</v>
      </c>
      <c r="V2325" s="135">
        <f>'National average solar data'!R$36</f>
        <v>0.58679999999999999</v>
      </c>
      <c r="W2325" s="135">
        <f>'National average solar data'!S$36</f>
        <v>0.3508</v>
      </c>
      <c r="X2325" s="135">
        <f>'National average solar data'!T$36</f>
        <v>3.5299999999999998E-2</v>
      </c>
      <c r="Y2325" s="135">
        <f>'National average solar data'!U$36</f>
        <v>0</v>
      </c>
      <c r="Z2325" s="135">
        <f>'National average solar data'!V$36</f>
        <v>0</v>
      </c>
      <c r="AA2325" s="135">
        <f>'National average solar data'!W$36</f>
        <v>0</v>
      </c>
      <c r="AB2325" s="135">
        <f>'National average solar data'!X$36</f>
        <v>0</v>
      </c>
      <c r="AC2325" s="135">
        <f>'National average solar data'!Y$36</f>
        <v>0</v>
      </c>
      <c r="AD2325" s="135">
        <f>'National average solar data'!Z$36</f>
        <v>0</v>
      </c>
    </row>
    <row r="2326" spans="1:30" ht="12.6">
      <c r="A2326" s="10" t="s">
        <v>131</v>
      </c>
      <c r="B2326" s="10">
        <v>135</v>
      </c>
      <c r="C2326" s="10" t="s">
        <v>1513</v>
      </c>
      <c r="D2326" s="388">
        <v>45061</v>
      </c>
      <c r="E2326" s="389">
        <v>45061</v>
      </c>
      <c r="G2326" s="135">
        <f>'National average solar data'!C$36</f>
        <v>0</v>
      </c>
      <c r="H2326" s="135">
        <f>'National average solar data'!D$36</f>
        <v>0</v>
      </c>
      <c r="I2326" s="135">
        <f>'National average solar data'!E$36</f>
        <v>0</v>
      </c>
      <c r="J2326" s="135">
        <f>'National average solar data'!F$36</f>
        <v>0</v>
      </c>
      <c r="K2326" s="135">
        <f>'National average solar data'!G$36</f>
        <v>0</v>
      </c>
      <c r="L2326" s="135">
        <f>'National average solar data'!H$36</f>
        <v>0</v>
      </c>
      <c r="M2326" s="135">
        <f>'National average solar data'!I$36</f>
        <v>0</v>
      </c>
      <c r="N2326" s="135">
        <f>'National average solar data'!J$36</f>
        <v>0.17460000000000001</v>
      </c>
      <c r="O2326" s="135">
        <f>'National average solar data'!K$36</f>
        <v>0.59109999999999996</v>
      </c>
      <c r="P2326" s="135">
        <f>'National average solar data'!L$36</f>
        <v>0.71050000000000002</v>
      </c>
      <c r="Q2326" s="135">
        <f>'National average solar data'!M$36</f>
        <v>0.75029999999999997</v>
      </c>
      <c r="R2326" s="135">
        <f>'National average solar data'!N$36</f>
        <v>0.74150000000000005</v>
      </c>
      <c r="S2326" s="135">
        <f>'National average solar data'!O$36</f>
        <v>0.72260000000000002</v>
      </c>
      <c r="T2326" s="135">
        <f>'National average solar data'!P$36</f>
        <v>0.71109999999999995</v>
      </c>
      <c r="U2326" s="135">
        <f>'National average solar data'!Q$36</f>
        <v>0.69579999999999997</v>
      </c>
      <c r="V2326" s="135">
        <f>'National average solar data'!R$36</f>
        <v>0.58679999999999999</v>
      </c>
      <c r="W2326" s="135">
        <f>'National average solar data'!S$36</f>
        <v>0.3508</v>
      </c>
      <c r="X2326" s="135">
        <f>'National average solar data'!T$36</f>
        <v>3.5299999999999998E-2</v>
      </c>
      <c r="Y2326" s="135">
        <f>'National average solar data'!U$36</f>
        <v>0</v>
      </c>
      <c r="Z2326" s="135">
        <f>'National average solar data'!V$36</f>
        <v>0</v>
      </c>
      <c r="AA2326" s="135">
        <f>'National average solar data'!W$36</f>
        <v>0</v>
      </c>
      <c r="AB2326" s="135">
        <f>'National average solar data'!X$36</f>
        <v>0</v>
      </c>
      <c r="AC2326" s="135">
        <f>'National average solar data'!Y$36</f>
        <v>0</v>
      </c>
      <c r="AD2326" s="135">
        <f>'National average solar data'!Z$36</f>
        <v>0</v>
      </c>
    </row>
    <row r="2327" spans="1:30" ht="12.6">
      <c r="A2327" s="10" t="s">
        <v>131</v>
      </c>
      <c r="B2327" s="10">
        <v>136</v>
      </c>
      <c r="C2327" s="10" t="s">
        <v>1513</v>
      </c>
      <c r="D2327" s="388">
        <v>45062</v>
      </c>
      <c r="E2327" s="389">
        <v>45062</v>
      </c>
      <c r="G2327" s="135">
        <f>'National average solar data'!C$36</f>
        <v>0</v>
      </c>
      <c r="H2327" s="135">
        <f>'National average solar data'!D$36</f>
        <v>0</v>
      </c>
      <c r="I2327" s="135">
        <f>'National average solar data'!E$36</f>
        <v>0</v>
      </c>
      <c r="J2327" s="135">
        <f>'National average solar data'!F$36</f>
        <v>0</v>
      </c>
      <c r="K2327" s="135">
        <f>'National average solar data'!G$36</f>
        <v>0</v>
      </c>
      <c r="L2327" s="135">
        <f>'National average solar data'!H$36</f>
        <v>0</v>
      </c>
      <c r="M2327" s="135">
        <f>'National average solar data'!I$36</f>
        <v>0</v>
      </c>
      <c r="N2327" s="135">
        <f>'National average solar data'!J$36</f>
        <v>0.17460000000000001</v>
      </c>
      <c r="O2327" s="135">
        <f>'National average solar data'!K$36</f>
        <v>0.59109999999999996</v>
      </c>
      <c r="P2327" s="135">
        <f>'National average solar data'!L$36</f>
        <v>0.71050000000000002</v>
      </c>
      <c r="Q2327" s="135">
        <f>'National average solar data'!M$36</f>
        <v>0.75029999999999997</v>
      </c>
      <c r="R2327" s="135">
        <f>'National average solar data'!N$36</f>
        <v>0.74150000000000005</v>
      </c>
      <c r="S2327" s="135">
        <f>'National average solar data'!O$36</f>
        <v>0.72260000000000002</v>
      </c>
      <c r="T2327" s="135">
        <f>'National average solar data'!P$36</f>
        <v>0.71109999999999995</v>
      </c>
      <c r="U2327" s="135">
        <f>'National average solar data'!Q$36</f>
        <v>0.69579999999999997</v>
      </c>
      <c r="V2327" s="135">
        <f>'National average solar data'!R$36</f>
        <v>0.58679999999999999</v>
      </c>
      <c r="W2327" s="135">
        <f>'National average solar data'!S$36</f>
        <v>0.3508</v>
      </c>
      <c r="X2327" s="135">
        <f>'National average solar data'!T$36</f>
        <v>3.5299999999999998E-2</v>
      </c>
      <c r="Y2327" s="135">
        <f>'National average solar data'!U$36</f>
        <v>0</v>
      </c>
      <c r="Z2327" s="135">
        <f>'National average solar data'!V$36</f>
        <v>0</v>
      </c>
      <c r="AA2327" s="135">
        <f>'National average solar data'!W$36</f>
        <v>0</v>
      </c>
      <c r="AB2327" s="135">
        <f>'National average solar data'!X$36</f>
        <v>0</v>
      </c>
      <c r="AC2327" s="135">
        <f>'National average solar data'!Y$36</f>
        <v>0</v>
      </c>
      <c r="AD2327" s="135">
        <f>'National average solar data'!Z$36</f>
        <v>0</v>
      </c>
    </row>
    <row r="2328" spans="1:30" ht="12.6">
      <c r="A2328" s="10" t="s">
        <v>131</v>
      </c>
      <c r="B2328" s="10">
        <v>137</v>
      </c>
      <c r="C2328" s="10" t="s">
        <v>1513</v>
      </c>
      <c r="D2328" s="388">
        <v>45063</v>
      </c>
      <c r="E2328" s="389">
        <v>45063</v>
      </c>
      <c r="G2328" s="135">
        <f>'National average solar data'!C$36</f>
        <v>0</v>
      </c>
      <c r="H2328" s="135">
        <f>'National average solar data'!D$36</f>
        <v>0</v>
      </c>
      <c r="I2328" s="135">
        <f>'National average solar data'!E$36</f>
        <v>0</v>
      </c>
      <c r="J2328" s="135">
        <f>'National average solar data'!F$36</f>
        <v>0</v>
      </c>
      <c r="K2328" s="135">
        <f>'National average solar data'!G$36</f>
        <v>0</v>
      </c>
      <c r="L2328" s="135">
        <f>'National average solar data'!H$36</f>
        <v>0</v>
      </c>
      <c r="M2328" s="135">
        <f>'National average solar data'!I$36</f>
        <v>0</v>
      </c>
      <c r="N2328" s="135">
        <f>'National average solar data'!J$36</f>
        <v>0.17460000000000001</v>
      </c>
      <c r="O2328" s="135">
        <f>'National average solar data'!K$36</f>
        <v>0.59109999999999996</v>
      </c>
      <c r="P2328" s="135">
        <f>'National average solar data'!L$36</f>
        <v>0.71050000000000002</v>
      </c>
      <c r="Q2328" s="135">
        <f>'National average solar data'!M$36</f>
        <v>0.75029999999999997</v>
      </c>
      <c r="R2328" s="135">
        <f>'National average solar data'!N$36</f>
        <v>0.74150000000000005</v>
      </c>
      <c r="S2328" s="135">
        <f>'National average solar data'!O$36</f>
        <v>0.72260000000000002</v>
      </c>
      <c r="T2328" s="135">
        <f>'National average solar data'!P$36</f>
        <v>0.71109999999999995</v>
      </c>
      <c r="U2328" s="135">
        <f>'National average solar data'!Q$36</f>
        <v>0.69579999999999997</v>
      </c>
      <c r="V2328" s="135">
        <f>'National average solar data'!R$36</f>
        <v>0.58679999999999999</v>
      </c>
      <c r="W2328" s="135">
        <f>'National average solar data'!S$36</f>
        <v>0.3508</v>
      </c>
      <c r="X2328" s="135">
        <f>'National average solar data'!T$36</f>
        <v>3.5299999999999998E-2</v>
      </c>
      <c r="Y2328" s="135">
        <f>'National average solar data'!U$36</f>
        <v>0</v>
      </c>
      <c r="Z2328" s="135">
        <f>'National average solar data'!V$36</f>
        <v>0</v>
      </c>
      <c r="AA2328" s="135">
        <f>'National average solar data'!W$36</f>
        <v>0</v>
      </c>
      <c r="AB2328" s="135">
        <f>'National average solar data'!X$36</f>
        <v>0</v>
      </c>
      <c r="AC2328" s="135">
        <f>'National average solar data'!Y$36</f>
        <v>0</v>
      </c>
      <c r="AD2328" s="135">
        <f>'National average solar data'!Z$36</f>
        <v>0</v>
      </c>
    </row>
    <row r="2329" spans="1:30" ht="12.6">
      <c r="A2329" s="10" t="s">
        <v>131</v>
      </c>
      <c r="B2329" s="10">
        <v>138</v>
      </c>
      <c r="C2329" s="10" t="s">
        <v>1513</v>
      </c>
      <c r="D2329" s="388">
        <v>45064</v>
      </c>
      <c r="E2329" s="389">
        <v>45064</v>
      </c>
      <c r="G2329" s="135">
        <f>'National average solar data'!C$36</f>
        <v>0</v>
      </c>
      <c r="H2329" s="135">
        <f>'National average solar data'!D$36</f>
        <v>0</v>
      </c>
      <c r="I2329" s="135">
        <f>'National average solar data'!E$36</f>
        <v>0</v>
      </c>
      <c r="J2329" s="135">
        <f>'National average solar data'!F$36</f>
        <v>0</v>
      </c>
      <c r="K2329" s="135">
        <f>'National average solar data'!G$36</f>
        <v>0</v>
      </c>
      <c r="L2329" s="135">
        <f>'National average solar data'!H$36</f>
        <v>0</v>
      </c>
      <c r="M2329" s="135">
        <f>'National average solar data'!I$36</f>
        <v>0</v>
      </c>
      <c r="N2329" s="135">
        <f>'National average solar data'!J$36</f>
        <v>0.17460000000000001</v>
      </c>
      <c r="O2329" s="135">
        <f>'National average solar data'!K$36</f>
        <v>0.59109999999999996</v>
      </c>
      <c r="P2329" s="135">
        <f>'National average solar data'!L$36</f>
        <v>0.71050000000000002</v>
      </c>
      <c r="Q2329" s="135">
        <f>'National average solar data'!M$36</f>
        <v>0.75029999999999997</v>
      </c>
      <c r="R2329" s="135">
        <f>'National average solar data'!N$36</f>
        <v>0.74150000000000005</v>
      </c>
      <c r="S2329" s="135">
        <f>'National average solar data'!O$36</f>
        <v>0.72260000000000002</v>
      </c>
      <c r="T2329" s="135">
        <f>'National average solar data'!P$36</f>
        <v>0.71109999999999995</v>
      </c>
      <c r="U2329" s="135">
        <f>'National average solar data'!Q$36</f>
        <v>0.69579999999999997</v>
      </c>
      <c r="V2329" s="135">
        <f>'National average solar data'!R$36</f>
        <v>0.58679999999999999</v>
      </c>
      <c r="W2329" s="135">
        <f>'National average solar data'!S$36</f>
        <v>0.3508</v>
      </c>
      <c r="X2329" s="135">
        <f>'National average solar data'!T$36</f>
        <v>3.5299999999999998E-2</v>
      </c>
      <c r="Y2329" s="135">
        <f>'National average solar data'!U$36</f>
        <v>0</v>
      </c>
      <c r="Z2329" s="135">
        <f>'National average solar data'!V$36</f>
        <v>0</v>
      </c>
      <c r="AA2329" s="135">
        <f>'National average solar data'!W$36</f>
        <v>0</v>
      </c>
      <c r="AB2329" s="135">
        <f>'National average solar data'!X$36</f>
        <v>0</v>
      </c>
      <c r="AC2329" s="135">
        <f>'National average solar data'!Y$36</f>
        <v>0</v>
      </c>
      <c r="AD2329" s="135">
        <f>'National average solar data'!Z$36</f>
        <v>0</v>
      </c>
    </row>
    <row r="2330" spans="1:30" ht="12.6">
      <c r="A2330" s="10" t="s">
        <v>131</v>
      </c>
      <c r="B2330" s="10">
        <v>139</v>
      </c>
      <c r="C2330" s="10" t="s">
        <v>1513</v>
      </c>
      <c r="D2330" s="388">
        <v>45065</v>
      </c>
      <c r="E2330" s="389">
        <v>45065</v>
      </c>
      <c r="G2330" s="135">
        <f>'National average solar data'!C$36</f>
        <v>0</v>
      </c>
      <c r="H2330" s="135">
        <f>'National average solar data'!D$36</f>
        <v>0</v>
      </c>
      <c r="I2330" s="135">
        <f>'National average solar data'!E$36</f>
        <v>0</v>
      </c>
      <c r="J2330" s="135">
        <f>'National average solar data'!F$36</f>
        <v>0</v>
      </c>
      <c r="K2330" s="135">
        <f>'National average solar data'!G$36</f>
        <v>0</v>
      </c>
      <c r="L2330" s="135">
        <f>'National average solar data'!H$36</f>
        <v>0</v>
      </c>
      <c r="M2330" s="135">
        <f>'National average solar data'!I$36</f>
        <v>0</v>
      </c>
      <c r="N2330" s="135">
        <f>'National average solar data'!J$36</f>
        <v>0.17460000000000001</v>
      </c>
      <c r="O2330" s="135">
        <f>'National average solar data'!K$36</f>
        <v>0.59109999999999996</v>
      </c>
      <c r="P2330" s="135">
        <f>'National average solar data'!L$36</f>
        <v>0.71050000000000002</v>
      </c>
      <c r="Q2330" s="135">
        <f>'National average solar data'!M$36</f>
        <v>0.75029999999999997</v>
      </c>
      <c r="R2330" s="135">
        <f>'National average solar data'!N$36</f>
        <v>0.74150000000000005</v>
      </c>
      <c r="S2330" s="135">
        <f>'National average solar data'!O$36</f>
        <v>0.72260000000000002</v>
      </c>
      <c r="T2330" s="135">
        <f>'National average solar data'!P$36</f>
        <v>0.71109999999999995</v>
      </c>
      <c r="U2330" s="135">
        <f>'National average solar data'!Q$36</f>
        <v>0.69579999999999997</v>
      </c>
      <c r="V2330" s="135">
        <f>'National average solar data'!R$36</f>
        <v>0.58679999999999999</v>
      </c>
      <c r="W2330" s="135">
        <f>'National average solar data'!S$36</f>
        <v>0.3508</v>
      </c>
      <c r="X2330" s="135">
        <f>'National average solar data'!T$36</f>
        <v>3.5299999999999998E-2</v>
      </c>
      <c r="Y2330" s="135">
        <f>'National average solar data'!U$36</f>
        <v>0</v>
      </c>
      <c r="Z2330" s="135">
        <f>'National average solar data'!V$36</f>
        <v>0</v>
      </c>
      <c r="AA2330" s="135">
        <f>'National average solar data'!W$36</f>
        <v>0</v>
      </c>
      <c r="AB2330" s="135">
        <f>'National average solar data'!X$36</f>
        <v>0</v>
      </c>
      <c r="AC2330" s="135">
        <f>'National average solar data'!Y$36</f>
        <v>0</v>
      </c>
      <c r="AD2330" s="135">
        <f>'National average solar data'!Z$36</f>
        <v>0</v>
      </c>
    </row>
    <row r="2331" spans="1:30" ht="12.6">
      <c r="A2331" s="10" t="s">
        <v>131</v>
      </c>
      <c r="B2331" s="10">
        <v>140</v>
      </c>
      <c r="C2331" s="10" t="s">
        <v>1513</v>
      </c>
      <c r="D2331" s="388">
        <v>45066</v>
      </c>
      <c r="E2331" s="389">
        <v>45066</v>
      </c>
      <c r="G2331" s="135">
        <f>'National average solar data'!C$36</f>
        <v>0</v>
      </c>
      <c r="H2331" s="135">
        <f>'National average solar data'!D$36</f>
        <v>0</v>
      </c>
      <c r="I2331" s="135">
        <f>'National average solar data'!E$36</f>
        <v>0</v>
      </c>
      <c r="J2331" s="135">
        <f>'National average solar data'!F$36</f>
        <v>0</v>
      </c>
      <c r="K2331" s="135">
        <f>'National average solar data'!G$36</f>
        <v>0</v>
      </c>
      <c r="L2331" s="135">
        <f>'National average solar data'!H$36</f>
        <v>0</v>
      </c>
      <c r="M2331" s="135">
        <f>'National average solar data'!I$36</f>
        <v>0</v>
      </c>
      <c r="N2331" s="135">
        <f>'National average solar data'!J$36</f>
        <v>0.17460000000000001</v>
      </c>
      <c r="O2331" s="135">
        <f>'National average solar data'!K$36</f>
        <v>0.59109999999999996</v>
      </c>
      <c r="P2331" s="135">
        <f>'National average solar data'!L$36</f>
        <v>0.71050000000000002</v>
      </c>
      <c r="Q2331" s="135">
        <f>'National average solar data'!M$36</f>
        <v>0.75029999999999997</v>
      </c>
      <c r="R2331" s="135">
        <f>'National average solar data'!N$36</f>
        <v>0.74150000000000005</v>
      </c>
      <c r="S2331" s="135">
        <f>'National average solar data'!O$36</f>
        <v>0.72260000000000002</v>
      </c>
      <c r="T2331" s="135">
        <f>'National average solar data'!P$36</f>
        <v>0.71109999999999995</v>
      </c>
      <c r="U2331" s="135">
        <f>'National average solar data'!Q$36</f>
        <v>0.69579999999999997</v>
      </c>
      <c r="V2331" s="135">
        <f>'National average solar data'!R$36</f>
        <v>0.58679999999999999</v>
      </c>
      <c r="W2331" s="135">
        <f>'National average solar data'!S$36</f>
        <v>0.3508</v>
      </c>
      <c r="X2331" s="135">
        <f>'National average solar data'!T$36</f>
        <v>3.5299999999999998E-2</v>
      </c>
      <c r="Y2331" s="135">
        <f>'National average solar data'!U$36</f>
        <v>0</v>
      </c>
      <c r="Z2331" s="135">
        <f>'National average solar data'!V$36</f>
        <v>0</v>
      </c>
      <c r="AA2331" s="135">
        <f>'National average solar data'!W$36</f>
        <v>0</v>
      </c>
      <c r="AB2331" s="135">
        <f>'National average solar data'!X$36</f>
        <v>0</v>
      </c>
      <c r="AC2331" s="135">
        <f>'National average solar data'!Y$36</f>
        <v>0</v>
      </c>
      <c r="AD2331" s="135">
        <f>'National average solar data'!Z$36</f>
        <v>0</v>
      </c>
    </row>
    <row r="2332" spans="1:30" ht="12.6">
      <c r="A2332" s="10" t="s">
        <v>131</v>
      </c>
      <c r="B2332" s="10">
        <v>141</v>
      </c>
      <c r="C2332" s="10" t="s">
        <v>1513</v>
      </c>
      <c r="D2332" s="388">
        <v>45067</v>
      </c>
      <c r="E2332" s="389">
        <v>45067</v>
      </c>
      <c r="G2332" s="135">
        <f>'National average solar data'!C$36</f>
        <v>0</v>
      </c>
      <c r="H2332" s="135">
        <f>'National average solar data'!D$36</f>
        <v>0</v>
      </c>
      <c r="I2332" s="135">
        <f>'National average solar data'!E$36</f>
        <v>0</v>
      </c>
      <c r="J2332" s="135">
        <f>'National average solar data'!F$36</f>
        <v>0</v>
      </c>
      <c r="K2332" s="135">
        <f>'National average solar data'!G$36</f>
        <v>0</v>
      </c>
      <c r="L2332" s="135">
        <f>'National average solar data'!H$36</f>
        <v>0</v>
      </c>
      <c r="M2332" s="135">
        <f>'National average solar data'!I$36</f>
        <v>0</v>
      </c>
      <c r="N2332" s="135">
        <f>'National average solar data'!J$36</f>
        <v>0.17460000000000001</v>
      </c>
      <c r="O2332" s="135">
        <f>'National average solar data'!K$36</f>
        <v>0.59109999999999996</v>
      </c>
      <c r="P2332" s="135">
        <f>'National average solar data'!L$36</f>
        <v>0.71050000000000002</v>
      </c>
      <c r="Q2332" s="135">
        <f>'National average solar data'!M$36</f>
        <v>0.75029999999999997</v>
      </c>
      <c r="R2332" s="135">
        <f>'National average solar data'!N$36</f>
        <v>0.74150000000000005</v>
      </c>
      <c r="S2332" s="135">
        <f>'National average solar data'!O$36</f>
        <v>0.72260000000000002</v>
      </c>
      <c r="T2332" s="135">
        <f>'National average solar data'!P$36</f>
        <v>0.71109999999999995</v>
      </c>
      <c r="U2332" s="135">
        <f>'National average solar data'!Q$36</f>
        <v>0.69579999999999997</v>
      </c>
      <c r="V2332" s="135">
        <f>'National average solar data'!R$36</f>
        <v>0.58679999999999999</v>
      </c>
      <c r="W2332" s="135">
        <f>'National average solar data'!S$36</f>
        <v>0.3508</v>
      </c>
      <c r="X2332" s="135">
        <f>'National average solar data'!T$36</f>
        <v>3.5299999999999998E-2</v>
      </c>
      <c r="Y2332" s="135">
        <f>'National average solar data'!U$36</f>
        <v>0</v>
      </c>
      <c r="Z2332" s="135">
        <f>'National average solar data'!V$36</f>
        <v>0</v>
      </c>
      <c r="AA2332" s="135">
        <f>'National average solar data'!W$36</f>
        <v>0</v>
      </c>
      <c r="AB2332" s="135">
        <f>'National average solar data'!X$36</f>
        <v>0</v>
      </c>
      <c r="AC2332" s="135">
        <f>'National average solar data'!Y$36</f>
        <v>0</v>
      </c>
      <c r="AD2332" s="135">
        <f>'National average solar data'!Z$36</f>
        <v>0</v>
      </c>
    </row>
    <row r="2333" spans="1:30" ht="12.6">
      <c r="A2333" s="10" t="s">
        <v>131</v>
      </c>
      <c r="B2333" s="10">
        <v>142</v>
      </c>
      <c r="C2333" s="10" t="s">
        <v>1513</v>
      </c>
      <c r="D2333" s="388">
        <v>45068</v>
      </c>
      <c r="E2333" s="389">
        <v>45068</v>
      </c>
      <c r="G2333" s="135">
        <f>'National average solar data'!C$36</f>
        <v>0</v>
      </c>
      <c r="H2333" s="135">
        <f>'National average solar data'!D$36</f>
        <v>0</v>
      </c>
      <c r="I2333" s="135">
        <f>'National average solar data'!E$36</f>
        <v>0</v>
      </c>
      <c r="J2333" s="135">
        <f>'National average solar data'!F$36</f>
        <v>0</v>
      </c>
      <c r="K2333" s="135">
        <f>'National average solar data'!G$36</f>
        <v>0</v>
      </c>
      <c r="L2333" s="135">
        <f>'National average solar data'!H$36</f>
        <v>0</v>
      </c>
      <c r="M2333" s="135">
        <f>'National average solar data'!I$36</f>
        <v>0</v>
      </c>
      <c r="N2333" s="135">
        <f>'National average solar data'!J$36</f>
        <v>0.17460000000000001</v>
      </c>
      <c r="O2333" s="135">
        <f>'National average solar data'!K$36</f>
        <v>0.59109999999999996</v>
      </c>
      <c r="P2333" s="135">
        <f>'National average solar data'!L$36</f>
        <v>0.71050000000000002</v>
      </c>
      <c r="Q2333" s="135">
        <f>'National average solar data'!M$36</f>
        <v>0.75029999999999997</v>
      </c>
      <c r="R2333" s="135">
        <f>'National average solar data'!N$36</f>
        <v>0.74150000000000005</v>
      </c>
      <c r="S2333" s="135">
        <f>'National average solar data'!O$36</f>
        <v>0.72260000000000002</v>
      </c>
      <c r="T2333" s="135">
        <f>'National average solar data'!P$36</f>
        <v>0.71109999999999995</v>
      </c>
      <c r="U2333" s="135">
        <f>'National average solar data'!Q$36</f>
        <v>0.69579999999999997</v>
      </c>
      <c r="V2333" s="135">
        <f>'National average solar data'!R$36</f>
        <v>0.58679999999999999</v>
      </c>
      <c r="W2333" s="135">
        <f>'National average solar data'!S$36</f>
        <v>0.3508</v>
      </c>
      <c r="X2333" s="135">
        <f>'National average solar data'!T$36</f>
        <v>3.5299999999999998E-2</v>
      </c>
      <c r="Y2333" s="135">
        <f>'National average solar data'!U$36</f>
        <v>0</v>
      </c>
      <c r="Z2333" s="135">
        <f>'National average solar data'!V$36</f>
        <v>0</v>
      </c>
      <c r="AA2333" s="135">
        <f>'National average solar data'!W$36</f>
        <v>0</v>
      </c>
      <c r="AB2333" s="135">
        <f>'National average solar data'!X$36</f>
        <v>0</v>
      </c>
      <c r="AC2333" s="135">
        <f>'National average solar data'!Y$36</f>
        <v>0</v>
      </c>
      <c r="AD2333" s="135">
        <f>'National average solar data'!Z$36</f>
        <v>0</v>
      </c>
    </row>
    <row r="2334" spans="1:30" ht="12.6">
      <c r="A2334" s="10" t="s">
        <v>131</v>
      </c>
      <c r="B2334" s="10">
        <v>143</v>
      </c>
      <c r="C2334" s="10" t="s">
        <v>1513</v>
      </c>
      <c r="D2334" s="388">
        <v>45069</v>
      </c>
      <c r="E2334" s="389">
        <v>45069</v>
      </c>
      <c r="G2334" s="135">
        <f>'National average solar data'!C$36</f>
        <v>0</v>
      </c>
      <c r="H2334" s="135">
        <f>'National average solar data'!D$36</f>
        <v>0</v>
      </c>
      <c r="I2334" s="135">
        <f>'National average solar data'!E$36</f>
        <v>0</v>
      </c>
      <c r="J2334" s="135">
        <f>'National average solar data'!F$36</f>
        <v>0</v>
      </c>
      <c r="K2334" s="135">
        <f>'National average solar data'!G$36</f>
        <v>0</v>
      </c>
      <c r="L2334" s="135">
        <f>'National average solar data'!H$36</f>
        <v>0</v>
      </c>
      <c r="M2334" s="135">
        <f>'National average solar data'!I$36</f>
        <v>0</v>
      </c>
      <c r="N2334" s="135">
        <f>'National average solar data'!J$36</f>
        <v>0.17460000000000001</v>
      </c>
      <c r="O2334" s="135">
        <f>'National average solar data'!K$36</f>
        <v>0.59109999999999996</v>
      </c>
      <c r="P2334" s="135">
        <f>'National average solar data'!L$36</f>
        <v>0.71050000000000002</v>
      </c>
      <c r="Q2334" s="135">
        <f>'National average solar data'!M$36</f>
        <v>0.75029999999999997</v>
      </c>
      <c r="R2334" s="135">
        <f>'National average solar data'!N$36</f>
        <v>0.74150000000000005</v>
      </c>
      <c r="S2334" s="135">
        <f>'National average solar data'!O$36</f>
        <v>0.72260000000000002</v>
      </c>
      <c r="T2334" s="135">
        <f>'National average solar data'!P$36</f>
        <v>0.71109999999999995</v>
      </c>
      <c r="U2334" s="135">
        <f>'National average solar data'!Q$36</f>
        <v>0.69579999999999997</v>
      </c>
      <c r="V2334" s="135">
        <f>'National average solar data'!R$36</f>
        <v>0.58679999999999999</v>
      </c>
      <c r="W2334" s="135">
        <f>'National average solar data'!S$36</f>
        <v>0.3508</v>
      </c>
      <c r="X2334" s="135">
        <f>'National average solar data'!T$36</f>
        <v>3.5299999999999998E-2</v>
      </c>
      <c r="Y2334" s="135">
        <f>'National average solar data'!U$36</f>
        <v>0</v>
      </c>
      <c r="Z2334" s="135">
        <f>'National average solar data'!V$36</f>
        <v>0</v>
      </c>
      <c r="AA2334" s="135">
        <f>'National average solar data'!W$36</f>
        <v>0</v>
      </c>
      <c r="AB2334" s="135">
        <f>'National average solar data'!X$36</f>
        <v>0</v>
      </c>
      <c r="AC2334" s="135">
        <f>'National average solar data'!Y$36</f>
        <v>0</v>
      </c>
      <c r="AD2334" s="135">
        <f>'National average solar data'!Z$36</f>
        <v>0</v>
      </c>
    </row>
    <row r="2335" spans="1:30" ht="12.6">
      <c r="A2335" s="10" t="s">
        <v>131</v>
      </c>
      <c r="B2335" s="10">
        <v>144</v>
      </c>
      <c r="C2335" s="10" t="s">
        <v>1513</v>
      </c>
      <c r="D2335" s="388">
        <v>45070</v>
      </c>
      <c r="E2335" s="389">
        <v>45070</v>
      </c>
      <c r="G2335" s="135">
        <f>'National average solar data'!C$36</f>
        <v>0</v>
      </c>
      <c r="H2335" s="135">
        <f>'National average solar data'!D$36</f>
        <v>0</v>
      </c>
      <c r="I2335" s="135">
        <f>'National average solar data'!E$36</f>
        <v>0</v>
      </c>
      <c r="J2335" s="135">
        <f>'National average solar data'!F$36</f>
        <v>0</v>
      </c>
      <c r="K2335" s="135">
        <f>'National average solar data'!G$36</f>
        <v>0</v>
      </c>
      <c r="L2335" s="135">
        <f>'National average solar data'!H$36</f>
        <v>0</v>
      </c>
      <c r="M2335" s="135">
        <f>'National average solar data'!I$36</f>
        <v>0</v>
      </c>
      <c r="N2335" s="135">
        <f>'National average solar data'!J$36</f>
        <v>0.17460000000000001</v>
      </c>
      <c r="O2335" s="135">
        <f>'National average solar data'!K$36</f>
        <v>0.59109999999999996</v>
      </c>
      <c r="P2335" s="135">
        <f>'National average solar data'!L$36</f>
        <v>0.71050000000000002</v>
      </c>
      <c r="Q2335" s="135">
        <f>'National average solar data'!M$36</f>
        <v>0.75029999999999997</v>
      </c>
      <c r="R2335" s="135">
        <f>'National average solar data'!N$36</f>
        <v>0.74150000000000005</v>
      </c>
      <c r="S2335" s="135">
        <f>'National average solar data'!O$36</f>
        <v>0.72260000000000002</v>
      </c>
      <c r="T2335" s="135">
        <f>'National average solar data'!P$36</f>
        <v>0.71109999999999995</v>
      </c>
      <c r="U2335" s="135">
        <f>'National average solar data'!Q$36</f>
        <v>0.69579999999999997</v>
      </c>
      <c r="V2335" s="135">
        <f>'National average solar data'!R$36</f>
        <v>0.58679999999999999</v>
      </c>
      <c r="W2335" s="135">
        <f>'National average solar data'!S$36</f>
        <v>0.3508</v>
      </c>
      <c r="X2335" s="135">
        <f>'National average solar data'!T$36</f>
        <v>3.5299999999999998E-2</v>
      </c>
      <c r="Y2335" s="135">
        <f>'National average solar data'!U$36</f>
        <v>0</v>
      </c>
      <c r="Z2335" s="135">
        <f>'National average solar data'!V$36</f>
        <v>0</v>
      </c>
      <c r="AA2335" s="135">
        <f>'National average solar data'!W$36</f>
        <v>0</v>
      </c>
      <c r="AB2335" s="135">
        <f>'National average solar data'!X$36</f>
        <v>0</v>
      </c>
      <c r="AC2335" s="135">
        <f>'National average solar data'!Y$36</f>
        <v>0</v>
      </c>
      <c r="AD2335" s="135">
        <f>'National average solar data'!Z$36</f>
        <v>0</v>
      </c>
    </row>
    <row r="2336" spans="1:30" ht="12.6">
      <c r="A2336" s="10" t="s">
        <v>131</v>
      </c>
      <c r="B2336" s="10">
        <v>145</v>
      </c>
      <c r="C2336" s="10" t="s">
        <v>1513</v>
      </c>
      <c r="D2336" s="388">
        <v>45071</v>
      </c>
      <c r="E2336" s="389">
        <v>45071</v>
      </c>
      <c r="G2336" s="135">
        <f>'National average solar data'!C$36</f>
        <v>0</v>
      </c>
      <c r="H2336" s="135">
        <f>'National average solar data'!D$36</f>
        <v>0</v>
      </c>
      <c r="I2336" s="135">
        <f>'National average solar data'!E$36</f>
        <v>0</v>
      </c>
      <c r="J2336" s="135">
        <f>'National average solar data'!F$36</f>
        <v>0</v>
      </c>
      <c r="K2336" s="135">
        <f>'National average solar data'!G$36</f>
        <v>0</v>
      </c>
      <c r="L2336" s="135">
        <f>'National average solar data'!H$36</f>
        <v>0</v>
      </c>
      <c r="M2336" s="135">
        <f>'National average solar data'!I$36</f>
        <v>0</v>
      </c>
      <c r="N2336" s="135">
        <f>'National average solar data'!J$36</f>
        <v>0.17460000000000001</v>
      </c>
      <c r="O2336" s="135">
        <f>'National average solar data'!K$36</f>
        <v>0.59109999999999996</v>
      </c>
      <c r="P2336" s="135">
        <f>'National average solar data'!L$36</f>
        <v>0.71050000000000002</v>
      </c>
      <c r="Q2336" s="135">
        <f>'National average solar data'!M$36</f>
        <v>0.75029999999999997</v>
      </c>
      <c r="R2336" s="135">
        <f>'National average solar data'!N$36</f>
        <v>0.74150000000000005</v>
      </c>
      <c r="S2336" s="135">
        <f>'National average solar data'!O$36</f>
        <v>0.72260000000000002</v>
      </c>
      <c r="T2336" s="135">
        <f>'National average solar data'!P$36</f>
        <v>0.71109999999999995</v>
      </c>
      <c r="U2336" s="135">
        <f>'National average solar data'!Q$36</f>
        <v>0.69579999999999997</v>
      </c>
      <c r="V2336" s="135">
        <f>'National average solar data'!R$36</f>
        <v>0.58679999999999999</v>
      </c>
      <c r="W2336" s="135">
        <f>'National average solar data'!S$36</f>
        <v>0.3508</v>
      </c>
      <c r="X2336" s="135">
        <f>'National average solar data'!T$36</f>
        <v>3.5299999999999998E-2</v>
      </c>
      <c r="Y2336" s="135">
        <f>'National average solar data'!U$36</f>
        <v>0</v>
      </c>
      <c r="Z2336" s="135">
        <f>'National average solar data'!V$36</f>
        <v>0</v>
      </c>
      <c r="AA2336" s="135">
        <f>'National average solar data'!W$36</f>
        <v>0</v>
      </c>
      <c r="AB2336" s="135">
        <f>'National average solar data'!X$36</f>
        <v>0</v>
      </c>
      <c r="AC2336" s="135">
        <f>'National average solar data'!Y$36</f>
        <v>0</v>
      </c>
      <c r="AD2336" s="135">
        <f>'National average solar data'!Z$36</f>
        <v>0</v>
      </c>
    </row>
    <row r="2337" spans="1:30" ht="12.6">
      <c r="A2337" s="10" t="s">
        <v>131</v>
      </c>
      <c r="B2337" s="10">
        <v>146</v>
      </c>
      <c r="C2337" s="10" t="s">
        <v>1513</v>
      </c>
      <c r="D2337" s="388">
        <v>45072</v>
      </c>
      <c r="E2337" s="389">
        <v>45072</v>
      </c>
      <c r="G2337" s="135">
        <f>'National average solar data'!C$36</f>
        <v>0</v>
      </c>
      <c r="H2337" s="135">
        <f>'National average solar data'!D$36</f>
        <v>0</v>
      </c>
      <c r="I2337" s="135">
        <f>'National average solar data'!E$36</f>
        <v>0</v>
      </c>
      <c r="J2337" s="135">
        <f>'National average solar data'!F$36</f>
        <v>0</v>
      </c>
      <c r="K2337" s="135">
        <f>'National average solar data'!G$36</f>
        <v>0</v>
      </c>
      <c r="L2337" s="135">
        <f>'National average solar data'!H$36</f>
        <v>0</v>
      </c>
      <c r="M2337" s="135">
        <f>'National average solar data'!I$36</f>
        <v>0</v>
      </c>
      <c r="N2337" s="135">
        <f>'National average solar data'!J$36</f>
        <v>0.17460000000000001</v>
      </c>
      <c r="O2337" s="135">
        <f>'National average solar data'!K$36</f>
        <v>0.59109999999999996</v>
      </c>
      <c r="P2337" s="135">
        <f>'National average solar data'!L$36</f>
        <v>0.71050000000000002</v>
      </c>
      <c r="Q2337" s="135">
        <f>'National average solar data'!M$36</f>
        <v>0.75029999999999997</v>
      </c>
      <c r="R2337" s="135">
        <f>'National average solar data'!N$36</f>
        <v>0.74150000000000005</v>
      </c>
      <c r="S2337" s="135">
        <f>'National average solar data'!O$36</f>
        <v>0.72260000000000002</v>
      </c>
      <c r="T2337" s="135">
        <f>'National average solar data'!P$36</f>
        <v>0.71109999999999995</v>
      </c>
      <c r="U2337" s="135">
        <f>'National average solar data'!Q$36</f>
        <v>0.69579999999999997</v>
      </c>
      <c r="V2337" s="135">
        <f>'National average solar data'!R$36</f>
        <v>0.58679999999999999</v>
      </c>
      <c r="W2337" s="135">
        <f>'National average solar data'!S$36</f>
        <v>0.3508</v>
      </c>
      <c r="X2337" s="135">
        <f>'National average solar data'!T$36</f>
        <v>3.5299999999999998E-2</v>
      </c>
      <c r="Y2337" s="135">
        <f>'National average solar data'!U$36</f>
        <v>0</v>
      </c>
      <c r="Z2337" s="135">
        <f>'National average solar data'!V$36</f>
        <v>0</v>
      </c>
      <c r="AA2337" s="135">
        <f>'National average solar data'!W$36</f>
        <v>0</v>
      </c>
      <c r="AB2337" s="135">
        <f>'National average solar data'!X$36</f>
        <v>0</v>
      </c>
      <c r="AC2337" s="135">
        <f>'National average solar data'!Y$36</f>
        <v>0</v>
      </c>
      <c r="AD2337" s="135">
        <f>'National average solar data'!Z$36</f>
        <v>0</v>
      </c>
    </row>
    <row r="2338" spans="1:30" ht="12.6">
      <c r="A2338" s="10" t="s">
        <v>131</v>
      </c>
      <c r="B2338" s="10">
        <v>147</v>
      </c>
      <c r="C2338" s="10" t="s">
        <v>1513</v>
      </c>
      <c r="D2338" s="388">
        <v>45073</v>
      </c>
      <c r="E2338" s="389">
        <v>45073</v>
      </c>
      <c r="G2338" s="135">
        <f>'National average solar data'!C$36</f>
        <v>0</v>
      </c>
      <c r="H2338" s="135">
        <f>'National average solar data'!D$36</f>
        <v>0</v>
      </c>
      <c r="I2338" s="135">
        <f>'National average solar data'!E$36</f>
        <v>0</v>
      </c>
      <c r="J2338" s="135">
        <f>'National average solar data'!F$36</f>
        <v>0</v>
      </c>
      <c r="K2338" s="135">
        <f>'National average solar data'!G$36</f>
        <v>0</v>
      </c>
      <c r="L2338" s="135">
        <f>'National average solar data'!H$36</f>
        <v>0</v>
      </c>
      <c r="M2338" s="135">
        <f>'National average solar data'!I$36</f>
        <v>0</v>
      </c>
      <c r="N2338" s="135">
        <f>'National average solar data'!J$36</f>
        <v>0.17460000000000001</v>
      </c>
      <c r="O2338" s="135">
        <f>'National average solar data'!K$36</f>
        <v>0.59109999999999996</v>
      </c>
      <c r="P2338" s="135">
        <f>'National average solar data'!L$36</f>
        <v>0.71050000000000002</v>
      </c>
      <c r="Q2338" s="135">
        <f>'National average solar data'!M$36</f>
        <v>0.75029999999999997</v>
      </c>
      <c r="R2338" s="135">
        <f>'National average solar data'!N$36</f>
        <v>0.74150000000000005</v>
      </c>
      <c r="S2338" s="135">
        <f>'National average solar data'!O$36</f>
        <v>0.72260000000000002</v>
      </c>
      <c r="T2338" s="135">
        <f>'National average solar data'!P$36</f>
        <v>0.71109999999999995</v>
      </c>
      <c r="U2338" s="135">
        <f>'National average solar data'!Q$36</f>
        <v>0.69579999999999997</v>
      </c>
      <c r="V2338" s="135">
        <f>'National average solar data'!R$36</f>
        <v>0.58679999999999999</v>
      </c>
      <c r="W2338" s="135">
        <f>'National average solar data'!S$36</f>
        <v>0.3508</v>
      </c>
      <c r="X2338" s="135">
        <f>'National average solar data'!T$36</f>
        <v>3.5299999999999998E-2</v>
      </c>
      <c r="Y2338" s="135">
        <f>'National average solar data'!U$36</f>
        <v>0</v>
      </c>
      <c r="Z2338" s="135">
        <f>'National average solar data'!V$36</f>
        <v>0</v>
      </c>
      <c r="AA2338" s="135">
        <f>'National average solar data'!W$36</f>
        <v>0</v>
      </c>
      <c r="AB2338" s="135">
        <f>'National average solar data'!X$36</f>
        <v>0</v>
      </c>
      <c r="AC2338" s="135">
        <f>'National average solar data'!Y$36</f>
        <v>0</v>
      </c>
      <c r="AD2338" s="135">
        <f>'National average solar data'!Z$36</f>
        <v>0</v>
      </c>
    </row>
    <row r="2339" spans="1:30" ht="12.6">
      <c r="A2339" s="10" t="s">
        <v>131</v>
      </c>
      <c r="B2339" s="10">
        <v>148</v>
      </c>
      <c r="C2339" s="10" t="s">
        <v>1513</v>
      </c>
      <c r="D2339" s="388">
        <v>45074</v>
      </c>
      <c r="E2339" s="389">
        <v>45074</v>
      </c>
      <c r="G2339" s="135">
        <f>'National average solar data'!C$36</f>
        <v>0</v>
      </c>
      <c r="H2339" s="135">
        <f>'National average solar data'!D$36</f>
        <v>0</v>
      </c>
      <c r="I2339" s="135">
        <f>'National average solar data'!E$36</f>
        <v>0</v>
      </c>
      <c r="J2339" s="135">
        <f>'National average solar data'!F$36</f>
        <v>0</v>
      </c>
      <c r="K2339" s="135">
        <f>'National average solar data'!G$36</f>
        <v>0</v>
      </c>
      <c r="L2339" s="135">
        <f>'National average solar data'!H$36</f>
        <v>0</v>
      </c>
      <c r="M2339" s="135">
        <f>'National average solar data'!I$36</f>
        <v>0</v>
      </c>
      <c r="N2339" s="135">
        <f>'National average solar data'!J$36</f>
        <v>0.17460000000000001</v>
      </c>
      <c r="O2339" s="135">
        <f>'National average solar data'!K$36</f>
        <v>0.59109999999999996</v>
      </c>
      <c r="P2339" s="135">
        <f>'National average solar data'!L$36</f>
        <v>0.71050000000000002</v>
      </c>
      <c r="Q2339" s="135">
        <f>'National average solar data'!M$36</f>
        <v>0.75029999999999997</v>
      </c>
      <c r="R2339" s="135">
        <f>'National average solar data'!N$36</f>
        <v>0.74150000000000005</v>
      </c>
      <c r="S2339" s="135">
        <f>'National average solar data'!O$36</f>
        <v>0.72260000000000002</v>
      </c>
      <c r="T2339" s="135">
        <f>'National average solar data'!P$36</f>
        <v>0.71109999999999995</v>
      </c>
      <c r="U2339" s="135">
        <f>'National average solar data'!Q$36</f>
        <v>0.69579999999999997</v>
      </c>
      <c r="V2339" s="135">
        <f>'National average solar data'!R$36</f>
        <v>0.58679999999999999</v>
      </c>
      <c r="W2339" s="135">
        <f>'National average solar data'!S$36</f>
        <v>0.3508</v>
      </c>
      <c r="X2339" s="135">
        <f>'National average solar data'!T$36</f>
        <v>3.5299999999999998E-2</v>
      </c>
      <c r="Y2339" s="135">
        <f>'National average solar data'!U$36</f>
        <v>0</v>
      </c>
      <c r="Z2339" s="135">
        <f>'National average solar data'!V$36</f>
        <v>0</v>
      </c>
      <c r="AA2339" s="135">
        <f>'National average solar data'!W$36</f>
        <v>0</v>
      </c>
      <c r="AB2339" s="135">
        <f>'National average solar data'!X$36</f>
        <v>0</v>
      </c>
      <c r="AC2339" s="135">
        <f>'National average solar data'!Y$36</f>
        <v>0</v>
      </c>
      <c r="AD2339" s="135">
        <f>'National average solar data'!Z$36</f>
        <v>0</v>
      </c>
    </row>
    <row r="2340" spans="1:30" ht="12.6">
      <c r="A2340" s="10" t="s">
        <v>131</v>
      </c>
      <c r="B2340" s="10">
        <v>149</v>
      </c>
      <c r="C2340" s="10" t="s">
        <v>1513</v>
      </c>
      <c r="D2340" s="388">
        <v>45075</v>
      </c>
      <c r="E2340" s="389">
        <v>45075</v>
      </c>
      <c r="G2340" s="135">
        <f>'National average solar data'!C$36</f>
        <v>0</v>
      </c>
      <c r="H2340" s="135">
        <f>'National average solar data'!D$36</f>
        <v>0</v>
      </c>
      <c r="I2340" s="135">
        <f>'National average solar data'!E$36</f>
        <v>0</v>
      </c>
      <c r="J2340" s="135">
        <f>'National average solar data'!F$36</f>
        <v>0</v>
      </c>
      <c r="K2340" s="135">
        <f>'National average solar data'!G$36</f>
        <v>0</v>
      </c>
      <c r="L2340" s="135">
        <f>'National average solar data'!H$36</f>
        <v>0</v>
      </c>
      <c r="M2340" s="135">
        <f>'National average solar data'!I$36</f>
        <v>0</v>
      </c>
      <c r="N2340" s="135">
        <f>'National average solar data'!J$36</f>
        <v>0.17460000000000001</v>
      </c>
      <c r="O2340" s="135">
        <f>'National average solar data'!K$36</f>
        <v>0.59109999999999996</v>
      </c>
      <c r="P2340" s="135">
        <f>'National average solar data'!L$36</f>
        <v>0.71050000000000002</v>
      </c>
      <c r="Q2340" s="135">
        <f>'National average solar data'!M$36</f>
        <v>0.75029999999999997</v>
      </c>
      <c r="R2340" s="135">
        <f>'National average solar data'!N$36</f>
        <v>0.74150000000000005</v>
      </c>
      <c r="S2340" s="135">
        <f>'National average solar data'!O$36</f>
        <v>0.72260000000000002</v>
      </c>
      <c r="T2340" s="135">
        <f>'National average solar data'!P$36</f>
        <v>0.71109999999999995</v>
      </c>
      <c r="U2340" s="135">
        <f>'National average solar data'!Q$36</f>
        <v>0.69579999999999997</v>
      </c>
      <c r="V2340" s="135">
        <f>'National average solar data'!R$36</f>
        <v>0.58679999999999999</v>
      </c>
      <c r="W2340" s="135">
        <f>'National average solar data'!S$36</f>
        <v>0.3508</v>
      </c>
      <c r="X2340" s="135">
        <f>'National average solar data'!T$36</f>
        <v>3.5299999999999998E-2</v>
      </c>
      <c r="Y2340" s="135">
        <f>'National average solar data'!U$36</f>
        <v>0</v>
      </c>
      <c r="Z2340" s="135">
        <f>'National average solar data'!V$36</f>
        <v>0</v>
      </c>
      <c r="AA2340" s="135">
        <f>'National average solar data'!W$36</f>
        <v>0</v>
      </c>
      <c r="AB2340" s="135">
        <f>'National average solar data'!X$36</f>
        <v>0</v>
      </c>
      <c r="AC2340" s="135">
        <f>'National average solar data'!Y$36</f>
        <v>0</v>
      </c>
      <c r="AD2340" s="135">
        <f>'National average solar data'!Z$36</f>
        <v>0</v>
      </c>
    </row>
    <row r="2341" spans="1:30" ht="12.6">
      <c r="A2341" s="10" t="s">
        <v>131</v>
      </c>
      <c r="B2341" s="10">
        <v>150</v>
      </c>
      <c r="C2341" s="10" t="s">
        <v>1513</v>
      </c>
      <c r="D2341" s="388">
        <v>45076</v>
      </c>
      <c r="E2341" s="389">
        <v>45076</v>
      </c>
      <c r="G2341" s="135">
        <f>'National average solar data'!C$36</f>
        <v>0</v>
      </c>
      <c r="H2341" s="135">
        <f>'National average solar data'!D$36</f>
        <v>0</v>
      </c>
      <c r="I2341" s="135">
        <f>'National average solar data'!E$36</f>
        <v>0</v>
      </c>
      <c r="J2341" s="135">
        <f>'National average solar data'!F$36</f>
        <v>0</v>
      </c>
      <c r="K2341" s="135">
        <f>'National average solar data'!G$36</f>
        <v>0</v>
      </c>
      <c r="L2341" s="135">
        <f>'National average solar data'!H$36</f>
        <v>0</v>
      </c>
      <c r="M2341" s="135">
        <f>'National average solar data'!I$36</f>
        <v>0</v>
      </c>
      <c r="N2341" s="135">
        <f>'National average solar data'!J$36</f>
        <v>0.17460000000000001</v>
      </c>
      <c r="O2341" s="135">
        <f>'National average solar data'!K$36</f>
        <v>0.59109999999999996</v>
      </c>
      <c r="P2341" s="135">
        <f>'National average solar data'!L$36</f>
        <v>0.71050000000000002</v>
      </c>
      <c r="Q2341" s="135">
        <f>'National average solar data'!M$36</f>
        <v>0.75029999999999997</v>
      </c>
      <c r="R2341" s="135">
        <f>'National average solar data'!N$36</f>
        <v>0.74150000000000005</v>
      </c>
      <c r="S2341" s="135">
        <f>'National average solar data'!O$36</f>
        <v>0.72260000000000002</v>
      </c>
      <c r="T2341" s="135">
        <f>'National average solar data'!P$36</f>
        <v>0.71109999999999995</v>
      </c>
      <c r="U2341" s="135">
        <f>'National average solar data'!Q$36</f>
        <v>0.69579999999999997</v>
      </c>
      <c r="V2341" s="135">
        <f>'National average solar data'!R$36</f>
        <v>0.58679999999999999</v>
      </c>
      <c r="W2341" s="135">
        <f>'National average solar data'!S$36</f>
        <v>0.3508</v>
      </c>
      <c r="X2341" s="135">
        <f>'National average solar data'!T$36</f>
        <v>3.5299999999999998E-2</v>
      </c>
      <c r="Y2341" s="135">
        <f>'National average solar data'!U$36</f>
        <v>0</v>
      </c>
      <c r="Z2341" s="135">
        <f>'National average solar data'!V$36</f>
        <v>0</v>
      </c>
      <c r="AA2341" s="135">
        <f>'National average solar data'!W$36</f>
        <v>0</v>
      </c>
      <c r="AB2341" s="135">
        <f>'National average solar data'!X$36</f>
        <v>0</v>
      </c>
      <c r="AC2341" s="135">
        <f>'National average solar data'!Y$36</f>
        <v>0</v>
      </c>
      <c r="AD2341" s="135">
        <f>'National average solar data'!Z$36</f>
        <v>0</v>
      </c>
    </row>
    <row r="2342" spans="1:30" ht="12.6">
      <c r="A2342" s="10" t="s">
        <v>131</v>
      </c>
      <c r="B2342" s="10">
        <v>151</v>
      </c>
      <c r="C2342" s="10" t="s">
        <v>1513</v>
      </c>
      <c r="D2342" s="388">
        <v>45077</v>
      </c>
      <c r="E2342" s="389">
        <v>45077</v>
      </c>
      <c r="G2342" s="135">
        <f>'National average solar data'!C$36</f>
        <v>0</v>
      </c>
      <c r="H2342" s="135">
        <f>'National average solar data'!D$36</f>
        <v>0</v>
      </c>
      <c r="I2342" s="135">
        <f>'National average solar data'!E$36</f>
        <v>0</v>
      </c>
      <c r="J2342" s="135">
        <f>'National average solar data'!F$36</f>
        <v>0</v>
      </c>
      <c r="K2342" s="135">
        <f>'National average solar data'!G$36</f>
        <v>0</v>
      </c>
      <c r="L2342" s="135">
        <f>'National average solar data'!H$36</f>
        <v>0</v>
      </c>
      <c r="M2342" s="135">
        <f>'National average solar data'!I$36</f>
        <v>0</v>
      </c>
      <c r="N2342" s="135">
        <f>'National average solar data'!J$36</f>
        <v>0.17460000000000001</v>
      </c>
      <c r="O2342" s="135">
        <f>'National average solar data'!K$36</f>
        <v>0.59109999999999996</v>
      </c>
      <c r="P2342" s="135">
        <f>'National average solar data'!L$36</f>
        <v>0.71050000000000002</v>
      </c>
      <c r="Q2342" s="135">
        <f>'National average solar data'!M$36</f>
        <v>0.75029999999999997</v>
      </c>
      <c r="R2342" s="135">
        <f>'National average solar data'!N$36</f>
        <v>0.74150000000000005</v>
      </c>
      <c r="S2342" s="135">
        <f>'National average solar data'!O$36</f>
        <v>0.72260000000000002</v>
      </c>
      <c r="T2342" s="135">
        <f>'National average solar data'!P$36</f>
        <v>0.71109999999999995</v>
      </c>
      <c r="U2342" s="135">
        <f>'National average solar data'!Q$36</f>
        <v>0.69579999999999997</v>
      </c>
      <c r="V2342" s="135">
        <f>'National average solar data'!R$36</f>
        <v>0.58679999999999999</v>
      </c>
      <c r="W2342" s="135">
        <f>'National average solar data'!S$36</f>
        <v>0.3508</v>
      </c>
      <c r="X2342" s="135">
        <f>'National average solar data'!T$36</f>
        <v>3.5299999999999998E-2</v>
      </c>
      <c r="Y2342" s="135">
        <f>'National average solar data'!U$36</f>
        <v>0</v>
      </c>
      <c r="Z2342" s="135">
        <f>'National average solar data'!V$36</f>
        <v>0</v>
      </c>
      <c r="AA2342" s="135">
        <f>'National average solar data'!W$36</f>
        <v>0</v>
      </c>
      <c r="AB2342" s="135">
        <f>'National average solar data'!X$36</f>
        <v>0</v>
      </c>
      <c r="AC2342" s="135">
        <f>'National average solar data'!Y$36</f>
        <v>0</v>
      </c>
      <c r="AD2342" s="135">
        <f>'National average solar data'!Z$36</f>
        <v>0</v>
      </c>
    </row>
    <row r="2343" spans="1:30" ht="12.6">
      <c r="A2343" s="10" t="s">
        <v>131</v>
      </c>
      <c r="B2343" s="10">
        <v>152</v>
      </c>
      <c r="C2343" s="10" t="s">
        <v>1514</v>
      </c>
      <c r="D2343" s="388">
        <v>45078</v>
      </c>
      <c r="E2343" s="389">
        <v>45078</v>
      </c>
      <c r="G2343" s="135">
        <f>'National average solar data'!C$37</f>
        <v>0</v>
      </c>
      <c r="H2343" s="135">
        <f>'National average solar data'!D$37</f>
        <v>0</v>
      </c>
      <c r="I2343" s="135">
        <f>'National average solar data'!E$37</f>
        <v>0</v>
      </c>
      <c r="J2343" s="135">
        <f>'National average solar data'!F$37</f>
        <v>0</v>
      </c>
      <c r="K2343" s="135">
        <f>'National average solar data'!G$37</f>
        <v>0</v>
      </c>
      <c r="L2343" s="135">
        <f>'National average solar data'!H$37</f>
        <v>0</v>
      </c>
      <c r="M2343" s="135">
        <f>'National average solar data'!I$37</f>
        <v>0</v>
      </c>
      <c r="N2343" s="135">
        <f>'National average solar data'!J$37</f>
        <v>2.46E-2</v>
      </c>
      <c r="O2343" s="135">
        <f>'National average solar data'!K$37</f>
        <v>0.3962</v>
      </c>
      <c r="P2343" s="135">
        <f>'National average solar data'!L$37</f>
        <v>0.57540000000000002</v>
      </c>
      <c r="Q2343" s="135">
        <f>'National average solar data'!M$37</f>
        <v>0.64370000000000005</v>
      </c>
      <c r="R2343" s="135">
        <f>'National average solar data'!N$37</f>
        <v>0.66410000000000002</v>
      </c>
      <c r="S2343" s="135">
        <f>'National average solar data'!O$37</f>
        <v>0.6522</v>
      </c>
      <c r="T2343" s="135">
        <f>'National average solar data'!P$37</f>
        <v>0.63029999999999997</v>
      </c>
      <c r="U2343" s="135">
        <f>'National average solar data'!Q$37</f>
        <v>0.60429999999999995</v>
      </c>
      <c r="V2343" s="135">
        <f>'National average solar data'!R$37</f>
        <v>0.502</v>
      </c>
      <c r="W2343" s="135">
        <f>'National average solar data'!S$37</f>
        <v>0.27050000000000002</v>
      </c>
      <c r="X2343" s="135">
        <f>'National average solar data'!T$37</f>
        <v>1.26E-2</v>
      </c>
      <c r="Y2343" s="135">
        <f>'National average solar data'!U$37</f>
        <v>0</v>
      </c>
      <c r="Z2343" s="135">
        <f>'National average solar data'!V$37</f>
        <v>0</v>
      </c>
      <c r="AA2343" s="135">
        <f>'National average solar data'!W$37</f>
        <v>0</v>
      </c>
      <c r="AB2343" s="135">
        <f>'National average solar data'!X$37</f>
        <v>0</v>
      </c>
      <c r="AC2343" s="135">
        <f>'National average solar data'!Y$37</f>
        <v>0</v>
      </c>
      <c r="AD2343" s="135">
        <f>'National average solar data'!Z$37</f>
        <v>0</v>
      </c>
    </row>
    <row r="2344" spans="1:30" ht="12.6">
      <c r="A2344" s="10" t="s">
        <v>131</v>
      </c>
      <c r="B2344" s="10">
        <v>153</v>
      </c>
      <c r="C2344" s="10" t="s">
        <v>1514</v>
      </c>
      <c r="D2344" s="388">
        <v>45079</v>
      </c>
      <c r="E2344" s="389">
        <v>45079</v>
      </c>
      <c r="G2344" s="135">
        <f>'National average solar data'!C$37</f>
        <v>0</v>
      </c>
      <c r="H2344" s="135">
        <f>'National average solar data'!D$37</f>
        <v>0</v>
      </c>
      <c r="I2344" s="135">
        <f>'National average solar data'!E$37</f>
        <v>0</v>
      </c>
      <c r="J2344" s="135">
        <f>'National average solar data'!F$37</f>
        <v>0</v>
      </c>
      <c r="K2344" s="135">
        <f>'National average solar data'!G$37</f>
        <v>0</v>
      </c>
      <c r="L2344" s="135">
        <f>'National average solar data'!H$37</f>
        <v>0</v>
      </c>
      <c r="M2344" s="135">
        <f>'National average solar data'!I$37</f>
        <v>0</v>
      </c>
      <c r="N2344" s="135">
        <f>'National average solar data'!J$37</f>
        <v>2.46E-2</v>
      </c>
      <c r="O2344" s="135">
        <f>'National average solar data'!K$37</f>
        <v>0.3962</v>
      </c>
      <c r="P2344" s="135">
        <f>'National average solar data'!L$37</f>
        <v>0.57540000000000002</v>
      </c>
      <c r="Q2344" s="135">
        <f>'National average solar data'!M$37</f>
        <v>0.64370000000000005</v>
      </c>
      <c r="R2344" s="135">
        <f>'National average solar data'!N$37</f>
        <v>0.66410000000000002</v>
      </c>
      <c r="S2344" s="135">
        <f>'National average solar data'!O$37</f>
        <v>0.6522</v>
      </c>
      <c r="T2344" s="135">
        <f>'National average solar data'!P$37</f>
        <v>0.63029999999999997</v>
      </c>
      <c r="U2344" s="135">
        <f>'National average solar data'!Q$37</f>
        <v>0.60429999999999995</v>
      </c>
      <c r="V2344" s="135">
        <f>'National average solar data'!R$37</f>
        <v>0.502</v>
      </c>
      <c r="W2344" s="135">
        <f>'National average solar data'!S$37</f>
        <v>0.27050000000000002</v>
      </c>
      <c r="X2344" s="135">
        <f>'National average solar data'!T$37</f>
        <v>1.26E-2</v>
      </c>
      <c r="Y2344" s="135">
        <f>'National average solar data'!U$37</f>
        <v>0</v>
      </c>
      <c r="Z2344" s="135">
        <f>'National average solar data'!V$37</f>
        <v>0</v>
      </c>
      <c r="AA2344" s="135">
        <f>'National average solar data'!W$37</f>
        <v>0</v>
      </c>
      <c r="AB2344" s="135">
        <f>'National average solar data'!X$37</f>
        <v>0</v>
      </c>
      <c r="AC2344" s="135">
        <f>'National average solar data'!Y$37</f>
        <v>0</v>
      </c>
      <c r="AD2344" s="135">
        <f>'National average solar data'!Z$37</f>
        <v>0</v>
      </c>
    </row>
    <row r="2345" spans="1:30" ht="12.6">
      <c r="A2345" s="10" t="s">
        <v>131</v>
      </c>
      <c r="B2345" s="10">
        <v>154</v>
      </c>
      <c r="C2345" s="10" t="s">
        <v>1514</v>
      </c>
      <c r="D2345" s="388">
        <v>45080</v>
      </c>
      <c r="E2345" s="389">
        <v>45080</v>
      </c>
      <c r="G2345" s="135">
        <f>'National average solar data'!C$37</f>
        <v>0</v>
      </c>
      <c r="H2345" s="135">
        <f>'National average solar data'!D$37</f>
        <v>0</v>
      </c>
      <c r="I2345" s="135">
        <f>'National average solar data'!E$37</f>
        <v>0</v>
      </c>
      <c r="J2345" s="135">
        <f>'National average solar data'!F$37</f>
        <v>0</v>
      </c>
      <c r="K2345" s="135">
        <f>'National average solar data'!G$37</f>
        <v>0</v>
      </c>
      <c r="L2345" s="135">
        <f>'National average solar data'!H$37</f>
        <v>0</v>
      </c>
      <c r="M2345" s="135">
        <f>'National average solar data'!I$37</f>
        <v>0</v>
      </c>
      <c r="N2345" s="135">
        <f>'National average solar data'!J$37</f>
        <v>2.46E-2</v>
      </c>
      <c r="O2345" s="135">
        <f>'National average solar data'!K$37</f>
        <v>0.3962</v>
      </c>
      <c r="P2345" s="135">
        <f>'National average solar data'!L$37</f>
        <v>0.57540000000000002</v>
      </c>
      <c r="Q2345" s="135">
        <f>'National average solar data'!M$37</f>
        <v>0.64370000000000005</v>
      </c>
      <c r="R2345" s="135">
        <f>'National average solar data'!N$37</f>
        <v>0.66410000000000002</v>
      </c>
      <c r="S2345" s="135">
        <f>'National average solar data'!O$37</f>
        <v>0.6522</v>
      </c>
      <c r="T2345" s="135">
        <f>'National average solar data'!P$37</f>
        <v>0.63029999999999997</v>
      </c>
      <c r="U2345" s="135">
        <f>'National average solar data'!Q$37</f>
        <v>0.60429999999999995</v>
      </c>
      <c r="V2345" s="135">
        <f>'National average solar data'!R$37</f>
        <v>0.502</v>
      </c>
      <c r="W2345" s="135">
        <f>'National average solar data'!S$37</f>
        <v>0.27050000000000002</v>
      </c>
      <c r="X2345" s="135">
        <f>'National average solar data'!T$37</f>
        <v>1.26E-2</v>
      </c>
      <c r="Y2345" s="135">
        <f>'National average solar data'!U$37</f>
        <v>0</v>
      </c>
      <c r="Z2345" s="135">
        <f>'National average solar data'!V$37</f>
        <v>0</v>
      </c>
      <c r="AA2345" s="135">
        <f>'National average solar data'!W$37</f>
        <v>0</v>
      </c>
      <c r="AB2345" s="135">
        <f>'National average solar data'!X$37</f>
        <v>0</v>
      </c>
      <c r="AC2345" s="135">
        <f>'National average solar data'!Y$37</f>
        <v>0</v>
      </c>
      <c r="AD2345" s="135">
        <f>'National average solar data'!Z$37</f>
        <v>0</v>
      </c>
    </row>
    <row r="2346" spans="1:30" ht="12.6">
      <c r="A2346" s="10" t="s">
        <v>131</v>
      </c>
      <c r="B2346" s="10">
        <v>155</v>
      </c>
      <c r="C2346" s="10" t="s">
        <v>1514</v>
      </c>
      <c r="D2346" s="388">
        <v>45081</v>
      </c>
      <c r="E2346" s="389">
        <v>45081</v>
      </c>
      <c r="G2346" s="135">
        <f>'National average solar data'!C$37</f>
        <v>0</v>
      </c>
      <c r="H2346" s="135">
        <f>'National average solar data'!D$37</f>
        <v>0</v>
      </c>
      <c r="I2346" s="135">
        <f>'National average solar data'!E$37</f>
        <v>0</v>
      </c>
      <c r="J2346" s="135">
        <f>'National average solar data'!F$37</f>
        <v>0</v>
      </c>
      <c r="K2346" s="135">
        <f>'National average solar data'!G$37</f>
        <v>0</v>
      </c>
      <c r="L2346" s="135">
        <f>'National average solar data'!H$37</f>
        <v>0</v>
      </c>
      <c r="M2346" s="135">
        <f>'National average solar data'!I$37</f>
        <v>0</v>
      </c>
      <c r="N2346" s="135">
        <f>'National average solar data'!J$37</f>
        <v>2.46E-2</v>
      </c>
      <c r="O2346" s="135">
        <f>'National average solar data'!K$37</f>
        <v>0.3962</v>
      </c>
      <c r="P2346" s="135">
        <f>'National average solar data'!L$37</f>
        <v>0.57540000000000002</v>
      </c>
      <c r="Q2346" s="135">
        <f>'National average solar data'!M$37</f>
        <v>0.64370000000000005</v>
      </c>
      <c r="R2346" s="135">
        <f>'National average solar data'!N$37</f>
        <v>0.66410000000000002</v>
      </c>
      <c r="S2346" s="135">
        <f>'National average solar data'!O$37</f>
        <v>0.6522</v>
      </c>
      <c r="T2346" s="135">
        <f>'National average solar data'!P$37</f>
        <v>0.63029999999999997</v>
      </c>
      <c r="U2346" s="135">
        <f>'National average solar data'!Q$37</f>
        <v>0.60429999999999995</v>
      </c>
      <c r="V2346" s="135">
        <f>'National average solar data'!R$37</f>
        <v>0.502</v>
      </c>
      <c r="W2346" s="135">
        <f>'National average solar data'!S$37</f>
        <v>0.27050000000000002</v>
      </c>
      <c r="X2346" s="135">
        <f>'National average solar data'!T$37</f>
        <v>1.26E-2</v>
      </c>
      <c r="Y2346" s="135">
        <f>'National average solar data'!U$37</f>
        <v>0</v>
      </c>
      <c r="Z2346" s="135">
        <f>'National average solar data'!V$37</f>
        <v>0</v>
      </c>
      <c r="AA2346" s="135">
        <f>'National average solar data'!W$37</f>
        <v>0</v>
      </c>
      <c r="AB2346" s="135">
        <f>'National average solar data'!X$37</f>
        <v>0</v>
      </c>
      <c r="AC2346" s="135">
        <f>'National average solar data'!Y$37</f>
        <v>0</v>
      </c>
      <c r="AD2346" s="135">
        <f>'National average solar data'!Z$37</f>
        <v>0</v>
      </c>
    </row>
    <row r="2347" spans="1:30" ht="12.6">
      <c r="A2347" s="10" t="s">
        <v>131</v>
      </c>
      <c r="B2347" s="10">
        <v>156</v>
      </c>
      <c r="C2347" s="10" t="s">
        <v>1514</v>
      </c>
      <c r="D2347" s="388">
        <v>45082</v>
      </c>
      <c r="E2347" s="389">
        <v>45082</v>
      </c>
      <c r="G2347" s="135">
        <f>'National average solar data'!C$37</f>
        <v>0</v>
      </c>
      <c r="H2347" s="135">
        <f>'National average solar data'!D$37</f>
        <v>0</v>
      </c>
      <c r="I2347" s="135">
        <f>'National average solar data'!E$37</f>
        <v>0</v>
      </c>
      <c r="J2347" s="135">
        <f>'National average solar data'!F$37</f>
        <v>0</v>
      </c>
      <c r="K2347" s="135">
        <f>'National average solar data'!G$37</f>
        <v>0</v>
      </c>
      <c r="L2347" s="135">
        <f>'National average solar data'!H$37</f>
        <v>0</v>
      </c>
      <c r="M2347" s="135">
        <f>'National average solar data'!I$37</f>
        <v>0</v>
      </c>
      <c r="N2347" s="135">
        <f>'National average solar data'!J$37</f>
        <v>2.46E-2</v>
      </c>
      <c r="O2347" s="135">
        <f>'National average solar data'!K$37</f>
        <v>0.3962</v>
      </c>
      <c r="P2347" s="135">
        <f>'National average solar data'!L$37</f>
        <v>0.57540000000000002</v>
      </c>
      <c r="Q2347" s="135">
        <f>'National average solar data'!M$37</f>
        <v>0.64370000000000005</v>
      </c>
      <c r="R2347" s="135">
        <f>'National average solar data'!N$37</f>
        <v>0.66410000000000002</v>
      </c>
      <c r="S2347" s="135">
        <f>'National average solar data'!O$37</f>
        <v>0.6522</v>
      </c>
      <c r="T2347" s="135">
        <f>'National average solar data'!P$37</f>
        <v>0.63029999999999997</v>
      </c>
      <c r="U2347" s="135">
        <f>'National average solar data'!Q$37</f>
        <v>0.60429999999999995</v>
      </c>
      <c r="V2347" s="135">
        <f>'National average solar data'!R$37</f>
        <v>0.502</v>
      </c>
      <c r="W2347" s="135">
        <f>'National average solar data'!S$37</f>
        <v>0.27050000000000002</v>
      </c>
      <c r="X2347" s="135">
        <f>'National average solar data'!T$37</f>
        <v>1.26E-2</v>
      </c>
      <c r="Y2347" s="135">
        <f>'National average solar data'!U$37</f>
        <v>0</v>
      </c>
      <c r="Z2347" s="135">
        <f>'National average solar data'!V$37</f>
        <v>0</v>
      </c>
      <c r="AA2347" s="135">
        <f>'National average solar data'!W$37</f>
        <v>0</v>
      </c>
      <c r="AB2347" s="135">
        <f>'National average solar data'!X$37</f>
        <v>0</v>
      </c>
      <c r="AC2347" s="135">
        <f>'National average solar data'!Y$37</f>
        <v>0</v>
      </c>
      <c r="AD2347" s="135">
        <f>'National average solar data'!Z$37</f>
        <v>0</v>
      </c>
    </row>
    <row r="2348" spans="1:30" ht="12.6">
      <c r="A2348" s="10" t="s">
        <v>131</v>
      </c>
      <c r="B2348" s="10">
        <v>157</v>
      </c>
      <c r="C2348" s="10" t="s">
        <v>1514</v>
      </c>
      <c r="D2348" s="388">
        <v>45083</v>
      </c>
      <c r="E2348" s="389">
        <v>45083</v>
      </c>
      <c r="G2348" s="135">
        <f>'National average solar data'!C$37</f>
        <v>0</v>
      </c>
      <c r="H2348" s="135">
        <f>'National average solar data'!D$37</f>
        <v>0</v>
      </c>
      <c r="I2348" s="135">
        <f>'National average solar data'!E$37</f>
        <v>0</v>
      </c>
      <c r="J2348" s="135">
        <f>'National average solar data'!F$37</f>
        <v>0</v>
      </c>
      <c r="K2348" s="135">
        <f>'National average solar data'!G$37</f>
        <v>0</v>
      </c>
      <c r="L2348" s="135">
        <f>'National average solar data'!H$37</f>
        <v>0</v>
      </c>
      <c r="M2348" s="135">
        <f>'National average solar data'!I$37</f>
        <v>0</v>
      </c>
      <c r="N2348" s="135">
        <f>'National average solar data'!J$37</f>
        <v>2.46E-2</v>
      </c>
      <c r="O2348" s="135">
        <f>'National average solar data'!K$37</f>
        <v>0.3962</v>
      </c>
      <c r="P2348" s="135">
        <f>'National average solar data'!L$37</f>
        <v>0.57540000000000002</v>
      </c>
      <c r="Q2348" s="135">
        <f>'National average solar data'!M$37</f>
        <v>0.64370000000000005</v>
      </c>
      <c r="R2348" s="135">
        <f>'National average solar data'!N$37</f>
        <v>0.66410000000000002</v>
      </c>
      <c r="S2348" s="135">
        <f>'National average solar data'!O$37</f>
        <v>0.6522</v>
      </c>
      <c r="T2348" s="135">
        <f>'National average solar data'!P$37</f>
        <v>0.63029999999999997</v>
      </c>
      <c r="U2348" s="135">
        <f>'National average solar data'!Q$37</f>
        <v>0.60429999999999995</v>
      </c>
      <c r="V2348" s="135">
        <f>'National average solar data'!R$37</f>
        <v>0.502</v>
      </c>
      <c r="W2348" s="135">
        <f>'National average solar data'!S$37</f>
        <v>0.27050000000000002</v>
      </c>
      <c r="X2348" s="135">
        <f>'National average solar data'!T$37</f>
        <v>1.26E-2</v>
      </c>
      <c r="Y2348" s="135">
        <f>'National average solar data'!U$37</f>
        <v>0</v>
      </c>
      <c r="Z2348" s="135">
        <f>'National average solar data'!V$37</f>
        <v>0</v>
      </c>
      <c r="AA2348" s="135">
        <f>'National average solar data'!W$37</f>
        <v>0</v>
      </c>
      <c r="AB2348" s="135">
        <f>'National average solar data'!X$37</f>
        <v>0</v>
      </c>
      <c r="AC2348" s="135">
        <f>'National average solar data'!Y$37</f>
        <v>0</v>
      </c>
      <c r="AD2348" s="135">
        <f>'National average solar data'!Z$37</f>
        <v>0</v>
      </c>
    </row>
    <row r="2349" spans="1:30" ht="12.6">
      <c r="A2349" s="10" t="s">
        <v>131</v>
      </c>
      <c r="B2349" s="10">
        <v>158</v>
      </c>
      <c r="C2349" s="10" t="s">
        <v>1514</v>
      </c>
      <c r="D2349" s="388">
        <v>45084</v>
      </c>
      <c r="E2349" s="389">
        <v>45084</v>
      </c>
      <c r="G2349" s="135">
        <f>'National average solar data'!C$37</f>
        <v>0</v>
      </c>
      <c r="H2349" s="135">
        <f>'National average solar data'!D$37</f>
        <v>0</v>
      </c>
      <c r="I2349" s="135">
        <f>'National average solar data'!E$37</f>
        <v>0</v>
      </c>
      <c r="J2349" s="135">
        <f>'National average solar data'!F$37</f>
        <v>0</v>
      </c>
      <c r="K2349" s="135">
        <f>'National average solar data'!G$37</f>
        <v>0</v>
      </c>
      <c r="L2349" s="135">
        <f>'National average solar data'!H$37</f>
        <v>0</v>
      </c>
      <c r="M2349" s="135">
        <f>'National average solar data'!I$37</f>
        <v>0</v>
      </c>
      <c r="N2349" s="135">
        <f>'National average solar data'!J$37</f>
        <v>2.46E-2</v>
      </c>
      <c r="O2349" s="135">
        <f>'National average solar data'!K$37</f>
        <v>0.3962</v>
      </c>
      <c r="P2349" s="135">
        <f>'National average solar data'!L$37</f>
        <v>0.57540000000000002</v>
      </c>
      <c r="Q2349" s="135">
        <f>'National average solar data'!M$37</f>
        <v>0.64370000000000005</v>
      </c>
      <c r="R2349" s="135">
        <f>'National average solar data'!N$37</f>
        <v>0.66410000000000002</v>
      </c>
      <c r="S2349" s="135">
        <f>'National average solar data'!O$37</f>
        <v>0.6522</v>
      </c>
      <c r="T2349" s="135">
        <f>'National average solar data'!P$37</f>
        <v>0.63029999999999997</v>
      </c>
      <c r="U2349" s="135">
        <f>'National average solar data'!Q$37</f>
        <v>0.60429999999999995</v>
      </c>
      <c r="V2349" s="135">
        <f>'National average solar data'!R$37</f>
        <v>0.502</v>
      </c>
      <c r="W2349" s="135">
        <f>'National average solar data'!S$37</f>
        <v>0.27050000000000002</v>
      </c>
      <c r="X2349" s="135">
        <f>'National average solar data'!T$37</f>
        <v>1.26E-2</v>
      </c>
      <c r="Y2349" s="135">
        <f>'National average solar data'!U$37</f>
        <v>0</v>
      </c>
      <c r="Z2349" s="135">
        <f>'National average solar data'!V$37</f>
        <v>0</v>
      </c>
      <c r="AA2349" s="135">
        <f>'National average solar data'!W$37</f>
        <v>0</v>
      </c>
      <c r="AB2349" s="135">
        <f>'National average solar data'!X$37</f>
        <v>0</v>
      </c>
      <c r="AC2349" s="135">
        <f>'National average solar data'!Y$37</f>
        <v>0</v>
      </c>
      <c r="AD2349" s="135">
        <f>'National average solar data'!Z$37</f>
        <v>0</v>
      </c>
    </row>
    <row r="2350" spans="1:30" ht="12.6">
      <c r="A2350" s="10" t="s">
        <v>131</v>
      </c>
      <c r="B2350" s="10">
        <v>159</v>
      </c>
      <c r="C2350" s="10" t="s">
        <v>1514</v>
      </c>
      <c r="D2350" s="388">
        <v>45085</v>
      </c>
      <c r="E2350" s="389">
        <v>45085</v>
      </c>
      <c r="G2350" s="135">
        <f>'National average solar data'!C$37</f>
        <v>0</v>
      </c>
      <c r="H2350" s="135">
        <f>'National average solar data'!D$37</f>
        <v>0</v>
      </c>
      <c r="I2350" s="135">
        <f>'National average solar data'!E$37</f>
        <v>0</v>
      </c>
      <c r="J2350" s="135">
        <f>'National average solar data'!F$37</f>
        <v>0</v>
      </c>
      <c r="K2350" s="135">
        <f>'National average solar data'!G$37</f>
        <v>0</v>
      </c>
      <c r="L2350" s="135">
        <f>'National average solar data'!H$37</f>
        <v>0</v>
      </c>
      <c r="M2350" s="135">
        <f>'National average solar data'!I$37</f>
        <v>0</v>
      </c>
      <c r="N2350" s="135">
        <f>'National average solar data'!J$37</f>
        <v>2.46E-2</v>
      </c>
      <c r="O2350" s="135">
        <f>'National average solar data'!K$37</f>
        <v>0.3962</v>
      </c>
      <c r="P2350" s="135">
        <f>'National average solar data'!L$37</f>
        <v>0.57540000000000002</v>
      </c>
      <c r="Q2350" s="135">
        <f>'National average solar data'!M$37</f>
        <v>0.64370000000000005</v>
      </c>
      <c r="R2350" s="135">
        <f>'National average solar data'!N$37</f>
        <v>0.66410000000000002</v>
      </c>
      <c r="S2350" s="135">
        <f>'National average solar data'!O$37</f>
        <v>0.6522</v>
      </c>
      <c r="T2350" s="135">
        <f>'National average solar data'!P$37</f>
        <v>0.63029999999999997</v>
      </c>
      <c r="U2350" s="135">
        <f>'National average solar data'!Q$37</f>
        <v>0.60429999999999995</v>
      </c>
      <c r="V2350" s="135">
        <f>'National average solar data'!R$37</f>
        <v>0.502</v>
      </c>
      <c r="W2350" s="135">
        <f>'National average solar data'!S$37</f>
        <v>0.27050000000000002</v>
      </c>
      <c r="X2350" s="135">
        <f>'National average solar data'!T$37</f>
        <v>1.26E-2</v>
      </c>
      <c r="Y2350" s="135">
        <f>'National average solar data'!U$37</f>
        <v>0</v>
      </c>
      <c r="Z2350" s="135">
        <f>'National average solar data'!V$37</f>
        <v>0</v>
      </c>
      <c r="AA2350" s="135">
        <f>'National average solar data'!W$37</f>
        <v>0</v>
      </c>
      <c r="AB2350" s="135">
        <f>'National average solar data'!X$37</f>
        <v>0</v>
      </c>
      <c r="AC2350" s="135">
        <f>'National average solar data'!Y$37</f>
        <v>0</v>
      </c>
      <c r="AD2350" s="135">
        <f>'National average solar data'!Z$37</f>
        <v>0</v>
      </c>
    </row>
    <row r="2351" spans="1:30" ht="12.6">
      <c r="A2351" s="10" t="s">
        <v>131</v>
      </c>
      <c r="B2351" s="10">
        <v>160</v>
      </c>
      <c r="C2351" s="10" t="s">
        <v>1514</v>
      </c>
      <c r="D2351" s="388">
        <v>45086</v>
      </c>
      <c r="E2351" s="389">
        <v>45086</v>
      </c>
      <c r="G2351" s="135">
        <f>'National average solar data'!C$37</f>
        <v>0</v>
      </c>
      <c r="H2351" s="135">
        <f>'National average solar data'!D$37</f>
        <v>0</v>
      </c>
      <c r="I2351" s="135">
        <f>'National average solar data'!E$37</f>
        <v>0</v>
      </c>
      <c r="J2351" s="135">
        <f>'National average solar data'!F$37</f>
        <v>0</v>
      </c>
      <c r="K2351" s="135">
        <f>'National average solar data'!G$37</f>
        <v>0</v>
      </c>
      <c r="L2351" s="135">
        <f>'National average solar data'!H$37</f>
        <v>0</v>
      </c>
      <c r="M2351" s="135">
        <f>'National average solar data'!I$37</f>
        <v>0</v>
      </c>
      <c r="N2351" s="135">
        <f>'National average solar data'!J$37</f>
        <v>2.46E-2</v>
      </c>
      <c r="O2351" s="135">
        <f>'National average solar data'!K$37</f>
        <v>0.3962</v>
      </c>
      <c r="P2351" s="135">
        <f>'National average solar data'!L$37</f>
        <v>0.57540000000000002</v>
      </c>
      <c r="Q2351" s="135">
        <f>'National average solar data'!M$37</f>
        <v>0.64370000000000005</v>
      </c>
      <c r="R2351" s="135">
        <f>'National average solar data'!N$37</f>
        <v>0.66410000000000002</v>
      </c>
      <c r="S2351" s="135">
        <f>'National average solar data'!O$37</f>
        <v>0.6522</v>
      </c>
      <c r="T2351" s="135">
        <f>'National average solar data'!P$37</f>
        <v>0.63029999999999997</v>
      </c>
      <c r="U2351" s="135">
        <f>'National average solar data'!Q$37</f>
        <v>0.60429999999999995</v>
      </c>
      <c r="V2351" s="135">
        <f>'National average solar data'!R$37</f>
        <v>0.502</v>
      </c>
      <c r="W2351" s="135">
        <f>'National average solar data'!S$37</f>
        <v>0.27050000000000002</v>
      </c>
      <c r="X2351" s="135">
        <f>'National average solar data'!T$37</f>
        <v>1.26E-2</v>
      </c>
      <c r="Y2351" s="135">
        <f>'National average solar data'!U$37</f>
        <v>0</v>
      </c>
      <c r="Z2351" s="135">
        <f>'National average solar data'!V$37</f>
        <v>0</v>
      </c>
      <c r="AA2351" s="135">
        <f>'National average solar data'!W$37</f>
        <v>0</v>
      </c>
      <c r="AB2351" s="135">
        <f>'National average solar data'!X$37</f>
        <v>0</v>
      </c>
      <c r="AC2351" s="135">
        <f>'National average solar data'!Y$37</f>
        <v>0</v>
      </c>
      <c r="AD2351" s="135">
        <f>'National average solar data'!Z$37</f>
        <v>0</v>
      </c>
    </row>
    <row r="2352" spans="1:30" ht="12.6">
      <c r="A2352" s="10" t="s">
        <v>131</v>
      </c>
      <c r="B2352" s="10">
        <v>161</v>
      </c>
      <c r="C2352" s="10" t="s">
        <v>1514</v>
      </c>
      <c r="D2352" s="388">
        <v>45087</v>
      </c>
      <c r="E2352" s="389">
        <v>45087</v>
      </c>
      <c r="G2352" s="135">
        <f>'National average solar data'!C$37</f>
        <v>0</v>
      </c>
      <c r="H2352" s="135">
        <f>'National average solar data'!D$37</f>
        <v>0</v>
      </c>
      <c r="I2352" s="135">
        <f>'National average solar data'!E$37</f>
        <v>0</v>
      </c>
      <c r="J2352" s="135">
        <f>'National average solar data'!F$37</f>
        <v>0</v>
      </c>
      <c r="K2352" s="135">
        <f>'National average solar data'!G$37</f>
        <v>0</v>
      </c>
      <c r="L2352" s="135">
        <f>'National average solar data'!H$37</f>
        <v>0</v>
      </c>
      <c r="M2352" s="135">
        <f>'National average solar data'!I$37</f>
        <v>0</v>
      </c>
      <c r="N2352" s="135">
        <f>'National average solar data'!J$37</f>
        <v>2.46E-2</v>
      </c>
      <c r="O2352" s="135">
        <f>'National average solar data'!K$37</f>
        <v>0.3962</v>
      </c>
      <c r="P2352" s="135">
        <f>'National average solar data'!L$37</f>
        <v>0.57540000000000002</v>
      </c>
      <c r="Q2352" s="135">
        <f>'National average solar data'!M$37</f>
        <v>0.64370000000000005</v>
      </c>
      <c r="R2352" s="135">
        <f>'National average solar data'!N$37</f>
        <v>0.66410000000000002</v>
      </c>
      <c r="S2352" s="135">
        <f>'National average solar data'!O$37</f>
        <v>0.6522</v>
      </c>
      <c r="T2352" s="135">
        <f>'National average solar data'!P$37</f>
        <v>0.63029999999999997</v>
      </c>
      <c r="U2352" s="135">
        <f>'National average solar data'!Q$37</f>
        <v>0.60429999999999995</v>
      </c>
      <c r="V2352" s="135">
        <f>'National average solar data'!R$37</f>
        <v>0.502</v>
      </c>
      <c r="W2352" s="135">
        <f>'National average solar data'!S$37</f>
        <v>0.27050000000000002</v>
      </c>
      <c r="X2352" s="135">
        <f>'National average solar data'!T$37</f>
        <v>1.26E-2</v>
      </c>
      <c r="Y2352" s="135">
        <f>'National average solar data'!U$37</f>
        <v>0</v>
      </c>
      <c r="Z2352" s="135">
        <f>'National average solar data'!V$37</f>
        <v>0</v>
      </c>
      <c r="AA2352" s="135">
        <f>'National average solar data'!W$37</f>
        <v>0</v>
      </c>
      <c r="AB2352" s="135">
        <f>'National average solar data'!X$37</f>
        <v>0</v>
      </c>
      <c r="AC2352" s="135">
        <f>'National average solar data'!Y$37</f>
        <v>0</v>
      </c>
      <c r="AD2352" s="135">
        <f>'National average solar data'!Z$37</f>
        <v>0</v>
      </c>
    </row>
    <row r="2353" spans="1:30" ht="12.6">
      <c r="A2353" s="10" t="s">
        <v>131</v>
      </c>
      <c r="B2353" s="10">
        <v>162</v>
      </c>
      <c r="C2353" s="10" t="s">
        <v>1514</v>
      </c>
      <c r="D2353" s="388">
        <v>45088</v>
      </c>
      <c r="E2353" s="389">
        <v>45088</v>
      </c>
      <c r="G2353" s="135">
        <f>'National average solar data'!C$37</f>
        <v>0</v>
      </c>
      <c r="H2353" s="135">
        <f>'National average solar data'!D$37</f>
        <v>0</v>
      </c>
      <c r="I2353" s="135">
        <f>'National average solar data'!E$37</f>
        <v>0</v>
      </c>
      <c r="J2353" s="135">
        <f>'National average solar data'!F$37</f>
        <v>0</v>
      </c>
      <c r="K2353" s="135">
        <f>'National average solar data'!G$37</f>
        <v>0</v>
      </c>
      <c r="L2353" s="135">
        <f>'National average solar data'!H$37</f>
        <v>0</v>
      </c>
      <c r="M2353" s="135">
        <f>'National average solar data'!I$37</f>
        <v>0</v>
      </c>
      <c r="N2353" s="135">
        <f>'National average solar data'!J$37</f>
        <v>2.46E-2</v>
      </c>
      <c r="O2353" s="135">
        <f>'National average solar data'!K$37</f>
        <v>0.3962</v>
      </c>
      <c r="P2353" s="135">
        <f>'National average solar data'!L$37</f>
        <v>0.57540000000000002</v>
      </c>
      <c r="Q2353" s="135">
        <f>'National average solar data'!M$37</f>
        <v>0.64370000000000005</v>
      </c>
      <c r="R2353" s="135">
        <f>'National average solar data'!N$37</f>
        <v>0.66410000000000002</v>
      </c>
      <c r="S2353" s="135">
        <f>'National average solar data'!O$37</f>
        <v>0.6522</v>
      </c>
      <c r="T2353" s="135">
        <f>'National average solar data'!P$37</f>
        <v>0.63029999999999997</v>
      </c>
      <c r="U2353" s="135">
        <f>'National average solar data'!Q$37</f>
        <v>0.60429999999999995</v>
      </c>
      <c r="V2353" s="135">
        <f>'National average solar data'!R$37</f>
        <v>0.502</v>
      </c>
      <c r="W2353" s="135">
        <f>'National average solar data'!S$37</f>
        <v>0.27050000000000002</v>
      </c>
      <c r="X2353" s="135">
        <f>'National average solar data'!T$37</f>
        <v>1.26E-2</v>
      </c>
      <c r="Y2353" s="135">
        <f>'National average solar data'!U$37</f>
        <v>0</v>
      </c>
      <c r="Z2353" s="135">
        <f>'National average solar data'!V$37</f>
        <v>0</v>
      </c>
      <c r="AA2353" s="135">
        <f>'National average solar data'!W$37</f>
        <v>0</v>
      </c>
      <c r="AB2353" s="135">
        <f>'National average solar data'!X$37</f>
        <v>0</v>
      </c>
      <c r="AC2353" s="135">
        <f>'National average solar data'!Y$37</f>
        <v>0</v>
      </c>
      <c r="AD2353" s="135">
        <f>'National average solar data'!Z$37</f>
        <v>0</v>
      </c>
    </row>
    <row r="2354" spans="1:30" ht="12.6">
      <c r="A2354" s="10" t="s">
        <v>131</v>
      </c>
      <c r="B2354" s="10">
        <v>163</v>
      </c>
      <c r="C2354" s="10" t="s">
        <v>1514</v>
      </c>
      <c r="D2354" s="388">
        <v>45089</v>
      </c>
      <c r="E2354" s="389">
        <v>45089</v>
      </c>
      <c r="G2354" s="135">
        <f>'National average solar data'!C$37</f>
        <v>0</v>
      </c>
      <c r="H2354" s="135">
        <f>'National average solar data'!D$37</f>
        <v>0</v>
      </c>
      <c r="I2354" s="135">
        <f>'National average solar data'!E$37</f>
        <v>0</v>
      </c>
      <c r="J2354" s="135">
        <f>'National average solar data'!F$37</f>
        <v>0</v>
      </c>
      <c r="K2354" s="135">
        <f>'National average solar data'!G$37</f>
        <v>0</v>
      </c>
      <c r="L2354" s="135">
        <f>'National average solar data'!H$37</f>
        <v>0</v>
      </c>
      <c r="M2354" s="135">
        <f>'National average solar data'!I$37</f>
        <v>0</v>
      </c>
      <c r="N2354" s="135">
        <f>'National average solar data'!J$37</f>
        <v>2.46E-2</v>
      </c>
      <c r="O2354" s="135">
        <f>'National average solar data'!K$37</f>
        <v>0.3962</v>
      </c>
      <c r="P2354" s="135">
        <f>'National average solar data'!L$37</f>
        <v>0.57540000000000002</v>
      </c>
      <c r="Q2354" s="135">
        <f>'National average solar data'!M$37</f>
        <v>0.64370000000000005</v>
      </c>
      <c r="R2354" s="135">
        <f>'National average solar data'!N$37</f>
        <v>0.66410000000000002</v>
      </c>
      <c r="S2354" s="135">
        <f>'National average solar data'!O$37</f>
        <v>0.6522</v>
      </c>
      <c r="T2354" s="135">
        <f>'National average solar data'!P$37</f>
        <v>0.63029999999999997</v>
      </c>
      <c r="U2354" s="135">
        <f>'National average solar data'!Q$37</f>
        <v>0.60429999999999995</v>
      </c>
      <c r="V2354" s="135">
        <f>'National average solar data'!R$37</f>
        <v>0.502</v>
      </c>
      <c r="W2354" s="135">
        <f>'National average solar data'!S$37</f>
        <v>0.27050000000000002</v>
      </c>
      <c r="X2354" s="135">
        <f>'National average solar data'!T$37</f>
        <v>1.26E-2</v>
      </c>
      <c r="Y2354" s="135">
        <f>'National average solar data'!U$37</f>
        <v>0</v>
      </c>
      <c r="Z2354" s="135">
        <f>'National average solar data'!V$37</f>
        <v>0</v>
      </c>
      <c r="AA2354" s="135">
        <f>'National average solar data'!W$37</f>
        <v>0</v>
      </c>
      <c r="AB2354" s="135">
        <f>'National average solar data'!X$37</f>
        <v>0</v>
      </c>
      <c r="AC2354" s="135">
        <f>'National average solar data'!Y$37</f>
        <v>0</v>
      </c>
      <c r="AD2354" s="135">
        <f>'National average solar data'!Z$37</f>
        <v>0</v>
      </c>
    </row>
    <row r="2355" spans="1:30" ht="12.6">
      <c r="A2355" s="10" t="s">
        <v>131</v>
      </c>
      <c r="B2355" s="10">
        <v>164</v>
      </c>
      <c r="C2355" s="10" t="s">
        <v>1514</v>
      </c>
      <c r="D2355" s="388">
        <v>45090</v>
      </c>
      <c r="E2355" s="389">
        <v>45090</v>
      </c>
      <c r="G2355" s="135">
        <f>'National average solar data'!C$37</f>
        <v>0</v>
      </c>
      <c r="H2355" s="135">
        <f>'National average solar data'!D$37</f>
        <v>0</v>
      </c>
      <c r="I2355" s="135">
        <f>'National average solar data'!E$37</f>
        <v>0</v>
      </c>
      <c r="J2355" s="135">
        <f>'National average solar data'!F$37</f>
        <v>0</v>
      </c>
      <c r="K2355" s="135">
        <f>'National average solar data'!G$37</f>
        <v>0</v>
      </c>
      <c r="L2355" s="135">
        <f>'National average solar data'!H$37</f>
        <v>0</v>
      </c>
      <c r="M2355" s="135">
        <f>'National average solar data'!I$37</f>
        <v>0</v>
      </c>
      <c r="N2355" s="135">
        <f>'National average solar data'!J$37</f>
        <v>2.46E-2</v>
      </c>
      <c r="O2355" s="135">
        <f>'National average solar data'!K$37</f>
        <v>0.3962</v>
      </c>
      <c r="P2355" s="135">
        <f>'National average solar data'!L$37</f>
        <v>0.57540000000000002</v>
      </c>
      <c r="Q2355" s="135">
        <f>'National average solar data'!M$37</f>
        <v>0.64370000000000005</v>
      </c>
      <c r="R2355" s="135">
        <f>'National average solar data'!N$37</f>
        <v>0.66410000000000002</v>
      </c>
      <c r="S2355" s="135">
        <f>'National average solar data'!O$37</f>
        <v>0.6522</v>
      </c>
      <c r="T2355" s="135">
        <f>'National average solar data'!P$37</f>
        <v>0.63029999999999997</v>
      </c>
      <c r="U2355" s="135">
        <f>'National average solar data'!Q$37</f>
        <v>0.60429999999999995</v>
      </c>
      <c r="V2355" s="135">
        <f>'National average solar data'!R$37</f>
        <v>0.502</v>
      </c>
      <c r="W2355" s="135">
        <f>'National average solar data'!S$37</f>
        <v>0.27050000000000002</v>
      </c>
      <c r="X2355" s="135">
        <f>'National average solar data'!T$37</f>
        <v>1.26E-2</v>
      </c>
      <c r="Y2355" s="135">
        <f>'National average solar data'!U$37</f>
        <v>0</v>
      </c>
      <c r="Z2355" s="135">
        <f>'National average solar data'!V$37</f>
        <v>0</v>
      </c>
      <c r="AA2355" s="135">
        <f>'National average solar data'!W$37</f>
        <v>0</v>
      </c>
      <c r="AB2355" s="135">
        <f>'National average solar data'!X$37</f>
        <v>0</v>
      </c>
      <c r="AC2355" s="135">
        <f>'National average solar data'!Y$37</f>
        <v>0</v>
      </c>
      <c r="AD2355" s="135">
        <f>'National average solar data'!Z$37</f>
        <v>0</v>
      </c>
    </row>
    <row r="2356" spans="1:30" ht="12.6">
      <c r="A2356" s="10" t="s">
        <v>131</v>
      </c>
      <c r="B2356" s="10">
        <v>165</v>
      </c>
      <c r="C2356" s="10" t="s">
        <v>1514</v>
      </c>
      <c r="D2356" s="388">
        <v>45091</v>
      </c>
      <c r="E2356" s="389">
        <v>45091</v>
      </c>
      <c r="G2356" s="135">
        <f>'National average solar data'!C$37</f>
        <v>0</v>
      </c>
      <c r="H2356" s="135">
        <f>'National average solar data'!D$37</f>
        <v>0</v>
      </c>
      <c r="I2356" s="135">
        <f>'National average solar data'!E$37</f>
        <v>0</v>
      </c>
      <c r="J2356" s="135">
        <f>'National average solar data'!F$37</f>
        <v>0</v>
      </c>
      <c r="K2356" s="135">
        <f>'National average solar data'!G$37</f>
        <v>0</v>
      </c>
      <c r="L2356" s="135">
        <f>'National average solar data'!H$37</f>
        <v>0</v>
      </c>
      <c r="M2356" s="135">
        <f>'National average solar data'!I$37</f>
        <v>0</v>
      </c>
      <c r="N2356" s="135">
        <f>'National average solar data'!J$37</f>
        <v>2.46E-2</v>
      </c>
      <c r="O2356" s="135">
        <f>'National average solar data'!K$37</f>
        <v>0.3962</v>
      </c>
      <c r="P2356" s="135">
        <f>'National average solar data'!L$37</f>
        <v>0.57540000000000002</v>
      </c>
      <c r="Q2356" s="135">
        <f>'National average solar data'!M$37</f>
        <v>0.64370000000000005</v>
      </c>
      <c r="R2356" s="135">
        <f>'National average solar data'!N$37</f>
        <v>0.66410000000000002</v>
      </c>
      <c r="S2356" s="135">
        <f>'National average solar data'!O$37</f>
        <v>0.6522</v>
      </c>
      <c r="T2356" s="135">
        <f>'National average solar data'!P$37</f>
        <v>0.63029999999999997</v>
      </c>
      <c r="U2356" s="135">
        <f>'National average solar data'!Q$37</f>
        <v>0.60429999999999995</v>
      </c>
      <c r="V2356" s="135">
        <f>'National average solar data'!R$37</f>
        <v>0.502</v>
      </c>
      <c r="W2356" s="135">
        <f>'National average solar data'!S$37</f>
        <v>0.27050000000000002</v>
      </c>
      <c r="X2356" s="135">
        <f>'National average solar data'!T$37</f>
        <v>1.26E-2</v>
      </c>
      <c r="Y2356" s="135">
        <f>'National average solar data'!U$37</f>
        <v>0</v>
      </c>
      <c r="Z2356" s="135">
        <f>'National average solar data'!V$37</f>
        <v>0</v>
      </c>
      <c r="AA2356" s="135">
        <f>'National average solar data'!W$37</f>
        <v>0</v>
      </c>
      <c r="AB2356" s="135">
        <f>'National average solar data'!X$37</f>
        <v>0</v>
      </c>
      <c r="AC2356" s="135">
        <f>'National average solar data'!Y$37</f>
        <v>0</v>
      </c>
      <c r="AD2356" s="135">
        <f>'National average solar data'!Z$37</f>
        <v>0</v>
      </c>
    </row>
    <row r="2357" spans="1:30" ht="12.6">
      <c r="A2357" s="10" t="s">
        <v>131</v>
      </c>
      <c r="B2357" s="10">
        <v>166</v>
      </c>
      <c r="C2357" s="10" t="s">
        <v>1514</v>
      </c>
      <c r="D2357" s="388">
        <v>45092</v>
      </c>
      <c r="E2357" s="389">
        <v>45092</v>
      </c>
      <c r="G2357" s="135">
        <f>'National average solar data'!C$37</f>
        <v>0</v>
      </c>
      <c r="H2357" s="135">
        <f>'National average solar data'!D$37</f>
        <v>0</v>
      </c>
      <c r="I2357" s="135">
        <f>'National average solar data'!E$37</f>
        <v>0</v>
      </c>
      <c r="J2357" s="135">
        <f>'National average solar data'!F$37</f>
        <v>0</v>
      </c>
      <c r="K2357" s="135">
        <f>'National average solar data'!G$37</f>
        <v>0</v>
      </c>
      <c r="L2357" s="135">
        <f>'National average solar data'!H$37</f>
        <v>0</v>
      </c>
      <c r="M2357" s="135">
        <f>'National average solar data'!I$37</f>
        <v>0</v>
      </c>
      <c r="N2357" s="135">
        <f>'National average solar data'!J$37</f>
        <v>2.46E-2</v>
      </c>
      <c r="O2357" s="135">
        <f>'National average solar data'!K$37</f>
        <v>0.3962</v>
      </c>
      <c r="P2357" s="135">
        <f>'National average solar data'!L$37</f>
        <v>0.57540000000000002</v>
      </c>
      <c r="Q2357" s="135">
        <f>'National average solar data'!M$37</f>
        <v>0.64370000000000005</v>
      </c>
      <c r="R2357" s="135">
        <f>'National average solar data'!N$37</f>
        <v>0.66410000000000002</v>
      </c>
      <c r="S2357" s="135">
        <f>'National average solar data'!O$37</f>
        <v>0.6522</v>
      </c>
      <c r="T2357" s="135">
        <f>'National average solar data'!P$37</f>
        <v>0.63029999999999997</v>
      </c>
      <c r="U2357" s="135">
        <f>'National average solar data'!Q$37</f>
        <v>0.60429999999999995</v>
      </c>
      <c r="V2357" s="135">
        <f>'National average solar data'!R$37</f>
        <v>0.502</v>
      </c>
      <c r="W2357" s="135">
        <f>'National average solar data'!S$37</f>
        <v>0.27050000000000002</v>
      </c>
      <c r="X2357" s="135">
        <f>'National average solar data'!T$37</f>
        <v>1.26E-2</v>
      </c>
      <c r="Y2357" s="135">
        <f>'National average solar data'!U$37</f>
        <v>0</v>
      </c>
      <c r="Z2357" s="135">
        <f>'National average solar data'!V$37</f>
        <v>0</v>
      </c>
      <c r="AA2357" s="135">
        <f>'National average solar data'!W$37</f>
        <v>0</v>
      </c>
      <c r="AB2357" s="135">
        <f>'National average solar data'!X$37</f>
        <v>0</v>
      </c>
      <c r="AC2357" s="135">
        <f>'National average solar data'!Y$37</f>
        <v>0</v>
      </c>
      <c r="AD2357" s="135">
        <f>'National average solar data'!Z$37</f>
        <v>0</v>
      </c>
    </row>
    <row r="2358" spans="1:30" ht="12.6">
      <c r="A2358" s="10" t="s">
        <v>131</v>
      </c>
      <c r="B2358" s="10">
        <v>167</v>
      </c>
      <c r="C2358" s="10" t="s">
        <v>1514</v>
      </c>
      <c r="D2358" s="388">
        <v>45093</v>
      </c>
      <c r="E2358" s="389">
        <v>45093</v>
      </c>
      <c r="G2358" s="135">
        <f>'National average solar data'!C$37</f>
        <v>0</v>
      </c>
      <c r="H2358" s="135">
        <f>'National average solar data'!D$37</f>
        <v>0</v>
      </c>
      <c r="I2358" s="135">
        <f>'National average solar data'!E$37</f>
        <v>0</v>
      </c>
      <c r="J2358" s="135">
        <f>'National average solar data'!F$37</f>
        <v>0</v>
      </c>
      <c r="K2358" s="135">
        <f>'National average solar data'!G$37</f>
        <v>0</v>
      </c>
      <c r="L2358" s="135">
        <f>'National average solar data'!H$37</f>
        <v>0</v>
      </c>
      <c r="M2358" s="135">
        <f>'National average solar data'!I$37</f>
        <v>0</v>
      </c>
      <c r="N2358" s="135">
        <f>'National average solar data'!J$37</f>
        <v>2.46E-2</v>
      </c>
      <c r="O2358" s="135">
        <f>'National average solar data'!K$37</f>
        <v>0.3962</v>
      </c>
      <c r="P2358" s="135">
        <f>'National average solar data'!L$37</f>
        <v>0.57540000000000002</v>
      </c>
      <c r="Q2358" s="135">
        <f>'National average solar data'!M$37</f>
        <v>0.64370000000000005</v>
      </c>
      <c r="R2358" s="135">
        <f>'National average solar data'!N$37</f>
        <v>0.66410000000000002</v>
      </c>
      <c r="S2358" s="135">
        <f>'National average solar data'!O$37</f>
        <v>0.6522</v>
      </c>
      <c r="T2358" s="135">
        <f>'National average solar data'!P$37</f>
        <v>0.63029999999999997</v>
      </c>
      <c r="U2358" s="135">
        <f>'National average solar data'!Q$37</f>
        <v>0.60429999999999995</v>
      </c>
      <c r="V2358" s="135">
        <f>'National average solar data'!R$37</f>
        <v>0.502</v>
      </c>
      <c r="W2358" s="135">
        <f>'National average solar data'!S$37</f>
        <v>0.27050000000000002</v>
      </c>
      <c r="X2358" s="135">
        <f>'National average solar data'!T$37</f>
        <v>1.26E-2</v>
      </c>
      <c r="Y2358" s="135">
        <f>'National average solar data'!U$37</f>
        <v>0</v>
      </c>
      <c r="Z2358" s="135">
        <f>'National average solar data'!V$37</f>
        <v>0</v>
      </c>
      <c r="AA2358" s="135">
        <f>'National average solar data'!W$37</f>
        <v>0</v>
      </c>
      <c r="AB2358" s="135">
        <f>'National average solar data'!X$37</f>
        <v>0</v>
      </c>
      <c r="AC2358" s="135">
        <f>'National average solar data'!Y$37</f>
        <v>0</v>
      </c>
      <c r="AD2358" s="135">
        <f>'National average solar data'!Z$37</f>
        <v>0</v>
      </c>
    </row>
    <row r="2359" spans="1:30" ht="12.6">
      <c r="A2359" s="10" t="s">
        <v>131</v>
      </c>
      <c r="B2359" s="10">
        <v>168</v>
      </c>
      <c r="C2359" s="10" t="s">
        <v>1514</v>
      </c>
      <c r="D2359" s="388">
        <v>45094</v>
      </c>
      <c r="E2359" s="389">
        <v>45094</v>
      </c>
      <c r="G2359" s="135">
        <f>'National average solar data'!C$37</f>
        <v>0</v>
      </c>
      <c r="H2359" s="135">
        <f>'National average solar data'!D$37</f>
        <v>0</v>
      </c>
      <c r="I2359" s="135">
        <f>'National average solar data'!E$37</f>
        <v>0</v>
      </c>
      <c r="J2359" s="135">
        <f>'National average solar data'!F$37</f>
        <v>0</v>
      </c>
      <c r="K2359" s="135">
        <f>'National average solar data'!G$37</f>
        <v>0</v>
      </c>
      <c r="L2359" s="135">
        <f>'National average solar data'!H$37</f>
        <v>0</v>
      </c>
      <c r="M2359" s="135">
        <f>'National average solar data'!I$37</f>
        <v>0</v>
      </c>
      <c r="N2359" s="135">
        <f>'National average solar data'!J$37</f>
        <v>2.46E-2</v>
      </c>
      <c r="O2359" s="135">
        <f>'National average solar data'!K$37</f>
        <v>0.3962</v>
      </c>
      <c r="P2359" s="135">
        <f>'National average solar data'!L$37</f>
        <v>0.57540000000000002</v>
      </c>
      <c r="Q2359" s="135">
        <f>'National average solar data'!M$37</f>
        <v>0.64370000000000005</v>
      </c>
      <c r="R2359" s="135">
        <f>'National average solar data'!N$37</f>
        <v>0.66410000000000002</v>
      </c>
      <c r="S2359" s="135">
        <f>'National average solar data'!O$37</f>
        <v>0.6522</v>
      </c>
      <c r="T2359" s="135">
        <f>'National average solar data'!P$37</f>
        <v>0.63029999999999997</v>
      </c>
      <c r="U2359" s="135">
        <f>'National average solar data'!Q$37</f>
        <v>0.60429999999999995</v>
      </c>
      <c r="V2359" s="135">
        <f>'National average solar data'!R$37</f>
        <v>0.502</v>
      </c>
      <c r="W2359" s="135">
        <f>'National average solar data'!S$37</f>
        <v>0.27050000000000002</v>
      </c>
      <c r="X2359" s="135">
        <f>'National average solar data'!T$37</f>
        <v>1.26E-2</v>
      </c>
      <c r="Y2359" s="135">
        <f>'National average solar data'!U$37</f>
        <v>0</v>
      </c>
      <c r="Z2359" s="135">
        <f>'National average solar data'!V$37</f>
        <v>0</v>
      </c>
      <c r="AA2359" s="135">
        <f>'National average solar data'!W$37</f>
        <v>0</v>
      </c>
      <c r="AB2359" s="135">
        <f>'National average solar data'!X$37</f>
        <v>0</v>
      </c>
      <c r="AC2359" s="135">
        <f>'National average solar data'!Y$37</f>
        <v>0</v>
      </c>
      <c r="AD2359" s="135">
        <f>'National average solar data'!Z$37</f>
        <v>0</v>
      </c>
    </row>
    <row r="2360" spans="1:30" ht="12.6">
      <c r="A2360" s="10" t="s">
        <v>131</v>
      </c>
      <c r="B2360" s="10">
        <v>169</v>
      </c>
      <c r="C2360" s="10" t="s">
        <v>1514</v>
      </c>
      <c r="D2360" s="388">
        <v>45095</v>
      </c>
      <c r="E2360" s="389">
        <v>45095</v>
      </c>
      <c r="G2360" s="135">
        <f>'National average solar data'!C$37</f>
        <v>0</v>
      </c>
      <c r="H2360" s="135">
        <f>'National average solar data'!D$37</f>
        <v>0</v>
      </c>
      <c r="I2360" s="135">
        <f>'National average solar data'!E$37</f>
        <v>0</v>
      </c>
      <c r="J2360" s="135">
        <f>'National average solar data'!F$37</f>
        <v>0</v>
      </c>
      <c r="K2360" s="135">
        <f>'National average solar data'!G$37</f>
        <v>0</v>
      </c>
      <c r="L2360" s="135">
        <f>'National average solar data'!H$37</f>
        <v>0</v>
      </c>
      <c r="M2360" s="135">
        <f>'National average solar data'!I$37</f>
        <v>0</v>
      </c>
      <c r="N2360" s="135">
        <f>'National average solar data'!J$37</f>
        <v>2.46E-2</v>
      </c>
      <c r="O2360" s="135">
        <f>'National average solar data'!K$37</f>
        <v>0.3962</v>
      </c>
      <c r="P2360" s="135">
        <f>'National average solar data'!L$37</f>
        <v>0.57540000000000002</v>
      </c>
      <c r="Q2360" s="135">
        <f>'National average solar data'!M$37</f>
        <v>0.64370000000000005</v>
      </c>
      <c r="R2360" s="135">
        <f>'National average solar data'!N$37</f>
        <v>0.66410000000000002</v>
      </c>
      <c r="S2360" s="135">
        <f>'National average solar data'!O$37</f>
        <v>0.6522</v>
      </c>
      <c r="T2360" s="135">
        <f>'National average solar data'!P$37</f>
        <v>0.63029999999999997</v>
      </c>
      <c r="U2360" s="135">
        <f>'National average solar data'!Q$37</f>
        <v>0.60429999999999995</v>
      </c>
      <c r="V2360" s="135">
        <f>'National average solar data'!R$37</f>
        <v>0.502</v>
      </c>
      <c r="W2360" s="135">
        <f>'National average solar data'!S$37</f>
        <v>0.27050000000000002</v>
      </c>
      <c r="X2360" s="135">
        <f>'National average solar data'!T$37</f>
        <v>1.26E-2</v>
      </c>
      <c r="Y2360" s="135">
        <f>'National average solar data'!U$37</f>
        <v>0</v>
      </c>
      <c r="Z2360" s="135">
        <f>'National average solar data'!V$37</f>
        <v>0</v>
      </c>
      <c r="AA2360" s="135">
        <f>'National average solar data'!W$37</f>
        <v>0</v>
      </c>
      <c r="AB2360" s="135">
        <f>'National average solar data'!X$37</f>
        <v>0</v>
      </c>
      <c r="AC2360" s="135">
        <f>'National average solar data'!Y$37</f>
        <v>0</v>
      </c>
      <c r="AD2360" s="135">
        <f>'National average solar data'!Z$37</f>
        <v>0</v>
      </c>
    </row>
    <row r="2361" spans="1:30" ht="12.6">
      <c r="A2361" s="10" t="s">
        <v>131</v>
      </c>
      <c r="B2361" s="10">
        <v>170</v>
      </c>
      <c r="C2361" s="10" t="s">
        <v>1514</v>
      </c>
      <c r="D2361" s="388">
        <v>45096</v>
      </c>
      <c r="E2361" s="389">
        <v>45096</v>
      </c>
      <c r="G2361" s="135">
        <f>'National average solar data'!C$37</f>
        <v>0</v>
      </c>
      <c r="H2361" s="135">
        <f>'National average solar data'!D$37</f>
        <v>0</v>
      </c>
      <c r="I2361" s="135">
        <f>'National average solar data'!E$37</f>
        <v>0</v>
      </c>
      <c r="J2361" s="135">
        <f>'National average solar data'!F$37</f>
        <v>0</v>
      </c>
      <c r="K2361" s="135">
        <f>'National average solar data'!G$37</f>
        <v>0</v>
      </c>
      <c r="L2361" s="135">
        <f>'National average solar data'!H$37</f>
        <v>0</v>
      </c>
      <c r="M2361" s="135">
        <f>'National average solar data'!I$37</f>
        <v>0</v>
      </c>
      <c r="N2361" s="135">
        <f>'National average solar data'!J$37</f>
        <v>2.46E-2</v>
      </c>
      <c r="O2361" s="135">
        <f>'National average solar data'!K$37</f>
        <v>0.3962</v>
      </c>
      <c r="P2361" s="135">
        <f>'National average solar data'!L$37</f>
        <v>0.57540000000000002</v>
      </c>
      <c r="Q2361" s="135">
        <f>'National average solar data'!M$37</f>
        <v>0.64370000000000005</v>
      </c>
      <c r="R2361" s="135">
        <f>'National average solar data'!N$37</f>
        <v>0.66410000000000002</v>
      </c>
      <c r="S2361" s="135">
        <f>'National average solar data'!O$37</f>
        <v>0.6522</v>
      </c>
      <c r="T2361" s="135">
        <f>'National average solar data'!P$37</f>
        <v>0.63029999999999997</v>
      </c>
      <c r="U2361" s="135">
        <f>'National average solar data'!Q$37</f>
        <v>0.60429999999999995</v>
      </c>
      <c r="V2361" s="135">
        <f>'National average solar data'!R$37</f>
        <v>0.502</v>
      </c>
      <c r="W2361" s="135">
        <f>'National average solar data'!S$37</f>
        <v>0.27050000000000002</v>
      </c>
      <c r="X2361" s="135">
        <f>'National average solar data'!T$37</f>
        <v>1.26E-2</v>
      </c>
      <c r="Y2361" s="135">
        <f>'National average solar data'!U$37</f>
        <v>0</v>
      </c>
      <c r="Z2361" s="135">
        <f>'National average solar data'!V$37</f>
        <v>0</v>
      </c>
      <c r="AA2361" s="135">
        <f>'National average solar data'!W$37</f>
        <v>0</v>
      </c>
      <c r="AB2361" s="135">
        <f>'National average solar data'!X$37</f>
        <v>0</v>
      </c>
      <c r="AC2361" s="135">
        <f>'National average solar data'!Y$37</f>
        <v>0</v>
      </c>
      <c r="AD2361" s="135">
        <f>'National average solar data'!Z$37</f>
        <v>0</v>
      </c>
    </row>
    <row r="2362" spans="1:30" ht="12.6">
      <c r="A2362" s="10" t="s">
        <v>131</v>
      </c>
      <c r="B2362" s="10">
        <v>171</v>
      </c>
      <c r="C2362" s="10" t="s">
        <v>1514</v>
      </c>
      <c r="D2362" s="388">
        <v>45097</v>
      </c>
      <c r="E2362" s="389">
        <v>45097</v>
      </c>
      <c r="G2362" s="135">
        <f>'National average solar data'!C$37</f>
        <v>0</v>
      </c>
      <c r="H2362" s="135">
        <f>'National average solar data'!D$37</f>
        <v>0</v>
      </c>
      <c r="I2362" s="135">
        <f>'National average solar data'!E$37</f>
        <v>0</v>
      </c>
      <c r="J2362" s="135">
        <f>'National average solar data'!F$37</f>
        <v>0</v>
      </c>
      <c r="K2362" s="135">
        <f>'National average solar data'!G$37</f>
        <v>0</v>
      </c>
      <c r="L2362" s="135">
        <f>'National average solar data'!H$37</f>
        <v>0</v>
      </c>
      <c r="M2362" s="135">
        <f>'National average solar data'!I$37</f>
        <v>0</v>
      </c>
      <c r="N2362" s="135">
        <f>'National average solar data'!J$37</f>
        <v>2.46E-2</v>
      </c>
      <c r="O2362" s="135">
        <f>'National average solar data'!K$37</f>
        <v>0.3962</v>
      </c>
      <c r="P2362" s="135">
        <f>'National average solar data'!L$37</f>
        <v>0.57540000000000002</v>
      </c>
      <c r="Q2362" s="135">
        <f>'National average solar data'!M$37</f>
        <v>0.64370000000000005</v>
      </c>
      <c r="R2362" s="135">
        <f>'National average solar data'!N$37</f>
        <v>0.66410000000000002</v>
      </c>
      <c r="S2362" s="135">
        <f>'National average solar data'!O$37</f>
        <v>0.6522</v>
      </c>
      <c r="T2362" s="135">
        <f>'National average solar data'!P$37</f>
        <v>0.63029999999999997</v>
      </c>
      <c r="U2362" s="135">
        <f>'National average solar data'!Q$37</f>
        <v>0.60429999999999995</v>
      </c>
      <c r="V2362" s="135">
        <f>'National average solar data'!R$37</f>
        <v>0.502</v>
      </c>
      <c r="W2362" s="135">
        <f>'National average solar data'!S$37</f>
        <v>0.27050000000000002</v>
      </c>
      <c r="X2362" s="135">
        <f>'National average solar data'!T$37</f>
        <v>1.26E-2</v>
      </c>
      <c r="Y2362" s="135">
        <f>'National average solar data'!U$37</f>
        <v>0</v>
      </c>
      <c r="Z2362" s="135">
        <f>'National average solar data'!V$37</f>
        <v>0</v>
      </c>
      <c r="AA2362" s="135">
        <f>'National average solar data'!W$37</f>
        <v>0</v>
      </c>
      <c r="AB2362" s="135">
        <f>'National average solar data'!X$37</f>
        <v>0</v>
      </c>
      <c r="AC2362" s="135">
        <f>'National average solar data'!Y$37</f>
        <v>0</v>
      </c>
      <c r="AD2362" s="135">
        <f>'National average solar data'!Z$37</f>
        <v>0</v>
      </c>
    </row>
    <row r="2363" spans="1:30" ht="12.6">
      <c r="A2363" s="10" t="s">
        <v>131</v>
      </c>
      <c r="B2363" s="10">
        <v>172</v>
      </c>
      <c r="C2363" s="10" t="s">
        <v>1514</v>
      </c>
      <c r="D2363" s="388">
        <v>45098</v>
      </c>
      <c r="E2363" s="389">
        <v>45098</v>
      </c>
      <c r="G2363" s="135">
        <f>'National average solar data'!C$37</f>
        <v>0</v>
      </c>
      <c r="H2363" s="135">
        <f>'National average solar data'!D$37</f>
        <v>0</v>
      </c>
      <c r="I2363" s="135">
        <f>'National average solar data'!E$37</f>
        <v>0</v>
      </c>
      <c r="J2363" s="135">
        <f>'National average solar data'!F$37</f>
        <v>0</v>
      </c>
      <c r="K2363" s="135">
        <f>'National average solar data'!G$37</f>
        <v>0</v>
      </c>
      <c r="L2363" s="135">
        <f>'National average solar data'!H$37</f>
        <v>0</v>
      </c>
      <c r="M2363" s="135">
        <f>'National average solar data'!I$37</f>
        <v>0</v>
      </c>
      <c r="N2363" s="135">
        <f>'National average solar data'!J$37</f>
        <v>2.46E-2</v>
      </c>
      <c r="O2363" s="135">
        <f>'National average solar data'!K$37</f>
        <v>0.3962</v>
      </c>
      <c r="P2363" s="135">
        <f>'National average solar data'!L$37</f>
        <v>0.57540000000000002</v>
      </c>
      <c r="Q2363" s="135">
        <f>'National average solar data'!M$37</f>
        <v>0.64370000000000005</v>
      </c>
      <c r="R2363" s="135">
        <f>'National average solar data'!N$37</f>
        <v>0.66410000000000002</v>
      </c>
      <c r="S2363" s="135">
        <f>'National average solar data'!O$37</f>
        <v>0.6522</v>
      </c>
      <c r="T2363" s="135">
        <f>'National average solar data'!P$37</f>
        <v>0.63029999999999997</v>
      </c>
      <c r="U2363" s="135">
        <f>'National average solar data'!Q$37</f>
        <v>0.60429999999999995</v>
      </c>
      <c r="V2363" s="135">
        <f>'National average solar data'!R$37</f>
        <v>0.502</v>
      </c>
      <c r="W2363" s="135">
        <f>'National average solar data'!S$37</f>
        <v>0.27050000000000002</v>
      </c>
      <c r="X2363" s="135">
        <f>'National average solar data'!T$37</f>
        <v>1.26E-2</v>
      </c>
      <c r="Y2363" s="135">
        <f>'National average solar data'!U$37</f>
        <v>0</v>
      </c>
      <c r="Z2363" s="135">
        <f>'National average solar data'!V$37</f>
        <v>0</v>
      </c>
      <c r="AA2363" s="135">
        <f>'National average solar data'!W$37</f>
        <v>0</v>
      </c>
      <c r="AB2363" s="135">
        <f>'National average solar data'!X$37</f>
        <v>0</v>
      </c>
      <c r="AC2363" s="135">
        <f>'National average solar data'!Y$37</f>
        <v>0</v>
      </c>
      <c r="AD2363" s="135">
        <f>'National average solar data'!Z$37</f>
        <v>0</v>
      </c>
    </row>
    <row r="2364" spans="1:30" ht="12.6">
      <c r="A2364" s="10" t="s">
        <v>131</v>
      </c>
      <c r="B2364" s="10">
        <v>173</v>
      </c>
      <c r="C2364" s="10" t="s">
        <v>1514</v>
      </c>
      <c r="D2364" s="388">
        <v>45099</v>
      </c>
      <c r="E2364" s="389">
        <v>45099</v>
      </c>
      <c r="G2364" s="135">
        <f>'National average solar data'!C$37</f>
        <v>0</v>
      </c>
      <c r="H2364" s="135">
        <f>'National average solar data'!D$37</f>
        <v>0</v>
      </c>
      <c r="I2364" s="135">
        <f>'National average solar data'!E$37</f>
        <v>0</v>
      </c>
      <c r="J2364" s="135">
        <f>'National average solar data'!F$37</f>
        <v>0</v>
      </c>
      <c r="K2364" s="135">
        <f>'National average solar data'!G$37</f>
        <v>0</v>
      </c>
      <c r="L2364" s="135">
        <f>'National average solar data'!H$37</f>
        <v>0</v>
      </c>
      <c r="M2364" s="135">
        <f>'National average solar data'!I$37</f>
        <v>0</v>
      </c>
      <c r="N2364" s="135">
        <f>'National average solar data'!J$37</f>
        <v>2.46E-2</v>
      </c>
      <c r="O2364" s="135">
        <f>'National average solar data'!K$37</f>
        <v>0.3962</v>
      </c>
      <c r="P2364" s="135">
        <f>'National average solar data'!L$37</f>
        <v>0.57540000000000002</v>
      </c>
      <c r="Q2364" s="135">
        <f>'National average solar data'!M$37</f>
        <v>0.64370000000000005</v>
      </c>
      <c r="R2364" s="135">
        <f>'National average solar data'!N$37</f>
        <v>0.66410000000000002</v>
      </c>
      <c r="S2364" s="135">
        <f>'National average solar data'!O$37</f>
        <v>0.6522</v>
      </c>
      <c r="T2364" s="135">
        <f>'National average solar data'!P$37</f>
        <v>0.63029999999999997</v>
      </c>
      <c r="U2364" s="135">
        <f>'National average solar data'!Q$37</f>
        <v>0.60429999999999995</v>
      </c>
      <c r="V2364" s="135">
        <f>'National average solar data'!R$37</f>
        <v>0.502</v>
      </c>
      <c r="W2364" s="135">
        <f>'National average solar data'!S$37</f>
        <v>0.27050000000000002</v>
      </c>
      <c r="X2364" s="135">
        <f>'National average solar data'!T$37</f>
        <v>1.26E-2</v>
      </c>
      <c r="Y2364" s="135">
        <f>'National average solar data'!U$37</f>
        <v>0</v>
      </c>
      <c r="Z2364" s="135">
        <f>'National average solar data'!V$37</f>
        <v>0</v>
      </c>
      <c r="AA2364" s="135">
        <f>'National average solar data'!W$37</f>
        <v>0</v>
      </c>
      <c r="AB2364" s="135">
        <f>'National average solar data'!X$37</f>
        <v>0</v>
      </c>
      <c r="AC2364" s="135">
        <f>'National average solar data'!Y$37</f>
        <v>0</v>
      </c>
      <c r="AD2364" s="135">
        <f>'National average solar data'!Z$37</f>
        <v>0</v>
      </c>
    </row>
    <row r="2365" spans="1:30" ht="12.6">
      <c r="A2365" s="10" t="s">
        <v>131</v>
      </c>
      <c r="B2365" s="10">
        <v>174</v>
      </c>
      <c r="C2365" s="10" t="s">
        <v>1514</v>
      </c>
      <c r="D2365" s="388">
        <v>45100</v>
      </c>
      <c r="E2365" s="389">
        <v>45100</v>
      </c>
      <c r="G2365" s="135">
        <f>'National average solar data'!C$37</f>
        <v>0</v>
      </c>
      <c r="H2365" s="135">
        <f>'National average solar data'!D$37</f>
        <v>0</v>
      </c>
      <c r="I2365" s="135">
        <f>'National average solar data'!E$37</f>
        <v>0</v>
      </c>
      <c r="J2365" s="135">
        <f>'National average solar data'!F$37</f>
        <v>0</v>
      </c>
      <c r="K2365" s="135">
        <f>'National average solar data'!G$37</f>
        <v>0</v>
      </c>
      <c r="L2365" s="135">
        <f>'National average solar data'!H$37</f>
        <v>0</v>
      </c>
      <c r="M2365" s="135">
        <f>'National average solar data'!I$37</f>
        <v>0</v>
      </c>
      <c r="N2365" s="135">
        <f>'National average solar data'!J$37</f>
        <v>2.46E-2</v>
      </c>
      <c r="O2365" s="135">
        <f>'National average solar data'!K$37</f>
        <v>0.3962</v>
      </c>
      <c r="P2365" s="135">
        <f>'National average solar data'!L$37</f>
        <v>0.57540000000000002</v>
      </c>
      <c r="Q2365" s="135">
        <f>'National average solar data'!M$37</f>
        <v>0.64370000000000005</v>
      </c>
      <c r="R2365" s="135">
        <f>'National average solar data'!N$37</f>
        <v>0.66410000000000002</v>
      </c>
      <c r="S2365" s="135">
        <f>'National average solar data'!O$37</f>
        <v>0.6522</v>
      </c>
      <c r="T2365" s="135">
        <f>'National average solar data'!P$37</f>
        <v>0.63029999999999997</v>
      </c>
      <c r="U2365" s="135">
        <f>'National average solar data'!Q$37</f>
        <v>0.60429999999999995</v>
      </c>
      <c r="V2365" s="135">
        <f>'National average solar data'!R$37</f>
        <v>0.502</v>
      </c>
      <c r="W2365" s="135">
        <f>'National average solar data'!S$37</f>
        <v>0.27050000000000002</v>
      </c>
      <c r="X2365" s="135">
        <f>'National average solar data'!T$37</f>
        <v>1.26E-2</v>
      </c>
      <c r="Y2365" s="135">
        <f>'National average solar data'!U$37</f>
        <v>0</v>
      </c>
      <c r="Z2365" s="135">
        <f>'National average solar data'!V$37</f>
        <v>0</v>
      </c>
      <c r="AA2365" s="135">
        <f>'National average solar data'!W$37</f>
        <v>0</v>
      </c>
      <c r="AB2365" s="135">
        <f>'National average solar data'!X$37</f>
        <v>0</v>
      </c>
      <c r="AC2365" s="135">
        <f>'National average solar data'!Y$37</f>
        <v>0</v>
      </c>
      <c r="AD2365" s="135">
        <f>'National average solar data'!Z$37</f>
        <v>0</v>
      </c>
    </row>
    <row r="2366" spans="1:30" ht="12.6">
      <c r="A2366" s="10" t="s">
        <v>131</v>
      </c>
      <c r="B2366" s="10">
        <v>175</v>
      </c>
      <c r="C2366" s="10" t="s">
        <v>1514</v>
      </c>
      <c r="D2366" s="388">
        <v>45101</v>
      </c>
      <c r="E2366" s="389">
        <v>45101</v>
      </c>
      <c r="G2366" s="135">
        <f>'National average solar data'!C$37</f>
        <v>0</v>
      </c>
      <c r="H2366" s="135">
        <f>'National average solar data'!D$37</f>
        <v>0</v>
      </c>
      <c r="I2366" s="135">
        <f>'National average solar data'!E$37</f>
        <v>0</v>
      </c>
      <c r="J2366" s="135">
        <f>'National average solar data'!F$37</f>
        <v>0</v>
      </c>
      <c r="K2366" s="135">
        <f>'National average solar data'!G$37</f>
        <v>0</v>
      </c>
      <c r="L2366" s="135">
        <f>'National average solar data'!H$37</f>
        <v>0</v>
      </c>
      <c r="M2366" s="135">
        <f>'National average solar data'!I$37</f>
        <v>0</v>
      </c>
      <c r="N2366" s="135">
        <f>'National average solar data'!J$37</f>
        <v>2.46E-2</v>
      </c>
      <c r="O2366" s="135">
        <f>'National average solar data'!K$37</f>
        <v>0.3962</v>
      </c>
      <c r="P2366" s="135">
        <f>'National average solar data'!L$37</f>
        <v>0.57540000000000002</v>
      </c>
      <c r="Q2366" s="135">
        <f>'National average solar data'!M$37</f>
        <v>0.64370000000000005</v>
      </c>
      <c r="R2366" s="135">
        <f>'National average solar data'!N$37</f>
        <v>0.66410000000000002</v>
      </c>
      <c r="S2366" s="135">
        <f>'National average solar data'!O$37</f>
        <v>0.6522</v>
      </c>
      <c r="T2366" s="135">
        <f>'National average solar data'!P$37</f>
        <v>0.63029999999999997</v>
      </c>
      <c r="U2366" s="135">
        <f>'National average solar data'!Q$37</f>
        <v>0.60429999999999995</v>
      </c>
      <c r="V2366" s="135">
        <f>'National average solar data'!R$37</f>
        <v>0.502</v>
      </c>
      <c r="W2366" s="135">
        <f>'National average solar data'!S$37</f>
        <v>0.27050000000000002</v>
      </c>
      <c r="X2366" s="135">
        <f>'National average solar data'!T$37</f>
        <v>1.26E-2</v>
      </c>
      <c r="Y2366" s="135">
        <f>'National average solar data'!U$37</f>
        <v>0</v>
      </c>
      <c r="Z2366" s="135">
        <f>'National average solar data'!V$37</f>
        <v>0</v>
      </c>
      <c r="AA2366" s="135">
        <f>'National average solar data'!W$37</f>
        <v>0</v>
      </c>
      <c r="AB2366" s="135">
        <f>'National average solar data'!X$37</f>
        <v>0</v>
      </c>
      <c r="AC2366" s="135">
        <f>'National average solar data'!Y$37</f>
        <v>0</v>
      </c>
      <c r="AD2366" s="135">
        <f>'National average solar data'!Z$37</f>
        <v>0</v>
      </c>
    </row>
    <row r="2367" spans="1:30" ht="12.6">
      <c r="A2367" s="10" t="s">
        <v>131</v>
      </c>
      <c r="B2367" s="10">
        <v>176</v>
      </c>
      <c r="C2367" s="10" t="s">
        <v>1514</v>
      </c>
      <c r="D2367" s="388">
        <v>45102</v>
      </c>
      <c r="E2367" s="389">
        <v>45102</v>
      </c>
      <c r="G2367" s="135">
        <f>'National average solar data'!C$37</f>
        <v>0</v>
      </c>
      <c r="H2367" s="135">
        <f>'National average solar data'!D$37</f>
        <v>0</v>
      </c>
      <c r="I2367" s="135">
        <f>'National average solar data'!E$37</f>
        <v>0</v>
      </c>
      <c r="J2367" s="135">
        <f>'National average solar data'!F$37</f>
        <v>0</v>
      </c>
      <c r="K2367" s="135">
        <f>'National average solar data'!G$37</f>
        <v>0</v>
      </c>
      <c r="L2367" s="135">
        <f>'National average solar data'!H$37</f>
        <v>0</v>
      </c>
      <c r="M2367" s="135">
        <f>'National average solar data'!I$37</f>
        <v>0</v>
      </c>
      <c r="N2367" s="135">
        <f>'National average solar data'!J$37</f>
        <v>2.46E-2</v>
      </c>
      <c r="O2367" s="135">
        <f>'National average solar data'!K$37</f>
        <v>0.3962</v>
      </c>
      <c r="P2367" s="135">
        <f>'National average solar data'!L$37</f>
        <v>0.57540000000000002</v>
      </c>
      <c r="Q2367" s="135">
        <f>'National average solar data'!M$37</f>
        <v>0.64370000000000005</v>
      </c>
      <c r="R2367" s="135">
        <f>'National average solar data'!N$37</f>
        <v>0.66410000000000002</v>
      </c>
      <c r="S2367" s="135">
        <f>'National average solar data'!O$37</f>
        <v>0.6522</v>
      </c>
      <c r="T2367" s="135">
        <f>'National average solar data'!P$37</f>
        <v>0.63029999999999997</v>
      </c>
      <c r="U2367" s="135">
        <f>'National average solar data'!Q$37</f>
        <v>0.60429999999999995</v>
      </c>
      <c r="V2367" s="135">
        <f>'National average solar data'!R$37</f>
        <v>0.502</v>
      </c>
      <c r="W2367" s="135">
        <f>'National average solar data'!S$37</f>
        <v>0.27050000000000002</v>
      </c>
      <c r="X2367" s="135">
        <f>'National average solar data'!T$37</f>
        <v>1.26E-2</v>
      </c>
      <c r="Y2367" s="135">
        <f>'National average solar data'!U$37</f>
        <v>0</v>
      </c>
      <c r="Z2367" s="135">
        <f>'National average solar data'!V$37</f>
        <v>0</v>
      </c>
      <c r="AA2367" s="135">
        <f>'National average solar data'!W$37</f>
        <v>0</v>
      </c>
      <c r="AB2367" s="135">
        <f>'National average solar data'!X$37</f>
        <v>0</v>
      </c>
      <c r="AC2367" s="135">
        <f>'National average solar data'!Y$37</f>
        <v>0</v>
      </c>
      <c r="AD2367" s="135">
        <f>'National average solar data'!Z$37</f>
        <v>0</v>
      </c>
    </row>
    <row r="2368" spans="1:30" ht="12.6">
      <c r="A2368" s="10" t="s">
        <v>131</v>
      </c>
      <c r="B2368" s="10">
        <v>177</v>
      </c>
      <c r="C2368" s="10" t="s">
        <v>1514</v>
      </c>
      <c r="D2368" s="388">
        <v>45103</v>
      </c>
      <c r="E2368" s="389">
        <v>45103</v>
      </c>
      <c r="G2368" s="135">
        <f>'National average solar data'!C$37</f>
        <v>0</v>
      </c>
      <c r="H2368" s="135">
        <f>'National average solar data'!D$37</f>
        <v>0</v>
      </c>
      <c r="I2368" s="135">
        <f>'National average solar data'!E$37</f>
        <v>0</v>
      </c>
      <c r="J2368" s="135">
        <f>'National average solar data'!F$37</f>
        <v>0</v>
      </c>
      <c r="K2368" s="135">
        <f>'National average solar data'!G$37</f>
        <v>0</v>
      </c>
      <c r="L2368" s="135">
        <f>'National average solar data'!H$37</f>
        <v>0</v>
      </c>
      <c r="M2368" s="135">
        <f>'National average solar data'!I$37</f>
        <v>0</v>
      </c>
      <c r="N2368" s="135">
        <f>'National average solar data'!J$37</f>
        <v>2.46E-2</v>
      </c>
      <c r="O2368" s="135">
        <f>'National average solar data'!K$37</f>
        <v>0.3962</v>
      </c>
      <c r="P2368" s="135">
        <f>'National average solar data'!L$37</f>
        <v>0.57540000000000002</v>
      </c>
      <c r="Q2368" s="135">
        <f>'National average solar data'!M$37</f>
        <v>0.64370000000000005</v>
      </c>
      <c r="R2368" s="135">
        <f>'National average solar data'!N$37</f>
        <v>0.66410000000000002</v>
      </c>
      <c r="S2368" s="135">
        <f>'National average solar data'!O$37</f>
        <v>0.6522</v>
      </c>
      <c r="T2368" s="135">
        <f>'National average solar data'!P$37</f>
        <v>0.63029999999999997</v>
      </c>
      <c r="U2368" s="135">
        <f>'National average solar data'!Q$37</f>
        <v>0.60429999999999995</v>
      </c>
      <c r="V2368" s="135">
        <f>'National average solar data'!R$37</f>
        <v>0.502</v>
      </c>
      <c r="W2368" s="135">
        <f>'National average solar data'!S$37</f>
        <v>0.27050000000000002</v>
      </c>
      <c r="X2368" s="135">
        <f>'National average solar data'!T$37</f>
        <v>1.26E-2</v>
      </c>
      <c r="Y2368" s="135">
        <f>'National average solar data'!U$37</f>
        <v>0</v>
      </c>
      <c r="Z2368" s="135">
        <f>'National average solar data'!V$37</f>
        <v>0</v>
      </c>
      <c r="AA2368" s="135">
        <f>'National average solar data'!W$37</f>
        <v>0</v>
      </c>
      <c r="AB2368" s="135">
        <f>'National average solar data'!X$37</f>
        <v>0</v>
      </c>
      <c r="AC2368" s="135">
        <f>'National average solar data'!Y$37</f>
        <v>0</v>
      </c>
      <c r="AD2368" s="135">
        <f>'National average solar data'!Z$37</f>
        <v>0</v>
      </c>
    </row>
    <row r="2369" spans="1:30" ht="12.6">
      <c r="A2369" s="10" t="s">
        <v>131</v>
      </c>
      <c r="B2369" s="10">
        <v>178</v>
      </c>
      <c r="C2369" s="10" t="s">
        <v>1514</v>
      </c>
      <c r="D2369" s="388">
        <v>45104</v>
      </c>
      <c r="E2369" s="389">
        <v>45104</v>
      </c>
      <c r="G2369" s="135">
        <f>'National average solar data'!C$37</f>
        <v>0</v>
      </c>
      <c r="H2369" s="135">
        <f>'National average solar data'!D$37</f>
        <v>0</v>
      </c>
      <c r="I2369" s="135">
        <f>'National average solar data'!E$37</f>
        <v>0</v>
      </c>
      <c r="J2369" s="135">
        <f>'National average solar data'!F$37</f>
        <v>0</v>
      </c>
      <c r="K2369" s="135">
        <f>'National average solar data'!G$37</f>
        <v>0</v>
      </c>
      <c r="L2369" s="135">
        <f>'National average solar data'!H$37</f>
        <v>0</v>
      </c>
      <c r="M2369" s="135">
        <f>'National average solar data'!I$37</f>
        <v>0</v>
      </c>
      <c r="N2369" s="135">
        <f>'National average solar data'!J$37</f>
        <v>2.46E-2</v>
      </c>
      <c r="O2369" s="135">
        <f>'National average solar data'!K$37</f>
        <v>0.3962</v>
      </c>
      <c r="P2369" s="135">
        <f>'National average solar data'!L$37</f>
        <v>0.57540000000000002</v>
      </c>
      <c r="Q2369" s="135">
        <f>'National average solar data'!M$37</f>
        <v>0.64370000000000005</v>
      </c>
      <c r="R2369" s="135">
        <f>'National average solar data'!N$37</f>
        <v>0.66410000000000002</v>
      </c>
      <c r="S2369" s="135">
        <f>'National average solar data'!O$37</f>
        <v>0.6522</v>
      </c>
      <c r="T2369" s="135">
        <f>'National average solar data'!P$37</f>
        <v>0.63029999999999997</v>
      </c>
      <c r="U2369" s="135">
        <f>'National average solar data'!Q$37</f>
        <v>0.60429999999999995</v>
      </c>
      <c r="V2369" s="135">
        <f>'National average solar data'!R$37</f>
        <v>0.502</v>
      </c>
      <c r="W2369" s="135">
        <f>'National average solar data'!S$37</f>
        <v>0.27050000000000002</v>
      </c>
      <c r="X2369" s="135">
        <f>'National average solar data'!T$37</f>
        <v>1.26E-2</v>
      </c>
      <c r="Y2369" s="135">
        <f>'National average solar data'!U$37</f>
        <v>0</v>
      </c>
      <c r="Z2369" s="135">
        <f>'National average solar data'!V$37</f>
        <v>0</v>
      </c>
      <c r="AA2369" s="135">
        <f>'National average solar data'!W$37</f>
        <v>0</v>
      </c>
      <c r="AB2369" s="135">
        <f>'National average solar data'!X$37</f>
        <v>0</v>
      </c>
      <c r="AC2369" s="135">
        <f>'National average solar data'!Y$37</f>
        <v>0</v>
      </c>
      <c r="AD2369" s="135">
        <f>'National average solar data'!Z$37</f>
        <v>0</v>
      </c>
    </row>
    <row r="2370" spans="1:30" ht="12.6">
      <c r="A2370" s="10" t="s">
        <v>131</v>
      </c>
      <c r="B2370" s="10">
        <v>179</v>
      </c>
      <c r="C2370" s="10" t="s">
        <v>1514</v>
      </c>
      <c r="D2370" s="388">
        <v>45105</v>
      </c>
      <c r="E2370" s="389">
        <v>45105</v>
      </c>
      <c r="G2370" s="135">
        <f>'National average solar data'!C$37</f>
        <v>0</v>
      </c>
      <c r="H2370" s="135">
        <f>'National average solar data'!D$37</f>
        <v>0</v>
      </c>
      <c r="I2370" s="135">
        <f>'National average solar data'!E$37</f>
        <v>0</v>
      </c>
      <c r="J2370" s="135">
        <f>'National average solar data'!F$37</f>
        <v>0</v>
      </c>
      <c r="K2370" s="135">
        <f>'National average solar data'!G$37</f>
        <v>0</v>
      </c>
      <c r="L2370" s="135">
        <f>'National average solar data'!H$37</f>
        <v>0</v>
      </c>
      <c r="M2370" s="135">
        <f>'National average solar data'!I$37</f>
        <v>0</v>
      </c>
      <c r="N2370" s="135">
        <f>'National average solar data'!J$37</f>
        <v>2.46E-2</v>
      </c>
      <c r="O2370" s="135">
        <f>'National average solar data'!K$37</f>
        <v>0.3962</v>
      </c>
      <c r="P2370" s="135">
        <f>'National average solar data'!L$37</f>
        <v>0.57540000000000002</v>
      </c>
      <c r="Q2370" s="135">
        <f>'National average solar data'!M$37</f>
        <v>0.64370000000000005</v>
      </c>
      <c r="R2370" s="135">
        <f>'National average solar data'!N$37</f>
        <v>0.66410000000000002</v>
      </c>
      <c r="S2370" s="135">
        <f>'National average solar data'!O$37</f>
        <v>0.6522</v>
      </c>
      <c r="T2370" s="135">
        <f>'National average solar data'!P$37</f>
        <v>0.63029999999999997</v>
      </c>
      <c r="U2370" s="135">
        <f>'National average solar data'!Q$37</f>
        <v>0.60429999999999995</v>
      </c>
      <c r="V2370" s="135">
        <f>'National average solar data'!R$37</f>
        <v>0.502</v>
      </c>
      <c r="W2370" s="135">
        <f>'National average solar data'!S$37</f>
        <v>0.27050000000000002</v>
      </c>
      <c r="X2370" s="135">
        <f>'National average solar data'!T$37</f>
        <v>1.26E-2</v>
      </c>
      <c r="Y2370" s="135">
        <f>'National average solar data'!U$37</f>
        <v>0</v>
      </c>
      <c r="Z2370" s="135">
        <f>'National average solar data'!V$37</f>
        <v>0</v>
      </c>
      <c r="AA2370" s="135">
        <f>'National average solar data'!W$37</f>
        <v>0</v>
      </c>
      <c r="AB2370" s="135">
        <f>'National average solar data'!X$37</f>
        <v>0</v>
      </c>
      <c r="AC2370" s="135">
        <f>'National average solar data'!Y$37</f>
        <v>0</v>
      </c>
      <c r="AD2370" s="135">
        <f>'National average solar data'!Z$37</f>
        <v>0</v>
      </c>
    </row>
    <row r="2371" spans="1:30" ht="12.6">
      <c r="A2371" s="10" t="s">
        <v>131</v>
      </c>
      <c r="B2371" s="10">
        <v>180</v>
      </c>
      <c r="C2371" s="10" t="s">
        <v>1514</v>
      </c>
      <c r="D2371" s="388">
        <v>45106</v>
      </c>
      <c r="E2371" s="389">
        <v>45106</v>
      </c>
      <c r="G2371" s="135">
        <f>'National average solar data'!C$37</f>
        <v>0</v>
      </c>
      <c r="H2371" s="135">
        <f>'National average solar data'!D$37</f>
        <v>0</v>
      </c>
      <c r="I2371" s="135">
        <f>'National average solar data'!E$37</f>
        <v>0</v>
      </c>
      <c r="J2371" s="135">
        <f>'National average solar data'!F$37</f>
        <v>0</v>
      </c>
      <c r="K2371" s="135">
        <f>'National average solar data'!G$37</f>
        <v>0</v>
      </c>
      <c r="L2371" s="135">
        <f>'National average solar data'!H$37</f>
        <v>0</v>
      </c>
      <c r="M2371" s="135">
        <f>'National average solar data'!I$37</f>
        <v>0</v>
      </c>
      <c r="N2371" s="135">
        <f>'National average solar data'!J$37</f>
        <v>2.46E-2</v>
      </c>
      <c r="O2371" s="135">
        <f>'National average solar data'!K$37</f>
        <v>0.3962</v>
      </c>
      <c r="P2371" s="135">
        <f>'National average solar data'!L$37</f>
        <v>0.57540000000000002</v>
      </c>
      <c r="Q2371" s="135">
        <f>'National average solar data'!M$37</f>
        <v>0.64370000000000005</v>
      </c>
      <c r="R2371" s="135">
        <f>'National average solar data'!N$37</f>
        <v>0.66410000000000002</v>
      </c>
      <c r="S2371" s="135">
        <f>'National average solar data'!O$37</f>
        <v>0.6522</v>
      </c>
      <c r="T2371" s="135">
        <f>'National average solar data'!P$37</f>
        <v>0.63029999999999997</v>
      </c>
      <c r="U2371" s="135">
        <f>'National average solar data'!Q$37</f>
        <v>0.60429999999999995</v>
      </c>
      <c r="V2371" s="135">
        <f>'National average solar data'!R$37</f>
        <v>0.502</v>
      </c>
      <c r="W2371" s="135">
        <f>'National average solar data'!S$37</f>
        <v>0.27050000000000002</v>
      </c>
      <c r="X2371" s="135">
        <f>'National average solar data'!T$37</f>
        <v>1.26E-2</v>
      </c>
      <c r="Y2371" s="135">
        <f>'National average solar data'!U$37</f>
        <v>0</v>
      </c>
      <c r="Z2371" s="135">
        <f>'National average solar data'!V$37</f>
        <v>0</v>
      </c>
      <c r="AA2371" s="135">
        <f>'National average solar data'!W$37</f>
        <v>0</v>
      </c>
      <c r="AB2371" s="135">
        <f>'National average solar data'!X$37</f>
        <v>0</v>
      </c>
      <c r="AC2371" s="135">
        <f>'National average solar data'!Y$37</f>
        <v>0</v>
      </c>
      <c r="AD2371" s="135">
        <f>'National average solar data'!Z$37</f>
        <v>0</v>
      </c>
    </row>
    <row r="2372" spans="1:30" ht="12.6">
      <c r="A2372" s="10" t="s">
        <v>131</v>
      </c>
      <c r="B2372" s="10">
        <v>181</v>
      </c>
      <c r="C2372" s="10" t="s">
        <v>1514</v>
      </c>
      <c r="D2372" s="388">
        <v>45107</v>
      </c>
      <c r="E2372" s="389">
        <v>45107</v>
      </c>
      <c r="G2372" s="135">
        <f>'National average solar data'!C$37</f>
        <v>0</v>
      </c>
      <c r="H2372" s="135">
        <f>'National average solar data'!D$37</f>
        <v>0</v>
      </c>
      <c r="I2372" s="135">
        <f>'National average solar data'!E$37</f>
        <v>0</v>
      </c>
      <c r="J2372" s="135">
        <f>'National average solar data'!F$37</f>
        <v>0</v>
      </c>
      <c r="K2372" s="135">
        <f>'National average solar data'!G$37</f>
        <v>0</v>
      </c>
      <c r="L2372" s="135">
        <f>'National average solar data'!H$37</f>
        <v>0</v>
      </c>
      <c r="M2372" s="135">
        <f>'National average solar data'!I$37</f>
        <v>0</v>
      </c>
      <c r="N2372" s="135">
        <f>'National average solar data'!J$37</f>
        <v>2.46E-2</v>
      </c>
      <c r="O2372" s="135">
        <f>'National average solar data'!K$37</f>
        <v>0.3962</v>
      </c>
      <c r="P2372" s="135">
        <f>'National average solar data'!L$37</f>
        <v>0.57540000000000002</v>
      </c>
      <c r="Q2372" s="135">
        <f>'National average solar data'!M$37</f>
        <v>0.64370000000000005</v>
      </c>
      <c r="R2372" s="135">
        <f>'National average solar data'!N$37</f>
        <v>0.66410000000000002</v>
      </c>
      <c r="S2372" s="135">
        <f>'National average solar data'!O$37</f>
        <v>0.6522</v>
      </c>
      <c r="T2372" s="135">
        <f>'National average solar data'!P$37</f>
        <v>0.63029999999999997</v>
      </c>
      <c r="U2372" s="135">
        <f>'National average solar data'!Q$37</f>
        <v>0.60429999999999995</v>
      </c>
      <c r="V2372" s="135">
        <f>'National average solar data'!R$37</f>
        <v>0.502</v>
      </c>
      <c r="W2372" s="135">
        <f>'National average solar data'!S$37</f>
        <v>0.27050000000000002</v>
      </c>
      <c r="X2372" s="135">
        <f>'National average solar data'!T$37</f>
        <v>1.26E-2</v>
      </c>
      <c r="Y2372" s="135">
        <f>'National average solar data'!U$37</f>
        <v>0</v>
      </c>
      <c r="Z2372" s="135">
        <f>'National average solar data'!V$37</f>
        <v>0</v>
      </c>
      <c r="AA2372" s="135">
        <f>'National average solar data'!W$37</f>
        <v>0</v>
      </c>
      <c r="AB2372" s="135">
        <f>'National average solar data'!X$37</f>
        <v>0</v>
      </c>
      <c r="AC2372" s="135">
        <f>'National average solar data'!Y$37</f>
        <v>0</v>
      </c>
      <c r="AD2372" s="135">
        <f>'National average solar data'!Z$37</f>
        <v>0</v>
      </c>
    </row>
    <row r="2373" spans="1:30" ht="12.6">
      <c r="A2373" s="10" t="s">
        <v>131</v>
      </c>
      <c r="B2373" s="10">
        <v>182</v>
      </c>
      <c r="C2373" s="10" t="s">
        <v>1514</v>
      </c>
      <c r="D2373" s="388">
        <v>45108</v>
      </c>
      <c r="E2373" s="389">
        <v>45108</v>
      </c>
      <c r="G2373" s="135">
        <f>'National average solar data'!C$38</f>
        <v>0</v>
      </c>
      <c r="H2373" s="135">
        <f>'National average solar data'!D$38</f>
        <v>0</v>
      </c>
      <c r="I2373" s="135">
        <f>'National average solar data'!E$38</f>
        <v>0</v>
      </c>
      <c r="J2373" s="135">
        <f>'National average solar data'!F$38</f>
        <v>0</v>
      </c>
      <c r="K2373" s="135">
        <f>'National average solar data'!G$38</f>
        <v>0</v>
      </c>
      <c r="L2373" s="135">
        <f>'National average solar data'!H$38</f>
        <v>0</v>
      </c>
      <c r="M2373" s="135">
        <f>'National average solar data'!I$38</f>
        <v>0</v>
      </c>
      <c r="N2373" s="135">
        <f>'National average solar data'!J$38</f>
        <v>5.3199999999999997E-2</v>
      </c>
      <c r="O2373" s="135">
        <f>'National average solar data'!K$38</f>
        <v>0.49430000000000002</v>
      </c>
      <c r="P2373" s="135">
        <f>'National average solar data'!L$38</f>
        <v>0.65900000000000003</v>
      </c>
      <c r="Q2373" s="135">
        <f>'National average solar data'!M$38</f>
        <v>0.71840000000000004</v>
      </c>
      <c r="R2373" s="135">
        <f>'National average solar data'!N$38</f>
        <v>0.7248</v>
      </c>
      <c r="S2373" s="135">
        <f>'National average solar data'!O$38</f>
        <v>0.71130000000000004</v>
      </c>
      <c r="T2373" s="135">
        <f>'National average solar data'!P$38</f>
        <v>0.7097</v>
      </c>
      <c r="U2373" s="135">
        <f>'National average solar data'!Q$38</f>
        <v>0.68240000000000001</v>
      </c>
      <c r="V2373" s="135">
        <f>'National average solar data'!R$38</f>
        <v>0.63109999999999999</v>
      </c>
      <c r="W2373" s="135">
        <f>'National average solar data'!S$38</f>
        <v>0.43530000000000002</v>
      </c>
      <c r="X2373" s="135">
        <f>'National average solar data'!T$38</f>
        <v>6.8900000000000003E-2</v>
      </c>
      <c r="Y2373" s="135">
        <f>'National average solar data'!U$38</f>
        <v>0</v>
      </c>
      <c r="Z2373" s="135">
        <f>'National average solar data'!V$38</f>
        <v>0</v>
      </c>
      <c r="AA2373" s="135">
        <f>'National average solar data'!W$38</f>
        <v>0</v>
      </c>
      <c r="AB2373" s="135">
        <f>'National average solar data'!X$38</f>
        <v>0</v>
      </c>
      <c r="AC2373" s="135">
        <f>'National average solar data'!Y$38</f>
        <v>0</v>
      </c>
      <c r="AD2373" s="135">
        <f>'National average solar data'!Z$38</f>
        <v>0</v>
      </c>
    </row>
    <row r="2374" spans="1:30" ht="12.6">
      <c r="A2374" s="10" t="s">
        <v>131</v>
      </c>
      <c r="B2374" s="10">
        <v>183</v>
      </c>
      <c r="C2374" s="10" t="s">
        <v>1514</v>
      </c>
      <c r="D2374" s="388">
        <v>45109</v>
      </c>
      <c r="E2374" s="389">
        <v>45109</v>
      </c>
      <c r="G2374" s="135">
        <f>'National average solar data'!C$38</f>
        <v>0</v>
      </c>
      <c r="H2374" s="135">
        <f>'National average solar data'!D$38</f>
        <v>0</v>
      </c>
      <c r="I2374" s="135">
        <f>'National average solar data'!E$38</f>
        <v>0</v>
      </c>
      <c r="J2374" s="135">
        <f>'National average solar data'!F$38</f>
        <v>0</v>
      </c>
      <c r="K2374" s="135">
        <f>'National average solar data'!G$38</f>
        <v>0</v>
      </c>
      <c r="L2374" s="135">
        <f>'National average solar data'!H$38</f>
        <v>0</v>
      </c>
      <c r="M2374" s="135">
        <f>'National average solar data'!I$38</f>
        <v>0</v>
      </c>
      <c r="N2374" s="135">
        <f>'National average solar data'!J$38</f>
        <v>5.3199999999999997E-2</v>
      </c>
      <c r="O2374" s="135">
        <f>'National average solar data'!K$38</f>
        <v>0.49430000000000002</v>
      </c>
      <c r="P2374" s="135">
        <f>'National average solar data'!L$38</f>
        <v>0.65900000000000003</v>
      </c>
      <c r="Q2374" s="135">
        <f>'National average solar data'!M$38</f>
        <v>0.71840000000000004</v>
      </c>
      <c r="R2374" s="135">
        <f>'National average solar data'!N$38</f>
        <v>0.7248</v>
      </c>
      <c r="S2374" s="135">
        <f>'National average solar data'!O$38</f>
        <v>0.71130000000000004</v>
      </c>
      <c r="T2374" s="135">
        <f>'National average solar data'!P$38</f>
        <v>0.7097</v>
      </c>
      <c r="U2374" s="135">
        <f>'National average solar data'!Q$38</f>
        <v>0.68240000000000001</v>
      </c>
      <c r="V2374" s="135">
        <f>'National average solar data'!R$38</f>
        <v>0.63109999999999999</v>
      </c>
      <c r="W2374" s="135">
        <f>'National average solar data'!S$38</f>
        <v>0.43530000000000002</v>
      </c>
      <c r="X2374" s="135">
        <f>'National average solar data'!T$38</f>
        <v>6.8900000000000003E-2</v>
      </c>
      <c r="Y2374" s="135">
        <f>'National average solar data'!U$38</f>
        <v>0</v>
      </c>
      <c r="Z2374" s="135">
        <f>'National average solar data'!V$38</f>
        <v>0</v>
      </c>
      <c r="AA2374" s="135">
        <f>'National average solar data'!W$38</f>
        <v>0</v>
      </c>
      <c r="AB2374" s="135">
        <f>'National average solar data'!X$38</f>
        <v>0</v>
      </c>
      <c r="AC2374" s="135">
        <f>'National average solar data'!Y$38</f>
        <v>0</v>
      </c>
      <c r="AD2374" s="135">
        <f>'National average solar data'!Z$38</f>
        <v>0</v>
      </c>
    </row>
    <row r="2375" spans="1:30" ht="12.6">
      <c r="A2375" s="10" t="s">
        <v>131</v>
      </c>
      <c r="B2375" s="10">
        <v>184</v>
      </c>
      <c r="C2375" s="10" t="s">
        <v>1514</v>
      </c>
      <c r="D2375" s="388">
        <v>45110</v>
      </c>
      <c r="E2375" s="389">
        <v>45110</v>
      </c>
      <c r="G2375" s="135">
        <f>'National average solar data'!C$38</f>
        <v>0</v>
      </c>
      <c r="H2375" s="135">
        <f>'National average solar data'!D$38</f>
        <v>0</v>
      </c>
      <c r="I2375" s="135">
        <f>'National average solar data'!E$38</f>
        <v>0</v>
      </c>
      <c r="J2375" s="135">
        <f>'National average solar data'!F$38</f>
        <v>0</v>
      </c>
      <c r="K2375" s="135">
        <f>'National average solar data'!G$38</f>
        <v>0</v>
      </c>
      <c r="L2375" s="135">
        <f>'National average solar data'!H$38</f>
        <v>0</v>
      </c>
      <c r="M2375" s="135">
        <f>'National average solar data'!I$38</f>
        <v>0</v>
      </c>
      <c r="N2375" s="135">
        <f>'National average solar data'!J$38</f>
        <v>5.3199999999999997E-2</v>
      </c>
      <c r="O2375" s="135">
        <f>'National average solar data'!K$38</f>
        <v>0.49430000000000002</v>
      </c>
      <c r="P2375" s="135">
        <f>'National average solar data'!L$38</f>
        <v>0.65900000000000003</v>
      </c>
      <c r="Q2375" s="135">
        <f>'National average solar data'!M$38</f>
        <v>0.71840000000000004</v>
      </c>
      <c r="R2375" s="135">
        <f>'National average solar data'!N$38</f>
        <v>0.7248</v>
      </c>
      <c r="S2375" s="135">
        <f>'National average solar data'!O$38</f>
        <v>0.71130000000000004</v>
      </c>
      <c r="T2375" s="135">
        <f>'National average solar data'!P$38</f>
        <v>0.7097</v>
      </c>
      <c r="U2375" s="135">
        <f>'National average solar data'!Q$38</f>
        <v>0.68240000000000001</v>
      </c>
      <c r="V2375" s="135">
        <f>'National average solar data'!R$38</f>
        <v>0.63109999999999999</v>
      </c>
      <c r="W2375" s="135">
        <f>'National average solar data'!S$38</f>
        <v>0.43530000000000002</v>
      </c>
      <c r="X2375" s="135">
        <f>'National average solar data'!T$38</f>
        <v>6.8900000000000003E-2</v>
      </c>
      <c r="Y2375" s="135">
        <f>'National average solar data'!U$38</f>
        <v>0</v>
      </c>
      <c r="Z2375" s="135">
        <f>'National average solar data'!V$38</f>
        <v>0</v>
      </c>
      <c r="AA2375" s="135">
        <f>'National average solar data'!W$38</f>
        <v>0</v>
      </c>
      <c r="AB2375" s="135">
        <f>'National average solar data'!X$38</f>
        <v>0</v>
      </c>
      <c r="AC2375" s="135">
        <f>'National average solar data'!Y$38</f>
        <v>0</v>
      </c>
      <c r="AD2375" s="135">
        <f>'National average solar data'!Z$38</f>
        <v>0</v>
      </c>
    </row>
    <row r="2376" spans="1:30" ht="12.6">
      <c r="A2376" s="10" t="s">
        <v>131</v>
      </c>
      <c r="B2376" s="10">
        <v>185</v>
      </c>
      <c r="C2376" s="10" t="s">
        <v>1514</v>
      </c>
      <c r="D2376" s="388">
        <v>45111</v>
      </c>
      <c r="E2376" s="389">
        <v>45111</v>
      </c>
      <c r="G2376" s="135">
        <f>'National average solar data'!C$38</f>
        <v>0</v>
      </c>
      <c r="H2376" s="135">
        <f>'National average solar data'!D$38</f>
        <v>0</v>
      </c>
      <c r="I2376" s="135">
        <f>'National average solar data'!E$38</f>
        <v>0</v>
      </c>
      <c r="J2376" s="135">
        <f>'National average solar data'!F$38</f>
        <v>0</v>
      </c>
      <c r="K2376" s="135">
        <f>'National average solar data'!G$38</f>
        <v>0</v>
      </c>
      <c r="L2376" s="135">
        <f>'National average solar data'!H$38</f>
        <v>0</v>
      </c>
      <c r="M2376" s="135">
        <f>'National average solar data'!I$38</f>
        <v>0</v>
      </c>
      <c r="N2376" s="135">
        <f>'National average solar data'!J$38</f>
        <v>5.3199999999999997E-2</v>
      </c>
      <c r="O2376" s="135">
        <f>'National average solar data'!K$38</f>
        <v>0.49430000000000002</v>
      </c>
      <c r="P2376" s="135">
        <f>'National average solar data'!L$38</f>
        <v>0.65900000000000003</v>
      </c>
      <c r="Q2376" s="135">
        <f>'National average solar data'!M$38</f>
        <v>0.71840000000000004</v>
      </c>
      <c r="R2376" s="135">
        <f>'National average solar data'!N$38</f>
        <v>0.7248</v>
      </c>
      <c r="S2376" s="135">
        <f>'National average solar data'!O$38</f>
        <v>0.71130000000000004</v>
      </c>
      <c r="T2376" s="135">
        <f>'National average solar data'!P$38</f>
        <v>0.7097</v>
      </c>
      <c r="U2376" s="135">
        <f>'National average solar data'!Q$38</f>
        <v>0.68240000000000001</v>
      </c>
      <c r="V2376" s="135">
        <f>'National average solar data'!R$38</f>
        <v>0.63109999999999999</v>
      </c>
      <c r="W2376" s="135">
        <f>'National average solar data'!S$38</f>
        <v>0.43530000000000002</v>
      </c>
      <c r="X2376" s="135">
        <f>'National average solar data'!T$38</f>
        <v>6.8900000000000003E-2</v>
      </c>
      <c r="Y2376" s="135">
        <f>'National average solar data'!U$38</f>
        <v>0</v>
      </c>
      <c r="Z2376" s="135">
        <f>'National average solar data'!V$38</f>
        <v>0</v>
      </c>
      <c r="AA2376" s="135">
        <f>'National average solar data'!W$38</f>
        <v>0</v>
      </c>
      <c r="AB2376" s="135">
        <f>'National average solar data'!X$38</f>
        <v>0</v>
      </c>
      <c r="AC2376" s="135">
        <f>'National average solar data'!Y$38</f>
        <v>0</v>
      </c>
      <c r="AD2376" s="135">
        <f>'National average solar data'!Z$38</f>
        <v>0</v>
      </c>
    </row>
    <row r="2377" spans="1:30" ht="12.6">
      <c r="A2377" s="10" t="s">
        <v>131</v>
      </c>
      <c r="B2377" s="10">
        <v>186</v>
      </c>
      <c r="C2377" s="10" t="s">
        <v>1514</v>
      </c>
      <c r="D2377" s="388">
        <v>45112</v>
      </c>
      <c r="E2377" s="389">
        <v>45112</v>
      </c>
      <c r="G2377" s="135">
        <f>'National average solar data'!C$38</f>
        <v>0</v>
      </c>
      <c r="H2377" s="135">
        <f>'National average solar data'!D$38</f>
        <v>0</v>
      </c>
      <c r="I2377" s="135">
        <f>'National average solar data'!E$38</f>
        <v>0</v>
      </c>
      <c r="J2377" s="135">
        <f>'National average solar data'!F$38</f>
        <v>0</v>
      </c>
      <c r="K2377" s="135">
        <f>'National average solar data'!G$38</f>
        <v>0</v>
      </c>
      <c r="L2377" s="135">
        <f>'National average solar data'!H$38</f>
        <v>0</v>
      </c>
      <c r="M2377" s="135">
        <f>'National average solar data'!I$38</f>
        <v>0</v>
      </c>
      <c r="N2377" s="135">
        <f>'National average solar data'!J$38</f>
        <v>5.3199999999999997E-2</v>
      </c>
      <c r="O2377" s="135">
        <f>'National average solar data'!K$38</f>
        <v>0.49430000000000002</v>
      </c>
      <c r="P2377" s="135">
        <f>'National average solar data'!L$38</f>
        <v>0.65900000000000003</v>
      </c>
      <c r="Q2377" s="135">
        <f>'National average solar data'!M$38</f>
        <v>0.71840000000000004</v>
      </c>
      <c r="R2377" s="135">
        <f>'National average solar data'!N$38</f>
        <v>0.7248</v>
      </c>
      <c r="S2377" s="135">
        <f>'National average solar data'!O$38</f>
        <v>0.71130000000000004</v>
      </c>
      <c r="T2377" s="135">
        <f>'National average solar data'!P$38</f>
        <v>0.7097</v>
      </c>
      <c r="U2377" s="135">
        <f>'National average solar data'!Q$38</f>
        <v>0.68240000000000001</v>
      </c>
      <c r="V2377" s="135">
        <f>'National average solar data'!R$38</f>
        <v>0.63109999999999999</v>
      </c>
      <c r="W2377" s="135">
        <f>'National average solar data'!S$38</f>
        <v>0.43530000000000002</v>
      </c>
      <c r="X2377" s="135">
        <f>'National average solar data'!T$38</f>
        <v>6.8900000000000003E-2</v>
      </c>
      <c r="Y2377" s="135">
        <f>'National average solar data'!U$38</f>
        <v>0</v>
      </c>
      <c r="Z2377" s="135">
        <f>'National average solar data'!V$38</f>
        <v>0</v>
      </c>
      <c r="AA2377" s="135">
        <f>'National average solar data'!W$38</f>
        <v>0</v>
      </c>
      <c r="AB2377" s="135">
        <f>'National average solar data'!X$38</f>
        <v>0</v>
      </c>
      <c r="AC2377" s="135">
        <f>'National average solar data'!Y$38</f>
        <v>0</v>
      </c>
      <c r="AD2377" s="135">
        <f>'National average solar data'!Z$38</f>
        <v>0</v>
      </c>
    </row>
    <row r="2378" spans="1:30" ht="12.6">
      <c r="A2378" s="10" t="s">
        <v>131</v>
      </c>
      <c r="B2378" s="10">
        <v>187</v>
      </c>
      <c r="C2378" s="10" t="s">
        <v>1514</v>
      </c>
      <c r="D2378" s="388">
        <v>45113</v>
      </c>
      <c r="E2378" s="389">
        <v>45113</v>
      </c>
      <c r="G2378" s="135">
        <f>'National average solar data'!C$38</f>
        <v>0</v>
      </c>
      <c r="H2378" s="135">
        <f>'National average solar data'!D$38</f>
        <v>0</v>
      </c>
      <c r="I2378" s="135">
        <f>'National average solar data'!E$38</f>
        <v>0</v>
      </c>
      <c r="J2378" s="135">
        <f>'National average solar data'!F$38</f>
        <v>0</v>
      </c>
      <c r="K2378" s="135">
        <f>'National average solar data'!G$38</f>
        <v>0</v>
      </c>
      <c r="L2378" s="135">
        <f>'National average solar data'!H$38</f>
        <v>0</v>
      </c>
      <c r="M2378" s="135">
        <f>'National average solar data'!I$38</f>
        <v>0</v>
      </c>
      <c r="N2378" s="135">
        <f>'National average solar data'!J$38</f>
        <v>5.3199999999999997E-2</v>
      </c>
      <c r="O2378" s="135">
        <f>'National average solar data'!K$38</f>
        <v>0.49430000000000002</v>
      </c>
      <c r="P2378" s="135">
        <f>'National average solar data'!L$38</f>
        <v>0.65900000000000003</v>
      </c>
      <c r="Q2378" s="135">
        <f>'National average solar data'!M$38</f>
        <v>0.71840000000000004</v>
      </c>
      <c r="R2378" s="135">
        <f>'National average solar data'!N$38</f>
        <v>0.7248</v>
      </c>
      <c r="S2378" s="135">
        <f>'National average solar data'!O$38</f>
        <v>0.71130000000000004</v>
      </c>
      <c r="T2378" s="135">
        <f>'National average solar data'!P$38</f>
        <v>0.7097</v>
      </c>
      <c r="U2378" s="135">
        <f>'National average solar data'!Q$38</f>
        <v>0.68240000000000001</v>
      </c>
      <c r="V2378" s="135">
        <f>'National average solar data'!R$38</f>
        <v>0.63109999999999999</v>
      </c>
      <c r="W2378" s="135">
        <f>'National average solar data'!S$38</f>
        <v>0.43530000000000002</v>
      </c>
      <c r="X2378" s="135">
        <f>'National average solar data'!T$38</f>
        <v>6.8900000000000003E-2</v>
      </c>
      <c r="Y2378" s="135">
        <f>'National average solar data'!U$38</f>
        <v>0</v>
      </c>
      <c r="Z2378" s="135">
        <f>'National average solar data'!V$38</f>
        <v>0</v>
      </c>
      <c r="AA2378" s="135">
        <f>'National average solar data'!W$38</f>
        <v>0</v>
      </c>
      <c r="AB2378" s="135">
        <f>'National average solar data'!X$38</f>
        <v>0</v>
      </c>
      <c r="AC2378" s="135">
        <f>'National average solar data'!Y$38</f>
        <v>0</v>
      </c>
      <c r="AD2378" s="135">
        <f>'National average solar data'!Z$38</f>
        <v>0</v>
      </c>
    </row>
    <row r="2379" spans="1:30" ht="12.6">
      <c r="A2379" s="10" t="s">
        <v>131</v>
      </c>
      <c r="B2379" s="10">
        <v>188</v>
      </c>
      <c r="C2379" s="10" t="s">
        <v>1514</v>
      </c>
      <c r="D2379" s="388">
        <v>45114</v>
      </c>
      <c r="E2379" s="389">
        <v>45114</v>
      </c>
      <c r="G2379" s="135">
        <f>'National average solar data'!C$38</f>
        <v>0</v>
      </c>
      <c r="H2379" s="135">
        <f>'National average solar data'!D$38</f>
        <v>0</v>
      </c>
      <c r="I2379" s="135">
        <f>'National average solar data'!E$38</f>
        <v>0</v>
      </c>
      <c r="J2379" s="135">
        <f>'National average solar data'!F$38</f>
        <v>0</v>
      </c>
      <c r="K2379" s="135">
        <f>'National average solar data'!G$38</f>
        <v>0</v>
      </c>
      <c r="L2379" s="135">
        <f>'National average solar data'!H$38</f>
        <v>0</v>
      </c>
      <c r="M2379" s="135">
        <f>'National average solar data'!I$38</f>
        <v>0</v>
      </c>
      <c r="N2379" s="135">
        <f>'National average solar data'!J$38</f>
        <v>5.3199999999999997E-2</v>
      </c>
      <c r="O2379" s="135">
        <f>'National average solar data'!K$38</f>
        <v>0.49430000000000002</v>
      </c>
      <c r="P2379" s="135">
        <f>'National average solar data'!L$38</f>
        <v>0.65900000000000003</v>
      </c>
      <c r="Q2379" s="135">
        <f>'National average solar data'!M$38</f>
        <v>0.71840000000000004</v>
      </c>
      <c r="R2379" s="135">
        <f>'National average solar data'!N$38</f>
        <v>0.7248</v>
      </c>
      <c r="S2379" s="135">
        <f>'National average solar data'!O$38</f>
        <v>0.71130000000000004</v>
      </c>
      <c r="T2379" s="135">
        <f>'National average solar data'!P$38</f>
        <v>0.7097</v>
      </c>
      <c r="U2379" s="135">
        <f>'National average solar data'!Q$38</f>
        <v>0.68240000000000001</v>
      </c>
      <c r="V2379" s="135">
        <f>'National average solar data'!R$38</f>
        <v>0.63109999999999999</v>
      </c>
      <c r="W2379" s="135">
        <f>'National average solar data'!S$38</f>
        <v>0.43530000000000002</v>
      </c>
      <c r="X2379" s="135">
        <f>'National average solar data'!T$38</f>
        <v>6.8900000000000003E-2</v>
      </c>
      <c r="Y2379" s="135">
        <f>'National average solar data'!U$38</f>
        <v>0</v>
      </c>
      <c r="Z2379" s="135">
        <f>'National average solar data'!V$38</f>
        <v>0</v>
      </c>
      <c r="AA2379" s="135">
        <f>'National average solar data'!W$38</f>
        <v>0</v>
      </c>
      <c r="AB2379" s="135">
        <f>'National average solar data'!X$38</f>
        <v>0</v>
      </c>
      <c r="AC2379" s="135">
        <f>'National average solar data'!Y$38</f>
        <v>0</v>
      </c>
      <c r="AD2379" s="135">
        <f>'National average solar data'!Z$38</f>
        <v>0</v>
      </c>
    </row>
    <row r="2380" spans="1:30" ht="12.6">
      <c r="A2380" s="10" t="s">
        <v>131</v>
      </c>
      <c r="B2380" s="10">
        <v>189</v>
      </c>
      <c r="C2380" s="10" t="s">
        <v>1514</v>
      </c>
      <c r="D2380" s="388">
        <v>45115</v>
      </c>
      <c r="E2380" s="389">
        <v>45115</v>
      </c>
      <c r="G2380" s="135">
        <f>'National average solar data'!C$38</f>
        <v>0</v>
      </c>
      <c r="H2380" s="135">
        <f>'National average solar data'!D$38</f>
        <v>0</v>
      </c>
      <c r="I2380" s="135">
        <f>'National average solar data'!E$38</f>
        <v>0</v>
      </c>
      <c r="J2380" s="135">
        <f>'National average solar data'!F$38</f>
        <v>0</v>
      </c>
      <c r="K2380" s="135">
        <f>'National average solar data'!G$38</f>
        <v>0</v>
      </c>
      <c r="L2380" s="135">
        <f>'National average solar data'!H$38</f>
        <v>0</v>
      </c>
      <c r="M2380" s="135">
        <f>'National average solar data'!I$38</f>
        <v>0</v>
      </c>
      <c r="N2380" s="135">
        <f>'National average solar data'!J$38</f>
        <v>5.3199999999999997E-2</v>
      </c>
      <c r="O2380" s="135">
        <f>'National average solar data'!K$38</f>
        <v>0.49430000000000002</v>
      </c>
      <c r="P2380" s="135">
        <f>'National average solar data'!L$38</f>
        <v>0.65900000000000003</v>
      </c>
      <c r="Q2380" s="135">
        <f>'National average solar data'!M$38</f>
        <v>0.71840000000000004</v>
      </c>
      <c r="R2380" s="135">
        <f>'National average solar data'!N$38</f>
        <v>0.7248</v>
      </c>
      <c r="S2380" s="135">
        <f>'National average solar data'!O$38</f>
        <v>0.71130000000000004</v>
      </c>
      <c r="T2380" s="135">
        <f>'National average solar data'!P$38</f>
        <v>0.7097</v>
      </c>
      <c r="U2380" s="135">
        <f>'National average solar data'!Q$38</f>
        <v>0.68240000000000001</v>
      </c>
      <c r="V2380" s="135">
        <f>'National average solar data'!R$38</f>
        <v>0.63109999999999999</v>
      </c>
      <c r="W2380" s="135">
        <f>'National average solar data'!S$38</f>
        <v>0.43530000000000002</v>
      </c>
      <c r="X2380" s="135">
        <f>'National average solar data'!T$38</f>
        <v>6.8900000000000003E-2</v>
      </c>
      <c r="Y2380" s="135">
        <f>'National average solar data'!U$38</f>
        <v>0</v>
      </c>
      <c r="Z2380" s="135">
        <f>'National average solar data'!V$38</f>
        <v>0</v>
      </c>
      <c r="AA2380" s="135">
        <f>'National average solar data'!W$38</f>
        <v>0</v>
      </c>
      <c r="AB2380" s="135">
        <f>'National average solar data'!X$38</f>
        <v>0</v>
      </c>
      <c r="AC2380" s="135">
        <f>'National average solar data'!Y$38</f>
        <v>0</v>
      </c>
      <c r="AD2380" s="135">
        <f>'National average solar data'!Z$38</f>
        <v>0</v>
      </c>
    </row>
    <row r="2381" spans="1:30" ht="12.6">
      <c r="A2381" s="10" t="s">
        <v>131</v>
      </c>
      <c r="B2381" s="10">
        <v>190</v>
      </c>
      <c r="C2381" s="10" t="s">
        <v>1514</v>
      </c>
      <c r="D2381" s="388">
        <v>45116</v>
      </c>
      <c r="E2381" s="389">
        <v>45116</v>
      </c>
      <c r="G2381" s="135">
        <f>'National average solar data'!C$38</f>
        <v>0</v>
      </c>
      <c r="H2381" s="135">
        <f>'National average solar data'!D$38</f>
        <v>0</v>
      </c>
      <c r="I2381" s="135">
        <f>'National average solar data'!E$38</f>
        <v>0</v>
      </c>
      <c r="J2381" s="135">
        <f>'National average solar data'!F$38</f>
        <v>0</v>
      </c>
      <c r="K2381" s="135">
        <f>'National average solar data'!G$38</f>
        <v>0</v>
      </c>
      <c r="L2381" s="135">
        <f>'National average solar data'!H$38</f>
        <v>0</v>
      </c>
      <c r="M2381" s="135">
        <f>'National average solar data'!I$38</f>
        <v>0</v>
      </c>
      <c r="N2381" s="135">
        <f>'National average solar data'!J$38</f>
        <v>5.3199999999999997E-2</v>
      </c>
      <c r="O2381" s="135">
        <f>'National average solar data'!K$38</f>
        <v>0.49430000000000002</v>
      </c>
      <c r="P2381" s="135">
        <f>'National average solar data'!L$38</f>
        <v>0.65900000000000003</v>
      </c>
      <c r="Q2381" s="135">
        <f>'National average solar data'!M$38</f>
        <v>0.71840000000000004</v>
      </c>
      <c r="R2381" s="135">
        <f>'National average solar data'!N$38</f>
        <v>0.7248</v>
      </c>
      <c r="S2381" s="135">
        <f>'National average solar data'!O$38</f>
        <v>0.71130000000000004</v>
      </c>
      <c r="T2381" s="135">
        <f>'National average solar data'!P$38</f>
        <v>0.7097</v>
      </c>
      <c r="U2381" s="135">
        <f>'National average solar data'!Q$38</f>
        <v>0.68240000000000001</v>
      </c>
      <c r="V2381" s="135">
        <f>'National average solar data'!R$38</f>
        <v>0.63109999999999999</v>
      </c>
      <c r="W2381" s="135">
        <f>'National average solar data'!S$38</f>
        <v>0.43530000000000002</v>
      </c>
      <c r="X2381" s="135">
        <f>'National average solar data'!T$38</f>
        <v>6.8900000000000003E-2</v>
      </c>
      <c r="Y2381" s="135">
        <f>'National average solar data'!U$38</f>
        <v>0</v>
      </c>
      <c r="Z2381" s="135">
        <f>'National average solar data'!V$38</f>
        <v>0</v>
      </c>
      <c r="AA2381" s="135">
        <f>'National average solar data'!W$38</f>
        <v>0</v>
      </c>
      <c r="AB2381" s="135">
        <f>'National average solar data'!X$38</f>
        <v>0</v>
      </c>
      <c r="AC2381" s="135">
        <f>'National average solar data'!Y$38</f>
        <v>0</v>
      </c>
      <c r="AD2381" s="135">
        <f>'National average solar data'!Z$38</f>
        <v>0</v>
      </c>
    </row>
    <row r="2382" spans="1:30" ht="12.6">
      <c r="A2382" s="10" t="s">
        <v>131</v>
      </c>
      <c r="B2382" s="10">
        <v>191</v>
      </c>
      <c r="C2382" s="10" t="s">
        <v>1514</v>
      </c>
      <c r="D2382" s="388">
        <v>45117</v>
      </c>
      <c r="E2382" s="389">
        <v>45117</v>
      </c>
      <c r="G2382" s="135">
        <f>'National average solar data'!C$38</f>
        <v>0</v>
      </c>
      <c r="H2382" s="135">
        <f>'National average solar data'!D$38</f>
        <v>0</v>
      </c>
      <c r="I2382" s="135">
        <f>'National average solar data'!E$38</f>
        <v>0</v>
      </c>
      <c r="J2382" s="135">
        <f>'National average solar data'!F$38</f>
        <v>0</v>
      </c>
      <c r="K2382" s="135">
        <f>'National average solar data'!G$38</f>
        <v>0</v>
      </c>
      <c r="L2382" s="135">
        <f>'National average solar data'!H$38</f>
        <v>0</v>
      </c>
      <c r="M2382" s="135">
        <f>'National average solar data'!I$38</f>
        <v>0</v>
      </c>
      <c r="N2382" s="135">
        <f>'National average solar data'!J$38</f>
        <v>5.3199999999999997E-2</v>
      </c>
      <c r="O2382" s="135">
        <f>'National average solar data'!K$38</f>
        <v>0.49430000000000002</v>
      </c>
      <c r="P2382" s="135">
        <f>'National average solar data'!L$38</f>
        <v>0.65900000000000003</v>
      </c>
      <c r="Q2382" s="135">
        <f>'National average solar data'!M$38</f>
        <v>0.71840000000000004</v>
      </c>
      <c r="R2382" s="135">
        <f>'National average solar data'!N$38</f>
        <v>0.7248</v>
      </c>
      <c r="S2382" s="135">
        <f>'National average solar data'!O$38</f>
        <v>0.71130000000000004</v>
      </c>
      <c r="T2382" s="135">
        <f>'National average solar data'!P$38</f>
        <v>0.7097</v>
      </c>
      <c r="U2382" s="135">
        <f>'National average solar data'!Q$38</f>
        <v>0.68240000000000001</v>
      </c>
      <c r="V2382" s="135">
        <f>'National average solar data'!R$38</f>
        <v>0.63109999999999999</v>
      </c>
      <c r="W2382" s="135">
        <f>'National average solar data'!S$38</f>
        <v>0.43530000000000002</v>
      </c>
      <c r="X2382" s="135">
        <f>'National average solar data'!T$38</f>
        <v>6.8900000000000003E-2</v>
      </c>
      <c r="Y2382" s="135">
        <f>'National average solar data'!U$38</f>
        <v>0</v>
      </c>
      <c r="Z2382" s="135">
        <f>'National average solar data'!V$38</f>
        <v>0</v>
      </c>
      <c r="AA2382" s="135">
        <f>'National average solar data'!W$38</f>
        <v>0</v>
      </c>
      <c r="AB2382" s="135">
        <f>'National average solar data'!X$38</f>
        <v>0</v>
      </c>
      <c r="AC2382" s="135">
        <f>'National average solar data'!Y$38</f>
        <v>0</v>
      </c>
      <c r="AD2382" s="135">
        <f>'National average solar data'!Z$38</f>
        <v>0</v>
      </c>
    </row>
    <row r="2383" spans="1:30" ht="12.6">
      <c r="A2383" s="10" t="s">
        <v>131</v>
      </c>
      <c r="B2383" s="10">
        <v>192</v>
      </c>
      <c r="C2383" s="10" t="s">
        <v>1514</v>
      </c>
      <c r="D2383" s="388">
        <v>45118</v>
      </c>
      <c r="E2383" s="389">
        <v>45118</v>
      </c>
      <c r="G2383" s="135">
        <f>'National average solar data'!C$38</f>
        <v>0</v>
      </c>
      <c r="H2383" s="135">
        <f>'National average solar data'!D$38</f>
        <v>0</v>
      </c>
      <c r="I2383" s="135">
        <f>'National average solar data'!E$38</f>
        <v>0</v>
      </c>
      <c r="J2383" s="135">
        <f>'National average solar data'!F$38</f>
        <v>0</v>
      </c>
      <c r="K2383" s="135">
        <f>'National average solar data'!G$38</f>
        <v>0</v>
      </c>
      <c r="L2383" s="135">
        <f>'National average solar data'!H$38</f>
        <v>0</v>
      </c>
      <c r="M2383" s="135">
        <f>'National average solar data'!I$38</f>
        <v>0</v>
      </c>
      <c r="N2383" s="135">
        <f>'National average solar data'!J$38</f>
        <v>5.3199999999999997E-2</v>
      </c>
      <c r="O2383" s="135">
        <f>'National average solar data'!K$38</f>
        <v>0.49430000000000002</v>
      </c>
      <c r="P2383" s="135">
        <f>'National average solar data'!L$38</f>
        <v>0.65900000000000003</v>
      </c>
      <c r="Q2383" s="135">
        <f>'National average solar data'!M$38</f>
        <v>0.71840000000000004</v>
      </c>
      <c r="R2383" s="135">
        <f>'National average solar data'!N$38</f>
        <v>0.7248</v>
      </c>
      <c r="S2383" s="135">
        <f>'National average solar data'!O$38</f>
        <v>0.71130000000000004</v>
      </c>
      <c r="T2383" s="135">
        <f>'National average solar data'!P$38</f>
        <v>0.7097</v>
      </c>
      <c r="U2383" s="135">
        <f>'National average solar data'!Q$38</f>
        <v>0.68240000000000001</v>
      </c>
      <c r="V2383" s="135">
        <f>'National average solar data'!R$38</f>
        <v>0.63109999999999999</v>
      </c>
      <c r="W2383" s="135">
        <f>'National average solar data'!S$38</f>
        <v>0.43530000000000002</v>
      </c>
      <c r="X2383" s="135">
        <f>'National average solar data'!T$38</f>
        <v>6.8900000000000003E-2</v>
      </c>
      <c r="Y2383" s="135">
        <f>'National average solar data'!U$38</f>
        <v>0</v>
      </c>
      <c r="Z2383" s="135">
        <f>'National average solar data'!V$38</f>
        <v>0</v>
      </c>
      <c r="AA2383" s="135">
        <f>'National average solar data'!W$38</f>
        <v>0</v>
      </c>
      <c r="AB2383" s="135">
        <f>'National average solar data'!X$38</f>
        <v>0</v>
      </c>
      <c r="AC2383" s="135">
        <f>'National average solar data'!Y$38</f>
        <v>0</v>
      </c>
      <c r="AD2383" s="135">
        <f>'National average solar data'!Z$38</f>
        <v>0</v>
      </c>
    </row>
    <row r="2384" spans="1:30" ht="12.6">
      <c r="A2384" s="10" t="s">
        <v>131</v>
      </c>
      <c r="B2384" s="10">
        <v>193</v>
      </c>
      <c r="C2384" s="10" t="s">
        <v>1514</v>
      </c>
      <c r="D2384" s="388">
        <v>45119</v>
      </c>
      <c r="E2384" s="389">
        <v>45119</v>
      </c>
      <c r="G2384" s="135">
        <f>'National average solar data'!C$38</f>
        <v>0</v>
      </c>
      <c r="H2384" s="135">
        <f>'National average solar data'!D$38</f>
        <v>0</v>
      </c>
      <c r="I2384" s="135">
        <f>'National average solar data'!E$38</f>
        <v>0</v>
      </c>
      <c r="J2384" s="135">
        <f>'National average solar data'!F$38</f>
        <v>0</v>
      </c>
      <c r="K2384" s="135">
        <f>'National average solar data'!G$38</f>
        <v>0</v>
      </c>
      <c r="L2384" s="135">
        <f>'National average solar data'!H$38</f>
        <v>0</v>
      </c>
      <c r="M2384" s="135">
        <f>'National average solar data'!I$38</f>
        <v>0</v>
      </c>
      <c r="N2384" s="135">
        <f>'National average solar data'!J$38</f>
        <v>5.3199999999999997E-2</v>
      </c>
      <c r="O2384" s="135">
        <f>'National average solar data'!K$38</f>
        <v>0.49430000000000002</v>
      </c>
      <c r="P2384" s="135">
        <f>'National average solar data'!L$38</f>
        <v>0.65900000000000003</v>
      </c>
      <c r="Q2384" s="135">
        <f>'National average solar data'!M$38</f>
        <v>0.71840000000000004</v>
      </c>
      <c r="R2384" s="135">
        <f>'National average solar data'!N$38</f>
        <v>0.7248</v>
      </c>
      <c r="S2384" s="135">
        <f>'National average solar data'!O$38</f>
        <v>0.71130000000000004</v>
      </c>
      <c r="T2384" s="135">
        <f>'National average solar data'!P$38</f>
        <v>0.7097</v>
      </c>
      <c r="U2384" s="135">
        <f>'National average solar data'!Q$38</f>
        <v>0.68240000000000001</v>
      </c>
      <c r="V2384" s="135">
        <f>'National average solar data'!R$38</f>
        <v>0.63109999999999999</v>
      </c>
      <c r="W2384" s="135">
        <f>'National average solar data'!S$38</f>
        <v>0.43530000000000002</v>
      </c>
      <c r="X2384" s="135">
        <f>'National average solar data'!T$38</f>
        <v>6.8900000000000003E-2</v>
      </c>
      <c r="Y2384" s="135">
        <f>'National average solar data'!U$38</f>
        <v>0</v>
      </c>
      <c r="Z2384" s="135">
        <f>'National average solar data'!V$38</f>
        <v>0</v>
      </c>
      <c r="AA2384" s="135">
        <f>'National average solar data'!W$38</f>
        <v>0</v>
      </c>
      <c r="AB2384" s="135">
        <f>'National average solar data'!X$38</f>
        <v>0</v>
      </c>
      <c r="AC2384" s="135">
        <f>'National average solar data'!Y$38</f>
        <v>0</v>
      </c>
      <c r="AD2384" s="135">
        <f>'National average solar data'!Z$38</f>
        <v>0</v>
      </c>
    </row>
    <row r="2385" spans="1:30" ht="12.6">
      <c r="A2385" s="10" t="s">
        <v>131</v>
      </c>
      <c r="B2385" s="10">
        <v>194</v>
      </c>
      <c r="C2385" s="10" t="s">
        <v>1514</v>
      </c>
      <c r="D2385" s="388">
        <v>45120</v>
      </c>
      <c r="E2385" s="389">
        <v>45120</v>
      </c>
      <c r="G2385" s="135">
        <f>'National average solar data'!C$38</f>
        <v>0</v>
      </c>
      <c r="H2385" s="135">
        <f>'National average solar data'!D$38</f>
        <v>0</v>
      </c>
      <c r="I2385" s="135">
        <f>'National average solar data'!E$38</f>
        <v>0</v>
      </c>
      <c r="J2385" s="135">
        <f>'National average solar data'!F$38</f>
        <v>0</v>
      </c>
      <c r="K2385" s="135">
        <f>'National average solar data'!G$38</f>
        <v>0</v>
      </c>
      <c r="L2385" s="135">
        <f>'National average solar data'!H$38</f>
        <v>0</v>
      </c>
      <c r="M2385" s="135">
        <f>'National average solar data'!I$38</f>
        <v>0</v>
      </c>
      <c r="N2385" s="135">
        <f>'National average solar data'!J$38</f>
        <v>5.3199999999999997E-2</v>
      </c>
      <c r="O2385" s="135">
        <f>'National average solar data'!K$38</f>
        <v>0.49430000000000002</v>
      </c>
      <c r="P2385" s="135">
        <f>'National average solar data'!L$38</f>
        <v>0.65900000000000003</v>
      </c>
      <c r="Q2385" s="135">
        <f>'National average solar data'!M$38</f>
        <v>0.71840000000000004</v>
      </c>
      <c r="R2385" s="135">
        <f>'National average solar data'!N$38</f>
        <v>0.7248</v>
      </c>
      <c r="S2385" s="135">
        <f>'National average solar data'!O$38</f>
        <v>0.71130000000000004</v>
      </c>
      <c r="T2385" s="135">
        <f>'National average solar data'!P$38</f>
        <v>0.7097</v>
      </c>
      <c r="U2385" s="135">
        <f>'National average solar data'!Q$38</f>
        <v>0.68240000000000001</v>
      </c>
      <c r="V2385" s="135">
        <f>'National average solar data'!R$38</f>
        <v>0.63109999999999999</v>
      </c>
      <c r="W2385" s="135">
        <f>'National average solar data'!S$38</f>
        <v>0.43530000000000002</v>
      </c>
      <c r="X2385" s="135">
        <f>'National average solar data'!T$38</f>
        <v>6.8900000000000003E-2</v>
      </c>
      <c r="Y2385" s="135">
        <f>'National average solar data'!U$38</f>
        <v>0</v>
      </c>
      <c r="Z2385" s="135">
        <f>'National average solar data'!V$38</f>
        <v>0</v>
      </c>
      <c r="AA2385" s="135">
        <f>'National average solar data'!W$38</f>
        <v>0</v>
      </c>
      <c r="AB2385" s="135">
        <f>'National average solar data'!X$38</f>
        <v>0</v>
      </c>
      <c r="AC2385" s="135">
        <f>'National average solar data'!Y$38</f>
        <v>0</v>
      </c>
      <c r="AD2385" s="135">
        <f>'National average solar data'!Z$38</f>
        <v>0</v>
      </c>
    </row>
    <row r="2386" spans="1:30" ht="12.6">
      <c r="A2386" s="10" t="s">
        <v>131</v>
      </c>
      <c r="B2386" s="10">
        <v>195</v>
      </c>
      <c r="C2386" s="10" t="s">
        <v>1514</v>
      </c>
      <c r="D2386" s="388">
        <v>45121</v>
      </c>
      <c r="E2386" s="389">
        <v>45121</v>
      </c>
      <c r="G2386" s="135">
        <f>'National average solar data'!C$38</f>
        <v>0</v>
      </c>
      <c r="H2386" s="135">
        <f>'National average solar data'!D$38</f>
        <v>0</v>
      </c>
      <c r="I2386" s="135">
        <f>'National average solar data'!E$38</f>
        <v>0</v>
      </c>
      <c r="J2386" s="135">
        <f>'National average solar data'!F$38</f>
        <v>0</v>
      </c>
      <c r="K2386" s="135">
        <f>'National average solar data'!G$38</f>
        <v>0</v>
      </c>
      <c r="L2386" s="135">
        <f>'National average solar data'!H$38</f>
        <v>0</v>
      </c>
      <c r="M2386" s="135">
        <f>'National average solar data'!I$38</f>
        <v>0</v>
      </c>
      <c r="N2386" s="135">
        <f>'National average solar data'!J$38</f>
        <v>5.3199999999999997E-2</v>
      </c>
      <c r="O2386" s="135">
        <f>'National average solar data'!K$38</f>
        <v>0.49430000000000002</v>
      </c>
      <c r="P2386" s="135">
        <f>'National average solar data'!L$38</f>
        <v>0.65900000000000003</v>
      </c>
      <c r="Q2386" s="135">
        <f>'National average solar data'!M$38</f>
        <v>0.71840000000000004</v>
      </c>
      <c r="R2386" s="135">
        <f>'National average solar data'!N$38</f>
        <v>0.7248</v>
      </c>
      <c r="S2386" s="135">
        <f>'National average solar data'!O$38</f>
        <v>0.71130000000000004</v>
      </c>
      <c r="T2386" s="135">
        <f>'National average solar data'!P$38</f>
        <v>0.7097</v>
      </c>
      <c r="U2386" s="135">
        <f>'National average solar data'!Q$38</f>
        <v>0.68240000000000001</v>
      </c>
      <c r="V2386" s="135">
        <f>'National average solar data'!R$38</f>
        <v>0.63109999999999999</v>
      </c>
      <c r="W2386" s="135">
        <f>'National average solar data'!S$38</f>
        <v>0.43530000000000002</v>
      </c>
      <c r="X2386" s="135">
        <f>'National average solar data'!T$38</f>
        <v>6.8900000000000003E-2</v>
      </c>
      <c r="Y2386" s="135">
        <f>'National average solar data'!U$38</f>
        <v>0</v>
      </c>
      <c r="Z2386" s="135">
        <f>'National average solar data'!V$38</f>
        <v>0</v>
      </c>
      <c r="AA2386" s="135">
        <f>'National average solar data'!W$38</f>
        <v>0</v>
      </c>
      <c r="AB2386" s="135">
        <f>'National average solar data'!X$38</f>
        <v>0</v>
      </c>
      <c r="AC2386" s="135">
        <f>'National average solar data'!Y$38</f>
        <v>0</v>
      </c>
      <c r="AD2386" s="135">
        <f>'National average solar data'!Z$38</f>
        <v>0</v>
      </c>
    </row>
    <row r="2387" spans="1:30" ht="12.6">
      <c r="A2387" s="10" t="s">
        <v>131</v>
      </c>
      <c r="B2387" s="10">
        <v>196</v>
      </c>
      <c r="C2387" s="10" t="s">
        <v>1514</v>
      </c>
      <c r="D2387" s="388">
        <v>45122</v>
      </c>
      <c r="E2387" s="389">
        <v>45122</v>
      </c>
      <c r="G2387" s="135">
        <f>'National average solar data'!C$38</f>
        <v>0</v>
      </c>
      <c r="H2387" s="135">
        <f>'National average solar data'!D$38</f>
        <v>0</v>
      </c>
      <c r="I2387" s="135">
        <f>'National average solar data'!E$38</f>
        <v>0</v>
      </c>
      <c r="J2387" s="135">
        <f>'National average solar data'!F$38</f>
        <v>0</v>
      </c>
      <c r="K2387" s="135">
        <f>'National average solar data'!G$38</f>
        <v>0</v>
      </c>
      <c r="L2387" s="135">
        <f>'National average solar data'!H$38</f>
        <v>0</v>
      </c>
      <c r="M2387" s="135">
        <f>'National average solar data'!I$38</f>
        <v>0</v>
      </c>
      <c r="N2387" s="135">
        <f>'National average solar data'!J$38</f>
        <v>5.3199999999999997E-2</v>
      </c>
      <c r="O2387" s="135">
        <f>'National average solar data'!K$38</f>
        <v>0.49430000000000002</v>
      </c>
      <c r="P2387" s="135">
        <f>'National average solar data'!L$38</f>
        <v>0.65900000000000003</v>
      </c>
      <c r="Q2387" s="135">
        <f>'National average solar data'!M$38</f>
        <v>0.71840000000000004</v>
      </c>
      <c r="R2387" s="135">
        <f>'National average solar data'!N$38</f>
        <v>0.7248</v>
      </c>
      <c r="S2387" s="135">
        <f>'National average solar data'!O$38</f>
        <v>0.71130000000000004</v>
      </c>
      <c r="T2387" s="135">
        <f>'National average solar data'!P$38</f>
        <v>0.7097</v>
      </c>
      <c r="U2387" s="135">
        <f>'National average solar data'!Q$38</f>
        <v>0.68240000000000001</v>
      </c>
      <c r="V2387" s="135">
        <f>'National average solar data'!R$38</f>
        <v>0.63109999999999999</v>
      </c>
      <c r="W2387" s="135">
        <f>'National average solar data'!S$38</f>
        <v>0.43530000000000002</v>
      </c>
      <c r="X2387" s="135">
        <f>'National average solar data'!T$38</f>
        <v>6.8900000000000003E-2</v>
      </c>
      <c r="Y2387" s="135">
        <f>'National average solar data'!U$38</f>
        <v>0</v>
      </c>
      <c r="Z2387" s="135">
        <f>'National average solar data'!V$38</f>
        <v>0</v>
      </c>
      <c r="AA2387" s="135">
        <f>'National average solar data'!W$38</f>
        <v>0</v>
      </c>
      <c r="AB2387" s="135">
        <f>'National average solar data'!X$38</f>
        <v>0</v>
      </c>
      <c r="AC2387" s="135">
        <f>'National average solar data'!Y$38</f>
        <v>0</v>
      </c>
      <c r="AD2387" s="135">
        <f>'National average solar data'!Z$38</f>
        <v>0</v>
      </c>
    </row>
    <row r="2388" spans="1:30" ht="12.6">
      <c r="A2388" s="10" t="s">
        <v>131</v>
      </c>
      <c r="B2388" s="10">
        <v>197</v>
      </c>
      <c r="C2388" s="10" t="s">
        <v>1514</v>
      </c>
      <c r="D2388" s="388">
        <v>45123</v>
      </c>
      <c r="E2388" s="389">
        <v>45123</v>
      </c>
      <c r="G2388" s="135">
        <f>'National average solar data'!C$38</f>
        <v>0</v>
      </c>
      <c r="H2388" s="135">
        <f>'National average solar data'!D$38</f>
        <v>0</v>
      </c>
      <c r="I2388" s="135">
        <f>'National average solar data'!E$38</f>
        <v>0</v>
      </c>
      <c r="J2388" s="135">
        <f>'National average solar data'!F$38</f>
        <v>0</v>
      </c>
      <c r="K2388" s="135">
        <f>'National average solar data'!G$38</f>
        <v>0</v>
      </c>
      <c r="L2388" s="135">
        <f>'National average solar data'!H$38</f>
        <v>0</v>
      </c>
      <c r="M2388" s="135">
        <f>'National average solar data'!I$38</f>
        <v>0</v>
      </c>
      <c r="N2388" s="135">
        <f>'National average solar data'!J$38</f>
        <v>5.3199999999999997E-2</v>
      </c>
      <c r="O2388" s="135">
        <f>'National average solar data'!K$38</f>
        <v>0.49430000000000002</v>
      </c>
      <c r="P2388" s="135">
        <f>'National average solar data'!L$38</f>
        <v>0.65900000000000003</v>
      </c>
      <c r="Q2388" s="135">
        <f>'National average solar data'!M$38</f>
        <v>0.71840000000000004</v>
      </c>
      <c r="R2388" s="135">
        <f>'National average solar data'!N$38</f>
        <v>0.7248</v>
      </c>
      <c r="S2388" s="135">
        <f>'National average solar data'!O$38</f>
        <v>0.71130000000000004</v>
      </c>
      <c r="T2388" s="135">
        <f>'National average solar data'!P$38</f>
        <v>0.7097</v>
      </c>
      <c r="U2388" s="135">
        <f>'National average solar data'!Q$38</f>
        <v>0.68240000000000001</v>
      </c>
      <c r="V2388" s="135">
        <f>'National average solar data'!R$38</f>
        <v>0.63109999999999999</v>
      </c>
      <c r="W2388" s="135">
        <f>'National average solar data'!S$38</f>
        <v>0.43530000000000002</v>
      </c>
      <c r="X2388" s="135">
        <f>'National average solar data'!T$38</f>
        <v>6.8900000000000003E-2</v>
      </c>
      <c r="Y2388" s="135">
        <f>'National average solar data'!U$38</f>
        <v>0</v>
      </c>
      <c r="Z2388" s="135">
        <f>'National average solar data'!V$38</f>
        <v>0</v>
      </c>
      <c r="AA2388" s="135">
        <f>'National average solar data'!W$38</f>
        <v>0</v>
      </c>
      <c r="AB2388" s="135">
        <f>'National average solar data'!X$38</f>
        <v>0</v>
      </c>
      <c r="AC2388" s="135">
        <f>'National average solar data'!Y$38</f>
        <v>0</v>
      </c>
      <c r="AD2388" s="135">
        <f>'National average solar data'!Z$38</f>
        <v>0</v>
      </c>
    </row>
    <row r="2389" spans="1:30" ht="12.6">
      <c r="A2389" s="10" t="s">
        <v>131</v>
      </c>
      <c r="B2389" s="10">
        <v>198</v>
      </c>
      <c r="C2389" s="10" t="s">
        <v>1514</v>
      </c>
      <c r="D2389" s="388">
        <v>45124</v>
      </c>
      <c r="E2389" s="389">
        <v>45124</v>
      </c>
      <c r="G2389" s="135">
        <f>'National average solar data'!C$38</f>
        <v>0</v>
      </c>
      <c r="H2389" s="135">
        <f>'National average solar data'!D$38</f>
        <v>0</v>
      </c>
      <c r="I2389" s="135">
        <f>'National average solar data'!E$38</f>
        <v>0</v>
      </c>
      <c r="J2389" s="135">
        <f>'National average solar data'!F$38</f>
        <v>0</v>
      </c>
      <c r="K2389" s="135">
        <f>'National average solar data'!G$38</f>
        <v>0</v>
      </c>
      <c r="L2389" s="135">
        <f>'National average solar data'!H$38</f>
        <v>0</v>
      </c>
      <c r="M2389" s="135">
        <f>'National average solar data'!I$38</f>
        <v>0</v>
      </c>
      <c r="N2389" s="135">
        <f>'National average solar data'!J$38</f>
        <v>5.3199999999999997E-2</v>
      </c>
      <c r="O2389" s="135">
        <f>'National average solar data'!K$38</f>
        <v>0.49430000000000002</v>
      </c>
      <c r="P2389" s="135">
        <f>'National average solar data'!L$38</f>
        <v>0.65900000000000003</v>
      </c>
      <c r="Q2389" s="135">
        <f>'National average solar data'!M$38</f>
        <v>0.71840000000000004</v>
      </c>
      <c r="R2389" s="135">
        <f>'National average solar data'!N$38</f>
        <v>0.7248</v>
      </c>
      <c r="S2389" s="135">
        <f>'National average solar data'!O$38</f>
        <v>0.71130000000000004</v>
      </c>
      <c r="T2389" s="135">
        <f>'National average solar data'!P$38</f>
        <v>0.7097</v>
      </c>
      <c r="U2389" s="135">
        <f>'National average solar data'!Q$38</f>
        <v>0.68240000000000001</v>
      </c>
      <c r="V2389" s="135">
        <f>'National average solar data'!R$38</f>
        <v>0.63109999999999999</v>
      </c>
      <c r="W2389" s="135">
        <f>'National average solar data'!S$38</f>
        <v>0.43530000000000002</v>
      </c>
      <c r="X2389" s="135">
        <f>'National average solar data'!T$38</f>
        <v>6.8900000000000003E-2</v>
      </c>
      <c r="Y2389" s="135">
        <f>'National average solar data'!U$38</f>
        <v>0</v>
      </c>
      <c r="Z2389" s="135">
        <f>'National average solar data'!V$38</f>
        <v>0</v>
      </c>
      <c r="AA2389" s="135">
        <f>'National average solar data'!W$38</f>
        <v>0</v>
      </c>
      <c r="AB2389" s="135">
        <f>'National average solar data'!X$38</f>
        <v>0</v>
      </c>
      <c r="AC2389" s="135">
        <f>'National average solar data'!Y$38</f>
        <v>0</v>
      </c>
      <c r="AD2389" s="135">
        <f>'National average solar data'!Z$38</f>
        <v>0</v>
      </c>
    </row>
    <row r="2390" spans="1:30" ht="12.6">
      <c r="A2390" s="10" t="s">
        <v>131</v>
      </c>
      <c r="B2390" s="10">
        <v>199</v>
      </c>
      <c r="C2390" s="10" t="s">
        <v>1514</v>
      </c>
      <c r="D2390" s="388">
        <v>45125</v>
      </c>
      <c r="E2390" s="389">
        <v>45125</v>
      </c>
      <c r="G2390" s="135">
        <f>'National average solar data'!C$38</f>
        <v>0</v>
      </c>
      <c r="H2390" s="135">
        <f>'National average solar data'!D$38</f>
        <v>0</v>
      </c>
      <c r="I2390" s="135">
        <f>'National average solar data'!E$38</f>
        <v>0</v>
      </c>
      <c r="J2390" s="135">
        <f>'National average solar data'!F$38</f>
        <v>0</v>
      </c>
      <c r="K2390" s="135">
        <f>'National average solar data'!G$38</f>
        <v>0</v>
      </c>
      <c r="L2390" s="135">
        <f>'National average solar data'!H$38</f>
        <v>0</v>
      </c>
      <c r="M2390" s="135">
        <f>'National average solar data'!I$38</f>
        <v>0</v>
      </c>
      <c r="N2390" s="135">
        <f>'National average solar data'!J$38</f>
        <v>5.3199999999999997E-2</v>
      </c>
      <c r="O2390" s="135">
        <f>'National average solar data'!K$38</f>
        <v>0.49430000000000002</v>
      </c>
      <c r="P2390" s="135">
        <f>'National average solar data'!L$38</f>
        <v>0.65900000000000003</v>
      </c>
      <c r="Q2390" s="135">
        <f>'National average solar data'!M$38</f>
        <v>0.71840000000000004</v>
      </c>
      <c r="R2390" s="135">
        <f>'National average solar data'!N$38</f>
        <v>0.7248</v>
      </c>
      <c r="S2390" s="135">
        <f>'National average solar data'!O$38</f>
        <v>0.71130000000000004</v>
      </c>
      <c r="T2390" s="135">
        <f>'National average solar data'!P$38</f>
        <v>0.7097</v>
      </c>
      <c r="U2390" s="135">
        <f>'National average solar data'!Q$38</f>
        <v>0.68240000000000001</v>
      </c>
      <c r="V2390" s="135">
        <f>'National average solar data'!R$38</f>
        <v>0.63109999999999999</v>
      </c>
      <c r="W2390" s="135">
        <f>'National average solar data'!S$38</f>
        <v>0.43530000000000002</v>
      </c>
      <c r="X2390" s="135">
        <f>'National average solar data'!T$38</f>
        <v>6.8900000000000003E-2</v>
      </c>
      <c r="Y2390" s="135">
        <f>'National average solar data'!U$38</f>
        <v>0</v>
      </c>
      <c r="Z2390" s="135">
        <f>'National average solar data'!V$38</f>
        <v>0</v>
      </c>
      <c r="AA2390" s="135">
        <f>'National average solar data'!W$38</f>
        <v>0</v>
      </c>
      <c r="AB2390" s="135">
        <f>'National average solar data'!X$38</f>
        <v>0</v>
      </c>
      <c r="AC2390" s="135">
        <f>'National average solar data'!Y$38</f>
        <v>0</v>
      </c>
      <c r="AD2390" s="135">
        <f>'National average solar data'!Z$38</f>
        <v>0</v>
      </c>
    </row>
    <row r="2391" spans="1:30" ht="12.6">
      <c r="A2391" s="10" t="s">
        <v>131</v>
      </c>
      <c r="B2391" s="10">
        <v>200</v>
      </c>
      <c r="C2391" s="10" t="s">
        <v>1514</v>
      </c>
      <c r="D2391" s="388">
        <v>45126</v>
      </c>
      <c r="E2391" s="389">
        <v>45126</v>
      </c>
      <c r="G2391" s="135">
        <f>'National average solar data'!C$38</f>
        <v>0</v>
      </c>
      <c r="H2391" s="135">
        <f>'National average solar data'!D$38</f>
        <v>0</v>
      </c>
      <c r="I2391" s="135">
        <f>'National average solar data'!E$38</f>
        <v>0</v>
      </c>
      <c r="J2391" s="135">
        <f>'National average solar data'!F$38</f>
        <v>0</v>
      </c>
      <c r="K2391" s="135">
        <f>'National average solar data'!G$38</f>
        <v>0</v>
      </c>
      <c r="L2391" s="135">
        <f>'National average solar data'!H$38</f>
        <v>0</v>
      </c>
      <c r="M2391" s="135">
        <f>'National average solar data'!I$38</f>
        <v>0</v>
      </c>
      <c r="N2391" s="135">
        <f>'National average solar data'!J$38</f>
        <v>5.3199999999999997E-2</v>
      </c>
      <c r="O2391" s="135">
        <f>'National average solar data'!K$38</f>
        <v>0.49430000000000002</v>
      </c>
      <c r="P2391" s="135">
        <f>'National average solar data'!L$38</f>
        <v>0.65900000000000003</v>
      </c>
      <c r="Q2391" s="135">
        <f>'National average solar data'!M$38</f>
        <v>0.71840000000000004</v>
      </c>
      <c r="R2391" s="135">
        <f>'National average solar data'!N$38</f>
        <v>0.7248</v>
      </c>
      <c r="S2391" s="135">
        <f>'National average solar data'!O$38</f>
        <v>0.71130000000000004</v>
      </c>
      <c r="T2391" s="135">
        <f>'National average solar data'!P$38</f>
        <v>0.7097</v>
      </c>
      <c r="U2391" s="135">
        <f>'National average solar data'!Q$38</f>
        <v>0.68240000000000001</v>
      </c>
      <c r="V2391" s="135">
        <f>'National average solar data'!R$38</f>
        <v>0.63109999999999999</v>
      </c>
      <c r="W2391" s="135">
        <f>'National average solar data'!S$38</f>
        <v>0.43530000000000002</v>
      </c>
      <c r="X2391" s="135">
        <f>'National average solar data'!T$38</f>
        <v>6.8900000000000003E-2</v>
      </c>
      <c r="Y2391" s="135">
        <f>'National average solar data'!U$38</f>
        <v>0</v>
      </c>
      <c r="Z2391" s="135">
        <f>'National average solar data'!V$38</f>
        <v>0</v>
      </c>
      <c r="AA2391" s="135">
        <f>'National average solar data'!W$38</f>
        <v>0</v>
      </c>
      <c r="AB2391" s="135">
        <f>'National average solar data'!X$38</f>
        <v>0</v>
      </c>
      <c r="AC2391" s="135">
        <f>'National average solar data'!Y$38</f>
        <v>0</v>
      </c>
      <c r="AD2391" s="135">
        <f>'National average solar data'!Z$38</f>
        <v>0</v>
      </c>
    </row>
    <row r="2392" spans="1:30" ht="12.6">
      <c r="A2392" s="10" t="s">
        <v>131</v>
      </c>
      <c r="B2392" s="10">
        <v>201</v>
      </c>
      <c r="C2392" s="10" t="s">
        <v>1514</v>
      </c>
      <c r="D2392" s="388">
        <v>45127</v>
      </c>
      <c r="E2392" s="389">
        <v>45127</v>
      </c>
      <c r="G2392" s="135">
        <f>'National average solar data'!C$38</f>
        <v>0</v>
      </c>
      <c r="H2392" s="135">
        <f>'National average solar data'!D$38</f>
        <v>0</v>
      </c>
      <c r="I2392" s="135">
        <f>'National average solar data'!E$38</f>
        <v>0</v>
      </c>
      <c r="J2392" s="135">
        <f>'National average solar data'!F$38</f>
        <v>0</v>
      </c>
      <c r="K2392" s="135">
        <f>'National average solar data'!G$38</f>
        <v>0</v>
      </c>
      <c r="L2392" s="135">
        <f>'National average solar data'!H$38</f>
        <v>0</v>
      </c>
      <c r="M2392" s="135">
        <f>'National average solar data'!I$38</f>
        <v>0</v>
      </c>
      <c r="N2392" s="135">
        <f>'National average solar data'!J$38</f>
        <v>5.3199999999999997E-2</v>
      </c>
      <c r="O2392" s="135">
        <f>'National average solar data'!K$38</f>
        <v>0.49430000000000002</v>
      </c>
      <c r="P2392" s="135">
        <f>'National average solar data'!L$38</f>
        <v>0.65900000000000003</v>
      </c>
      <c r="Q2392" s="135">
        <f>'National average solar data'!M$38</f>
        <v>0.71840000000000004</v>
      </c>
      <c r="R2392" s="135">
        <f>'National average solar data'!N$38</f>
        <v>0.7248</v>
      </c>
      <c r="S2392" s="135">
        <f>'National average solar data'!O$38</f>
        <v>0.71130000000000004</v>
      </c>
      <c r="T2392" s="135">
        <f>'National average solar data'!P$38</f>
        <v>0.7097</v>
      </c>
      <c r="U2392" s="135">
        <f>'National average solar data'!Q$38</f>
        <v>0.68240000000000001</v>
      </c>
      <c r="V2392" s="135">
        <f>'National average solar data'!R$38</f>
        <v>0.63109999999999999</v>
      </c>
      <c r="W2392" s="135">
        <f>'National average solar data'!S$38</f>
        <v>0.43530000000000002</v>
      </c>
      <c r="X2392" s="135">
        <f>'National average solar data'!T$38</f>
        <v>6.8900000000000003E-2</v>
      </c>
      <c r="Y2392" s="135">
        <f>'National average solar data'!U$38</f>
        <v>0</v>
      </c>
      <c r="Z2392" s="135">
        <f>'National average solar data'!V$38</f>
        <v>0</v>
      </c>
      <c r="AA2392" s="135">
        <f>'National average solar data'!W$38</f>
        <v>0</v>
      </c>
      <c r="AB2392" s="135">
        <f>'National average solar data'!X$38</f>
        <v>0</v>
      </c>
      <c r="AC2392" s="135">
        <f>'National average solar data'!Y$38</f>
        <v>0</v>
      </c>
      <c r="AD2392" s="135">
        <f>'National average solar data'!Z$38</f>
        <v>0</v>
      </c>
    </row>
    <row r="2393" spans="1:30" ht="12.6">
      <c r="A2393" s="10" t="s">
        <v>131</v>
      </c>
      <c r="B2393" s="10">
        <v>202</v>
      </c>
      <c r="C2393" s="10" t="s">
        <v>1514</v>
      </c>
      <c r="D2393" s="388">
        <v>45128</v>
      </c>
      <c r="E2393" s="389">
        <v>45128</v>
      </c>
      <c r="G2393" s="135">
        <f>'National average solar data'!C$38</f>
        <v>0</v>
      </c>
      <c r="H2393" s="135">
        <f>'National average solar data'!D$38</f>
        <v>0</v>
      </c>
      <c r="I2393" s="135">
        <f>'National average solar data'!E$38</f>
        <v>0</v>
      </c>
      <c r="J2393" s="135">
        <f>'National average solar data'!F$38</f>
        <v>0</v>
      </c>
      <c r="K2393" s="135">
        <f>'National average solar data'!G$38</f>
        <v>0</v>
      </c>
      <c r="L2393" s="135">
        <f>'National average solar data'!H$38</f>
        <v>0</v>
      </c>
      <c r="M2393" s="135">
        <f>'National average solar data'!I$38</f>
        <v>0</v>
      </c>
      <c r="N2393" s="135">
        <f>'National average solar data'!J$38</f>
        <v>5.3199999999999997E-2</v>
      </c>
      <c r="O2393" s="135">
        <f>'National average solar data'!K$38</f>
        <v>0.49430000000000002</v>
      </c>
      <c r="P2393" s="135">
        <f>'National average solar data'!L$38</f>
        <v>0.65900000000000003</v>
      </c>
      <c r="Q2393" s="135">
        <f>'National average solar data'!M$38</f>
        <v>0.71840000000000004</v>
      </c>
      <c r="R2393" s="135">
        <f>'National average solar data'!N$38</f>
        <v>0.7248</v>
      </c>
      <c r="S2393" s="135">
        <f>'National average solar data'!O$38</f>
        <v>0.71130000000000004</v>
      </c>
      <c r="T2393" s="135">
        <f>'National average solar data'!P$38</f>
        <v>0.7097</v>
      </c>
      <c r="U2393" s="135">
        <f>'National average solar data'!Q$38</f>
        <v>0.68240000000000001</v>
      </c>
      <c r="V2393" s="135">
        <f>'National average solar data'!R$38</f>
        <v>0.63109999999999999</v>
      </c>
      <c r="W2393" s="135">
        <f>'National average solar data'!S$38</f>
        <v>0.43530000000000002</v>
      </c>
      <c r="X2393" s="135">
        <f>'National average solar data'!T$38</f>
        <v>6.8900000000000003E-2</v>
      </c>
      <c r="Y2393" s="135">
        <f>'National average solar data'!U$38</f>
        <v>0</v>
      </c>
      <c r="Z2393" s="135">
        <f>'National average solar data'!V$38</f>
        <v>0</v>
      </c>
      <c r="AA2393" s="135">
        <f>'National average solar data'!W$38</f>
        <v>0</v>
      </c>
      <c r="AB2393" s="135">
        <f>'National average solar data'!X$38</f>
        <v>0</v>
      </c>
      <c r="AC2393" s="135">
        <f>'National average solar data'!Y$38</f>
        <v>0</v>
      </c>
      <c r="AD2393" s="135">
        <f>'National average solar data'!Z$38</f>
        <v>0</v>
      </c>
    </row>
    <row r="2394" spans="1:30" ht="12.6">
      <c r="A2394" s="10" t="s">
        <v>131</v>
      </c>
      <c r="B2394" s="10">
        <v>203</v>
      </c>
      <c r="C2394" s="10" t="s">
        <v>1514</v>
      </c>
      <c r="D2394" s="388">
        <v>45129</v>
      </c>
      <c r="E2394" s="389">
        <v>45129</v>
      </c>
      <c r="G2394" s="135">
        <f>'National average solar data'!C$38</f>
        <v>0</v>
      </c>
      <c r="H2394" s="135">
        <f>'National average solar data'!D$38</f>
        <v>0</v>
      </c>
      <c r="I2394" s="135">
        <f>'National average solar data'!E$38</f>
        <v>0</v>
      </c>
      <c r="J2394" s="135">
        <f>'National average solar data'!F$38</f>
        <v>0</v>
      </c>
      <c r="K2394" s="135">
        <f>'National average solar data'!G$38</f>
        <v>0</v>
      </c>
      <c r="L2394" s="135">
        <f>'National average solar data'!H$38</f>
        <v>0</v>
      </c>
      <c r="M2394" s="135">
        <f>'National average solar data'!I$38</f>
        <v>0</v>
      </c>
      <c r="N2394" s="135">
        <f>'National average solar data'!J$38</f>
        <v>5.3199999999999997E-2</v>
      </c>
      <c r="O2394" s="135">
        <f>'National average solar data'!K$38</f>
        <v>0.49430000000000002</v>
      </c>
      <c r="P2394" s="135">
        <f>'National average solar data'!L$38</f>
        <v>0.65900000000000003</v>
      </c>
      <c r="Q2394" s="135">
        <f>'National average solar data'!M$38</f>
        <v>0.71840000000000004</v>
      </c>
      <c r="R2394" s="135">
        <f>'National average solar data'!N$38</f>
        <v>0.7248</v>
      </c>
      <c r="S2394" s="135">
        <f>'National average solar data'!O$38</f>
        <v>0.71130000000000004</v>
      </c>
      <c r="T2394" s="135">
        <f>'National average solar data'!P$38</f>
        <v>0.7097</v>
      </c>
      <c r="U2394" s="135">
        <f>'National average solar data'!Q$38</f>
        <v>0.68240000000000001</v>
      </c>
      <c r="V2394" s="135">
        <f>'National average solar data'!R$38</f>
        <v>0.63109999999999999</v>
      </c>
      <c r="W2394" s="135">
        <f>'National average solar data'!S$38</f>
        <v>0.43530000000000002</v>
      </c>
      <c r="X2394" s="135">
        <f>'National average solar data'!T$38</f>
        <v>6.8900000000000003E-2</v>
      </c>
      <c r="Y2394" s="135">
        <f>'National average solar data'!U$38</f>
        <v>0</v>
      </c>
      <c r="Z2394" s="135">
        <f>'National average solar data'!V$38</f>
        <v>0</v>
      </c>
      <c r="AA2394" s="135">
        <f>'National average solar data'!W$38</f>
        <v>0</v>
      </c>
      <c r="AB2394" s="135">
        <f>'National average solar data'!X$38</f>
        <v>0</v>
      </c>
      <c r="AC2394" s="135">
        <f>'National average solar data'!Y$38</f>
        <v>0</v>
      </c>
      <c r="AD2394" s="135">
        <f>'National average solar data'!Z$38</f>
        <v>0</v>
      </c>
    </row>
    <row r="2395" spans="1:30" ht="12.6">
      <c r="A2395" s="10" t="s">
        <v>131</v>
      </c>
      <c r="B2395" s="10">
        <v>204</v>
      </c>
      <c r="C2395" s="10" t="s">
        <v>1514</v>
      </c>
      <c r="D2395" s="388">
        <v>45130</v>
      </c>
      <c r="E2395" s="389">
        <v>45130</v>
      </c>
      <c r="G2395" s="135">
        <f>'National average solar data'!C$38</f>
        <v>0</v>
      </c>
      <c r="H2395" s="135">
        <f>'National average solar data'!D$38</f>
        <v>0</v>
      </c>
      <c r="I2395" s="135">
        <f>'National average solar data'!E$38</f>
        <v>0</v>
      </c>
      <c r="J2395" s="135">
        <f>'National average solar data'!F$38</f>
        <v>0</v>
      </c>
      <c r="K2395" s="135">
        <f>'National average solar data'!G$38</f>
        <v>0</v>
      </c>
      <c r="L2395" s="135">
        <f>'National average solar data'!H$38</f>
        <v>0</v>
      </c>
      <c r="M2395" s="135">
        <f>'National average solar data'!I$38</f>
        <v>0</v>
      </c>
      <c r="N2395" s="135">
        <f>'National average solar data'!J$38</f>
        <v>5.3199999999999997E-2</v>
      </c>
      <c r="O2395" s="135">
        <f>'National average solar data'!K$38</f>
        <v>0.49430000000000002</v>
      </c>
      <c r="P2395" s="135">
        <f>'National average solar data'!L$38</f>
        <v>0.65900000000000003</v>
      </c>
      <c r="Q2395" s="135">
        <f>'National average solar data'!M$38</f>
        <v>0.71840000000000004</v>
      </c>
      <c r="R2395" s="135">
        <f>'National average solar data'!N$38</f>
        <v>0.7248</v>
      </c>
      <c r="S2395" s="135">
        <f>'National average solar data'!O$38</f>
        <v>0.71130000000000004</v>
      </c>
      <c r="T2395" s="135">
        <f>'National average solar data'!P$38</f>
        <v>0.7097</v>
      </c>
      <c r="U2395" s="135">
        <f>'National average solar data'!Q$38</f>
        <v>0.68240000000000001</v>
      </c>
      <c r="V2395" s="135">
        <f>'National average solar data'!R$38</f>
        <v>0.63109999999999999</v>
      </c>
      <c r="W2395" s="135">
        <f>'National average solar data'!S$38</f>
        <v>0.43530000000000002</v>
      </c>
      <c r="X2395" s="135">
        <f>'National average solar data'!T$38</f>
        <v>6.8900000000000003E-2</v>
      </c>
      <c r="Y2395" s="135">
        <f>'National average solar data'!U$38</f>
        <v>0</v>
      </c>
      <c r="Z2395" s="135">
        <f>'National average solar data'!V$38</f>
        <v>0</v>
      </c>
      <c r="AA2395" s="135">
        <f>'National average solar data'!W$38</f>
        <v>0</v>
      </c>
      <c r="AB2395" s="135">
        <f>'National average solar data'!X$38</f>
        <v>0</v>
      </c>
      <c r="AC2395" s="135">
        <f>'National average solar data'!Y$38</f>
        <v>0</v>
      </c>
      <c r="AD2395" s="135">
        <f>'National average solar data'!Z$38</f>
        <v>0</v>
      </c>
    </row>
    <row r="2396" spans="1:30" ht="12.6">
      <c r="A2396" s="10" t="s">
        <v>131</v>
      </c>
      <c r="B2396" s="10">
        <v>205</v>
      </c>
      <c r="C2396" s="10" t="s">
        <v>1514</v>
      </c>
      <c r="D2396" s="388">
        <v>45131</v>
      </c>
      <c r="E2396" s="389">
        <v>45131</v>
      </c>
      <c r="G2396" s="135">
        <f>'National average solar data'!C$38</f>
        <v>0</v>
      </c>
      <c r="H2396" s="135">
        <f>'National average solar data'!D$38</f>
        <v>0</v>
      </c>
      <c r="I2396" s="135">
        <f>'National average solar data'!E$38</f>
        <v>0</v>
      </c>
      <c r="J2396" s="135">
        <f>'National average solar data'!F$38</f>
        <v>0</v>
      </c>
      <c r="K2396" s="135">
        <f>'National average solar data'!G$38</f>
        <v>0</v>
      </c>
      <c r="L2396" s="135">
        <f>'National average solar data'!H$38</f>
        <v>0</v>
      </c>
      <c r="M2396" s="135">
        <f>'National average solar data'!I$38</f>
        <v>0</v>
      </c>
      <c r="N2396" s="135">
        <f>'National average solar data'!J$38</f>
        <v>5.3199999999999997E-2</v>
      </c>
      <c r="O2396" s="135">
        <f>'National average solar data'!K$38</f>
        <v>0.49430000000000002</v>
      </c>
      <c r="P2396" s="135">
        <f>'National average solar data'!L$38</f>
        <v>0.65900000000000003</v>
      </c>
      <c r="Q2396" s="135">
        <f>'National average solar data'!M$38</f>
        <v>0.71840000000000004</v>
      </c>
      <c r="R2396" s="135">
        <f>'National average solar data'!N$38</f>
        <v>0.7248</v>
      </c>
      <c r="S2396" s="135">
        <f>'National average solar data'!O$38</f>
        <v>0.71130000000000004</v>
      </c>
      <c r="T2396" s="135">
        <f>'National average solar data'!P$38</f>
        <v>0.7097</v>
      </c>
      <c r="U2396" s="135">
        <f>'National average solar data'!Q$38</f>
        <v>0.68240000000000001</v>
      </c>
      <c r="V2396" s="135">
        <f>'National average solar data'!R$38</f>
        <v>0.63109999999999999</v>
      </c>
      <c r="W2396" s="135">
        <f>'National average solar data'!S$38</f>
        <v>0.43530000000000002</v>
      </c>
      <c r="X2396" s="135">
        <f>'National average solar data'!T$38</f>
        <v>6.8900000000000003E-2</v>
      </c>
      <c r="Y2396" s="135">
        <f>'National average solar data'!U$38</f>
        <v>0</v>
      </c>
      <c r="Z2396" s="135">
        <f>'National average solar data'!V$38</f>
        <v>0</v>
      </c>
      <c r="AA2396" s="135">
        <f>'National average solar data'!W$38</f>
        <v>0</v>
      </c>
      <c r="AB2396" s="135">
        <f>'National average solar data'!X$38</f>
        <v>0</v>
      </c>
      <c r="AC2396" s="135">
        <f>'National average solar data'!Y$38</f>
        <v>0</v>
      </c>
      <c r="AD2396" s="135">
        <f>'National average solar data'!Z$38</f>
        <v>0</v>
      </c>
    </row>
    <row r="2397" spans="1:30" ht="12.6">
      <c r="A2397" s="10" t="s">
        <v>131</v>
      </c>
      <c r="B2397" s="10">
        <v>206</v>
      </c>
      <c r="C2397" s="10" t="s">
        <v>1514</v>
      </c>
      <c r="D2397" s="388">
        <v>45132</v>
      </c>
      <c r="E2397" s="389">
        <v>45132</v>
      </c>
      <c r="G2397" s="135">
        <f>'National average solar data'!C$38</f>
        <v>0</v>
      </c>
      <c r="H2397" s="135">
        <f>'National average solar data'!D$38</f>
        <v>0</v>
      </c>
      <c r="I2397" s="135">
        <f>'National average solar data'!E$38</f>
        <v>0</v>
      </c>
      <c r="J2397" s="135">
        <f>'National average solar data'!F$38</f>
        <v>0</v>
      </c>
      <c r="K2397" s="135">
        <f>'National average solar data'!G$38</f>
        <v>0</v>
      </c>
      <c r="L2397" s="135">
        <f>'National average solar data'!H$38</f>
        <v>0</v>
      </c>
      <c r="M2397" s="135">
        <f>'National average solar data'!I$38</f>
        <v>0</v>
      </c>
      <c r="N2397" s="135">
        <f>'National average solar data'!J$38</f>
        <v>5.3199999999999997E-2</v>
      </c>
      <c r="O2397" s="135">
        <f>'National average solar data'!K$38</f>
        <v>0.49430000000000002</v>
      </c>
      <c r="P2397" s="135">
        <f>'National average solar data'!L$38</f>
        <v>0.65900000000000003</v>
      </c>
      <c r="Q2397" s="135">
        <f>'National average solar data'!M$38</f>
        <v>0.71840000000000004</v>
      </c>
      <c r="R2397" s="135">
        <f>'National average solar data'!N$38</f>
        <v>0.7248</v>
      </c>
      <c r="S2397" s="135">
        <f>'National average solar data'!O$38</f>
        <v>0.71130000000000004</v>
      </c>
      <c r="T2397" s="135">
        <f>'National average solar data'!P$38</f>
        <v>0.7097</v>
      </c>
      <c r="U2397" s="135">
        <f>'National average solar data'!Q$38</f>
        <v>0.68240000000000001</v>
      </c>
      <c r="V2397" s="135">
        <f>'National average solar data'!R$38</f>
        <v>0.63109999999999999</v>
      </c>
      <c r="W2397" s="135">
        <f>'National average solar data'!S$38</f>
        <v>0.43530000000000002</v>
      </c>
      <c r="X2397" s="135">
        <f>'National average solar data'!T$38</f>
        <v>6.8900000000000003E-2</v>
      </c>
      <c r="Y2397" s="135">
        <f>'National average solar data'!U$38</f>
        <v>0</v>
      </c>
      <c r="Z2397" s="135">
        <f>'National average solar data'!V$38</f>
        <v>0</v>
      </c>
      <c r="AA2397" s="135">
        <f>'National average solar data'!W$38</f>
        <v>0</v>
      </c>
      <c r="AB2397" s="135">
        <f>'National average solar data'!X$38</f>
        <v>0</v>
      </c>
      <c r="AC2397" s="135">
        <f>'National average solar data'!Y$38</f>
        <v>0</v>
      </c>
      <c r="AD2397" s="135">
        <f>'National average solar data'!Z$38</f>
        <v>0</v>
      </c>
    </row>
    <row r="2398" spans="1:30" ht="12.6">
      <c r="A2398" s="10" t="s">
        <v>131</v>
      </c>
      <c r="B2398" s="10">
        <v>207</v>
      </c>
      <c r="C2398" s="10" t="s">
        <v>1514</v>
      </c>
      <c r="D2398" s="388">
        <v>45133</v>
      </c>
      <c r="E2398" s="389">
        <v>45133</v>
      </c>
      <c r="G2398" s="135">
        <f>'National average solar data'!C$38</f>
        <v>0</v>
      </c>
      <c r="H2398" s="135">
        <f>'National average solar data'!D$38</f>
        <v>0</v>
      </c>
      <c r="I2398" s="135">
        <f>'National average solar data'!E$38</f>
        <v>0</v>
      </c>
      <c r="J2398" s="135">
        <f>'National average solar data'!F$38</f>
        <v>0</v>
      </c>
      <c r="K2398" s="135">
        <f>'National average solar data'!G$38</f>
        <v>0</v>
      </c>
      <c r="L2398" s="135">
        <f>'National average solar data'!H$38</f>
        <v>0</v>
      </c>
      <c r="M2398" s="135">
        <f>'National average solar data'!I$38</f>
        <v>0</v>
      </c>
      <c r="N2398" s="135">
        <f>'National average solar data'!J$38</f>
        <v>5.3199999999999997E-2</v>
      </c>
      <c r="O2398" s="135">
        <f>'National average solar data'!K$38</f>
        <v>0.49430000000000002</v>
      </c>
      <c r="P2398" s="135">
        <f>'National average solar data'!L$38</f>
        <v>0.65900000000000003</v>
      </c>
      <c r="Q2398" s="135">
        <f>'National average solar data'!M$38</f>
        <v>0.71840000000000004</v>
      </c>
      <c r="R2398" s="135">
        <f>'National average solar data'!N$38</f>
        <v>0.7248</v>
      </c>
      <c r="S2398" s="135">
        <f>'National average solar data'!O$38</f>
        <v>0.71130000000000004</v>
      </c>
      <c r="T2398" s="135">
        <f>'National average solar data'!P$38</f>
        <v>0.7097</v>
      </c>
      <c r="U2398" s="135">
        <f>'National average solar data'!Q$38</f>
        <v>0.68240000000000001</v>
      </c>
      <c r="V2398" s="135">
        <f>'National average solar data'!R$38</f>
        <v>0.63109999999999999</v>
      </c>
      <c r="W2398" s="135">
        <f>'National average solar data'!S$38</f>
        <v>0.43530000000000002</v>
      </c>
      <c r="X2398" s="135">
        <f>'National average solar data'!T$38</f>
        <v>6.8900000000000003E-2</v>
      </c>
      <c r="Y2398" s="135">
        <f>'National average solar data'!U$38</f>
        <v>0</v>
      </c>
      <c r="Z2398" s="135">
        <f>'National average solar data'!V$38</f>
        <v>0</v>
      </c>
      <c r="AA2398" s="135">
        <f>'National average solar data'!W$38</f>
        <v>0</v>
      </c>
      <c r="AB2398" s="135">
        <f>'National average solar data'!X$38</f>
        <v>0</v>
      </c>
      <c r="AC2398" s="135">
        <f>'National average solar data'!Y$38</f>
        <v>0</v>
      </c>
      <c r="AD2398" s="135">
        <f>'National average solar data'!Z$38</f>
        <v>0</v>
      </c>
    </row>
    <row r="2399" spans="1:30" ht="12.6">
      <c r="A2399" s="10" t="s">
        <v>131</v>
      </c>
      <c r="B2399" s="10">
        <v>208</v>
      </c>
      <c r="C2399" s="10" t="s">
        <v>1514</v>
      </c>
      <c r="D2399" s="388">
        <v>45134</v>
      </c>
      <c r="E2399" s="389">
        <v>45134</v>
      </c>
      <c r="G2399" s="135">
        <f>'National average solar data'!C$38</f>
        <v>0</v>
      </c>
      <c r="H2399" s="135">
        <f>'National average solar data'!D$38</f>
        <v>0</v>
      </c>
      <c r="I2399" s="135">
        <f>'National average solar data'!E$38</f>
        <v>0</v>
      </c>
      <c r="J2399" s="135">
        <f>'National average solar data'!F$38</f>
        <v>0</v>
      </c>
      <c r="K2399" s="135">
        <f>'National average solar data'!G$38</f>
        <v>0</v>
      </c>
      <c r="L2399" s="135">
        <f>'National average solar data'!H$38</f>
        <v>0</v>
      </c>
      <c r="M2399" s="135">
        <f>'National average solar data'!I$38</f>
        <v>0</v>
      </c>
      <c r="N2399" s="135">
        <f>'National average solar data'!J$38</f>
        <v>5.3199999999999997E-2</v>
      </c>
      <c r="O2399" s="135">
        <f>'National average solar data'!K$38</f>
        <v>0.49430000000000002</v>
      </c>
      <c r="P2399" s="135">
        <f>'National average solar data'!L$38</f>
        <v>0.65900000000000003</v>
      </c>
      <c r="Q2399" s="135">
        <f>'National average solar data'!M$38</f>
        <v>0.71840000000000004</v>
      </c>
      <c r="R2399" s="135">
        <f>'National average solar data'!N$38</f>
        <v>0.7248</v>
      </c>
      <c r="S2399" s="135">
        <f>'National average solar data'!O$38</f>
        <v>0.71130000000000004</v>
      </c>
      <c r="T2399" s="135">
        <f>'National average solar data'!P$38</f>
        <v>0.7097</v>
      </c>
      <c r="U2399" s="135">
        <f>'National average solar data'!Q$38</f>
        <v>0.68240000000000001</v>
      </c>
      <c r="V2399" s="135">
        <f>'National average solar data'!R$38</f>
        <v>0.63109999999999999</v>
      </c>
      <c r="W2399" s="135">
        <f>'National average solar data'!S$38</f>
        <v>0.43530000000000002</v>
      </c>
      <c r="X2399" s="135">
        <f>'National average solar data'!T$38</f>
        <v>6.8900000000000003E-2</v>
      </c>
      <c r="Y2399" s="135">
        <f>'National average solar data'!U$38</f>
        <v>0</v>
      </c>
      <c r="Z2399" s="135">
        <f>'National average solar data'!V$38</f>
        <v>0</v>
      </c>
      <c r="AA2399" s="135">
        <f>'National average solar data'!W$38</f>
        <v>0</v>
      </c>
      <c r="AB2399" s="135">
        <f>'National average solar data'!X$38</f>
        <v>0</v>
      </c>
      <c r="AC2399" s="135">
        <f>'National average solar data'!Y$38</f>
        <v>0</v>
      </c>
      <c r="AD2399" s="135">
        <f>'National average solar data'!Z$38</f>
        <v>0</v>
      </c>
    </row>
    <row r="2400" spans="1:30" ht="12.6">
      <c r="A2400" s="10" t="s">
        <v>131</v>
      </c>
      <c r="B2400" s="10">
        <v>209</v>
      </c>
      <c r="C2400" s="10" t="s">
        <v>1514</v>
      </c>
      <c r="D2400" s="388">
        <v>45135</v>
      </c>
      <c r="E2400" s="389">
        <v>45135</v>
      </c>
      <c r="G2400" s="135">
        <f>'National average solar data'!C$38</f>
        <v>0</v>
      </c>
      <c r="H2400" s="135">
        <f>'National average solar data'!D$38</f>
        <v>0</v>
      </c>
      <c r="I2400" s="135">
        <f>'National average solar data'!E$38</f>
        <v>0</v>
      </c>
      <c r="J2400" s="135">
        <f>'National average solar data'!F$38</f>
        <v>0</v>
      </c>
      <c r="K2400" s="135">
        <f>'National average solar data'!G$38</f>
        <v>0</v>
      </c>
      <c r="L2400" s="135">
        <f>'National average solar data'!H$38</f>
        <v>0</v>
      </c>
      <c r="M2400" s="135">
        <f>'National average solar data'!I$38</f>
        <v>0</v>
      </c>
      <c r="N2400" s="135">
        <f>'National average solar data'!J$38</f>
        <v>5.3199999999999997E-2</v>
      </c>
      <c r="O2400" s="135">
        <f>'National average solar data'!K$38</f>
        <v>0.49430000000000002</v>
      </c>
      <c r="P2400" s="135">
        <f>'National average solar data'!L$38</f>
        <v>0.65900000000000003</v>
      </c>
      <c r="Q2400" s="135">
        <f>'National average solar data'!M$38</f>
        <v>0.71840000000000004</v>
      </c>
      <c r="R2400" s="135">
        <f>'National average solar data'!N$38</f>
        <v>0.7248</v>
      </c>
      <c r="S2400" s="135">
        <f>'National average solar data'!O$38</f>
        <v>0.71130000000000004</v>
      </c>
      <c r="T2400" s="135">
        <f>'National average solar data'!P$38</f>
        <v>0.7097</v>
      </c>
      <c r="U2400" s="135">
        <f>'National average solar data'!Q$38</f>
        <v>0.68240000000000001</v>
      </c>
      <c r="V2400" s="135">
        <f>'National average solar data'!R$38</f>
        <v>0.63109999999999999</v>
      </c>
      <c r="W2400" s="135">
        <f>'National average solar data'!S$38</f>
        <v>0.43530000000000002</v>
      </c>
      <c r="X2400" s="135">
        <f>'National average solar data'!T$38</f>
        <v>6.8900000000000003E-2</v>
      </c>
      <c r="Y2400" s="135">
        <f>'National average solar data'!U$38</f>
        <v>0</v>
      </c>
      <c r="Z2400" s="135">
        <f>'National average solar data'!V$38</f>
        <v>0</v>
      </c>
      <c r="AA2400" s="135">
        <f>'National average solar data'!W$38</f>
        <v>0</v>
      </c>
      <c r="AB2400" s="135">
        <f>'National average solar data'!X$38</f>
        <v>0</v>
      </c>
      <c r="AC2400" s="135">
        <f>'National average solar data'!Y$38</f>
        <v>0</v>
      </c>
      <c r="AD2400" s="135">
        <f>'National average solar data'!Z$38</f>
        <v>0</v>
      </c>
    </row>
    <row r="2401" spans="1:30" ht="12.6">
      <c r="A2401" s="10" t="s">
        <v>131</v>
      </c>
      <c r="B2401" s="10">
        <v>210</v>
      </c>
      <c r="C2401" s="10" t="s">
        <v>1514</v>
      </c>
      <c r="D2401" s="388">
        <v>45136</v>
      </c>
      <c r="E2401" s="389">
        <v>45136</v>
      </c>
      <c r="G2401" s="135">
        <f>'National average solar data'!C$38</f>
        <v>0</v>
      </c>
      <c r="H2401" s="135">
        <f>'National average solar data'!D$38</f>
        <v>0</v>
      </c>
      <c r="I2401" s="135">
        <f>'National average solar data'!E$38</f>
        <v>0</v>
      </c>
      <c r="J2401" s="135">
        <f>'National average solar data'!F$38</f>
        <v>0</v>
      </c>
      <c r="K2401" s="135">
        <f>'National average solar data'!G$38</f>
        <v>0</v>
      </c>
      <c r="L2401" s="135">
        <f>'National average solar data'!H$38</f>
        <v>0</v>
      </c>
      <c r="M2401" s="135">
        <f>'National average solar data'!I$38</f>
        <v>0</v>
      </c>
      <c r="N2401" s="135">
        <f>'National average solar data'!J$38</f>
        <v>5.3199999999999997E-2</v>
      </c>
      <c r="O2401" s="135">
        <f>'National average solar data'!K$38</f>
        <v>0.49430000000000002</v>
      </c>
      <c r="P2401" s="135">
        <f>'National average solar data'!L$38</f>
        <v>0.65900000000000003</v>
      </c>
      <c r="Q2401" s="135">
        <f>'National average solar data'!M$38</f>
        <v>0.71840000000000004</v>
      </c>
      <c r="R2401" s="135">
        <f>'National average solar data'!N$38</f>
        <v>0.7248</v>
      </c>
      <c r="S2401" s="135">
        <f>'National average solar data'!O$38</f>
        <v>0.71130000000000004</v>
      </c>
      <c r="T2401" s="135">
        <f>'National average solar data'!P$38</f>
        <v>0.7097</v>
      </c>
      <c r="U2401" s="135">
        <f>'National average solar data'!Q$38</f>
        <v>0.68240000000000001</v>
      </c>
      <c r="V2401" s="135">
        <f>'National average solar data'!R$38</f>
        <v>0.63109999999999999</v>
      </c>
      <c r="W2401" s="135">
        <f>'National average solar data'!S$38</f>
        <v>0.43530000000000002</v>
      </c>
      <c r="X2401" s="135">
        <f>'National average solar data'!T$38</f>
        <v>6.8900000000000003E-2</v>
      </c>
      <c r="Y2401" s="135">
        <f>'National average solar data'!U$38</f>
        <v>0</v>
      </c>
      <c r="Z2401" s="135">
        <f>'National average solar data'!V$38</f>
        <v>0</v>
      </c>
      <c r="AA2401" s="135">
        <f>'National average solar data'!W$38</f>
        <v>0</v>
      </c>
      <c r="AB2401" s="135">
        <f>'National average solar data'!X$38</f>
        <v>0</v>
      </c>
      <c r="AC2401" s="135">
        <f>'National average solar data'!Y$38</f>
        <v>0</v>
      </c>
      <c r="AD2401" s="135">
        <f>'National average solar data'!Z$38</f>
        <v>0</v>
      </c>
    </row>
    <row r="2402" spans="1:30" ht="12.6">
      <c r="A2402" s="10" t="s">
        <v>131</v>
      </c>
      <c r="B2402" s="10">
        <v>211</v>
      </c>
      <c r="C2402" s="10" t="s">
        <v>1514</v>
      </c>
      <c r="D2402" s="388">
        <v>45137</v>
      </c>
      <c r="E2402" s="389">
        <v>45137</v>
      </c>
      <c r="G2402" s="135">
        <f>'National average solar data'!C$38</f>
        <v>0</v>
      </c>
      <c r="H2402" s="135">
        <f>'National average solar data'!D$38</f>
        <v>0</v>
      </c>
      <c r="I2402" s="135">
        <f>'National average solar data'!E$38</f>
        <v>0</v>
      </c>
      <c r="J2402" s="135">
        <f>'National average solar data'!F$38</f>
        <v>0</v>
      </c>
      <c r="K2402" s="135">
        <f>'National average solar data'!G$38</f>
        <v>0</v>
      </c>
      <c r="L2402" s="135">
        <f>'National average solar data'!H$38</f>
        <v>0</v>
      </c>
      <c r="M2402" s="135">
        <f>'National average solar data'!I$38</f>
        <v>0</v>
      </c>
      <c r="N2402" s="135">
        <f>'National average solar data'!J$38</f>
        <v>5.3199999999999997E-2</v>
      </c>
      <c r="O2402" s="135">
        <f>'National average solar data'!K$38</f>
        <v>0.49430000000000002</v>
      </c>
      <c r="P2402" s="135">
        <f>'National average solar data'!L$38</f>
        <v>0.65900000000000003</v>
      </c>
      <c r="Q2402" s="135">
        <f>'National average solar data'!M$38</f>
        <v>0.71840000000000004</v>
      </c>
      <c r="R2402" s="135">
        <f>'National average solar data'!N$38</f>
        <v>0.7248</v>
      </c>
      <c r="S2402" s="135">
        <f>'National average solar data'!O$38</f>
        <v>0.71130000000000004</v>
      </c>
      <c r="T2402" s="135">
        <f>'National average solar data'!P$38</f>
        <v>0.7097</v>
      </c>
      <c r="U2402" s="135">
        <f>'National average solar data'!Q$38</f>
        <v>0.68240000000000001</v>
      </c>
      <c r="V2402" s="135">
        <f>'National average solar data'!R$38</f>
        <v>0.63109999999999999</v>
      </c>
      <c r="W2402" s="135">
        <f>'National average solar data'!S$38</f>
        <v>0.43530000000000002</v>
      </c>
      <c r="X2402" s="135">
        <f>'National average solar data'!T$38</f>
        <v>6.8900000000000003E-2</v>
      </c>
      <c r="Y2402" s="135">
        <f>'National average solar data'!U$38</f>
        <v>0</v>
      </c>
      <c r="Z2402" s="135">
        <f>'National average solar data'!V$38</f>
        <v>0</v>
      </c>
      <c r="AA2402" s="135">
        <f>'National average solar data'!W$38</f>
        <v>0</v>
      </c>
      <c r="AB2402" s="135">
        <f>'National average solar data'!X$38</f>
        <v>0</v>
      </c>
      <c r="AC2402" s="135">
        <f>'National average solar data'!Y$38</f>
        <v>0</v>
      </c>
      <c r="AD2402" s="135">
        <f>'National average solar data'!Z$38</f>
        <v>0</v>
      </c>
    </row>
    <row r="2403" spans="1:30" ht="12.6">
      <c r="A2403" s="10" t="s">
        <v>131</v>
      </c>
      <c r="B2403" s="10">
        <v>212</v>
      </c>
      <c r="C2403" s="10" t="s">
        <v>1514</v>
      </c>
      <c r="D2403" s="388">
        <v>45138</v>
      </c>
      <c r="E2403" s="389">
        <v>45138</v>
      </c>
      <c r="G2403" s="135">
        <f>'National average solar data'!C$38</f>
        <v>0</v>
      </c>
      <c r="H2403" s="135">
        <f>'National average solar data'!D$38</f>
        <v>0</v>
      </c>
      <c r="I2403" s="135">
        <f>'National average solar data'!E$38</f>
        <v>0</v>
      </c>
      <c r="J2403" s="135">
        <f>'National average solar data'!F$38</f>
        <v>0</v>
      </c>
      <c r="K2403" s="135">
        <f>'National average solar data'!G$38</f>
        <v>0</v>
      </c>
      <c r="L2403" s="135">
        <f>'National average solar data'!H$38</f>
        <v>0</v>
      </c>
      <c r="M2403" s="135">
        <f>'National average solar data'!I$38</f>
        <v>0</v>
      </c>
      <c r="N2403" s="135">
        <f>'National average solar data'!J$38</f>
        <v>5.3199999999999997E-2</v>
      </c>
      <c r="O2403" s="135">
        <f>'National average solar data'!K$38</f>
        <v>0.49430000000000002</v>
      </c>
      <c r="P2403" s="135">
        <f>'National average solar data'!L$38</f>
        <v>0.65900000000000003</v>
      </c>
      <c r="Q2403" s="135">
        <f>'National average solar data'!M$38</f>
        <v>0.71840000000000004</v>
      </c>
      <c r="R2403" s="135">
        <f>'National average solar data'!N$38</f>
        <v>0.7248</v>
      </c>
      <c r="S2403" s="135">
        <f>'National average solar data'!O$38</f>
        <v>0.71130000000000004</v>
      </c>
      <c r="T2403" s="135">
        <f>'National average solar data'!P$38</f>
        <v>0.7097</v>
      </c>
      <c r="U2403" s="135">
        <f>'National average solar data'!Q$38</f>
        <v>0.68240000000000001</v>
      </c>
      <c r="V2403" s="135">
        <f>'National average solar data'!R$38</f>
        <v>0.63109999999999999</v>
      </c>
      <c r="W2403" s="135">
        <f>'National average solar data'!S$38</f>
        <v>0.43530000000000002</v>
      </c>
      <c r="X2403" s="135">
        <f>'National average solar data'!T$38</f>
        <v>6.8900000000000003E-2</v>
      </c>
      <c r="Y2403" s="135">
        <f>'National average solar data'!U$38</f>
        <v>0</v>
      </c>
      <c r="Z2403" s="135">
        <f>'National average solar data'!V$38</f>
        <v>0</v>
      </c>
      <c r="AA2403" s="135">
        <f>'National average solar data'!W$38</f>
        <v>0</v>
      </c>
      <c r="AB2403" s="135">
        <f>'National average solar data'!X$38</f>
        <v>0</v>
      </c>
      <c r="AC2403" s="135">
        <f>'National average solar data'!Y$38</f>
        <v>0</v>
      </c>
      <c r="AD2403" s="135">
        <f>'National average solar data'!Z$38</f>
        <v>0</v>
      </c>
    </row>
    <row r="2404" spans="1:30" ht="12.6">
      <c r="A2404" s="10" t="s">
        <v>131</v>
      </c>
      <c r="B2404" s="10">
        <v>213</v>
      </c>
      <c r="C2404" s="10" t="s">
        <v>1514</v>
      </c>
      <c r="D2404" s="388">
        <v>45139</v>
      </c>
      <c r="E2404" s="389">
        <v>45139</v>
      </c>
      <c r="G2404" s="135">
        <f>'National average solar data'!C$39</f>
        <v>0</v>
      </c>
      <c r="H2404" s="135">
        <f>'National average solar data'!D$39</f>
        <v>0</v>
      </c>
      <c r="I2404" s="135">
        <f>'National average solar data'!E$39</f>
        <v>0</v>
      </c>
      <c r="J2404" s="135">
        <f>'National average solar data'!F$39</f>
        <v>0</v>
      </c>
      <c r="K2404" s="135">
        <f>'National average solar data'!G$39</f>
        <v>0</v>
      </c>
      <c r="L2404" s="135">
        <f>'National average solar data'!H$39</f>
        <v>0</v>
      </c>
      <c r="M2404" s="135">
        <f>'National average solar data'!I$39</f>
        <v>2.1999999999999999E-2</v>
      </c>
      <c r="N2404" s="135">
        <f>'National average solar data'!J$39</f>
        <v>0.50839999999999996</v>
      </c>
      <c r="O2404" s="135">
        <f>'National average solar data'!K$39</f>
        <v>0.78610000000000002</v>
      </c>
      <c r="P2404" s="135">
        <f>'National average solar data'!L$39</f>
        <v>0.84970000000000001</v>
      </c>
      <c r="Q2404" s="135">
        <f>'National average solar data'!M$39</f>
        <v>0.86419999999999997</v>
      </c>
      <c r="R2404" s="135">
        <f>'National average solar data'!N$39</f>
        <v>0.85419999999999996</v>
      </c>
      <c r="S2404" s="135">
        <f>'National average solar data'!O$39</f>
        <v>0.8498</v>
      </c>
      <c r="T2404" s="135">
        <f>'National average solar data'!P$39</f>
        <v>0.84199999999999997</v>
      </c>
      <c r="U2404" s="135">
        <f>'National average solar data'!Q$39</f>
        <v>0.82820000000000005</v>
      </c>
      <c r="V2404" s="135">
        <f>'National average solar data'!R$39</f>
        <v>0.78110000000000002</v>
      </c>
      <c r="W2404" s="135">
        <f>'National average solar data'!S$39</f>
        <v>0.67510000000000003</v>
      </c>
      <c r="X2404" s="135">
        <f>'National average solar data'!T$39</f>
        <v>0.28399999999999997</v>
      </c>
      <c r="Y2404" s="135">
        <f>'National average solar data'!U$39</f>
        <v>1.2800000000000001E-2</v>
      </c>
      <c r="Z2404" s="135">
        <f>'National average solar data'!V$39</f>
        <v>0</v>
      </c>
      <c r="AA2404" s="135">
        <f>'National average solar data'!W$39</f>
        <v>0</v>
      </c>
      <c r="AB2404" s="135">
        <f>'National average solar data'!X$39</f>
        <v>0</v>
      </c>
      <c r="AC2404" s="135">
        <f>'National average solar data'!Y$39</f>
        <v>0</v>
      </c>
      <c r="AD2404" s="135">
        <f>'National average solar data'!Z$39</f>
        <v>0</v>
      </c>
    </row>
    <row r="2405" spans="1:30" ht="12.6">
      <c r="A2405" s="10" t="s">
        <v>131</v>
      </c>
      <c r="B2405" s="10">
        <v>214</v>
      </c>
      <c r="C2405" s="10" t="s">
        <v>1514</v>
      </c>
      <c r="D2405" s="388">
        <v>45140</v>
      </c>
      <c r="E2405" s="389">
        <v>45140</v>
      </c>
      <c r="G2405" s="135">
        <f>'National average solar data'!C$39</f>
        <v>0</v>
      </c>
      <c r="H2405" s="135">
        <f>'National average solar data'!D$39</f>
        <v>0</v>
      </c>
      <c r="I2405" s="135">
        <f>'National average solar data'!E$39</f>
        <v>0</v>
      </c>
      <c r="J2405" s="135">
        <f>'National average solar data'!F$39</f>
        <v>0</v>
      </c>
      <c r="K2405" s="135">
        <f>'National average solar data'!G$39</f>
        <v>0</v>
      </c>
      <c r="L2405" s="135">
        <f>'National average solar data'!H$39</f>
        <v>0</v>
      </c>
      <c r="M2405" s="135">
        <f>'National average solar data'!I$39</f>
        <v>2.1999999999999999E-2</v>
      </c>
      <c r="N2405" s="135">
        <f>'National average solar data'!J$39</f>
        <v>0.50839999999999996</v>
      </c>
      <c r="O2405" s="135">
        <f>'National average solar data'!K$39</f>
        <v>0.78610000000000002</v>
      </c>
      <c r="P2405" s="135">
        <f>'National average solar data'!L$39</f>
        <v>0.84970000000000001</v>
      </c>
      <c r="Q2405" s="135">
        <f>'National average solar data'!M$39</f>
        <v>0.86419999999999997</v>
      </c>
      <c r="R2405" s="135">
        <f>'National average solar data'!N$39</f>
        <v>0.85419999999999996</v>
      </c>
      <c r="S2405" s="135">
        <f>'National average solar data'!O$39</f>
        <v>0.8498</v>
      </c>
      <c r="T2405" s="135">
        <f>'National average solar data'!P$39</f>
        <v>0.84199999999999997</v>
      </c>
      <c r="U2405" s="135">
        <f>'National average solar data'!Q$39</f>
        <v>0.82820000000000005</v>
      </c>
      <c r="V2405" s="135">
        <f>'National average solar data'!R$39</f>
        <v>0.78110000000000002</v>
      </c>
      <c r="W2405" s="135">
        <f>'National average solar data'!S$39</f>
        <v>0.67510000000000003</v>
      </c>
      <c r="X2405" s="135">
        <f>'National average solar data'!T$39</f>
        <v>0.28399999999999997</v>
      </c>
      <c r="Y2405" s="135">
        <f>'National average solar data'!U$39</f>
        <v>1.2800000000000001E-2</v>
      </c>
      <c r="Z2405" s="135">
        <f>'National average solar data'!V$39</f>
        <v>0</v>
      </c>
      <c r="AA2405" s="135">
        <f>'National average solar data'!W$39</f>
        <v>0</v>
      </c>
      <c r="AB2405" s="135">
        <f>'National average solar data'!X$39</f>
        <v>0</v>
      </c>
      <c r="AC2405" s="135">
        <f>'National average solar data'!Y$39</f>
        <v>0</v>
      </c>
      <c r="AD2405" s="135">
        <f>'National average solar data'!Z$39</f>
        <v>0</v>
      </c>
    </row>
    <row r="2406" spans="1:30" ht="12.6">
      <c r="A2406" s="10" t="s">
        <v>131</v>
      </c>
      <c r="B2406" s="10">
        <v>215</v>
      </c>
      <c r="C2406" s="10" t="s">
        <v>1514</v>
      </c>
      <c r="D2406" s="388">
        <v>45141</v>
      </c>
      <c r="E2406" s="389">
        <v>45141</v>
      </c>
      <c r="G2406" s="135">
        <f>'National average solar data'!C$39</f>
        <v>0</v>
      </c>
      <c r="H2406" s="135">
        <f>'National average solar data'!D$39</f>
        <v>0</v>
      </c>
      <c r="I2406" s="135">
        <f>'National average solar data'!E$39</f>
        <v>0</v>
      </c>
      <c r="J2406" s="135">
        <f>'National average solar data'!F$39</f>
        <v>0</v>
      </c>
      <c r="K2406" s="135">
        <f>'National average solar data'!G$39</f>
        <v>0</v>
      </c>
      <c r="L2406" s="135">
        <f>'National average solar data'!H$39</f>
        <v>0</v>
      </c>
      <c r="M2406" s="135">
        <f>'National average solar data'!I$39</f>
        <v>2.1999999999999999E-2</v>
      </c>
      <c r="N2406" s="135">
        <f>'National average solar data'!J$39</f>
        <v>0.50839999999999996</v>
      </c>
      <c r="O2406" s="135">
        <f>'National average solar data'!K$39</f>
        <v>0.78610000000000002</v>
      </c>
      <c r="P2406" s="135">
        <f>'National average solar data'!L$39</f>
        <v>0.84970000000000001</v>
      </c>
      <c r="Q2406" s="135">
        <f>'National average solar data'!M$39</f>
        <v>0.86419999999999997</v>
      </c>
      <c r="R2406" s="135">
        <f>'National average solar data'!N$39</f>
        <v>0.85419999999999996</v>
      </c>
      <c r="S2406" s="135">
        <f>'National average solar data'!O$39</f>
        <v>0.8498</v>
      </c>
      <c r="T2406" s="135">
        <f>'National average solar data'!P$39</f>
        <v>0.84199999999999997</v>
      </c>
      <c r="U2406" s="135">
        <f>'National average solar data'!Q$39</f>
        <v>0.82820000000000005</v>
      </c>
      <c r="V2406" s="135">
        <f>'National average solar data'!R$39</f>
        <v>0.78110000000000002</v>
      </c>
      <c r="W2406" s="135">
        <f>'National average solar data'!S$39</f>
        <v>0.67510000000000003</v>
      </c>
      <c r="X2406" s="135">
        <f>'National average solar data'!T$39</f>
        <v>0.28399999999999997</v>
      </c>
      <c r="Y2406" s="135">
        <f>'National average solar data'!U$39</f>
        <v>1.2800000000000001E-2</v>
      </c>
      <c r="Z2406" s="135">
        <f>'National average solar data'!V$39</f>
        <v>0</v>
      </c>
      <c r="AA2406" s="135">
        <f>'National average solar data'!W$39</f>
        <v>0</v>
      </c>
      <c r="AB2406" s="135">
        <f>'National average solar data'!X$39</f>
        <v>0</v>
      </c>
      <c r="AC2406" s="135">
        <f>'National average solar data'!Y$39</f>
        <v>0</v>
      </c>
      <c r="AD2406" s="135">
        <f>'National average solar data'!Z$39</f>
        <v>0</v>
      </c>
    </row>
    <row r="2407" spans="1:30" ht="12.6">
      <c r="A2407" s="10" t="s">
        <v>131</v>
      </c>
      <c r="B2407" s="10">
        <v>216</v>
      </c>
      <c r="C2407" s="10" t="s">
        <v>1514</v>
      </c>
      <c r="D2407" s="388">
        <v>45142</v>
      </c>
      <c r="E2407" s="389">
        <v>45142</v>
      </c>
      <c r="G2407" s="135">
        <f>'National average solar data'!C$39</f>
        <v>0</v>
      </c>
      <c r="H2407" s="135">
        <f>'National average solar data'!D$39</f>
        <v>0</v>
      </c>
      <c r="I2407" s="135">
        <f>'National average solar data'!E$39</f>
        <v>0</v>
      </c>
      <c r="J2407" s="135">
        <f>'National average solar data'!F$39</f>
        <v>0</v>
      </c>
      <c r="K2407" s="135">
        <f>'National average solar data'!G$39</f>
        <v>0</v>
      </c>
      <c r="L2407" s="135">
        <f>'National average solar data'!H$39</f>
        <v>0</v>
      </c>
      <c r="M2407" s="135">
        <f>'National average solar data'!I$39</f>
        <v>2.1999999999999999E-2</v>
      </c>
      <c r="N2407" s="135">
        <f>'National average solar data'!J$39</f>
        <v>0.50839999999999996</v>
      </c>
      <c r="O2407" s="135">
        <f>'National average solar data'!K$39</f>
        <v>0.78610000000000002</v>
      </c>
      <c r="P2407" s="135">
        <f>'National average solar data'!L$39</f>
        <v>0.84970000000000001</v>
      </c>
      <c r="Q2407" s="135">
        <f>'National average solar data'!M$39</f>
        <v>0.86419999999999997</v>
      </c>
      <c r="R2407" s="135">
        <f>'National average solar data'!N$39</f>
        <v>0.85419999999999996</v>
      </c>
      <c r="S2407" s="135">
        <f>'National average solar data'!O$39</f>
        <v>0.8498</v>
      </c>
      <c r="T2407" s="135">
        <f>'National average solar data'!P$39</f>
        <v>0.84199999999999997</v>
      </c>
      <c r="U2407" s="135">
        <f>'National average solar data'!Q$39</f>
        <v>0.82820000000000005</v>
      </c>
      <c r="V2407" s="135">
        <f>'National average solar data'!R$39</f>
        <v>0.78110000000000002</v>
      </c>
      <c r="W2407" s="135">
        <f>'National average solar data'!S$39</f>
        <v>0.67510000000000003</v>
      </c>
      <c r="X2407" s="135">
        <f>'National average solar data'!T$39</f>
        <v>0.28399999999999997</v>
      </c>
      <c r="Y2407" s="135">
        <f>'National average solar data'!U$39</f>
        <v>1.2800000000000001E-2</v>
      </c>
      <c r="Z2407" s="135">
        <f>'National average solar data'!V$39</f>
        <v>0</v>
      </c>
      <c r="AA2407" s="135">
        <f>'National average solar data'!W$39</f>
        <v>0</v>
      </c>
      <c r="AB2407" s="135">
        <f>'National average solar data'!X$39</f>
        <v>0</v>
      </c>
      <c r="AC2407" s="135">
        <f>'National average solar data'!Y$39</f>
        <v>0</v>
      </c>
      <c r="AD2407" s="135">
        <f>'National average solar data'!Z$39</f>
        <v>0</v>
      </c>
    </row>
    <row r="2408" spans="1:30" ht="12.6">
      <c r="A2408" s="10" t="s">
        <v>131</v>
      </c>
      <c r="B2408" s="10">
        <v>217</v>
      </c>
      <c r="C2408" s="10" t="s">
        <v>1514</v>
      </c>
      <c r="D2408" s="388">
        <v>45143</v>
      </c>
      <c r="E2408" s="389">
        <v>45143</v>
      </c>
      <c r="G2408" s="135">
        <f>'National average solar data'!C$39</f>
        <v>0</v>
      </c>
      <c r="H2408" s="135">
        <f>'National average solar data'!D$39</f>
        <v>0</v>
      </c>
      <c r="I2408" s="135">
        <f>'National average solar data'!E$39</f>
        <v>0</v>
      </c>
      <c r="J2408" s="135">
        <f>'National average solar data'!F$39</f>
        <v>0</v>
      </c>
      <c r="K2408" s="135">
        <f>'National average solar data'!G$39</f>
        <v>0</v>
      </c>
      <c r="L2408" s="135">
        <f>'National average solar data'!H$39</f>
        <v>0</v>
      </c>
      <c r="M2408" s="135">
        <f>'National average solar data'!I$39</f>
        <v>2.1999999999999999E-2</v>
      </c>
      <c r="N2408" s="135">
        <f>'National average solar data'!J$39</f>
        <v>0.50839999999999996</v>
      </c>
      <c r="O2408" s="135">
        <f>'National average solar data'!K$39</f>
        <v>0.78610000000000002</v>
      </c>
      <c r="P2408" s="135">
        <f>'National average solar data'!L$39</f>
        <v>0.84970000000000001</v>
      </c>
      <c r="Q2408" s="135">
        <f>'National average solar data'!M$39</f>
        <v>0.86419999999999997</v>
      </c>
      <c r="R2408" s="135">
        <f>'National average solar data'!N$39</f>
        <v>0.85419999999999996</v>
      </c>
      <c r="S2408" s="135">
        <f>'National average solar data'!O$39</f>
        <v>0.8498</v>
      </c>
      <c r="T2408" s="135">
        <f>'National average solar data'!P$39</f>
        <v>0.84199999999999997</v>
      </c>
      <c r="U2408" s="135">
        <f>'National average solar data'!Q$39</f>
        <v>0.82820000000000005</v>
      </c>
      <c r="V2408" s="135">
        <f>'National average solar data'!R$39</f>
        <v>0.78110000000000002</v>
      </c>
      <c r="W2408" s="135">
        <f>'National average solar data'!S$39</f>
        <v>0.67510000000000003</v>
      </c>
      <c r="X2408" s="135">
        <f>'National average solar data'!T$39</f>
        <v>0.28399999999999997</v>
      </c>
      <c r="Y2408" s="135">
        <f>'National average solar data'!U$39</f>
        <v>1.2800000000000001E-2</v>
      </c>
      <c r="Z2408" s="135">
        <f>'National average solar data'!V$39</f>
        <v>0</v>
      </c>
      <c r="AA2408" s="135">
        <f>'National average solar data'!W$39</f>
        <v>0</v>
      </c>
      <c r="AB2408" s="135">
        <f>'National average solar data'!X$39</f>
        <v>0</v>
      </c>
      <c r="AC2408" s="135">
        <f>'National average solar data'!Y$39</f>
        <v>0</v>
      </c>
      <c r="AD2408" s="135">
        <f>'National average solar data'!Z$39</f>
        <v>0</v>
      </c>
    </row>
    <row r="2409" spans="1:30" ht="12.6">
      <c r="A2409" s="10" t="s">
        <v>131</v>
      </c>
      <c r="B2409" s="10">
        <v>218</v>
      </c>
      <c r="C2409" s="10" t="s">
        <v>1514</v>
      </c>
      <c r="D2409" s="388">
        <v>45144</v>
      </c>
      <c r="E2409" s="389">
        <v>45144</v>
      </c>
      <c r="G2409" s="135">
        <f>'National average solar data'!C$39</f>
        <v>0</v>
      </c>
      <c r="H2409" s="135">
        <f>'National average solar data'!D$39</f>
        <v>0</v>
      </c>
      <c r="I2409" s="135">
        <f>'National average solar data'!E$39</f>
        <v>0</v>
      </c>
      <c r="J2409" s="135">
        <f>'National average solar data'!F$39</f>
        <v>0</v>
      </c>
      <c r="K2409" s="135">
        <f>'National average solar data'!G$39</f>
        <v>0</v>
      </c>
      <c r="L2409" s="135">
        <f>'National average solar data'!H$39</f>
        <v>0</v>
      </c>
      <c r="M2409" s="135">
        <f>'National average solar data'!I$39</f>
        <v>2.1999999999999999E-2</v>
      </c>
      <c r="N2409" s="135">
        <f>'National average solar data'!J$39</f>
        <v>0.50839999999999996</v>
      </c>
      <c r="O2409" s="135">
        <f>'National average solar data'!K$39</f>
        <v>0.78610000000000002</v>
      </c>
      <c r="P2409" s="135">
        <f>'National average solar data'!L$39</f>
        <v>0.84970000000000001</v>
      </c>
      <c r="Q2409" s="135">
        <f>'National average solar data'!M$39</f>
        <v>0.86419999999999997</v>
      </c>
      <c r="R2409" s="135">
        <f>'National average solar data'!N$39</f>
        <v>0.85419999999999996</v>
      </c>
      <c r="S2409" s="135">
        <f>'National average solar data'!O$39</f>
        <v>0.8498</v>
      </c>
      <c r="T2409" s="135">
        <f>'National average solar data'!P$39</f>
        <v>0.84199999999999997</v>
      </c>
      <c r="U2409" s="135">
        <f>'National average solar data'!Q$39</f>
        <v>0.82820000000000005</v>
      </c>
      <c r="V2409" s="135">
        <f>'National average solar data'!R$39</f>
        <v>0.78110000000000002</v>
      </c>
      <c r="W2409" s="135">
        <f>'National average solar data'!S$39</f>
        <v>0.67510000000000003</v>
      </c>
      <c r="X2409" s="135">
        <f>'National average solar data'!T$39</f>
        <v>0.28399999999999997</v>
      </c>
      <c r="Y2409" s="135">
        <f>'National average solar data'!U$39</f>
        <v>1.2800000000000001E-2</v>
      </c>
      <c r="Z2409" s="135">
        <f>'National average solar data'!V$39</f>
        <v>0</v>
      </c>
      <c r="AA2409" s="135">
        <f>'National average solar data'!W$39</f>
        <v>0</v>
      </c>
      <c r="AB2409" s="135">
        <f>'National average solar data'!X$39</f>
        <v>0</v>
      </c>
      <c r="AC2409" s="135">
        <f>'National average solar data'!Y$39</f>
        <v>0</v>
      </c>
      <c r="AD2409" s="135">
        <f>'National average solar data'!Z$39</f>
        <v>0</v>
      </c>
    </row>
    <row r="2410" spans="1:30" ht="12.6">
      <c r="A2410" s="10" t="s">
        <v>131</v>
      </c>
      <c r="B2410" s="10">
        <v>219</v>
      </c>
      <c r="C2410" s="10" t="s">
        <v>1514</v>
      </c>
      <c r="D2410" s="388">
        <v>45145</v>
      </c>
      <c r="E2410" s="389">
        <v>45145</v>
      </c>
      <c r="G2410" s="135">
        <f>'National average solar data'!C$39</f>
        <v>0</v>
      </c>
      <c r="H2410" s="135">
        <f>'National average solar data'!D$39</f>
        <v>0</v>
      </c>
      <c r="I2410" s="135">
        <f>'National average solar data'!E$39</f>
        <v>0</v>
      </c>
      <c r="J2410" s="135">
        <f>'National average solar data'!F$39</f>
        <v>0</v>
      </c>
      <c r="K2410" s="135">
        <f>'National average solar data'!G$39</f>
        <v>0</v>
      </c>
      <c r="L2410" s="135">
        <f>'National average solar data'!H$39</f>
        <v>0</v>
      </c>
      <c r="M2410" s="135">
        <f>'National average solar data'!I$39</f>
        <v>2.1999999999999999E-2</v>
      </c>
      <c r="N2410" s="135">
        <f>'National average solar data'!J$39</f>
        <v>0.50839999999999996</v>
      </c>
      <c r="O2410" s="135">
        <f>'National average solar data'!K$39</f>
        <v>0.78610000000000002</v>
      </c>
      <c r="P2410" s="135">
        <f>'National average solar data'!L$39</f>
        <v>0.84970000000000001</v>
      </c>
      <c r="Q2410" s="135">
        <f>'National average solar data'!M$39</f>
        <v>0.86419999999999997</v>
      </c>
      <c r="R2410" s="135">
        <f>'National average solar data'!N$39</f>
        <v>0.85419999999999996</v>
      </c>
      <c r="S2410" s="135">
        <f>'National average solar data'!O$39</f>
        <v>0.8498</v>
      </c>
      <c r="T2410" s="135">
        <f>'National average solar data'!P$39</f>
        <v>0.84199999999999997</v>
      </c>
      <c r="U2410" s="135">
        <f>'National average solar data'!Q$39</f>
        <v>0.82820000000000005</v>
      </c>
      <c r="V2410" s="135">
        <f>'National average solar data'!R$39</f>
        <v>0.78110000000000002</v>
      </c>
      <c r="W2410" s="135">
        <f>'National average solar data'!S$39</f>
        <v>0.67510000000000003</v>
      </c>
      <c r="X2410" s="135">
        <f>'National average solar data'!T$39</f>
        <v>0.28399999999999997</v>
      </c>
      <c r="Y2410" s="135">
        <f>'National average solar data'!U$39</f>
        <v>1.2800000000000001E-2</v>
      </c>
      <c r="Z2410" s="135">
        <f>'National average solar data'!V$39</f>
        <v>0</v>
      </c>
      <c r="AA2410" s="135">
        <f>'National average solar data'!W$39</f>
        <v>0</v>
      </c>
      <c r="AB2410" s="135">
        <f>'National average solar data'!X$39</f>
        <v>0</v>
      </c>
      <c r="AC2410" s="135">
        <f>'National average solar data'!Y$39</f>
        <v>0</v>
      </c>
      <c r="AD2410" s="135">
        <f>'National average solar data'!Z$39</f>
        <v>0</v>
      </c>
    </row>
    <row r="2411" spans="1:30" ht="12.6">
      <c r="A2411" s="10" t="s">
        <v>131</v>
      </c>
      <c r="B2411" s="10">
        <v>220</v>
      </c>
      <c r="C2411" s="10" t="s">
        <v>1514</v>
      </c>
      <c r="D2411" s="388">
        <v>45146</v>
      </c>
      <c r="E2411" s="389">
        <v>45146</v>
      </c>
      <c r="G2411" s="135">
        <f>'National average solar data'!C$39</f>
        <v>0</v>
      </c>
      <c r="H2411" s="135">
        <f>'National average solar data'!D$39</f>
        <v>0</v>
      </c>
      <c r="I2411" s="135">
        <f>'National average solar data'!E$39</f>
        <v>0</v>
      </c>
      <c r="J2411" s="135">
        <f>'National average solar data'!F$39</f>
        <v>0</v>
      </c>
      <c r="K2411" s="135">
        <f>'National average solar data'!G$39</f>
        <v>0</v>
      </c>
      <c r="L2411" s="135">
        <f>'National average solar data'!H$39</f>
        <v>0</v>
      </c>
      <c r="M2411" s="135">
        <f>'National average solar data'!I$39</f>
        <v>2.1999999999999999E-2</v>
      </c>
      <c r="N2411" s="135">
        <f>'National average solar data'!J$39</f>
        <v>0.50839999999999996</v>
      </c>
      <c r="O2411" s="135">
        <f>'National average solar data'!K$39</f>
        <v>0.78610000000000002</v>
      </c>
      <c r="P2411" s="135">
        <f>'National average solar data'!L$39</f>
        <v>0.84970000000000001</v>
      </c>
      <c r="Q2411" s="135">
        <f>'National average solar data'!M$39</f>
        <v>0.86419999999999997</v>
      </c>
      <c r="R2411" s="135">
        <f>'National average solar data'!N$39</f>
        <v>0.85419999999999996</v>
      </c>
      <c r="S2411" s="135">
        <f>'National average solar data'!O$39</f>
        <v>0.8498</v>
      </c>
      <c r="T2411" s="135">
        <f>'National average solar data'!P$39</f>
        <v>0.84199999999999997</v>
      </c>
      <c r="U2411" s="135">
        <f>'National average solar data'!Q$39</f>
        <v>0.82820000000000005</v>
      </c>
      <c r="V2411" s="135">
        <f>'National average solar data'!R$39</f>
        <v>0.78110000000000002</v>
      </c>
      <c r="W2411" s="135">
        <f>'National average solar data'!S$39</f>
        <v>0.67510000000000003</v>
      </c>
      <c r="X2411" s="135">
        <f>'National average solar data'!T$39</f>
        <v>0.28399999999999997</v>
      </c>
      <c r="Y2411" s="135">
        <f>'National average solar data'!U$39</f>
        <v>1.2800000000000001E-2</v>
      </c>
      <c r="Z2411" s="135">
        <f>'National average solar data'!V$39</f>
        <v>0</v>
      </c>
      <c r="AA2411" s="135">
        <f>'National average solar data'!W$39</f>
        <v>0</v>
      </c>
      <c r="AB2411" s="135">
        <f>'National average solar data'!X$39</f>
        <v>0</v>
      </c>
      <c r="AC2411" s="135">
        <f>'National average solar data'!Y$39</f>
        <v>0</v>
      </c>
      <c r="AD2411" s="135">
        <f>'National average solar data'!Z$39</f>
        <v>0</v>
      </c>
    </row>
    <row r="2412" spans="1:30" ht="12.6">
      <c r="A2412" s="10" t="s">
        <v>131</v>
      </c>
      <c r="B2412" s="10">
        <v>221</v>
      </c>
      <c r="C2412" s="10" t="s">
        <v>1514</v>
      </c>
      <c r="D2412" s="388">
        <v>45147</v>
      </c>
      <c r="E2412" s="389">
        <v>45147</v>
      </c>
      <c r="G2412" s="135">
        <f>'National average solar data'!C$39</f>
        <v>0</v>
      </c>
      <c r="H2412" s="135">
        <f>'National average solar data'!D$39</f>
        <v>0</v>
      </c>
      <c r="I2412" s="135">
        <f>'National average solar data'!E$39</f>
        <v>0</v>
      </c>
      <c r="J2412" s="135">
        <f>'National average solar data'!F$39</f>
        <v>0</v>
      </c>
      <c r="K2412" s="135">
        <f>'National average solar data'!G$39</f>
        <v>0</v>
      </c>
      <c r="L2412" s="135">
        <f>'National average solar data'!H$39</f>
        <v>0</v>
      </c>
      <c r="M2412" s="135">
        <f>'National average solar data'!I$39</f>
        <v>2.1999999999999999E-2</v>
      </c>
      <c r="N2412" s="135">
        <f>'National average solar data'!J$39</f>
        <v>0.50839999999999996</v>
      </c>
      <c r="O2412" s="135">
        <f>'National average solar data'!K$39</f>
        <v>0.78610000000000002</v>
      </c>
      <c r="P2412" s="135">
        <f>'National average solar data'!L$39</f>
        <v>0.84970000000000001</v>
      </c>
      <c r="Q2412" s="135">
        <f>'National average solar data'!M$39</f>
        <v>0.86419999999999997</v>
      </c>
      <c r="R2412" s="135">
        <f>'National average solar data'!N$39</f>
        <v>0.85419999999999996</v>
      </c>
      <c r="S2412" s="135">
        <f>'National average solar data'!O$39</f>
        <v>0.8498</v>
      </c>
      <c r="T2412" s="135">
        <f>'National average solar data'!P$39</f>
        <v>0.84199999999999997</v>
      </c>
      <c r="U2412" s="135">
        <f>'National average solar data'!Q$39</f>
        <v>0.82820000000000005</v>
      </c>
      <c r="V2412" s="135">
        <f>'National average solar data'!R$39</f>
        <v>0.78110000000000002</v>
      </c>
      <c r="W2412" s="135">
        <f>'National average solar data'!S$39</f>
        <v>0.67510000000000003</v>
      </c>
      <c r="X2412" s="135">
        <f>'National average solar data'!T$39</f>
        <v>0.28399999999999997</v>
      </c>
      <c r="Y2412" s="135">
        <f>'National average solar data'!U$39</f>
        <v>1.2800000000000001E-2</v>
      </c>
      <c r="Z2412" s="135">
        <f>'National average solar data'!V$39</f>
        <v>0</v>
      </c>
      <c r="AA2412" s="135">
        <f>'National average solar data'!W$39</f>
        <v>0</v>
      </c>
      <c r="AB2412" s="135">
        <f>'National average solar data'!X$39</f>
        <v>0</v>
      </c>
      <c r="AC2412" s="135">
        <f>'National average solar data'!Y$39</f>
        <v>0</v>
      </c>
      <c r="AD2412" s="135">
        <f>'National average solar data'!Z$39</f>
        <v>0</v>
      </c>
    </row>
    <row r="2413" spans="1:30" ht="12.6">
      <c r="A2413" s="10" t="s">
        <v>131</v>
      </c>
      <c r="B2413" s="10">
        <v>222</v>
      </c>
      <c r="C2413" s="10" t="s">
        <v>1514</v>
      </c>
      <c r="D2413" s="388">
        <v>45148</v>
      </c>
      <c r="E2413" s="389">
        <v>45148</v>
      </c>
      <c r="G2413" s="135">
        <f>'National average solar data'!C$39</f>
        <v>0</v>
      </c>
      <c r="H2413" s="135">
        <f>'National average solar data'!D$39</f>
        <v>0</v>
      </c>
      <c r="I2413" s="135">
        <f>'National average solar data'!E$39</f>
        <v>0</v>
      </c>
      <c r="J2413" s="135">
        <f>'National average solar data'!F$39</f>
        <v>0</v>
      </c>
      <c r="K2413" s="135">
        <f>'National average solar data'!G$39</f>
        <v>0</v>
      </c>
      <c r="L2413" s="135">
        <f>'National average solar data'!H$39</f>
        <v>0</v>
      </c>
      <c r="M2413" s="135">
        <f>'National average solar data'!I$39</f>
        <v>2.1999999999999999E-2</v>
      </c>
      <c r="N2413" s="135">
        <f>'National average solar data'!J$39</f>
        <v>0.50839999999999996</v>
      </c>
      <c r="O2413" s="135">
        <f>'National average solar data'!K$39</f>
        <v>0.78610000000000002</v>
      </c>
      <c r="P2413" s="135">
        <f>'National average solar data'!L$39</f>
        <v>0.84970000000000001</v>
      </c>
      <c r="Q2413" s="135">
        <f>'National average solar data'!M$39</f>
        <v>0.86419999999999997</v>
      </c>
      <c r="R2413" s="135">
        <f>'National average solar data'!N$39</f>
        <v>0.85419999999999996</v>
      </c>
      <c r="S2413" s="135">
        <f>'National average solar data'!O$39</f>
        <v>0.8498</v>
      </c>
      <c r="T2413" s="135">
        <f>'National average solar data'!P$39</f>
        <v>0.84199999999999997</v>
      </c>
      <c r="U2413" s="135">
        <f>'National average solar data'!Q$39</f>
        <v>0.82820000000000005</v>
      </c>
      <c r="V2413" s="135">
        <f>'National average solar data'!R$39</f>
        <v>0.78110000000000002</v>
      </c>
      <c r="W2413" s="135">
        <f>'National average solar data'!S$39</f>
        <v>0.67510000000000003</v>
      </c>
      <c r="X2413" s="135">
        <f>'National average solar data'!T$39</f>
        <v>0.28399999999999997</v>
      </c>
      <c r="Y2413" s="135">
        <f>'National average solar data'!U$39</f>
        <v>1.2800000000000001E-2</v>
      </c>
      <c r="Z2413" s="135">
        <f>'National average solar data'!V$39</f>
        <v>0</v>
      </c>
      <c r="AA2413" s="135">
        <f>'National average solar data'!W$39</f>
        <v>0</v>
      </c>
      <c r="AB2413" s="135">
        <f>'National average solar data'!X$39</f>
        <v>0</v>
      </c>
      <c r="AC2413" s="135">
        <f>'National average solar data'!Y$39</f>
        <v>0</v>
      </c>
      <c r="AD2413" s="135">
        <f>'National average solar data'!Z$39</f>
        <v>0</v>
      </c>
    </row>
    <row r="2414" spans="1:30" ht="12.6">
      <c r="A2414" s="10" t="s">
        <v>131</v>
      </c>
      <c r="B2414" s="10">
        <v>223</v>
      </c>
      <c r="C2414" s="10" t="s">
        <v>1514</v>
      </c>
      <c r="D2414" s="388">
        <v>45149</v>
      </c>
      <c r="E2414" s="389">
        <v>45149</v>
      </c>
      <c r="G2414" s="135">
        <f>'National average solar data'!C$39</f>
        <v>0</v>
      </c>
      <c r="H2414" s="135">
        <f>'National average solar data'!D$39</f>
        <v>0</v>
      </c>
      <c r="I2414" s="135">
        <f>'National average solar data'!E$39</f>
        <v>0</v>
      </c>
      <c r="J2414" s="135">
        <f>'National average solar data'!F$39</f>
        <v>0</v>
      </c>
      <c r="K2414" s="135">
        <f>'National average solar data'!G$39</f>
        <v>0</v>
      </c>
      <c r="L2414" s="135">
        <f>'National average solar data'!H$39</f>
        <v>0</v>
      </c>
      <c r="M2414" s="135">
        <f>'National average solar data'!I$39</f>
        <v>2.1999999999999999E-2</v>
      </c>
      <c r="N2414" s="135">
        <f>'National average solar data'!J$39</f>
        <v>0.50839999999999996</v>
      </c>
      <c r="O2414" s="135">
        <f>'National average solar data'!K$39</f>
        <v>0.78610000000000002</v>
      </c>
      <c r="P2414" s="135">
        <f>'National average solar data'!L$39</f>
        <v>0.84970000000000001</v>
      </c>
      <c r="Q2414" s="135">
        <f>'National average solar data'!M$39</f>
        <v>0.86419999999999997</v>
      </c>
      <c r="R2414" s="135">
        <f>'National average solar data'!N$39</f>
        <v>0.85419999999999996</v>
      </c>
      <c r="S2414" s="135">
        <f>'National average solar data'!O$39</f>
        <v>0.8498</v>
      </c>
      <c r="T2414" s="135">
        <f>'National average solar data'!P$39</f>
        <v>0.84199999999999997</v>
      </c>
      <c r="U2414" s="135">
        <f>'National average solar data'!Q$39</f>
        <v>0.82820000000000005</v>
      </c>
      <c r="V2414" s="135">
        <f>'National average solar data'!R$39</f>
        <v>0.78110000000000002</v>
      </c>
      <c r="W2414" s="135">
        <f>'National average solar data'!S$39</f>
        <v>0.67510000000000003</v>
      </c>
      <c r="X2414" s="135">
        <f>'National average solar data'!T$39</f>
        <v>0.28399999999999997</v>
      </c>
      <c r="Y2414" s="135">
        <f>'National average solar data'!U$39</f>
        <v>1.2800000000000001E-2</v>
      </c>
      <c r="Z2414" s="135">
        <f>'National average solar data'!V$39</f>
        <v>0</v>
      </c>
      <c r="AA2414" s="135">
        <f>'National average solar data'!W$39</f>
        <v>0</v>
      </c>
      <c r="AB2414" s="135">
        <f>'National average solar data'!X$39</f>
        <v>0</v>
      </c>
      <c r="AC2414" s="135">
        <f>'National average solar data'!Y$39</f>
        <v>0</v>
      </c>
      <c r="AD2414" s="135">
        <f>'National average solar data'!Z$39</f>
        <v>0</v>
      </c>
    </row>
    <row r="2415" spans="1:30" ht="12.6">
      <c r="A2415" s="10" t="s">
        <v>131</v>
      </c>
      <c r="B2415" s="10">
        <v>224</v>
      </c>
      <c r="C2415" s="10" t="s">
        <v>1514</v>
      </c>
      <c r="D2415" s="388">
        <v>45150</v>
      </c>
      <c r="E2415" s="389">
        <v>45150</v>
      </c>
      <c r="G2415" s="135">
        <f>'National average solar data'!C$39</f>
        <v>0</v>
      </c>
      <c r="H2415" s="135">
        <f>'National average solar data'!D$39</f>
        <v>0</v>
      </c>
      <c r="I2415" s="135">
        <f>'National average solar data'!E$39</f>
        <v>0</v>
      </c>
      <c r="J2415" s="135">
        <f>'National average solar data'!F$39</f>
        <v>0</v>
      </c>
      <c r="K2415" s="135">
        <f>'National average solar data'!G$39</f>
        <v>0</v>
      </c>
      <c r="L2415" s="135">
        <f>'National average solar data'!H$39</f>
        <v>0</v>
      </c>
      <c r="M2415" s="135">
        <f>'National average solar data'!I$39</f>
        <v>2.1999999999999999E-2</v>
      </c>
      <c r="N2415" s="135">
        <f>'National average solar data'!J$39</f>
        <v>0.50839999999999996</v>
      </c>
      <c r="O2415" s="135">
        <f>'National average solar data'!K$39</f>
        <v>0.78610000000000002</v>
      </c>
      <c r="P2415" s="135">
        <f>'National average solar data'!L$39</f>
        <v>0.84970000000000001</v>
      </c>
      <c r="Q2415" s="135">
        <f>'National average solar data'!M$39</f>
        <v>0.86419999999999997</v>
      </c>
      <c r="R2415" s="135">
        <f>'National average solar data'!N$39</f>
        <v>0.85419999999999996</v>
      </c>
      <c r="S2415" s="135">
        <f>'National average solar data'!O$39</f>
        <v>0.8498</v>
      </c>
      <c r="T2415" s="135">
        <f>'National average solar data'!P$39</f>
        <v>0.84199999999999997</v>
      </c>
      <c r="U2415" s="135">
        <f>'National average solar data'!Q$39</f>
        <v>0.82820000000000005</v>
      </c>
      <c r="V2415" s="135">
        <f>'National average solar data'!R$39</f>
        <v>0.78110000000000002</v>
      </c>
      <c r="W2415" s="135">
        <f>'National average solar data'!S$39</f>
        <v>0.67510000000000003</v>
      </c>
      <c r="X2415" s="135">
        <f>'National average solar data'!T$39</f>
        <v>0.28399999999999997</v>
      </c>
      <c r="Y2415" s="135">
        <f>'National average solar data'!U$39</f>
        <v>1.2800000000000001E-2</v>
      </c>
      <c r="Z2415" s="135">
        <f>'National average solar data'!V$39</f>
        <v>0</v>
      </c>
      <c r="AA2415" s="135">
        <f>'National average solar data'!W$39</f>
        <v>0</v>
      </c>
      <c r="AB2415" s="135">
        <f>'National average solar data'!X$39</f>
        <v>0</v>
      </c>
      <c r="AC2415" s="135">
        <f>'National average solar data'!Y$39</f>
        <v>0</v>
      </c>
      <c r="AD2415" s="135">
        <f>'National average solar data'!Z$39</f>
        <v>0</v>
      </c>
    </row>
    <row r="2416" spans="1:30" ht="12.6">
      <c r="A2416" s="10" t="s">
        <v>131</v>
      </c>
      <c r="B2416" s="10">
        <v>225</v>
      </c>
      <c r="C2416" s="10" t="s">
        <v>1514</v>
      </c>
      <c r="D2416" s="388">
        <v>45151</v>
      </c>
      <c r="E2416" s="389">
        <v>45151</v>
      </c>
      <c r="G2416" s="135">
        <f>'National average solar data'!C$39</f>
        <v>0</v>
      </c>
      <c r="H2416" s="135">
        <f>'National average solar data'!D$39</f>
        <v>0</v>
      </c>
      <c r="I2416" s="135">
        <f>'National average solar data'!E$39</f>
        <v>0</v>
      </c>
      <c r="J2416" s="135">
        <f>'National average solar data'!F$39</f>
        <v>0</v>
      </c>
      <c r="K2416" s="135">
        <f>'National average solar data'!G$39</f>
        <v>0</v>
      </c>
      <c r="L2416" s="135">
        <f>'National average solar data'!H$39</f>
        <v>0</v>
      </c>
      <c r="M2416" s="135">
        <f>'National average solar data'!I$39</f>
        <v>2.1999999999999999E-2</v>
      </c>
      <c r="N2416" s="135">
        <f>'National average solar data'!J$39</f>
        <v>0.50839999999999996</v>
      </c>
      <c r="O2416" s="135">
        <f>'National average solar data'!K$39</f>
        <v>0.78610000000000002</v>
      </c>
      <c r="P2416" s="135">
        <f>'National average solar data'!L$39</f>
        <v>0.84970000000000001</v>
      </c>
      <c r="Q2416" s="135">
        <f>'National average solar data'!M$39</f>
        <v>0.86419999999999997</v>
      </c>
      <c r="R2416" s="135">
        <f>'National average solar data'!N$39</f>
        <v>0.85419999999999996</v>
      </c>
      <c r="S2416" s="135">
        <f>'National average solar data'!O$39</f>
        <v>0.8498</v>
      </c>
      <c r="T2416" s="135">
        <f>'National average solar data'!P$39</f>
        <v>0.84199999999999997</v>
      </c>
      <c r="U2416" s="135">
        <f>'National average solar data'!Q$39</f>
        <v>0.82820000000000005</v>
      </c>
      <c r="V2416" s="135">
        <f>'National average solar data'!R$39</f>
        <v>0.78110000000000002</v>
      </c>
      <c r="W2416" s="135">
        <f>'National average solar data'!S$39</f>
        <v>0.67510000000000003</v>
      </c>
      <c r="X2416" s="135">
        <f>'National average solar data'!T$39</f>
        <v>0.28399999999999997</v>
      </c>
      <c r="Y2416" s="135">
        <f>'National average solar data'!U$39</f>
        <v>1.2800000000000001E-2</v>
      </c>
      <c r="Z2416" s="135">
        <f>'National average solar data'!V$39</f>
        <v>0</v>
      </c>
      <c r="AA2416" s="135">
        <f>'National average solar data'!W$39</f>
        <v>0</v>
      </c>
      <c r="AB2416" s="135">
        <f>'National average solar data'!X$39</f>
        <v>0</v>
      </c>
      <c r="AC2416" s="135">
        <f>'National average solar data'!Y$39</f>
        <v>0</v>
      </c>
      <c r="AD2416" s="135">
        <f>'National average solar data'!Z$39</f>
        <v>0</v>
      </c>
    </row>
    <row r="2417" spans="1:30" ht="12.6">
      <c r="A2417" s="10" t="s">
        <v>131</v>
      </c>
      <c r="B2417" s="10">
        <v>226</v>
      </c>
      <c r="C2417" s="10" t="s">
        <v>1514</v>
      </c>
      <c r="D2417" s="388">
        <v>45152</v>
      </c>
      <c r="E2417" s="389">
        <v>45152</v>
      </c>
      <c r="G2417" s="135">
        <f>'National average solar data'!C$39</f>
        <v>0</v>
      </c>
      <c r="H2417" s="135">
        <f>'National average solar data'!D$39</f>
        <v>0</v>
      </c>
      <c r="I2417" s="135">
        <f>'National average solar data'!E$39</f>
        <v>0</v>
      </c>
      <c r="J2417" s="135">
        <f>'National average solar data'!F$39</f>
        <v>0</v>
      </c>
      <c r="K2417" s="135">
        <f>'National average solar data'!G$39</f>
        <v>0</v>
      </c>
      <c r="L2417" s="135">
        <f>'National average solar data'!H$39</f>
        <v>0</v>
      </c>
      <c r="M2417" s="135">
        <f>'National average solar data'!I$39</f>
        <v>2.1999999999999999E-2</v>
      </c>
      <c r="N2417" s="135">
        <f>'National average solar data'!J$39</f>
        <v>0.50839999999999996</v>
      </c>
      <c r="O2417" s="135">
        <f>'National average solar data'!K$39</f>
        <v>0.78610000000000002</v>
      </c>
      <c r="P2417" s="135">
        <f>'National average solar data'!L$39</f>
        <v>0.84970000000000001</v>
      </c>
      <c r="Q2417" s="135">
        <f>'National average solar data'!M$39</f>
        <v>0.86419999999999997</v>
      </c>
      <c r="R2417" s="135">
        <f>'National average solar data'!N$39</f>
        <v>0.85419999999999996</v>
      </c>
      <c r="S2417" s="135">
        <f>'National average solar data'!O$39</f>
        <v>0.8498</v>
      </c>
      <c r="T2417" s="135">
        <f>'National average solar data'!P$39</f>
        <v>0.84199999999999997</v>
      </c>
      <c r="U2417" s="135">
        <f>'National average solar data'!Q$39</f>
        <v>0.82820000000000005</v>
      </c>
      <c r="V2417" s="135">
        <f>'National average solar data'!R$39</f>
        <v>0.78110000000000002</v>
      </c>
      <c r="W2417" s="135">
        <f>'National average solar data'!S$39</f>
        <v>0.67510000000000003</v>
      </c>
      <c r="X2417" s="135">
        <f>'National average solar data'!T$39</f>
        <v>0.28399999999999997</v>
      </c>
      <c r="Y2417" s="135">
        <f>'National average solar data'!U$39</f>
        <v>1.2800000000000001E-2</v>
      </c>
      <c r="Z2417" s="135">
        <f>'National average solar data'!V$39</f>
        <v>0</v>
      </c>
      <c r="AA2417" s="135">
        <f>'National average solar data'!W$39</f>
        <v>0</v>
      </c>
      <c r="AB2417" s="135">
        <f>'National average solar data'!X$39</f>
        <v>0</v>
      </c>
      <c r="AC2417" s="135">
        <f>'National average solar data'!Y$39</f>
        <v>0</v>
      </c>
      <c r="AD2417" s="135">
        <f>'National average solar data'!Z$39</f>
        <v>0</v>
      </c>
    </row>
    <row r="2418" spans="1:30" ht="12.6">
      <c r="A2418" s="10" t="s">
        <v>131</v>
      </c>
      <c r="B2418" s="10">
        <v>227</v>
      </c>
      <c r="C2418" s="10" t="s">
        <v>1514</v>
      </c>
      <c r="D2418" s="388">
        <v>45153</v>
      </c>
      <c r="E2418" s="389">
        <v>45153</v>
      </c>
      <c r="G2418" s="135">
        <f>'National average solar data'!C$39</f>
        <v>0</v>
      </c>
      <c r="H2418" s="135">
        <f>'National average solar data'!D$39</f>
        <v>0</v>
      </c>
      <c r="I2418" s="135">
        <f>'National average solar data'!E$39</f>
        <v>0</v>
      </c>
      <c r="J2418" s="135">
        <f>'National average solar data'!F$39</f>
        <v>0</v>
      </c>
      <c r="K2418" s="135">
        <f>'National average solar data'!G$39</f>
        <v>0</v>
      </c>
      <c r="L2418" s="135">
        <f>'National average solar data'!H$39</f>
        <v>0</v>
      </c>
      <c r="M2418" s="135">
        <f>'National average solar data'!I$39</f>
        <v>2.1999999999999999E-2</v>
      </c>
      <c r="N2418" s="135">
        <f>'National average solar data'!J$39</f>
        <v>0.50839999999999996</v>
      </c>
      <c r="O2418" s="135">
        <f>'National average solar data'!K$39</f>
        <v>0.78610000000000002</v>
      </c>
      <c r="P2418" s="135">
        <f>'National average solar data'!L$39</f>
        <v>0.84970000000000001</v>
      </c>
      <c r="Q2418" s="135">
        <f>'National average solar data'!M$39</f>
        <v>0.86419999999999997</v>
      </c>
      <c r="R2418" s="135">
        <f>'National average solar data'!N$39</f>
        <v>0.85419999999999996</v>
      </c>
      <c r="S2418" s="135">
        <f>'National average solar data'!O$39</f>
        <v>0.8498</v>
      </c>
      <c r="T2418" s="135">
        <f>'National average solar data'!P$39</f>
        <v>0.84199999999999997</v>
      </c>
      <c r="U2418" s="135">
        <f>'National average solar data'!Q$39</f>
        <v>0.82820000000000005</v>
      </c>
      <c r="V2418" s="135">
        <f>'National average solar data'!R$39</f>
        <v>0.78110000000000002</v>
      </c>
      <c r="W2418" s="135">
        <f>'National average solar data'!S$39</f>
        <v>0.67510000000000003</v>
      </c>
      <c r="X2418" s="135">
        <f>'National average solar data'!T$39</f>
        <v>0.28399999999999997</v>
      </c>
      <c r="Y2418" s="135">
        <f>'National average solar data'!U$39</f>
        <v>1.2800000000000001E-2</v>
      </c>
      <c r="Z2418" s="135">
        <f>'National average solar data'!V$39</f>
        <v>0</v>
      </c>
      <c r="AA2418" s="135">
        <f>'National average solar data'!W$39</f>
        <v>0</v>
      </c>
      <c r="AB2418" s="135">
        <f>'National average solar data'!X$39</f>
        <v>0</v>
      </c>
      <c r="AC2418" s="135">
        <f>'National average solar data'!Y$39</f>
        <v>0</v>
      </c>
      <c r="AD2418" s="135">
        <f>'National average solar data'!Z$39</f>
        <v>0</v>
      </c>
    </row>
    <row r="2419" spans="1:30" ht="12.6">
      <c r="A2419" s="10" t="s">
        <v>131</v>
      </c>
      <c r="B2419" s="10">
        <v>228</v>
      </c>
      <c r="C2419" s="10" t="s">
        <v>1514</v>
      </c>
      <c r="D2419" s="388">
        <v>45154</v>
      </c>
      <c r="E2419" s="389">
        <v>45154</v>
      </c>
      <c r="G2419" s="135">
        <f>'National average solar data'!C$39</f>
        <v>0</v>
      </c>
      <c r="H2419" s="135">
        <f>'National average solar data'!D$39</f>
        <v>0</v>
      </c>
      <c r="I2419" s="135">
        <f>'National average solar data'!E$39</f>
        <v>0</v>
      </c>
      <c r="J2419" s="135">
        <f>'National average solar data'!F$39</f>
        <v>0</v>
      </c>
      <c r="K2419" s="135">
        <f>'National average solar data'!G$39</f>
        <v>0</v>
      </c>
      <c r="L2419" s="135">
        <f>'National average solar data'!H$39</f>
        <v>0</v>
      </c>
      <c r="M2419" s="135">
        <f>'National average solar data'!I$39</f>
        <v>2.1999999999999999E-2</v>
      </c>
      <c r="N2419" s="135">
        <f>'National average solar data'!J$39</f>
        <v>0.50839999999999996</v>
      </c>
      <c r="O2419" s="135">
        <f>'National average solar data'!K$39</f>
        <v>0.78610000000000002</v>
      </c>
      <c r="P2419" s="135">
        <f>'National average solar data'!L$39</f>
        <v>0.84970000000000001</v>
      </c>
      <c r="Q2419" s="135">
        <f>'National average solar data'!M$39</f>
        <v>0.86419999999999997</v>
      </c>
      <c r="R2419" s="135">
        <f>'National average solar data'!N$39</f>
        <v>0.85419999999999996</v>
      </c>
      <c r="S2419" s="135">
        <f>'National average solar data'!O$39</f>
        <v>0.8498</v>
      </c>
      <c r="T2419" s="135">
        <f>'National average solar data'!P$39</f>
        <v>0.84199999999999997</v>
      </c>
      <c r="U2419" s="135">
        <f>'National average solar data'!Q$39</f>
        <v>0.82820000000000005</v>
      </c>
      <c r="V2419" s="135">
        <f>'National average solar data'!R$39</f>
        <v>0.78110000000000002</v>
      </c>
      <c r="W2419" s="135">
        <f>'National average solar data'!S$39</f>
        <v>0.67510000000000003</v>
      </c>
      <c r="X2419" s="135">
        <f>'National average solar data'!T$39</f>
        <v>0.28399999999999997</v>
      </c>
      <c r="Y2419" s="135">
        <f>'National average solar data'!U$39</f>
        <v>1.2800000000000001E-2</v>
      </c>
      <c r="Z2419" s="135">
        <f>'National average solar data'!V$39</f>
        <v>0</v>
      </c>
      <c r="AA2419" s="135">
        <f>'National average solar data'!W$39</f>
        <v>0</v>
      </c>
      <c r="AB2419" s="135">
        <f>'National average solar data'!X$39</f>
        <v>0</v>
      </c>
      <c r="AC2419" s="135">
        <f>'National average solar data'!Y$39</f>
        <v>0</v>
      </c>
      <c r="AD2419" s="135">
        <f>'National average solar data'!Z$39</f>
        <v>0</v>
      </c>
    </row>
    <row r="2420" spans="1:30" ht="12.6">
      <c r="A2420" s="10" t="s">
        <v>131</v>
      </c>
      <c r="B2420" s="10">
        <v>229</v>
      </c>
      <c r="C2420" s="10" t="s">
        <v>1514</v>
      </c>
      <c r="D2420" s="388">
        <v>45155</v>
      </c>
      <c r="E2420" s="389">
        <v>45155</v>
      </c>
      <c r="G2420" s="135">
        <f>'National average solar data'!C$39</f>
        <v>0</v>
      </c>
      <c r="H2420" s="135">
        <f>'National average solar data'!D$39</f>
        <v>0</v>
      </c>
      <c r="I2420" s="135">
        <f>'National average solar data'!E$39</f>
        <v>0</v>
      </c>
      <c r="J2420" s="135">
        <f>'National average solar data'!F$39</f>
        <v>0</v>
      </c>
      <c r="K2420" s="135">
        <f>'National average solar data'!G$39</f>
        <v>0</v>
      </c>
      <c r="L2420" s="135">
        <f>'National average solar data'!H$39</f>
        <v>0</v>
      </c>
      <c r="M2420" s="135">
        <f>'National average solar data'!I$39</f>
        <v>2.1999999999999999E-2</v>
      </c>
      <c r="N2420" s="135">
        <f>'National average solar data'!J$39</f>
        <v>0.50839999999999996</v>
      </c>
      <c r="O2420" s="135">
        <f>'National average solar data'!K$39</f>
        <v>0.78610000000000002</v>
      </c>
      <c r="P2420" s="135">
        <f>'National average solar data'!L$39</f>
        <v>0.84970000000000001</v>
      </c>
      <c r="Q2420" s="135">
        <f>'National average solar data'!M$39</f>
        <v>0.86419999999999997</v>
      </c>
      <c r="R2420" s="135">
        <f>'National average solar data'!N$39</f>
        <v>0.85419999999999996</v>
      </c>
      <c r="S2420" s="135">
        <f>'National average solar data'!O$39</f>
        <v>0.8498</v>
      </c>
      <c r="T2420" s="135">
        <f>'National average solar data'!P$39</f>
        <v>0.84199999999999997</v>
      </c>
      <c r="U2420" s="135">
        <f>'National average solar data'!Q$39</f>
        <v>0.82820000000000005</v>
      </c>
      <c r="V2420" s="135">
        <f>'National average solar data'!R$39</f>
        <v>0.78110000000000002</v>
      </c>
      <c r="W2420" s="135">
        <f>'National average solar data'!S$39</f>
        <v>0.67510000000000003</v>
      </c>
      <c r="X2420" s="135">
        <f>'National average solar data'!T$39</f>
        <v>0.28399999999999997</v>
      </c>
      <c r="Y2420" s="135">
        <f>'National average solar data'!U$39</f>
        <v>1.2800000000000001E-2</v>
      </c>
      <c r="Z2420" s="135">
        <f>'National average solar data'!V$39</f>
        <v>0</v>
      </c>
      <c r="AA2420" s="135">
        <f>'National average solar data'!W$39</f>
        <v>0</v>
      </c>
      <c r="AB2420" s="135">
        <f>'National average solar data'!X$39</f>
        <v>0</v>
      </c>
      <c r="AC2420" s="135">
        <f>'National average solar data'!Y$39</f>
        <v>0</v>
      </c>
      <c r="AD2420" s="135">
        <f>'National average solar data'!Z$39</f>
        <v>0</v>
      </c>
    </row>
    <row r="2421" spans="1:30" ht="12.6">
      <c r="A2421" s="10" t="s">
        <v>131</v>
      </c>
      <c r="B2421" s="10">
        <v>230</v>
      </c>
      <c r="C2421" s="10" t="s">
        <v>1514</v>
      </c>
      <c r="D2421" s="388">
        <v>45156</v>
      </c>
      <c r="E2421" s="389">
        <v>45156</v>
      </c>
      <c r="G2421" s="135">
        <f>'National average solar data'!C$39</f>
        <v>0</v>
      </c>
      <c r="H2421" s="135">
        <f>'National average solar data'!D$39</f>
        <v>0</v>
      </c>
      <c r="I2421" s="135">
        <f>'National average solar data'!E$39</f>
        <v>0</v>
      </c>
      <c r="J2421" s="135">
        <f>'National average solar data'!F$39</f>
        <v>0</v>
      </c>
      <c r="K2421" s="135">
        <f>'National average solar data'!G$39</f>
        <v>0</v>
      </c>
      <c r="L2421" s="135">
        <f>'National average solar data'!H$39</f>
        <v>0</v>
      </c>
      <c r="M2421" s="135">
        <f>'National average solar data'!I$39</f>
        <v>2.1999999999999999E-2</v>
      </c>
      <c r="N2421" s="135">
        <f>'National average solar data'!J$39</f>
        <v>0.50839999999999996</v>
      </c>
      <c r="O2421" s="135">
        <f>'National average solar data'!K$39</f>
        <v>0.78610000000000002</v>
      </c>
      <c r="P2421" s="135">
        <f>'National average solar data'!L$39</f>
        <v>0.84970000000000001</v>
      </c>
      <c r="Q2421" s="135">
        <f>'National average solar data'!M$39</f>
        <v>0.86419999999999997</v>
      </c>
      <c r="R2421" s="135">
        <f>'National average solar data'!N$39</f>
        <v>0.85419999999999996</v>
      </c>
      <c r="S2421" s="135">
        <f>'National average solar data'!O$39</f>
        <v>0.8498</v>
      </c>
      <c r="T2421" s="135">
        <f>'National average solar data'!P$39</f>
        <v>0.84199999999999997</v>
      </c>
      <c r="U2421" s="135">
        <f>'National average solar data'!Q$39</f>
        <v>0.82820000000000005</v>
      </c>
      <c r="V2421" s="135">
        <f>'National average solar data'!R$39</f>
        <v>0.78110000000000002</v>
      </c>
      <c r="W2421" s="135">
        <f>'National average solar data'!S$39</f>
        <v>0.67510000000000003</v>
      </c>
      <c r="X2421" s="135">
        <f>'National average solar data'!T$39</f>
        <v>0.28399999999999997</v>
      </c>
      <c r="Y2421" s="135">
        <f>'National average solar data'!U$39</f>
        <v>1.2800000000000001E-2</v>
      </c>
      <c r="Z2421" s="135">
        <f>'National average solar data'!V$39</f>
        <v>0</v>
      </c>
      <c r="AA2421" s="135">
        <f>'National average solar data'!W$39</f>
        <v>0</v>
      </c>
      <c r="AB2421" s="135">
        <f>'National average solar data'!X$39</f>
        <v>0</v>
      </c>
      <c r="AC2421" s="135">
        <f>'National average solar data'!Y$39</f>
        <v>0</v>
      </c>
      <c r="AD2421" s="135">
        <f>'National average solar data'!Z$39</f>
        <v>0</v>
      </c>
    </row>
    <row r="2422" spans="1:30" ht="12.6">
      <c r="A2422" s="10" t="s">
        <v>131</v>
      </c>
      <c r="B2422" s="10">
        <v>231</v>
      </c>
      <c r="C2422" s="10" t="s">
        <v>1514</v>
      </c>
      <c r="D2422" s="388">
        <v>45157</v>
      </c>
      <c r="E2422" s="389">
        <v>45157</v>
      </c>
      <c r="G2422" s="135">
        <f>'National average solar data'!C$39</f>
        <v>0</v>
      </c>
      <c r="H2422" s="135">
        <f>'National average solar data'!D$39</f>
        <v>0</v>
      </c>
      <c r="I2422" s="135">
        <f>'National average solar data'!E$39</f>
        <v>0</v>
      </c>
      <c r="J2422" s="135">
        <f>'National average solar data'!F$39</f>
        <v>0</v>
      </c>
      <c r="K2422" s="135">
        <f>'National average solar data'!G$39</f>
        <v>0</v>
      </c>
      <c r="L2422" s="135">
        <f>'National average solar data'!H$39</f>
        <v>0</v>
      </c>
      <c r="M2422" s="135">
        <f>'National average solar data'!I$39</f>
        <v>2.1999999999999999E-2</v>
      </c>
      <c r="N2422" s="135">
        <f>'National average solar data'!J$39</f>
        <v>0.50839999999999996</v>
      </c>
      <c r="O2422" s="135">
        <f>'National average solar data'!K$39</f>
        <v>0.78610000000000002</v>
      </c>
      <c r="P2422" s="135">
        <f>'National average solar data'!L$39</f>
        <v>0.84970000000000001</v>
      </c>
      <c r="Q2422" s="135">
        <f>'National average solar data'!M$39</f>
        <v>0.86419999999999997</v>
      </c>
      <c r="R2422" s="135">
        <f>'National average solar data'!N$39</f>
        <v>0.85419999999999996</v>
      </c>
      <c r="S2422" s="135">
        <f>'National average solar data'!O$39</f>
        <v>0.8498</v>
      </c>
      <c r="T2422" s="135">
        <f>'National average solar data'!P$39</f>
        <v>0.84199999999999997</v>
      </c>
      <c r="U2422" s="135">
        <f>'National average solar data'!Q$39</f>
        <v>0.82820000000000005</v>
      </c>
      <c r="V2422" s="135">
        <f>'National average solar data'!R$39</f>
        <v>0.78110000000000002</v>
      </c>
      <c r="W2422" s="135">
        <f>'National average solar data'!S$39</f>
        <v>0.67510000000000003</v>
      </c>
      <c r="X2422" s="135">
        <f>'National average solar data'!T$39</f>
        <v>0.28399999999999997</v>
      </c>
      <c r="Y2422" s="135">
        <f>'National average solar data'!U$39</f>
        <v>1.2800000000000001E-2</v>
      </c>
      <c r="Z2422" s="135">
        <f>'National average solar data'!V$39</f>
        <v>0</v>
      </c>
      <c r="AA2422" s="135">
        <f>'National average solar data'!W$39</f>
        <v>0</v>
      </c>
      <c r="AB2422" s="135">
        <f>'National average solar data'!X$39</f>
        <v>0</v>
      </c>
      <c r="AC2422" s="135">
        <f>'National average solar data'!Y$39</f>
        <v>0</v>
      </c>
      <c r="AD2422" s="135">
        <f>'National average solar data'!Z$39</f>
        <v>0</v>
      </c>
    </row>
    <row r="2423" spans="1:30" ht="12.6">
      <c r="A2423" s="10" t="s">
        <v>131</v>
      </c>
      <c r="B2423" s="10">
        <v>232</v>
      </c>
      <c r="C2423" s="10" t="s">
        <v>1514</v>
      </c>
      <c r="D2423" s="388">
        <v>45158</v>
      </c>
      <c r="E2423" s="389">
        <v>45158</v>
      </c>
      <c r="G2423" s="135">
        <f>'National average solar data'!C$39</f>
        <v>0</v>
      </c>
      <c r="H2423" s="135">
        <f>'National average solar data'!D$39</f>
        <v>0</v>
      </c>
      <c r="I2423" s="135">
        <f>'National average solar data'!E$39</f>
        <v>0</v>
      </c>
      <c r="J2423" s="135">
        <f>'National average solar data'!F$39</f>
        <v>0</v>
      </c>
      <c r="K2423" s="135">
        <f>'National average solar data'!G$39</f>
        <v>0</v>
      </c>
      <c r="L2423" s="135">
        <f>'National average solar data'!H$39</f>
        <v>0</v>
      </c>
      <c r="M2423" s="135">
        <f>'National average solar data'!I$39</f>
        <v>2.1999999999999999E-2</v>
      </c>
      <c r="N2423" s="135">
        <f>'National average solar data'!J$39</f>
        <v>0.50839999999999996</v>
      </c>
      <c r="O2423" s="135">
        <f>'National average solar data'!K$39</f>
        <v>0.78610000000000002</v>
      </c>
      <c r="P2423" s="135">
        <f>'National average solar data'!L$39</f>
        <v>0.84970000000000001</v>
      </c>
      <c r="Q2423" s="135">
        <f>'National average solar data'!M$39</f>
        <v>0.86419999999999997</v>
      </c>
      <c r="R2423" s="135">
        <f>'National average solar data'!N$39</f>
        <v>0.85419999999999996</v>
      </c>
      <c r="S2423" s="135">
        <f>'National average solar data'!O$39</f>
        <v>0.8498</v>
      </c>
      <c r="T2423" s="135">
        <f>'National average solar data'!P$39</f>
        <v>0.84199999999999997</v>
      </c>
      <c r="U2423" s="135">
        <f>'National average solar data'!Q$39</f>
        <v>0.82820000000000005</v>
      </c>
      <c r="V2423" s="135">
        <f>'National average solar data'!R$39</f>
        <v>0.78110000000000002</v>
      </c>
      <c r="W2423" s="135">
        <f>'National average solar data'!S$39</f>
        <v>0.67510000000000003</v>
      </c>
      <c r="X2423" s="135">
        <f>'National average solar data'!T$39</f>
        <v>0.28399999999999997</v>
      </c>
      <c r="Y2423" s="135">
        <f>'National average solar data'!U$39</f>
        <v>1.2800000000000001E-2</v>
      </c>
      <c r="Z2423" s="135">
        <f>'National average solar data'!V$39</f>
        <v>0</v>
      </c>
      <c r="AA2423" s="135">
        <f>'National average solar data'!W$39</f>
        <v>0</v>
      </c>
      <c r="AB2423" s="135">
        <f>'National average solar data'!X$39</f>
        <v>0</v>
      </c>
      <c r="AC2423" s="135">
        <f>'National average solar data'!Y$39</f>
        <v>0</v>
      </c>
      <c r="AD2423" s="135">
        <f>'National average solar data'!Z$39</f>
        <v>0</v>
      </c>
    </row>
    <row r="2424" spans="1:30" ht="12.6">
      <c r="A2424" s="10" t="s">
        <v>131</v>
      </c>
      <c r="B2424" s="10">
        <v>233</v>
      </c>
      <c r="C2424" s="10" t="s">
        <v>1514</v>
      </c>
      <c r="D2424" s="388">
        <v>45159</v>
      </c>
      <c r="E2424" s="389">
        <v>45159</v>
      </c>
      <c r="G2424" s="135">
        <f>'National average solar data'!C$39</f>
        <v>0</v>
      </c>
      <c r="H2424" s="135">
        <f>'National average solar data'!D$39</f>
        <v>0</v>
      </c>
      <c r="I2424" s="135">
        <f>'National average solar data'!E$39</f>
        <v>0</v>
      </c>
      <c r="J2424" s="135">
        <f>'National average solar data'!F$39</f>
        <v>0</v>
      </c>
      <c r="K2424" s="135">
        <f>'National average solar data'!G$39</f>
        <v>0</v>
      </c>
      <c r="L2424" s="135">
        <f>'National average solar data'!H$39</f>
        <v>0</v>
      </c>
      <c r="M2424" s="135">
        <f>'National average solar data'!I$39</f>
        <v>2.1999999999999999E-2</v>
      </c>
      <c r="N2424" s="135">
        <f>'National average solar data'!J$39</f>
        <v>0.50839999999999996</v>
      </c>
      <c r="O2424" s="135">
        <f>'National average solar data'!K$39</f>
        <v>0.78610000000000002</v>
      </c>
      <c r="P2424" s="135">
        <f>'National average solar data'!L$39</f>
        <v>0.84970000000000001</v>
      </c>
      <c r="Q2424" s="135">
        <f>'National average solar data'!M$39</f>
        <v>0.86419999999999997</v>
      </c>
      <c r="R2424" s="135">
        <f>'National average solar data'!N$39</f>
        <v>0.85419999999999996</v>
      </c>
      <c r="S2424" s="135">
        <f>'National average solar data'!O$39</f>
        <v>0.8498</v>
      </c>
      <c r="T2424" s="135">
        <f>'National average solar data'!P$39</f>
        <v>0.84199999999999997</v>
      </c>
      <c r="U2424" s="135">
        <f>'National average solar data'!Q$39</f>
        <v>0.82820000000000005</v>
      </c>
      <c r="V2424" s="135">
        <f>'National average solar data'!R$39</f>
        <v>0.78110000000000002</v>
      </c>
      <c r="W2424" s="135">
        <f>'National average solar data'!S$39</f>
        <v>0.67510000000000003</v>
      </c>
      <c r="X2424" s="135">
        <f>'National average solar data'!T$39</f>
        <v>0.28399999999999997</v>
      </c>
      <c r="Y2424" s="135">
        <f>'National average solar data'!U$39</f>
        <v>1.2800000000000001E-2</v>
      </c>
      <c r="Z2424" s="135">
        <f>'National average solar data'!V$39</f>
        <v>0</v>
      </c>
      <c r="AA2424" s="135">
        <f>'National average solar data'!W$39</f>
        <v>0</v>
      </c>
      <c r="AB2424" s="135">
        <f>'National average solar data'!X$39</f>
        <v>0</v>
      </c>
      <c r="AC2424" s="135">
        <f>'National average solar data'!Y$39</f>
        <v>0</v>
      </c>
      <c r="AD2424" s="135">
        <f>'National average solar data'!Z$39</f>
        <v>0</v>
      </c>
    </row>
    <row r="2425" spans="1:30" ht="12.6">
      <c r="A2425" s="10" t="s">
        <v>131</v>
      </c>
      <c r="B2425" s="10">
        <v>234</v>
      </c>
      <c r="C2425" s="10" t="s">
        <v>1514</v>
      </c>
      <c r="D2425" s="388">
        <v>45160</v>
      </c>
      <c r="E2425" s="389">
        <v>45160</v>
      </c>
      <c r="G2425" s="135">
        <f>'National average solar data'!C$39</f>
        <v>0</v>
      </c>
      <c r="H2425" s="135">
        <f>'National average solar data'!D$39</f>
        <v>0</v>
      </c>
      <c r="I2425" s="135">
        <f>'National average solar data'!E$39</f>
        <v>0</v>
      </c>
      <c r="J2425" s="135">
        <f>'National average solar data'!F$39</f>
        <v>0</v>
      </c>
      <c r="K2425" s="135">
        <f>'National average solar data'!G$39</f>
        <v>0</v>
      </c>
      <c r="L2425" s="135">
        <f>'National average solar data'!H$39</f>
        <v>0</v>
      </c>
      <c r="M2425" s="135">
        <f>'National average solar data'!I$39</f>
        <v>2.1999999999999999E-2</v>
      </c>
      <c r="N2425" s="135">
        <f>'National average solar data'!J$39</f>
        <v>0.50839999999999996</v>
      </c>
      <c r="O2425" s="135">
        <f>'National average solar data'!K$39</f>
        <v>0.78610000000000002</v>
      </c>
      <c r="P2425" s="135">
        <f>'National average solar data'!L$39</f>
        <v>0.84970000000000001</v>
      </c>
      <c r="Q2425" s="135">
        <f>'National average solar data'!M$39</f>
        <v>0.86419999999999997</v>
      </c>
      <c r="R2425" s="135">
        <f>'National average solar data'!N$39</f>
        <v>0.85419999999999996</v>
      </c>
      <c r="S2425" s="135">
        <f>'National average solar data'!O$39</f>
        <v>0.8498</v>
      </c>
      <c r="T2425" s="135">
        <f>'National average solar data'!P$39</f>
        <v>0.84199999999999997</v>
      </c>
      <c r="U2425" s="135">
        <f>'National average solar data'!Q$39</f>
        <v>0.82820000000000005</v>
      </c>
      <c r="V2425" s="135">
        <f>'National average solar data'!R$39</f>
        <v>0.78110000000000002</v>
      </c>
      <c r="W2425" s="135">
        <f>'National average solar data'!S$39</f>
        <v>0.67510000000000003</v>
      </c>
      <c r="X2425" s="135">
        <f>'National average solar data'!T$39</f>
        <v>0.28399999999999997</v>
      </c>
      <c r="Y2425" s="135">
        <f>'National average solar data'!U$39</f>
        <v>1.2800000000000001E-2</v>
      </c>
      <c r="Z2425" s="135">
        <f>'National average solar data'!V$39</f>
        <v>0</v>
      </c>
      <c r="AA2425" s="135">
        <f>'National average solar data'!W$39</f>
        <v>0</v>
      </c>
      <c r="AB2425" s="135">
        <f>'National average solar data'!X$39</f>
        <v>0</v>
      </c>
      <c r="AC2425" s="135">
        <f>'National average solar data'!Y$39</f>
        <v>0</v>
      </c>
      <c r="AD2425" s="135">
        <f>'National average solar data'!Z$39</f>
        <v>0</v>
      </c>
    </row>
    <row r="2426" spans="1:30" ht="12.6">
      <c r="A2426" s="10" t="s">
        <v>131</v>
      </c>
      <c r="B2426" s="10">
        <v>235</v>
      </c>
      <c r="C2426" s="10" t="s">
        <v>1514</v>
      </c>
      <c r="D2426" s="388">
        <v>45161</v>
      </c>
      <c r="E2426" s="389">
        <v>45161</v>
      </c>
      <c r="G2426" s="135">
        <f>'National average solar data'!C$39</f>
        <v>0</v>
      </c>
      <c r="H2426" s="135">
        <f>'National average solar data'!D$39</f>
        <v>0</v>
      </c>
      <c r="I2426" s="135">
        <f>'National average solar data'!E$39</f>
        <v>0</v>
      </c>
      <c r="J2426" s="135">
        <f>'National average solar data'!F$39</f>
        <v>0</v>
      </c>
      <c r="K2426" s="135">
        <f>'National average solar data'!G$39</f>
        <v>0</v>
      </c>
      <c r="L2426" s="135">
        <f>'National average solar data'!H$39</f>
        <v>0</v>
      </c>
      <c r="M2426" s="135">
        <f>'National average solar data'!I$39</f>
        <v>2.1999999999999999E-2</v>
      </c>
      <c r="N2426" s="135">
        <f>'National average solar data'!J$39</f>
        <v>0.50839999999999996</v>
      </c>
      <c r="O2426" s="135">
        <f>'National average solar data'!K$39</f>
        <v>0.78610000000000002</v>
      </c>
      <c r="P2426" s="135">
        <f>'National average solar data'!L$39</f>
        <v>0.84970000000000001</v>
      </c>
      <c r="Q2426" s="135">
        <f>'National average solar data'!M$39</f>
        <v>0.86419999999999997</v>
      </c>
      <c r="R2426" s="135">
        <f>'National average solar data'!N$39</f>
        <v>0.85419999999999996</v>
      </c>
      <c r="S2426" s="135">
        <f>'National average solar data'!O$39</f>
        <v>0.8498</v>
      </c>
      <c r="T2426" s="135">
        <f>'National average solar data'!P$39</f>
        <v>0.84199999999999997</v>
      </c>
      <c r="U2426" s="135">
        <f>'National average solar data'!Q$39</f>
        <v>0.82820000000000005</v>
      </c>
      <c r="V2426" s="135">
        <f>'National average solar data'!R$39</f>
        <v>0.78110000000000002</v>
      </c>
      <c r="W2426" s="135">
        <f>'National average solar data'!S$39</f>
        <v>0.67510000000000003</v>
      </c>
      <c r="X2426" s="135">
        <f>'National average solar data'!T$39</f>
        <v>0.28399999999999997</v>
      </c>
      <c r="Y2426" s="135">
        <f>'National average solar data'!U$39</f>
        <v>1.2800000000000001E-2</v>
      </c>
      <c r="Z2426" s="135">
        <f>'National average solar data'!V$39</f>
        <v>0</v>
      </c>
      <c r="AA2426" s="135">
        <f>'National average solar data'!W$39</f>
        <v>0</v>
      </c>
      <c r="AB2426" s="135">
        <f>'National average solar data'!X$39</f>
        <v>0</v>
      </c>
      <c r="AC2426" s="135">
        <f>'National average solar data'!Y$39</f>
        <v>0</v>
      </c>
      <c r="AD2426" s="135">
        <f>'National average solar data'!Z$39</f>
        <v>0</v>
      </c>
    </row>
    <row r="2427" spans="1:30" ht="12.6">
      <c r="A2427" s="10" t="s">
        <v>131</v>
      </c>
      <c r="B2427" s="10">
        <v>236</v>
      </c>
      <c r="C2427" s="10" t="s">
        <v>1514</v>
      </c>
      <c r="D2427" s="388">
        <v>45162</v>
      </c>
      <c r="E2427" s="389">
        <v>45162</v>
      </c>
      <c r="G2427" s="135">
        <f>'National average solar data'!C$39</f>
        <v>0</v>
      </c>
      <c r="H2427" s="135">
        <f>'National average solar data'!D$39</f>
        <v>0</v>
      </c>
      <c r="I2427" s="135">
        <f>'National average solar data'!E$39</f>
        <v>0</v>
      </c>
      <c r="J2427" s="135">
        <f>'National average solar data'!F$39</f>
        <v>0</v>
      </c>
      <c r="K2427" s="135">
        <f>'National average solar data'!G$39</f>
        <v>0</v>
      </c>
      <c r="L2427" s="135">
        <f>'National average solar data'!H$39</f>
        <v>0</v>
      </c>
      <c r="M2427" s="135">
        <f>'National average solar data'!I$39</f>
        <v>2.1999999999999999E-2</v>
      </c>
      <c r="N2427" s="135">
        <f>'National average solar data'!J$39</f>
        <v>0.50839999999999996</v>
      </c>
      <c r="O2427" s="135">
        <f>'National average solar data'!K$39</f>
        <v>0.78610000000000002</v>
      </c>
      <c r="P2427" s="135">
        <f>'National average solar data'!L$39</f>
        <v>0.84970000000000001</v>
      </c>
      <c r="Q2427" s="135">
        <f>'National average solar data'!M$39</f>
        <v>0.86419999999999997</v>
      </c>
      <c r="R2427" s="135">
        <f>'National average solar data'!N$39</f>
        <v>0.85419999999999996</v>
      </c>
      <c r="S2427" s="135">
        <f>'National average solar data'!O$39</f>
        <v>0.8498</v>
      </c>
      <c r="T2427" s="135">
        <f>'National average solar data'!P$39</f>
        <v>0.84199999999999997</v>
      </c>
      <c r="U2427" s="135">
        <f>'National average solar data'!Q$39</f>
        <v>0.82820000000000005</v>
      </c>
      <c r="V2427" s="135">
        <f>'National average solar data'!R$39</f>
        <v>0.78110000000000002</v>
      </c>
      <c r="W2427" s="135">
        <f>'National average solar data'!S$39</f>
        <v>0.67510000000000003</v>
      </c>
      <c r="X2427" s="135">
        <f>'National average solar data'!T$39</f>
        <v>0.28399999999999997</v>
      </c>
      <c r="Y2427" s="135">
        <f>'National average solar data'!U$39</f>
        <v>1.2800000000000001E-2</v>
      </c>
      <c r="Z2427" s="135">
        <f>'National average solar data'!V$39</f>
        <v>0</v>
      </c>
      <c r="AA2427" s="135">
        <f>'National average solar data'!W$39</f>
        <v>0</v>
      </c>
      <c r="AB2427" s="135">
        <f>'National average solar data'!X$39</f>
        <v>0</v>
      </c>
      <c r="AC2427" s="135">
        <f>'National average solar data'!Y$39</f>
        <v>0</v>
      </c>
      <c r="AD2427" s="135">
        <f>'National average solar data'!Z$39</f>
        <v>0</v>
      </c>
    </row>
    <row r="2428" spans="1:30" ht="12.6">
      <c r="A2428" s="10" t="s">
        <v>131</v>
      </c>
      <c r="B2428" s="10">
        <v>237</v>
      </c>
      <c r="C2428" s="10" t="s">
        <v>1514</v>
      </c>
      <c r="D2428" s="388">
        <v>45163</v>
      </c>
      <c r="E2428" s="389">
        <v>45163</v>
      </c>
      <c r="G2428" s="135">
        <f>'National average solar data'!C$39</f>
        <v>0</v>
      </c>
      <c r="H2428" s="135">
        <f>'National average solar data'!D$39</f>
        <v>0</v>
      </c>
      <c r="I2428" s="135">
        <f>'National average solar data'!E$39</f>
        <v>0</v>
      </c>
      <c r="J2428" s="135">
        <f>'National average solar data'!F$39</f>
        <v>0</v>
      </c>
      <c r="K2428" s="135">
        <f>'National average solar data'!G$39</f>
        <v>0</v>
      </c>
      <c r="L2428" s="135">
        <f>'National average solar data'!H$39</f>
        <v>0</v>
      </c>
      <c r="M2428" s="135">
        <f>'National average solar data'!I$39</f>
        <v>2.1999999999999999E-2</v>
      </c>
      <c r="N2428" s="135">
        <f>'National average solar data'!J$39</f>
        <v>0.50839999999999996</v>
      </c>
      <c r="O2428" s="135">
        <f>'National average solar data'!K$39</f>
        <v>0.78610000000000002</v>
      </c>
      <c r="P2428" s="135">
        <f>'National average solar data'!L$39</f>
        <v>0.84970000000000001</v>
      </c>
      <c r="Q2428" s="135">
        <f>'National average solar data'!M$39</f>
        <v>0.86419999999999997</v>
      </c>
      <c r="R2428" s="135">
        <f>'National average solar data'!N$39</f>
        <v>0.85419999999999996</v>
      </c>
      <c r="S2428" s="135">
        <f>'National average solar data'!O$39</f>
        <v>0.8498</v>
      </c>
      <c r="T2428" s="135">
        <f>'National average solar data'!P$39</f>
        <v>0.84199999999999997</v>
      </c>
      <c r="U2428" s="135">
        <f>'National average solar data'!Q$39</f>
        <v>0.82820000000000005</v>
      </c>
      <c r="V2428" s="135">
        <f>'National average solar data'!R$39</f>
        <v>0.78110000000000002</v>
      </c>
      <c r="W2428" s="135">
        <f>'National average solar data'!S$39</f>
        <v>0.67510000000000003</v>
      </c>
      <c r="X2428" s="135">
        <f>'National average solar data'!T$39</f>
        <v>0.28399999999999997</v>
      </c>
      <c r="Y2428" s="135">
        <f>'National average solar data'!U$39</f>
        <v>1.2800000000000001E-2</v>
      </c>
      <c r="Z2428" s="135">
        <f>'National average solar data'!V$39</f>
        <v>0</v>
      </c>
      <c r="AA2428" s="135">
        <f>'National average solar data'!W$39</f>
        <v>0</v>
      </c>
      <c r="AB2428" s="135">
        <f>'National average solar data'!X$39</f>
        <v>0</v>
      </c>
      <c r="AC2428" s="135">
        <f>'National average solar data'!Y$39</f>
        <v>0</v>
      </c>
      <c r="AD2428" s="135">
        <f>'National average solar data'!Z$39</f>
        <v>0</v>
      </c>
    </row>
    <row r="2429" spans="1:30" ht="12.6">
      <c r="A2429" s="10" t="s">
        <v>131</v>
      </c>
      <c r="B2429" s="10">
        <v>238</v>
      </c>
      <c r="C2429" s="10" t="s">
        <v>1514</v>
      </c>
      <c r="D2429" s="388">
        <v>45164</v>
      </c>
      <c r="E2429" s="389">
        <v>45164</v>
      </c>
      <c r="G2429" s="135">
        <f>'National average solar data'!C$39</f>
        <v>0</v>
      </c>
      <c r="H2429" s="135">
        <f>'National average solar data'!D$39</f>
        <v>0</v>
      </c>
      <c r="I2429" s="135">
        <f>'National average solar data'!E$39</f>
        <v>0</v>
      </c>
      <c r="J2429" s="135">
        <f>'National average solar data'!F$39</f>
        <v>0</v>
      </c>
      <c r="K2429" s="135">
        <f>'National average solar data'!G$39</f>
        <v>0</v>
      </c>
      <c r="L2429" s="135">
        <f>'National average solar data'!H$39</f>
        <v>0</v>
      </c>
      <c r="M2429" s="135">
        <f>'National average solar data'!I$39</f>
        <v>2.1999999999999999E-2</v>
      </c>
      <c r="N2429" s="135">
        <f>'National average solar data'!J$39</f>
        <v>0.50839999999999996</v>
      </c>
      <c r="O2429" s="135">
        <f>'National average solar data'!K$39</f>
        <v>0.78610000000000002</v>
      </c>
      <c r="P2429" s="135">
        <f>'National average solar data'!L$39</f>
        <v>0.84970000000000001</v>
      </c>
      <c r="Q2429" s="135">
        <f>'National average solar data'!M$39</f>
        <v>0.86419999999999997</v>
      </c>
      <c r="R2429" s="135">
        <f>'National average solar data'!N$39</f>
        <v>0.85419999999999996</v>
      </c>
      <c r="S2429" s="135">
        <f>'National average solar data'!O$39</f>
        <v>0.8498</v>
      </c>
      <c r="T2429" s="135">
        <f>'National average solar data'!P$39</f>
        <v>0.84199999999999997</v>
      </c>
      <c r="U2429" s="135">
        <f>'National average solar data'!Q$39</f>
        <v>0.82820000000000005</v>
      </c>
      <c r="V2429" s="135">
        <f>'National average solar data'!R$39</f>
        <v>0.78110000000000002</v>
      </c>
      <c r="W2429" s="135">
        <f>'National average solar data'!S$39</f>
        <v>0.67510000000000003</v>
      </c>
      <c r="X2429" s="135">
        <f>'National average solar data'!T$39</f>
        <v>0.28399999999999997</v>
      </c>
      <c r="Y2429" s="135">
        <f>'National average solar data'!U$39</f>
        <v>1.2800000000000001E-2</v>
      </c>
      <c r="Z2429" s="135">
        <f>'National average solar data'!V$39</f>
        <v>0</v>
      </c>
      <c r="AA2429" s="135">
        <f>'National average solar data'!W$39</f>
        <v>0</v>
      </c>
      <c r="AB2429" s="135">
        <f>'National average solar data'!X$39</f>
        <v>0</v>
      </c>
      <c r="AC2429" s="135">
        <f>'National average solar data'!Y$39</f>
        <v>0</v>
      </c>
      <c r="AD2429" s="135">
        <f>'National average solar data'!Z$39</f>
        <v>0</v>
      </c>
    </row>
    <row r="2430" spans="1:30" ht="12.6">
      <c r="A2430" s="10" t="s">
        <v>131</v>
      </c>
      <c r="B2430" s="10">
        <v>239</v>
      </c>
      <c r="C2430" s="10" t="s">
        <v>1514</v>
      </c>
      <c r="D2430" s="388">
        <v>45165</v>
      </c>
      <c r="E2430" s="389">
        <v>45165</v>
      </c>
      <c r="G2430" s="135">
        <f>'National average solar data'!C$39</f>
        <v>0</v>
      </c>
      <c r="H2430" s="135">
        <f>'National average solar data'!D$39</f>
        <v>0</v>
      </c>
      <c r="I2430" s="135">
        <f>'National average solar data'!E$39</f>
        <v>0</v>
      </c>
      <c r="J2430" s="135">
        <f>'National average solar data'!F$39</f>
        <v>0</v>
      </c>
      <c r="K2430" s="135">
        <f>'National average solar data'!G$39</f>
        <v>0</v>
      </c>
      <c r="L2430" s="135">
        <f>'National average solar data'!H$39</f>
        <v>0</v>
      </c>
      <c r="M2430" s="135">
        <f>'National average solar data'!I$39</f>
        <v>2.1999999999999999E-2</v>
      </c>
      <c r="N2430" s="135">
        <f>'National average solar data'!J$39</f>
        <v>0.50839999999999996</v>
      </c>
      <c r="O2430" s="135">
        <f>'National average solar data'!K$39</f>
        <v>0.78610000000000002</v>
      </c>
      <c r="P2430" s="135">
        <f>'National average solar data'!L$39</f>
        <v>0.84970000000000001</v>
      </c>
      <c r="Q2430" s="135">
        <f>'National average solar data'!M$39</f>
        <v>0.86419999999999997</v>
      </c>
      <c r="R2430" s="135">
        <f>'National average solar data'!N$39</f>
        <v>0.85419999999999996</v>
      </c>
      <c r="S2430" s="135">
        <f>'National average solar data'!O$39</f>
        <v>0.8498</v>
      </c>
      <c r="T2430" s="135">
        <f>'National average solar data'!P$39</f>
        <v>0.84199999999999997</v>
      </c>
      <c r="U2430" s="135">
        <f>'National average solar data'!Q$39</f>
        <v>0.82820000000000005</v>
      </c>
      <c r="V2430" s="135">
        <f>'National average solar data'!R$39</f>
        <v>0.78110000000000002</v>
      </c>
      <c r="W2430" s="135">
        <f>'National average solar data'!S$39</f>
        <v>0.67510000000000003</v>
      </c>
      <c r="X2430" s="135">
        <f>'National average solar data'!T$39</f>
        <v>0.28399999999999997</v>
      </c>
      <c r="Y2430" s="135">
        <f>'National average solar data'!U$39</f>
        <v>1.2800000000000001E-2</v>
      </c>
      <c r="Z2430" s="135">
        <f>'National average solar data'!V$39</f>
        <v>0</v>
      </c>
      <c r="AA2430" s="135">
        <f>'National average solar data'!W$39</f>
        <v>0</v>
      </c>
      <c r="AB2430" s="135">
        <f>'National average solar data'!X$39</f>
        <v>0</v>
      </c>
      <c r="AC2430" s="135">
        <f>'National average solar data'!Y$39</f>
        <v>0</v>
      </c>
      <c r="AD2430" s="135">
        <f>'National average solar data'!Z$39</f>
        <v>0</v>
      </c>
    </row>
    <row r="2431" spans="1:30" ht="12.6">
      <c r="A2431" s="10" t="s">
        <v>131</v>
      </c>
      <c r="B2431" s="10">
        <v>240</v>
      </c>
      <c r="C2431" s="10" t="s">
        <v>1514</v>
      </c>
      <c r="D2431" s="388">
        <v>45166</v>
      </c>
      <c r="E2431" s="389">
        <v>45166</v>
      </c>
      <c r="G2431" s="135">
        <f>'National average solar data'!C$39</f>
        <v>0</v>
      </c>
      <c r="H2431" s="135">
        <f>'National average solar data'!D$39</f>
        <v>0</v>
      </c>
      <c r="I2431" s="135">
        <f>'National average solar data'!E$39</f>
        <v>0</v>
      </c>
      <c r="J2431" s="135">
        <f>'National average solar data'!F$39</f>
        <v>0</v>
      </c>
      <c r="K2431" s="135">
        <f>'National average solar data'!G$39</f>
        <v>0</v>
      </c>
      <c r="L2431" s="135">
        <f>'National average solar data'!H$39</f>
        <v>0</v>
      </c>
      <c r="M2431" s="135">
        <f>'National average solar data'!I$39</f>
        <v>2.1999999999999999E-2</v>
      </c>
      <c r="N2431" s="135">
        <f>'National average solar data'!J$39</f>
        <v>0.50839999999999996</v>
      </c>
      <c r="O2431" s="135">
        <f>'National average solar data'!K$39</f>
        <v>0.78610000000000002</v>
      </c>
      <c r="P2431" s="135">
        <f>'National average solar data'!L$39</f>
        <v>0.84970000000000001</v>
      </c>
      <c r="Q2431" s="135">
        <f>'National average solar data'!M$39</f>
        <v>0.86419999999999997</v>
      </c>
      <c r="R2431" s="135">
        <f>'National average solar data'!N$39</f>
        <v>0.85419999999999996</v>
      </c>
      <c r="S2431" s="135">
        <f>'National average solar data'!O$39</f>
        <v>0.8498</v>
      </c>
      <c r="T2431" s="135">
        <f>'National average solar data'!P$39</f>
        <v>0.84199999999999997</v>
      </c>
      <c r="U2431" s="135">
        <f>'National average solar data'!Q$39</f>
        <v>0.82820000000000005</v>
      </c>
      <c r="V2431" s="135">
        <f>'National average solar data'!R$39</f>
        <v>0.78110000000000002</v>
      </c>
      <c r="W2431" s="135">
        <f>'National average solar data'!S$39</f>
        <v>0.67510000000000003</v>
      </c>
      <c r="X2431" s="135">
        <f>'National average solar data'!T$39</f>
        <v>0.28399999999999997</v>
      </c>
      <c r="Y2431" s="135">
        <f>'National average solar data'!U$39</f>
        <v>1.2800000000000001E-2</v>
      </c>
      <c r="Z2431" s="135">
        <f>'National average solar data'!V$39</f>
        <v>0</v>
      </c>
      <c r="AA2431" s="135">
        <f>'National average solar data'!W$39</f>
        <v>0</v>
      </c>
      <c r="AB2431" s="135">
        <f>'National average solar data'!X$39</f>
        <v>0</v>
      </c>
      <c r="AC2431" s="135">
        <f>'National average solar data'!Y$39</f>
        <v>0</v>
      </c>
      <c r="AD2431" s="135">
        <f>'National average solar data'!Z$39</f>
        <v>0</v>
      </c>
    </row>
    <row r="2432" spans="1:30" ht="12.6">
      <c r="A2432" s="10" t="s">
        <v>131</v>
      </c>
      <c r="B2432" s="10">
        <v>241</v>
      </c>
      <c r="C2432" s="10" t="s">
        <v>1514</v>
      </c>
      <c r="D2432" s="388">
        <v>45167</v>
      </c>
      <c r="E2432" s="389">
        <v>45167</v>
      </c>
      <c r="G2432" s="135">
        <f>'National average solar data'!C$39</f>
        <v>0</v>
      </c>
      <c r="H2432" s="135">
        <f>'National average solar data'!D$39</f>
        <v>0</v>
      </c>
      <c r="I2432" s="135">
        <f>'National average solar data'!E$39</f>
        <v>0</v>
      </c>
      <c r="J2432" s="135">
        <f>'National average solar data'!F$39</f>
        <v>0</v>
      </c>
      <c r="K2432" s="135">
        <f>'National average solar data'!G$39</f>
        <v>0</v>
      </c>
      <c r="L2432" s="135">
        <f>'National average solar data'!H$39</f>
        <v>0</v>
      </c>
      <c r="M2432" s="135">
        <f>'National average solar data'!I$39</f>
        <v>2.1999999999999999E-2</v>
      </c>
      <c r="N2432" s="135">
        <f>'National average solar data'!J$39</f>
        <v>0.50839999999999996</v>
      </c>
      <c r="O2432" s="135">
        <f>'National average solar data'!K$39</f>
        <v>0.78610000000000002</v>
      </c>
      <c r="P2432" s="135">
        <f>'National average solar data'!L$39</f>
        <v>0.84970000000000001</v>
      </c>
      <c r="Q2432" s="135">
        <f>'National average solar data'!M$39</f>
        <v>0.86419999999999997</v>
      </c>
      <c r="R2432" s="135">
        <f>'National average solar data'!N$39</f>
        <v>0.85419999999999996</v>
      </c>
      <c r="S2432" s="135">
        <f>'National average solar data'!O$39</f>
        <v>0.8498</v>
      </c>
      <c r="T2432" s="135">
        <f>'National average solar data'!P$39</f>
        <v>0.84199999999999997</v>
      </c>
      <c r="U2432" s="135">
        <f>'National average solar data'!Q$39</f>
        <v>0.82820000000000005</v>
      </c>
      <c r="V2432" s="135">
        <f>'National average solar data'!R$39</f>
        <v>0.78110000000000002</v>
      </c>
      <c r="W2432" s="135">
        <f>'National average solar data'!S$39</f>
        <v>0.67510000000000003</v>
      </c>
      <c r="X2432" s="135">
        <f>'National average solar data'!T$39</f>
        <v>0.28399999999999997</v>
      </c>
      <c r="Y2432" s="135">
        <f>'National average solar data'!U$39</f>
        <v>1.2800000000000001E-2</v>
      </c>
      <c r="Z2432" s="135">
        <f>'National average solar data'!V$39</f>
        <v>0</v>
      </c>
      <c r="AA2432" s="135">
        <f>'National average solar data'!W$39</f>
        <v>0</v>
      </c>
      <c r="AB2432" s="135">
        <f>'National average solar data'!X$39</f>
        <v>0</v>
      </c>
      <c r="AC2432" s="135">
        <f>'National average solar data'!Y$39</f>
        <v>0</v>
      </c>
      <c r="AD2432" s="135">
        <f>'National average solar data'!Z$39</f>
        <v>0</v>
      </c>
    </row>
    <row r="2433" spans="1:30" ht="12.6">
      <c r="A2433" s="10" t="s">
        <v>131</v>
      </c>
      <c r="B2433" s="10">
        <v>242</v>
      </c>
      <c r="C2433" s="10" t="s">
        <v>1514</v>
      </c>
      <c r="D2433" s="388">
        <v>45168</v>
      </c>
      <c r="E2433" s="389">
        <v>45168</v>
      </c>
      <c r="G2433" s="135">
        <f>'National average solar data'!C$39</f>
        <v>0</v>
      </c>
      <c r="H2433" s="135">
        <f>'National average solar data'!D$39</f>
        <v>0</v>
      </c>
      <c r="I2433" s="135">
        <f>'National average solar data'!E$39</f>
        <v>0</v>
      </c>
      <c r="J2433" s="135">
        <f>'National average solar data'!F$39</f>
        <v>0</v>
      </c>
      <c r="K2433" s="135">
        <f>'National average solar data'!G$39</f>
        <v>0</v>
      </c>
      <c r="L2433" s="135">
        <f>'National average solar data'!H$39</f>
        <v>0</v>
      </c>
      <c r="M2433" s="135">
        <f>'National average solar data'!I$39</f>
        <v>2.1999999999999999E-2</v>
      </c>
      <c r="N2433" s="135">
        <f>'National average solar data'!J$39</f>
        <v>0.50839999999999996</v>
      </c>
      <c r="O2433" s="135">
        <f>'National average solar data'!K$39</f>
        <v>0.78610000000000002</v>
      </c>
      <c r="P2433" s="135">
        <f>'National average solar data'!L$39</f>
        <v>0.84970000000000001</v>
      </c>
      <c r="Q2433" s="135">
        <f>'National average solar data'!M$39</f>
        <v>0.86419999999999997</v>
      </c>
      <c r="R2433" s="135">
        <f>'National average solar data'!N$39</f>
        <v>0.85419999999999996</v>
      </c>
      <c r="S2433" s="135">
        <f>'National average solar data'!O$39</f>
        <v>0.8498</v>
      </c>
      <c r="T2433" s="135">
        <f>'National average solar data'!P$39</f>
        <v>0.84199999999999997</v>
      </c>
      <c r="U2433" s="135">
        <f>'National average solar data'!Q$39</f>
        <v>0.82820000000000005</v>
      </c>
      <c r="V2433" s="135">
        <f>'National average solar data'!R$39</f>
        <v>0.78110000000000002</v>
      </c>
      <c r="W2433" s="135">
        <f>'National average solar data'!S$39</f>
        <v>0.67510000000000003</v>
      </c>
      <c r="X2433" s="135">
        <f>'National average solar data'!T$39</f>
        <v>0.28399999999999997</v>
      </c>
      <c r="Y2433" s="135">
        <f>'National average solar data'!U$39</f>
        <v>1.2800000000000001E-2</v>
      </c>
      <c r="Z2433" s="135">
        <f>'National average solar data'!V$39</f>
        <v>0</v>
      </c>
      <c r="AA2433" s="135">
        <f>'National average solar data'!W$39</f>
        <v>0</v>
      </c>
      <c r="AB2433" s="135">
        <f>'National average solar data'!X$39</f>
        <v>0</v>
      </c>
      <c r="AC2433" s="135">
        <f>'National average solar data'!Y$39</f>
        <v>0</v>
      </c>
      <c r="AD2433" s="135">
        <f>'National average solar data'!Z$39</f>
        <v>0</v>
      </c>
    </row>
    <row r="2434" spans="1:30" ht="12.6">
      <c r="A2434" s="10" t="s">
        <v>131</v>
      </c>
      <c r="B2434" s="10">
        <v>243</v>
      </c>
      <c r="C2434" s="10" t="s">
        <v>1514</v>
      </c>
      <c r="D2434" s="388">
        <v>45169</v>
      </c>
      <c r="E2434" s="389">
        <v>45169</v>
      </c>
      <c r="G2434" s="135">
        <f>'National average solar data'!C$39</f>
        <v>0</v>
      </c>
      <c r="H2434" s="135">
        <f>'National average solar data'!D$39</f>
        <v>0</v>
      </c>
      <c r="I2434" s="135">
        <f>'National average solar data'!E$39</f>
        <v>0</v>
      </c>
      <c r="J2434" s="135">
        <f>'National average solar data'!F$39</f>
        <v>0</v>
      </c>
      <c r="K2434" s="135">
        <f>'National average solar data'!G$39</f>
        <v>0</v>
      </c>
      <c r="L2434" s="135">
        <f>'National average solar data'!H$39</f>
        <v>0</v>
      </c>
      <c r="M2434" s="135">
        <f>'National average solar data'!I$39</f>
        <v>2.1999999999999999E-2</v>
      </c>
      <c r="N2434" s="135">
        <f>'National average solar data'!J$39</f>
        <v>0.50839999999999996</v>
      </c>
      <c r="O2434" s="135">
        <f>'National average solar data'!K$39</f>
        <v>0.78610000000000002</v>
      </c>
      <c r="P2434" s="135">
        <f>'National average solar data'!L$39</f>
        <v>0.84970000000000001</v>
      </c>
      <c r="Q2434" s="135">
        <f>'National average solar data'!M$39</f>
        <v>0.86419999999999997</v>
      </c>
      <c r="R2434" s="135">
        <f>'National average solar data'!N$39</f>
        <v>0.85419999999999996</v>
      </c>
      <c r="S2434" s="135">
        <f>'National average solar data'!O$39</f>
        <v>0.8498</v>
      </c>
      <c r="T2434" s="135">
        <f>'National average solar data'!P$39</f>
        <v>0.84199999999999997</v>
      </c>
      <c r="U2434" s="135">
        <f>'National average solar data'!Q$39</f>
        <v>0.82820000000000005</v>
      </c>
      <c r="V2434" s="135">
        <f>'National average solar data'!R$39</f>
        <v>0.78110000000000002</v>
      </c>
      <c r="W2434" s="135">
        <f>'National average solar data'!S$39</f>
        <v>0.67510000000000003</v>
      </c>
      <c r="X2434" s="135">
        <f>'National average solar data'!T$39</f>
        <v>0.28399999999999997</v>
      </c>
      <c r="Y2434" s="135">
        <f>'National average solar data'!U$39</f>
        <v>1.2800000000000001E-2</v>
      </c>
      <c r="Z2434" s="135">
        <f>'National average solar data'!V$39</f>
        <v>0</v>
      </c>
      <c r="AA2434" s="135">
        <f>'National average solar data'!W$39</f>
        <v>0</v>
      </c>
      <c r="AB2434" s="135">
        <f>'National average solar data'!X$39</f>
        <v>0</v>
      </c>
      <c r="AC2434" s="135">
        <f>'National average solar data'!Y$39</f>
        <v>0</v>
      </c>
      <c r="AD2434" s="135">
        <f>'National average solar data'!Z$39</f>
        <v>0</v>
      </c>
    </row>
    <row r="2435" spans="1:30" ht="12.6">
      <c r="A2435" s="10" t="s">
        <v>131</v>
      </c>
      <c r="B2435" s="10">
        <v>244</v>
      </c>
      <c r="C2435" s="10" t="s">
        <v>1515</v>
      </c>
      <c r="D2435" s="388">
        <v>45170</v>
      </c>
      <c r="E2435" s="389">
        <v>45170</v>
      </c>
      <c r="G2435" s="135">
        <f>'National average solar data'!C$40</f>
        <v>0</v>
      </c>
      <c r="H2435" s="135">
        <f>'National average solar data'!D$40</f>
        <v>0</v>
      </c>
      <c r="I2435" s="135">
        <f>'National average solar data'!E$40</f>
        <v>0</v>
      </c>
      <c r="J2435" s="135">
        <f>'National average solar data'!F$40</f>
        <v>0</v>
      </c>
      <c r="K2435" s="135">
        <f>'National average solar data'!G$40</f>
        <v>0</v>
      </c>
      <c r="L2435" s="135">
        <f>'National average solar data'!H$40</f>
        <v>1.6199999999999999E-2</v>
      </c>
      <c r="M2435" s="135">
        <f>'National average solar data'!I$40</f>
        <v>0.65600000000000003</v>
      </c>
      <c r="N2435" s="135">
        <f>'National average solar data'!J$40</f>
        <v>1.1278999999999999</v>
      </c>
      <c r="O2435" s="135">
        <f>'National average solar data'!K$40</f>
        <v>1.0646</v>
      </c>
      <c r="P2435" s="135">
        <f>'National average solar data'!L$40</f>
        <v>1.0369999999999999</v>
      </c>
      <c r="Q2435" s="135">
        <f>'National average solar data'!M$40</f>
        <v>1.0095000000000001</v>
      </c>
      <c r="R2435" s="135">
        <f>'National average solar data'!N$40</f>
        <v>1.0088999999999999</v>
      </c>
      <c r="S2435" s="135">
        <f>'National average solar data'!O$40</f>
        <v>1.0141</v>
      </c>
      <c r="T2435" s="135">
        <f>'National average solar data'!P$40</f>
        <v>1.0019</v>
      </c>
      <c r="U2435" s="135">
        <f>'National average solar data'!Q$40</f>
        <v>0.98240000000000005</v>
      </c>
      <c r="V2435" s="135">
        <f>'National average solar data'!R$40</f>
        <v>0.95809999999999995</v>
      </c>
      <c r="W2435" s="135">
        <f>'National average solar data'!S$40</f>
        <v>0.92149999999999999</v>
      </c>
      <c r="X2435" s="135">
        <f>'National average solar data'!T$40</f>
        <v>0.6482</v>
      </c>
      <c r="Y2435" s="135">
        <f>'National average solar data'!U$40</f>
        <v>0.12970000000000001</v>
      </c>
      <c r="Z2435" s="135">
        <f>'National average solar data'!V$40</f>
        <v>0</v>
      </c>
      <c r="AA2435" s="135">
        <f>'National average solar data'!W$40</f>
        <v>0</v>
      </c>
      <c r="AB2435" s="135">
        <f>'National average solar data'!X$40</f>
        <v>0</v>
      </c>
      <c r="AC2435" s="135">
        <f>'National average solar data'!Y$40</f>
        <v>0</v>
      </c>
      <c r="AD2435" s="135">
        <f>'National average solar data'!Z$40</f>
        <v>0</v>
      </c>
    </row>
    <row r="2436" spans="1:30" ht="12.6">
      <c r="A2436" s="10" t="s">
        <v>131</v>
      </c>
      <c r="B2436" s="10">
        <v>245</v>
      </c>
      <c r="C2436" s="10" t="s">
        <v>1515</v>
      </c>
      <c r="D2436" s="388">
        <v>45171</v>
      </c>
      <c r="E2436" s="389">
        <v>45171</v>
      </c>
      <c r="G2436" s="135">
        <f>'National average solar data'!C$40</f>
        <v>0</v>
      </c>
      <c r="H2436" s="135">
        <f>'National average solar data'!D$40</f>
        <v>0</v>
      </c>
      <c r="I2436" s="135">
        <f>'National average solar data'!E$40</f>
        <v>0</v>
      </c>
      <c r="J2436" s="135">
        <f>'National average solar data'!F$40</f>
        <v>0</v>
      </c>
      <c r="K2436" s="135">
        <f>'National average solar data'!G$40</f>
        <v>0</v>
      </c>
      <c r="L2436" s="135">
        <f>'National average solar data'!H$40</f>
        <v>1.6199999999999999E-2</v>
      </c>
      <c r="M2436" s="135">
        <f>'National average solar data'!I$40</f>
        <v>0.65600000000000003</v>
      </c>
      <c r="N2436" s="135">
        <f>'National average solar data'!J$40</f>
        <v>1.1278999999999999</v>
      </c>
      <c r="O2436" s="135">
        <f>'National average solar data'!K$40</f>
        <v>1.0646</v>
      </c>
      <c r="P2436" s="135">
        <f>'National average solar data'!L$40</f>
        <v>1.0369999999999999</v>
      </c>
      <c r="Q2436" s="135">
        <f>'National average solar data'!M$40</f>
        <v>1.0095000000000001</v>
      </c>
      <c r="R2436" s="135">
        <f>'National average solar data'!N$40</f>
        <v>1.0088999999999999</v>
      </c>
      <c r="S2436" s="135">
        <f>'National average solar data'!O$40</f>
        <v>1.0141</v>
      </c>
      <c r="T2436" s="135">
        <f>'National average solar data'!P$40</f>
        <v>1.0019</v>
      </c>
      <c r="U2436" s="135">
        <f>'National average solar data'!Q$40</f>
        <v>0.98240000000000005</v>
      </c>
      <c r="V2436" s="135">
        <f>'National average solar data'!R$40</f>
        <v>0.95809999999999995</v>
      </c>
      <c r="W2436" s="135">
        <f>'National average solar data'!S$40</f>
        <v>0.92149999999999999</v>
      </c>
      <c r="X2436" s="135">
        <f>'National average solar data'!T$40</f>
        <v>0.6482</v>
      </c>
      <c r="Y2436" s="135">
        <f>'National average solar data'!U$40</f>
        <v>0.12970000000000001</v>
      </c>
      <c r="Z2436" s="135">
        <f>'National average solar data'!V$40</f>
        <v>0</v>
      </c>
      <c r="AA2436" s="135">
        <f>'National average solar data'!W$40</f>
        <v>0</v>
      </c>
      <c r="AB2436" s="135">
        <f>'National average solar data'!X$40</f>
        <v>0</v>
      </c>
      <c r="AC2436" s="135">
        <f>'National average solar data'!Y$40</f>
        <v>0</v>
      </c>
      <c r="AD2436" s="135">
        <f>'National average solar data'!Z$40</f>
        <v>0</v>
      </c>
    </row>
    <row r="2437" spans="1:30" ht="12.6">
      <c r="A2437" s="10" t="s">
        <v>131</v>
      </c>
      <c r="B2437" s="10">
        <v>246</v>
      </c>
      <c r="C2437" s="10" t="s">
        <v>1515</v>
      </c>
      <c r="D2437" s="388">
        <v>45172</v>
      </c>
      <c r="E2437" s="389">
        <v>45172</v>
      </c>
      <c r="G2437" s="135">
        <f>'National average solar data'!C$40</f>
        <v>0</v>
      </c>
      <c r="H2437" s="135">
        <f>'National average solar data'!D$40</f>
        <v>0</v>
      </c>
      <c r="I2437" s="135">
        <f>'National average solar data'!E$40</f>
        <v>0</v>
      </c>
      <c r="J2437" s="135">
        <f>'National average solar data'!F$40</f>
        <v>0</v>
      </c>
      <c r="K2437" s="135">
        <f>'National average solar data'!G$40</f>
        <v>0</v>
      </c>
      <c r="L2437" s="135">
        <f>'National average solar data'!H$40</f>
        <v>1.6199999999999999E-2</v>
      </c>
      <c r="M2437" s="135">
        <f>'National average solar data'!I$40</f>
        <v>0.65600000000000003</v>
      </c>
      <c r="N2437" s="135">
        <f>'National average solar data'!J$40</f>
        <v>1.1278999999999999</v>
      </c>
      <c r="O2437" s="135">
        <f>'National average solar data'!K$40</f>
        <v>1.0646</v>
      </c>
      <c r="P2437" s="135">
        <f>'National average solar data'!L$40</f>
        <v>1.0369999999999999</v>
      </c>
      <c r="Q2437" s="135">
        <f>'National average solar data'!M$40</f>
        <v>1.0095000000000001</v>
      </c>
      <c r="R2437" s="135">
        <f>'National average solar data'!N$40</f>
        <v>1.0088999999999999</v>
      </c>
      <c r="S2437" s="135">
        <f>'National average solar data'!O$40</f>
        <v>1.0141</v>
      </c>
      <c r="T2437" s="135">
        <f>'National average solar data'!P$40</f>
        <v>1.0019</v>
      </c>
      <c r="U2437" s="135">
        <f>'National average solar data'!Q$40</f>
        <v>0.98240000000000005</v>
      </c>
      <c r="V2437" s="135">
        <f>'National average solar data'!R$40</f>
        <v>0.95809999999999995</v>
      </c>
      <c r="W2437" s="135">
        <f>'National average solar data'!S$40</f>
        <v>0.92149999999999999</v>
      </c>
      <c r="X2437" s="135">
        <f>'National average solar data'!T$40</f>
        <v>0.6482</v>
      </c>
      <c r="Y2437" s="135">
        <f>'National average solar data'!U$40</f>
        <v>0.12970000000000001</v>
      </c>
      <c r="Z2437" s="135">
        <f>'National average solar data'!V$40</f>
        <v>0</v>
      </c>
      <c r="AA2437" s="135">
        <f>'National average solar data'!W$40</f>
        <v>0</v>
      </c>
      <c r="AB2437" s="135">
        <f>'National average solar data'!X$40</f>
        <v>0</v>
      </c>
      <c r="AC2437" s="135">
        <f>'National average solar data'!Y$40</f>
        <v>0</v>
      </c>
      <c r="AD2437" s="135">
        <f>'National average solar data'!Z$40</f>
        <v>0</v>
      </c>
    </row>
    <row r="2438" spans="1:30" ht="12.6">
      <c r="A2438" s="10" t="s">
        <v>131</v>
      </c>
      <c r="B2438" s="10">
        <v>247</v>
      </c>
      <c r="C2438" s="10" t="s">
        <v>1515</v>
      </c>
      <c r="D2438" s="388">
        <v>45173</v>
      </c>
      <c r="E2438" s="389">
        <v>45173</v>
      </c>
      <c r="G2438" s="135">
        <f>'National average solar data'!C$40</f>
        <v>0</v>
      </c>
      <c r="H2438" s="135">
        <f>'National average solar data'!D$40</f>
        <v>0</v>
      </c>
      <c r="I2438" s="135">
        <f>'National average solar data'!E$40</f>
        <v>0</v>
      </c>
      <c r="J2438" s="135">
        <f>'National average solar data'!F$40</f>
        <v>0</v>
      </c>
      <c r="K2438" s="135">
        <f>'National average solar data'!G$40</f>
        <v>0</v>
      </c>
      <c r="L2438" s="135">
        <f>'National average solar data'!H$40</f>
        <v>1.6199999999999999E-2</v>
      </c>
      <c r="M2438" s="135">
        <f>'National average solar data'!I$40</f>
        <v>0.65600000000000003</v>
      </c>
      <c r="N2438" s="135">
        <f>'National average solar data'!J$40</f>
        <v>1.1278999999999999</v>
      </c>
      <c r="O2438" s="135">
        <f>'National average solar data'!K$40</f>
        <v>1.0646</v>
      </c>
      <c r="P2438" s="135">
        <f>'National average solar data'!L$40</f>
        <v>1.0369999999999999</v>
      </c>
      <c r="Q2438" s="135">
        <f>'National average solar data'!M$40</f>
        <v>1.0095000000000001</v>
      </c>
      <c r="R2438" s="135">
        <f>'National average solar data'!N$40</f>
        <v>1.0088999999999999</v>
      </c>
      <c r="S2438" s="135">
        <f>'National average solar data'!O$40</f>
        <v>1.0141</v>
      </c>
      <c r="T2438" s="135">
        <f>'National average solar data'!P$40</f>
        <v>1.0019</v>
      </c>
      <c r="U2438" s="135">
        <f>'National average solar data'!Q$40</f>
        <v>0.98240000000000005</v>
      </c>
      <c r="V2438" s="135">
        <f>'National average solar data'!R$40</f>
        <v>0.95809999999999995</v>
      </c>
      <c r="W2438" s="135">
        <f>'National average solar data'!S$40</f>
        <v>0.92149999999999999</v>
      </c>
      <c r="X2438" s="135">
        <f>'National average solar data'!T$40</f>
        <v>0.6482</v>
      </c>
      <c r="Y2438" s="135">
        <f>'National average solar data'!U$40</f>
        <v>0.12970000000000001</v>
      </c>
      <c r="Z2438" s="135">
        <f>'National average solar data'!V$40</f>
        <v>0</v>
      </c>
      <c r="AA2438" s="135">
        <f>'National average solar data'!W$40</f>
        <v>0</v>
      </c>
      <c r="AB2438" s="135">
        <f>'National average solar data'!X$40</f>
        <v>0</v>
      </c>
      <c r="AC2438" s="135">
        <f>'National average solar data'!Y$40</f>
        <v>0</v>
      </c>
      <c r="AD2438" s="135">
        <f>'National average solar data'!Z$40</f>
        <v>0</v>
      </c>
    </row>
    <row r="2439" spans="1:30" ht="12.6">
      <c r="A2439" s="10" t="s">
        <v>131</v>
      </c>
      <c r="B2439" s="10">
        <v>248</v>
      </c>
      <c r="C2439" s="10" t="s">
        <v>1515</v>
      </c>
      <c r="D2439" s="388">
        <v>45174</v>
      </c>
      <c r="E2439" s="389">
        <v>45174</v>
      </c>
      <c r="G2439" s="135">
        <f>'National average solar data'!C$40</f>
        <v>0</v>
      </c>
      <c r="H2439" s="135">
        <f>'National average solar data'!D$40</f>
        <v>0</v>
      </c>
      <c r="I2439" s="135">
        <f>'National average solar data'!E$40</f>
        <v>0</v>
      </c>
      <c r="J2439" s="135">
        <f>'National average solar data'!F$40</f>
        <v>0</v>
      </c>
      <c r="K2439" s="135">
        <f>'National average solar data'!G$40</f>
        <v>0</v>
      </c>
      <c r="L2439" s="135">
        <f>'National average solar data'!H$40</f>
        <v>1.6199999999999999E-2</v>
      </c>
      <c r="M2439" s="135">
        <f>'National average solar data'!I$40</f>
        <v>0.65600000000000003</v>
      </c>
      <c r="N2439" s="135">
        <f>'National average solar data'!J$40</f>
        <v>1.1278999999999999</v>
      </c>
      <c r="O2439" s="135">
        <f>'National average solar data'!K$40</f>
        <v>1.0646</v>
      </c>
      <c r="P2439" s="135">
        <f>'National average solar data'!L$40</f>
        <v>1.0369999999999999</v>
      </c>
      <c r="Q2439" s="135">
        <f>'National average solar data'!M$40</f>
        <v>1.0095000000000001</v>
      </c>
      <c r="R2439" s="135">
        <f>'National average solar data'!N$40</f>
        <v>1.0088999999999999</v>
      </c>
      <c r="S2439" s="135">
        <f>'National average solar data'!O$40</f>
        <v>1.0141</v>
      </c>
      <c r="T2439" s="135">
        <f>'National average solar data'!P$40</f>
        <v>1.0019</v>
      </c>
      <c r="U2439" s="135">
        <f>'National average solar data'!Q$40</f>
        <v>0.98240000000000005</v>
      </c>
      <c r="V2439" s="135">
        <f>'National average solar data'!R$40</f>
        <v>0.95809999999999995</v>
      </c>
      <c r="W2439" s="135">
        <f>'National average solar data'!S$40</f>
        <v>0.92149999999999999</v>
      </c>
      <c r="X2439" s="135">
        <f>'National average solar data'!T$40</f>
        <v>0.6482</v>
      </c>
      <c r="Y2439" s="135">
        <f>'National average solar data'!U$40</f>
        <v>0.12970000000000001</v>
      </c>
      <c r="Z2439" s="135">
        <f>'National average solar data'!V$40</f>
        <v>0</v>
      </c>
      <c r="AA2439" s="135">
        <f>'National average solar data'!W$40</f>
        <v>0</v>
      </c>
      <c r="AB2439" s="135">
        <f>'National average solar data'!X$40</f>
        <v>0</v>
      </c>
      <c r="AC2439" s="135">
        <f>'National average solar data'!Y$40</f>
        <v>0</v>
      </c>
      <c r="AD2439" s="135">
        <f>'National average solar data'!Z$40</f>
        <v>0</v>
      </c>
    </row>
    <row r="2440" spans="1:30" ht="12.6">
      <c r="A2440" s="10" t="s">
        <v>131</v>
      </c>
      <c r="B2440" s="10">
        <v>249</v>
      </c>
      <c r="C2440" s="10" t="s">
        <v>1515</v>
      </c>
      <c r="D2440" s="388">
        <v>45175</v>
      </c>
      <c r="E2440" s="389">
        <v>45175</v>
      </c>
      <c r="G2440" s="135">
        <f>'National average solar data'!C$40</f>
        <v>0</v>
      </c>
      <c r="H2440" s="135">
        <f>'National average solar data'!D$40</f>
        <v>0</v>
      </c>
      <c r="I2440" s="135">
        <f>'National average solar data'!E$40</f>
        <v>0</v>
      </c>
      <c r="J2440" s="135">
        <f>'National average solar data'!F$40</f>
        <v>0</v>
      </c>
      <c r="K2440" s="135">
        <f>'National average solar data'!G$40</f>
        <v>0</v>
      </c>
      <c r="L2440" s="135">
        <f>'National average solar data'!H$40</f>
        <v>1.6199999999999999E-2</v>
      </c>
      <c r="M2440" s="135">
        <f>'National average solar data'!I$40</f>
        <v>0.65600000000000003</v>
      </c>
      <c r="N2440" s="135">
        <f>'National average solar data'!J$40</f>
        <v>1.1278999999999999</v>
      </c>
      <c r="O2440" s="135">
        <f>'National average solar data'!K$40</f>
        <v>1.0646</v>
      </c>
      <c r="P2440" s="135">
        <f>'National average solar data'!L$40</f>
        <v>1.0369999999999999</v>
      </c>
      <c r="Q2440" s="135">
        <f>'National average solar data'!M$40</f>
        <v>1.0095000000000001</v>
      </c>
      <c r="R2440" s="135">
        <f>'National average solar data'!N$40</f>
        <v>1.0088999999999999</v>
      </c>
      <c r="S2440" s="135">
        <f>'National average solar data'!O$40</f>
        <v>1.0141</v>
      </c>
      <c r="T2440" s="135">
        <f>'National average solar data'!P$40</f>
        <v>1.0019</v>
      </c>
      <c r="U2440" s="135">
        <f>'National average solar data'!Q$40</f>
        <v>0.98240000000000005</v>
      </c>
      <c r="V2440" s="135">
        <f>'National average solar data'!R$40</f>
        <v>0.95809999999999995</v>
      </c>
      <c r="W2440" s="135">
        <f>'National average solar data'!S$40</f>
        <v>0.92149999999999999</v>
      </c>
      <c r="X2440" s="135">
        <f>'National average solar data'!T$40</f>
        <v>0.6482</v>
      </c>
      <c r="Y2440" s="135">
        <f>'National average solar data'!U$40</f>
        <v>0.12970000000000001</v>
      </c>
      <c r="Z2440" s="135">
        <f>'National average solar data'!V$40</f>
        <v>0</v>
      </c>
      <c r="AA2440" s="135">
        <f>'National average solar data'!W$40</f>
        <v>0</v>
      </c>
      <c r="AB2440" s="135">
        <f>'National average solar data'!X$40</f>
        <v>0</v>
      </c>
      <c r="AC2440" s="135">
        <f>'National average solar data'!Y$40</f>
        <v>0</v>
      </c>
      <c r="AD2440" s="135">
        <f>'National average solar data'!Z$40</f>
        <v>0</v>
      </c>
    </row>
    <row r="2441" spans="1:30" ht="12.6">
      <c r="A2441" s="10" t="s">
        <v>131</v>
      </c>
      <c r="B2441" s="10">
        <v>250</v>
      </c>
      <c r="C2441" s="10" t="s">
        <v>1515</v>
      </c>
      <c r="D2441" s="388">
        <v>45176</v>
      </c>
      <c r="E2441" s="389">
        <v>45176</v>
      </c>
      <c r="G2441" s="135">
        <f>'National average solar data'!C$40</f>
        <v>0</v>
      </c>
      <c r="H2441" s="135">
        <f>'National average solar data'!D$40</f>
        <v>0</v>
      </c>
      <c r="I2441" s="135">
        <f>'National average solar data'!E$40</f>
        <v>0</v>
      </c>
      <c r="J2441" s="135">
        <f>'National average solar data'!F$40</f>
        <v>0</v>
      </c>
      <c r="K2441" s="135">
        <f>'National average solar data'!G$40</f>
        <v>0</v>
      </c>
      <c r="L2441" s="135">
        <f>'National average solar data'!H$40</f>
        <v>1.6199999999999999E-2</v>
      </c>
      <c r="M2441" s="135">
        <f>'National average solar data'!I$40</f>
        <v>0.65600000000000003</v>
      </c>
      <c r="N2441" s="135">
        <f>'National average solar data'!J$40</f>
        <v>1.1278999999999999</v>
      </c>
      <c r="O2441" s="135">
        <f>'National average solar data'!K$40</f>
        <v>1.0646</v>
      </c>
      <c r="P2441" s="135">
        <f>'National average solar data'!L$40</f>
        <v>1.0369999999999999</v>
      </c>
      <c r="Q2441" s="135">
        <f>'National average solar data'!M$40</f>
        <v>1.0095000000000001</v>
      </c>
      <c r="R2441" s="135">
        <f>'National average solar data'!N$40</f>
        <v>1.0088999999999999</v>
      </c>
      <c r="S2441" s="135">
        <f>'National average solar data'!O$40</f>
        <v>1.0141</v>
      </c>
      <c r="T2441" s="135">
        <f>'National average solar data'!P$40</f>
        <v>1.0019</v>
      </c>
      <c r="U2441" s="135">
        <f>'National average solar data'!Q$40</f>
        <v>0.98240000000000005</v>
      </c>
      <c r="V2441" s="135">
        <f>'National average solar data'!R$40</f>
        <v>0.95809999999999995</v>
      </c>
      <c r="W2441" s="135">
        <f>'National average solar data'!S$40</f>
        <v>0.92149999999999999</v>
      </c>
      <c r="X2441" s="135">
        <f>'National average solar data'!T$40</f>
        <v>0.6482</v>
      </c>
      <c r="Y2441" s="135">
        <f>'National average solar data'!U$40</f>
        <v>0.12970000000000001</v>
      </c>
      <c r="Z2441" s="135">
        <f>'National average solar data'!V$40</f>
        <v>0</v>
      </c>
      <c r="AA2441" s="135">
        <f>'National average solar data'!W$40</f>
        <v>0</v>
      </c>
      <c r="AB2441" s="135">
        <f>'National average solar data'!X$40</f>
        <v>0</v>
      </c>
      <c r="AC2441" s="135">
        <f>'National average solar data'!Y$40</f>
        <v>0</v>
      </c>
      <c r="AD2441" s="135">
        <f>'National average solar data'!Z$40</f>
        <v>0</v>
      </c>
    </row>
    <row r="2442" spans="1:30" ht="12.6">
      <c r="A2442" s="10" t="s">
        <v>131</v>
      </c>
      <c r="B2442" s="10">
        <v>251</v>
      </c>
      <c r="C2442" s="10" t="s">
        <v>1515</v>
      </c>
      <c r="D2442" s="388">
        <v>45177</v>
      </c>
      <c r="E2442" s="389">
        <v>45177</v>
      </c>
      <c r="G2442" s="135">
        <f>'National average solar data'!C$40</f>
        <v>0</v>
      </c>
      <c r="H2442" s="135">
        <f>'National average solar data'!D$40</f>
        <v>0</v>
      </c>
      <c r="I2442" s="135">
        <f>'National average solar data'!E$40</f>
        <v>0</v>
      </c>
      <c r="J2442" s="135">
        <f>'National average solar data'!F$40</f>
        <v>0</v>
      </c>
      <c r="K2442" s="135">
        <f>'National average solar data'!G$40</f>
        <v>0</v>
      </c>
      <c r="L2442" s="135">
        <f>'National average solar data'!H$40</f>
        <v>1.6199999999999999E-2</v>
      </c>
      <c r="M2442" s="135">
        <f>'National average solar data'!I$40</f>
        <v>0.65600000000000003</v>
      </c>
      <c r="N2442" s="135">
        <f>'National average solar data'!J$40</f>
        <v>1.1278999999999999</v>
      </c>
      <c r="O2442" s="135">
        <f>'National average solar data'!K$40</f>
        <v>1.0646</v>
      </c>
      <c r="P2442" s="135">
        <f>'National average solar data'!L$40</f>
        <v>1.0369999999999999</v>
      </c>
      <c r="Q2442" s="135">
        <f>'National average solar data'!M$40</f>
        <v>1.0095000000000001</v>
      </c>
      <c r="R2442" s="135">
        <f>'National average solar data'!N$40</f>
        <v>1.0088999999999999</v>
      </c>
      <c r="S2442" s="135">
        <f>'National average solar data'!O$40</f>
        <v>1.0141</v>
      </c>
      <c r="T2442" s="135">
        <f>'National average solar data'!P$40</f>
        <v>1.0019</v>
      </c>
      <c r="U2442" s="135">
        <f>'National average solar data'!Q$40</f>
        <v>0.98240000000000005</v>
      </c>
      <c r="V2442" s="135">
        <f>'National average solar data'!R$40</f>
        <v>0.95809999999999995</v>
      </c>
      <c r="W2442" s="135">
        <f>'National average solar data'!S$40</f>
        <v>0.92149999999999999</v>
      </c>
      <c r="X2442" s="135">
        <f>'National average solar data'!T$40</f>
        <v>0.6482</v>
      </c>
      <c r="Y2442" s="135">
        <f>'National average solar data'!U$40</f>
        <v>0.12970000000000001</v>
      </c>
      <c r="Z2442" s="135">
        <f>'National average solar data'!V$40</f>
        <v>0</v>
      </c>
      <c r="AA2442" s="135">
        <f>'National average solar data'!W$40</f>
        <v>0</v>
      </c>
      <c r="AB2442" s="135">
        <f>'National average solar data'!X$40</f>
        <v>0</v>
      </c>
      <c r="AC2442" s="135">
        <f>'National average solar data'!Y$40</f>
        <v>0</v>
      </c>
      <c r="AD2442" s="135">
        <f>'National average solar data'!Z$40</f>
        <v>0</v>
      </c>
    </row>
    <row r="2443" spans="1:30" ht="12.6">
      <c r="A2443" s="10" t="s">
        <v>131</v>
      </c>
      <c r="B2443" s="10">
        <v>252</v>
      </c>
      <c r="C2443" s="10" t="s">
        <v>1515</v>
      </c>
      <c r="D2443" s="388">
        <v>45178</v>
      </c>
      <c r="E2443" s="389">
        <v>45178</v>
      </c>
      <c r="G2443" s="135">
        <f>'National average solar data'!C$40</f>
        <v>0</v>
      </c>
      <c r="H2443" s="135">
        <f>'National average solar data'!D$40</f>
        <v>0</v>
      </c>
      <c r="I2443" s="135">
        <f>'National average solar data'!E$40</f>
        <v>0</v>
      </c>
      <c r="J2443" s="135">
        <f>'National average solar data'!F$40</f>
        <v>0</v>
      </c>
      <c r="K2443" s="135">
        <f>'National average solar data'!G$40</f>
        <v>0</v>
      </c>
      <c r="L2443" s="135">
        <f>'National average solar data'!H$40</f>
        <v>1.6199999999999999E-2</v>
      </c>
      <c r="M2443" s="135">
        <f>'National average solar data'!I$40</f>
        <v>0.65600000000000003</v>
      </c>
      <c r="N2443" s="135">
        <f>'National average solar data'!J$40</f>
        <v>1.1278999999999999</v>
      </c>
      <c r="O2443" s="135">
        <f>'National average solar data'!K$40</f>
        <v>1.0646</v>
      </c>
      <c r="P2443" s="135">
        <f>'National average solar data'!L$40</f>
        <v>1.0369999999999999</v>
      </c>
      <c r="Q2443" s="135">
        <f>'National average solar data'!M$40</f>
        <v>1.0095000000000001</v>
      </c>
      <c r="R2443" s="135">
        <f>'National average solar data'!N$40</f>
        <v>1.0088999999999999</v>
      </c>
      <c r="S2443" s="135">
        <f>'National average solar data'!O$40</f>
        <v>1.0141</v>
      </c>
      <c r="T2443" s="135">
        <f>'National average solar data'!P$40</f>
        <v>1.0019</v>
      </c>
      <c r="U2443" s="135">
        <f>'National average solar data'!Q$40</f>
        <v>0.98240000000000005</v>
      </c>
      <c r="V2443" s="135">
        <f>'National average solar data'!R$40</f>
        <v>0.95809999999999995</v>
      </c>
      <c r="W2443" s="135">
        <f>'National average solar data'!S$40</f>
        <v>0.92149999999999999</v>
      </c>
      <c r="X2443" s="135">
        <f>'National average solar data'!T$40</f>
        <v>0.6482</v>
      </c>
      <c r="Y2443" s="135">
        <f>'National average solar data'!U$40</f>
        <v>0.12970000000000001</v>
      </c>
      <c r="Z2443" s="135">
        <f>'National average solar data'!V$40</f>
        <v>0</v>
      </c>
      <c r="AA2443" s="135">
        <f>'National average solar data'!W$40</f>
        <v>0</v>
      </c>
      <c r="AB2443" s="135">
        <f>'National average solar data'!X$40</f>
        <v>0</v>
      </c>
      <c r="AC2443" s="135">
        <f>'National average solar data'!Y$40</f>
        <v>0</v>
      </c>
      <c r="AD2443" s="135">
        <f>'National average solar data'!Z$40</f>
        <v>0</v>
      </c>
    </row>
    <row r="2444" spans="1:30" ht="12.6">
      <c r="A2444" s="10" t="s">
        <v>131</v>
      </c>
      <c r="B2444" s="10">
        <v>253</v>
      </c>
      <c r="C2444" s="10" t="s">
        <v>1515</v>
      </c>
      <c r="D2444" s="388">
        <v>45179</v>
      </c>
      <c r="E2444" s="389">
        <v>45179</v>
      </c>
      <c r="G2444" s="135">
        <f>'National average solar data'!C$40</f>
        <v>0</v>
      </c>
      <c r="H2444" s="135">
        <f>'National average solar data'!D$40</f>
        <v>0</v>
      </c>
      <c r="I2444" s="135">
        <f>'National average solar data'!E$40</f>
        <v>0</v>
      </c>
      <c r="J2444" s="135">
        <f>'National average solar data'!F$40</f>
        <v>0</v>
      </c>
      <c r="K2444" s="135">
        <f>'National average solar data'!G$40</f>
        <v>0</v>
      </c>
      <c r="L2444" s="135">
        <f>'National average solar data'!H$40</f>
        <v>1.6199999999999999E-2</v>
      </c>
      <c r="M2444" s="135">
        <f>'National average solar data'!I$40</f>
        <v>0.65600000000000003</v>
      </c>
      <c r="N2444" s="135">
        <f>'National average solar data'!J$40</f>
        <v>1.1278999999999999</v>
      </c>
      <c r="O2444" s="135">
        <f>'National average solar data'!K$40</f>
        <v>1.0646</v>
      </c>
      <c r="P2444" s="135">
        <f>'National average solar data'!L$40</f>
        <v>1.0369999999999999</v>
      </c>
      <c r="Q2444" s="135">
        <f>'National average solar data'!M$40</f>
        <v>1.0095000000000001</v>
      </c>
      <c r="R2444" s="135">
        <f>'National average solar data'!N$40</f>
        <v>1.0088999999999999</v>
      </c>
      <c r="S2444" s="135">
        <f>'National average solar data'!O$40</f>
        <v>1.0141</v>
      </c>
      <c r="T2444" s="135">
        <f>'National average solar data'!P$40</f>
        <v>1.0019</v>
      </c>
      <c r="U2444" s="135">
        <f>'National average solar data'!Q$40</f>
        <v>0.98240000000000005</v>
      </c>
      <c r="V2444" s="135">
        <f>'National average solar data'!R$40</f>
        <v>0.95809999999999995</v>
      </c>
      <c r="W2444" s="135">
        <f>'National average solar data'!S$40</f>
        <v>0.92149999999999999</v>
      </c>
      <c r="X2444" s="135">
        <f>'National average solar data'!T$40</f>
        <v>0.6482</v>
      </c>
      <c r="Y2444" s="135">
        <f>'National average solar data'!U$40</f>
        <v>0.12970000000000001</v>
      </c>
      <c r="Z2444" s="135">
        <f>'National average solar data'!V$40</f>
        <v>0</v>
      </c>
      <c r="AA2444" s="135">
        <f>'National average solar data'!W$40</f>
        <v>0</v>
      </c>
      <c r="AB2444" s="135">
        <f>'National average solar data'!X$40</f>
        <v>0</v>
      </c>
      <c r="AC2444" s="135">
        <f>'National average solar data'!Y$40</f>
        <v>0</v>
      </c>
      <c r="AD2444" s="135">
        <f>'National average solar data'!Z$40</f>
        <v>0</v>
      </c>
    </row>
    <row r="2445" spans="1:30" ht="12.6">
      <c r="A2445" s="10" t="s">
        <v>131</v>
      </c>
      <c r="B2445" s="10">
        <v>254</v>
      </c>
      <c r="C2445" s="10" t="s">
        <v>1515</v>
      </c>
      <c r="D2445" s="388">
        <v>45180</v>
      </c>
      <c r="E2445" s="389">
        <v>45180</v>
      </c>
      <c r="G2445" s="135">
        <f>'National average solar data'!C$40</f>
        <v>0</v>
      </c>
      <c r="H2445" s="135">
        <f>'National average solar data'!D$40</f>
        <v>0</v>
      </c>
      <c r="I2445" s="135">
        <f>'National average solar data'!E$40</f>
        <v>0</v>
      </c>
      <c r="J2445" s="135">
        <f>'National average solar data'!F$40</f>
        <v>0</v>
      </c>
      <c r="K2445" s="135">
        <f>'National average solar data'!G$40</f>
        <v>0</v>
      </c>
      <c r="L2445" s="135">
        <f>'National average solar data'!H$40</f>
        <v>1.6199999999999999E-2</v>
      </c>
      <c r="M2445" s="135">
        <f>'National average solar data'!I$40</f>
        <v>0.65600000000000003</v>
      </c>
      <c r="N2445" s="135">
        <f>'National average solar data'!J$40</f>
        <v>1.1278999999999999</v>
      </c>
      <c r="O2445" s="135">
        <f>'National average solar data'!K$40</f>
        <v>1.0646</v>
      </c>
      <c r="P2445" s="135">
        <f>'National average solar data'!L$40</f>
        <v>1.0369999999999999</v>
      </c>
      <c r="Q2445" s="135">
        <f>'National average solar data'!M$40</f>
        <v>1.0095000000000001</v>
      </c>
      <c r="R2445" s="135">
        <f>'National average solar data'!N$40</f>
        <v>1.0088999999999999</v>
      </c>
      <c r="S2445" s="135">
        <f>'National average solar data'!O$40</f>
        <v>1.0141</v>
      </c>
      <c r="T2445" s="135">
        <f>'National average solar data'!P$40</f>
        <v>1.0019</v>
      </c>
      <c r="U2445" s="135">
        <f>'National average solar data'!Q$40</f>
        <v>0.98240000000000005</v>
      </c>
      <c r="V2445" s="135">
        <f>'National average solar data'!R$40</f>
        <v>0.95809999999999995</v>
      </c>
      <c r="W2445" s="135">
        <f>'National average solar data'!S$40</f>
        <v>0.92149999999999999</v>
      </c>
      <c r="X2445" s="135">
        <f>'National average solar data'!T$40</f>
        <v>0.6482</v>
      </c>
      <c r="Y2445" s="135">
        <f>'National average solar data'!U$40</f>
        <v>0.12970000000000001</v>
      </c>
      <c r="Z2445" s="135">
        <f>'National average solar data'!V$40</f>
        <v>0</v>
      </c>
      <c r="AA2445" s="135">
        <f>'National average solar data'!W$40</f>
        <v>0</v>
      </c>
      <c r="AB2445" s="135">
        <f>'National average solar data'!X$40</f>
        <v>0</v>
      </c>
      <c r="AC2445" s="135">
        <f>'National average solar data'!Y$40</f>
        <v>0</v>
      </c>
      <c r="AD2445" s="135">
        <f>'National average solar data'!Z$40</f>
        <v>0</v>
      </c>
    </row>
    <row r="2446" spans="1:30" ht="12.6">
      <c r="A2446" s="10" t="s">
        <v>131</v>
      </c>
      <c r="B2446" s="10">
        <v>255</v>
      </c>
      <c r="C2446" s="10" t="s">
        <v>1515</v>
      </c>
      <c r="D2446" s="388">
        <v>45181</v>
      </c>
      <c r="E2446" s="389">
        <v>45181</v>
      </c>
      <c r="G2446" s="135">
        <f>'National average solar data'!C$40</f>
        <v>0</v>
      </c>
      <c r="H2446" s="135">
        <f>'National average solar data'!D$40</f>
        <v>0</v>
      </c>
      <c r="I2446" s="135">
        <f>'National average solar data'!E$40</f>
        <v>0</v>
      </c>
      <c r="J2446" s="135">
        <f>'National average solar data'!F$40</f>
        <v>0</v>
      </c>
      <c r="K2446" s="135">
        <f>'National average solar data'!G$40</f>
        <v>0</v>
      </c>
      <c r="L2446" s="135">
        <f>'National average solar data'!H$40</f>
        <v>1.6199999999999999E-2</v>
      </c>
      <c r="M2446" s="135">
        <f>'National average solar data'!I$40</f>
        <v>0.65600000000000003</v>
      </c>
      <c r="N2446" s="135">
        <f>'National average solar data'!J$40</f>
        <v>1.1278999999999999</v>
      </c>
      <c r="O2446" s="135">
        <f>'National average solar data'!K$40</f>
        <v>1.0646</v>
      </c>
      <c r="P2446" s="135">
        <f>'National average solar data'!L$40</f>
        <v>1.0369999999999999</v>
      </c>
      <c r="Q2446" s="135">
        <f>'National average solar data'!M$40</f>
        <v>1.0095000000000001</v>
      </c>
      <c r="R2446" s="135">
        <f>'National average solar data'!N$40</f>
        <v>1.0088999999999999</v>
      </c>
      <c r="S2446" s="135">
        <f>'National average solar data'!O$40</f>
        <v>1.0141</v>
      </c>
      <c r="T2446" s="135">
        <f>'National average solar data'!P$40</f>
        <v>1.0019</v>
      </c>
      <c r="U2446" s="135">
        <f>'National average solar data'!Q$40</f>
        <v>0.98240000000000005</v>
      </c>
      <c r="V2446" s="135">
        <f>'National average solar data'!R$40</f>
        <v>0.95809999999999995</v>
      </c>
      <c r="W2446" s="135">
        <f>'National average solar data'!S$40</f>
        <v>0.92149999999999999</v>
      </c>
      <c r="X2446" s="135">
        <f>'National average solar data'!T$40</f>
        <v>0.6482</v>
      </c>
      <c r="Y2446" s="135">
        <f>'National average solar data'!U$40</f>
        <v>0.12970000000000001</v>
      </c>
      <c r="Z2446" s="135">
        <f>'National average solar data'!V$40</f>
        <v>0</v>
      </c>
      <c r="AA2446" s="135">
        <f>'National average solar data'!W$40</f>
        <v>0</v>
      </c>
      <c r="AB2446" s="135">
        <f>'National average solar data'!X$40</f>
        <v>0</v>
      </c>
      <c r="AC2446" s="135">
        <f>'National average solar data'!Y$40</f>
        <v>0</v>
      </c>
      <c r="AD2446" s="135">
        <f>'National average solar data'!Z$40</f>
        <v>0</v>
      </c>
    </row>
    <row r="2447" spans="1:30" ht="12.6">
      <c r="A2447" s="10" t="s">
        <v>131</v>
      </c>
      <c r="B2447" s="10">
        <v>256</v>
      </c>
      <c r="C2447" s="10" t="s">
        <v>1515</v>
      </c>
      <c r="D2447" s="388">
        <v>45182</v>
      </c>
      <c r="E2447" s="389">
        <v>45182</v>
      </c>
      <c r="G2447" s="135">
        <f>'National average solar data'!C$40</f>
        <v>0</v>
      </c>
      <c r="H2447" s="135">
        <f>'National average solar data'!D$40</f>
        <v>0</v>
      </c>
      <c r="I2447" s="135">
        <f>'National average solar data'!E$40</f>
        <v>0</v>
      </c>
      <c r="J2447" s="135">
        <f>'National average solar data'!F$40</f>
        <v>0</v>
      </c>
      <c r="K2447" s="135">
        <f>'National average solar data'!G$40</f>
        <v>0</v>
      </c>
      <c r="L2447" s="135">
        <f>'National average solar data'!H$40</f>
        <v>1.6199999999999999E-2</v>
      </c>
      <c r="M2447" s="135">
        <f>'National average solar data'!I$40</f>
        <v>0.65600000000000003</v>
      </c>
      <c r="N2447" s="135">
        <f>'National average solar data'!J$40</f>
        <v>1.1278999999999999</v>
      </c>
      <c r="O2447" s="135">
        <f>'National average solar data'!K$40</f>
        <v>1.0646</v>
      </c>
      <c r="P2447" s="135">
        <f>'National average solar data'!L$40</f>
        <v>1.0369999999999999</v>
      </c>
      <c r="Q2447" s="135">
        <f>'National average solar data'!M$40</f>
        <v>1.0095000000000001</v>
      </c>
      <c r="R2447" s="135">
        <f>'National average solar data'!N$40</f>
        <v>1.0088999999999999</v>
      </c>
      <c r="S2447" s="135">
        <f>'National average solar data'!O$40</f>
        <v>1.0141</v>
      </c>
      <c r="T2447" s="135">
        <f>'National average solar data'!P$40</f>
        <v>1.0019</v>
      </c>
      <c r="U2447" s="135">
        <f>'National average solar data'!Q$40</f>
        <v>0.98240000000000005</v>
      </c>
      <c r="V2447" s="135">
        <f>'National average solar data'!R$40</f>
        <v>0.95809999999999995</v>
      </c>
      <c r="W2447" s="135">
        <f>'National average solar data'!S$40</f>
        <v>0.92149999999999999</v>
      </c>
      <c r="X2447" s="135">
        <f>'National average solar data'!T$40</f>
        <v>0.6482</v>
      </c>
      <c r="Y2447" s="135">
        <f>'National average solar data'!U$40</f>
        <v>0.12970000000000001</v>
      </c>
      <c r="Z2447" s="135">
        <f>'National average solar data'!V$40</f>
        <v>0</v>
      </c>
      <c r="AA2447" s="135">
        <f>'National average solar data'!W$40</f>
        <v>0</v>
      </c>
      <c r="AB2447" s="135">
        <f>'National average solar data'!X$40</f>
        <v>0</v>
      </c>
      <c r="AC2447" s="135">
        <f>'National average solar data'!Y$40</f>
        <v>0</v>
      </c>
      <c r="AD2447" s="135">
        <f>'National average solar data'!Z$40</f>
        <v>0</v>
      </c>
    </row>
    <row r="2448" spans="1:30" ht="12.6">
      <c r="A2448" s="10" t="s">
        <v>131</v>
      </c>
      <c r="B2448" s="10">
        <v>257</v>
      </c>
      <c r="C2448" s="10" t="s">
        <v>1515</v>
      </c>
      <c r="D2448" s="388">
        <v>45183</v>
      </c>
      <c r="E2448" s="389">
        <v>45183</v>
      </c>
      <c r="G2448" s="135">
        <f>'National average solar data'!C$40</f>
        <v>0</v>
      </c>
      <c r="H2448" s="135">
        <f>'National average solar data'!D$40</f>
        <v>0</v>
      </c>
      <c r="I2448" s="135">
        <f>'National average solar data'!E$40</f>
        <v>0</v>
      </c>
      <c r="J2448" s="135">
        <f>'National average solar data'!F$40</f>
        <v>0</v>
      </c>
      <c r="K2448" s="135">
        <f>'National average solar data'!G$40</f>
        <v>0</v>
      </c>
      <c r="L2448" s="135">
        <f>'National average solar data'!H$40</f>
        <v>1.6199999999999999E-2</v>
      </c>
      <c r="M2448" s="135">
        <f>'National average solar data'!I$40</f>
        <v>0.65600000000000003</v>
      </c>
      <c r="N2448" s="135">
        <f>'National average solar data'!J$40</f>
        <v>1.1278999999999999</v>
      </c>
      <c r="O2448" s="135">
        <f>'National average solar data'!K$40</f>
        <v>1.0646</v>
      </c>
      <c r="P2448" s="135">
        <f>'National average solar data'!L$40</f>
        <v>1.0369999999999999</v>
      </c>
      <c r="Q2448" s="135">
        <f>'National average solar data'!M$40</f>
        <v>1.0095000000000001</v>
      </c>
      <c r="R2448" s="135">
        <f>'National average solar data'!N$40</f>
        <v>1.0088999999999999</v>
      </c>
      <c r="S2448" s="135">
        <f>'National average solar data'!O$40</f>
        <v>1.0141</v>
      </c>
      <c r="T2448" s="135">
        <f>'National average solar data'!P$40</f>
        <v>1.0019</v>
      </c>
      <c r="U2448" s="135">
        <f>'National average solar data'!Q$40</f>
        <v>0.98240000000000005</v>
      </c>
      <c r="V2448" s="135">
        <f>'National average solar data'!R$40</f>
        <v>0.95809999999999995</v>
      </c>
      <c r="W2448" s="135">
        <f>'National average solar data'!S$40</f>
        <v>0.92149999999999999</v>
      </c>
      <c r="X2448" s="135">
        <f>'National average solar data'!T$40</f>
        <v>0.6482</v>
      </c>
      <c r="Y2448" s="135">
        <f>'National average solar data'!U$40</f>
        <v>0.12970000000000001</v>
      </c>
      <c r="Z2448" s="135">
        <f>'National average solar data'!V$40</f>
        <v>0</v>
      </c>
      <c r="AA2448" s="135">
        <f>'National average solar data'!W$40</f>
        <v>0</v>
      </c>
      <c r="AB2448" s="135">
        <f>'National average solar data'!X$40</f>
        <v>0</v>
      </c>
      <c r="AC2448" s="135">
        <f>'National average solar data'!Y$40</f>
        <v>0</v>
      </c>
      <c r="AD2448" s="135">
        <f>'National average solar data'!Z$40</f>
        <v>0</v>
      </c>
    </row>
    <row r="2449" spans="1:30" ht="12.6">
      <c r="A2449" s="10" t="s">
        <v>131</v>
      </c>
      <c r="B2449" s="10">
        <v>258</v>
      </c>
      <c r="C2449" s="10" t="s">
        <v>1515</v>
      </c>
      <c r="D2449" s="388">
        <v>45184</v>
      </c>
      <c r="E2449" s="389">
        <v>45184</v>
      </c>
      <c r="G2449" s="135">
        <f>'National average solar data'!C$40</f>
        <v>0</v>
      </c>
      <c r="H2449" s="135">
        <f>'National average solar data'!D$40</f>
        <v>0</v>
      </c>
      <c r="I2449" s="135">
        <f>'National average solar data'!E$40</f>
        <v>0</v>
      </c>
      <c r="J2449" s="135">
        <f>'National average solar data'!F$40</f>
        <v>0</v>
      </c>
      <c r="K2449" s="135">
        <f>'National average solar data'!G$40</f>
        <v>0</v>
      </c>
      <c r="L2449" s="135">
        <f>'National average solar data'!H$40</f>
        <v>1.6199999999999999E-2</v>
      </c>
      <c r="M2449" s="135">
        <f>'National average solar data'!I$40</f>
        <v>0.65600000000000003</v>
      </c>
      <c r="N2449" s="135">
        <f>'National average solar data'!J$40</f>
        <v>1.1278999999999999</v>
      </c>
      <c r="O2449" s="135">
        <f>'National average solar data'!K$40</f>
        <v>1.0646</v>
      </c>
      <c r="P2449" s="135">
        <f>'National average solar data'!L$40</f>
        <v>1.0369999999999999</v>
      </c>
      <c r="Q2449" s="135">
        <f>'National average solar data'!M$40</f>
        <v>1.0095000000000001</v>
      </c>
      <c r="R2449" s="135">
        <f>'National average solar data'!N$40</f>
        <v>1.0088999999999999</v>
      </c>
      <c r="S2449" s="135">
        <f>'National average solar data'!O$40</f>
        <v>1.0141</v>
      </c>
      <c r="T2449" s="135">
        <f>'National average solar data'!P$40</f>
        <v>1.0019</v>
      </c>
      <c r="U2449" s="135">
        <f>'National average solar data'!Q$40</f>
        <v>0.98240000000000005</v>
      </c>
      <c r="V2449" s="135">
        <f>'National average solar data'!R$40</f>
        <v>0.95809999999999995</v>
      </c>
      <c r="W2449" s="135">
        <f>'National average solar data'!S$40</f>
        <v>0.92149999999999999</v>
      </c>
      <c r="X2449" s="135">
        <f>'National average solar data'!T$40</f>
        <v>0.6482</v>
      </c>
      <c r="Y2449" s="135">
        <f>'National average solar data'!U$40</f>
        <v>0.12970000000000001</v>
      </c>
      <c r="Z2449" s="135">
        <f>'National average solar data'!V$40</f>
        <v>0</v>
      </c>
      <c r="AA2449" s="135">
        <f>'National average solar data'!W$40</f>
        <v>0</v>
      </c>
      <c r="AB2449" s="135">
        <f>'National average solar data'!X$40</f>
        <v>0</v>
      </c>
      <c r="AC2449" s="135">
        <f>'National average solar data'!Y$40</f>
        <v>0</v>
      </c>
      <c r="AD2449" s="135">
        <f>'National average solar data'!Z$40</f>
        <v>0</v>
      </c>
    </row>
    <row r="2450" spans="1:30" ht="12.6">
      <c r="A2450" s="10" t="s">
        <v>131</v>
      </c>
      <c r="B2450" s="10">
        <v>259</v>
      </c>
      <c r="C2450" s="10" t="s">
        <v>1515</v>
      </c>
      <c r="D2450" s="388">
        <v>45185</v>
      </c>
      <c r="E2450" s="389">
        <v>45185</v>
      </c>
      <c r="G2450" s="135">
        <f>'National average solar data'!C$40</f>
        <v>0</v>
      </c>
      <c r="H2450" s="135">
        <f>'National average solar data'!D$40</f>
        <v>0</v>
      </c>
      <c r="I2450" s="135">
        <f>'National average solar data'!E$40</f>
        <v>0</v>
      </c>
      <c r="J2450" s="135">
        <f>'National average solar data'!F$40</f>
        <v>0</v>
      </c>
      <c r="K2450" s="135">
        <f>'National average solar data'!G$40</f>
        <v>0</v>
      </c>
      <c r="L2450" s="135">
        <f>'National average solar data'!H$40</f>
        <v>1.6199999999999999E-2</v>
      </c>
      <c r="M2450" s="135">
        <f>'National average solar data'!I$40</f>
        <v>0.65600000000000003</v>
      </c>
      <c r="N2450" s="135">
        <f>'National average solar data'!J$40</f>
        <v>1.1278999999999999</v>
      </c>
      <c r="O2450" s="135">
        <f>'National average solar data'!K$40</f>
        <v>1.0646</v>
      </c>
      <c r="P2450" s="135">
        <f>'National average solar data'!L$40</f>
        <v>1.0369999999999999</v>
      </c>
      <c r="Q2450" s="135">
        <f>'National average solar data'!M$40</f>
        <v>1.0095000000000001</v>
      </c>
      <c r="R2450" s="135">
        <f>'National average solar data'!N$40</f>
        <v>1.0088999999999999</v>
      </c>
      <c r="S2450" s="135">
        <f>'National average solar data'!O$40</f>
        <v>1.0141</v>
      </c>
      <c r="T2450" s="135">
        <f>'National average solar data'!P$40</f>
        <v>1.0019</v>
      </c>
      <c r="U2450" s="135">
        <f>'National average solar data'!Q$40</f>
        <v>0.98240000000000005</v>
      </c>
      <c r="V2450" s="135">
        <f>'National average solar data'!R$40</f>
        <v>0.95809999999999995</v>
      </c>
      <c r="W2450" s="135">
        <f>'National average solar data'!S$40</f>
        <v>0.92149999999999999</v>
      </c>
      <c r="X2450" s="135">
        <f>'National average solar data'!T$40</f>
        <v>0.6482</v>
      </c>
      <c r="Y2450" s="135">
        <f>'National average solar data'!U$40</f>
        <v>0.12970000000000001</v>
      </c>
      <c r="Z2450" s="135">
        <f>'National average solar data'!V$40</f>
        <v>0</v>
      </c>
      <c r="AA2450" s="135">
        <f>'National average solar data'!W$40</f>
        <v>0</v>
      </c>
      <c r="AB2450" s="135">
        <f>'National average solar data'!X$40</f>
        <v>0</v>
      </c>
      <c r="AC2450" s="135">
        <f>'National average solar data'!Y$40</f>
        <v>0</v>
      </c>
      <c r="AD2450" s="135">
        <f>'National average solar data'!Z$40</f>
        <v>0</v>
      </c>
    </row>
    <row r="2451" spans="1:30" ht="12.6">
      <c r="A2451" s="10" t="s">
        <v>131</v>
      </c>
      <c r="B2451" s="10">
        <v>260</v>
      </c>
      <c r="C2451" s="10" t="s">
        <v>1515</v>
      </c>
      <c r="D2451" s="388">
        <v>45186</v>
      </c>
      <c r="E2451" s="389">
        <v>45186</v>
      </c>
      <c r="G2451" s="135">
        <f>'National average solar data'!C$40</f>
        <v>0</v>
      </c>
      <c r="H2451" s="135">
        <f>'National average solar data'!D$40</f>
        <v>0</v>
      </c>
      <c r="I2451" s="135">
        <f>'National average solar data'!E$40</f>
        <v>0</v>
      </c>
      <c r="J2451" s="135">
        <f>'National average solar data'!F$40</f>
        <v>0</v>
      </c>
      <c r="K2451" s="135">
        <f>'National average solar data'!G$40</f>
        <v>0</v>
      </c>
      <c r="L2451" s="135">
        <f>'National average solar data'!H$40</f>
        <v>1.6199999999999999E-2</v>
      </c>
      <c r="M2451" s="135">
        <f>'National average solar data'!I$40</f>
        <v>0.65600000000000003</v>
      </c>
      <c r="N2451" s="135">
        <f>'National average solar data'!J$40</f>
        <v>1.1278999999999999</v>
      </c>
      <c r="O2451" s="135">
        <f>'National average solar data'!K$40</f>
        <v>1.0646</v>
      </c>
      <c r="P2451" s="135">
        <f>'National average solar data'!L$40</f>
        <v>1.0369999999999999</v>
      </c>
      <c r="Q2451" s="135">
        <f>'National average solar data'!M$40</f>
        <v>1.0095000000000001</v>
      </c>
      <c r="R2451" s="135">
        <f>'National average solar data'!N$40</f>
        <v>1.0088999999999999</v>
      </c>
      <c r="S2451" s="135">
        <f>'National average solar data'!O$40</f>
        <v>1.0141</v>
      </c>
      <c r="T2451" s="135">
        <f>'National average solar data'!P$40</f>
        <v>1.0019</v>
      </c>
      <c r="U2451" s="135">
        <f>'National average solar data'!Q$40</f>
        <v>0.98240000000000005</v>
      </c>
      <c r="V2451" s="135">
        <f>'National average solar data'!R$40</f>
        <v>0.95809999999999995</v>
      </c>
      <c r="W2451" s="135">
        <f>'National average solar data'!S$40</f>
        <v>0.92149999999999999</v>
      </c>
      <c r="X2451" s="135">
        <f>'National average solar data'!T$40</f>
        <v>0.6482</v>
      </c>
      <c r="Y2451" s="135">
        <f>'National average solar data'!U$40</f>
        <v>0.12970000000000001</v>
      </c>
      <c r="Z2451" s="135">
        <f>'National average solar data'!V$40</f>
        <v>0</v>
      </c>
      <c r="AA2451" s="135">
        <f>'National average solar data'!W$40</f>
        <v>0</v>
      </c>
      <c r="AB2451" s="135">
        <f>'National average solar data'!X$40</f>
        <v>0</v>
      </c>
      <c r="AC2451" s="135">
        <f>'National average solar data'!Y$40</f>
        <v>0</v>
      </c>
      <c r="AD2451" s="135">
        <f>'National average solar data'!Z$40</f>
        <v>0</v>
      </c>
    </row>
    <row r="2452" spans="1:30" ht="12.6">
      <c r="A2452" s="10" t="s">
        <v>131</v>
      </c>
      <c r="B2452" s="10">
        <v>261</v>
      </c>
      <c r="C2452" s="10" t="s">
        <v>1515</v>
      </c>
      <c r="D2452" s="388">
        <v>45187</v>
      </c>
      <c r="E2452" s="389">
        <v>45187</v>
      </c>
      <c r="G2452" s="135">
        <f>'National average solar data'!C$40</f>
        <v>0</v>
      </c>
      <c r="H2452" s="135">
        <f>'National average solar data'!D$40</f>
        <v>0</v>
      </c>
      <c r="I2452" s="135">
        <f>'National average solar data'!E$40</f>
        <v>0</v>
      </c>
      <c r="J2452" s="135">
        <f>'National average solar data'!F$40</f>
        <v>0</v>
      </c>
      <c r="K2452" s="135">
        <f>'National average solar data'!G$40</f>
        <v>0</v>
      </c>
      <c r="L2452" s="135">
        <f>'National average solar data'!H$40</f>
        <v>1.6199999999999999E-2</v>
      </c>
      <c r="M2452" s="135">
        <f>'National average solar data'!I$40</f>
        <v>0.65600000000000003</v>
      </c>
      <c r="N2452" s="135">
        <f>'National average solar data'!J$40</f>
        <v>1.1278999999999999</v>
      </c>
      <c r="O2452" s="135">
        <f>'National average solar data'!K$40</f>
        <v>1.0646</v>
      </c>
      <c r="P2452" s="135">
        <f>'National average solar data'!L$40</f>
        <v>1.0369999999999999</v>
      </c>
      <c r="Q2452" s="135">
        <f>'National average solar data'!M$40</f>
        <v>1.0095000000000001</v>
      </c>
      <c r="R2452" s="135">
        <f>'National average solar data'!N$40</f>
        <v>1.0088999999999999</v>
      </c>
      <c r="S2452" s="135">
        <f>'National average solar data'!O$40</f>
        <v>1.0141</v>
      </c>
      <c r="T2452" s="135">
        <f>'National average solar data'!P$40</f>
        <v>1.0019</v>
      </c>
      <c r="U2452" s="135">
        <f>'National average solar data'!Q$40</f>
        <v>0.98240000000000005</v>
      </c>
      <c r="V2452" s="135">
        <f>'National average solar data'!R$40</f>
        <v>0.95809999999999995</v>
      </c>
      <c r="W2452" s="135">
        <f>'National average solar data'!S$40</f>
        <v>0.92149999999999999</v>
      </c>
      <c r="X2452" s="135">
        <f>'National average solar data'!T$40</f>
        <v>0.6482</v>
      </c>
      <c r="Y2452" s="135">
        <f>'National average solar data'!U$40</f>
        <v>0.12970000000000001</v>
      </c>
      <c r="Z2452" s="135">
        <f>'National average solar data'!V$40</f>
        <v>0</v>
      </c>
      <c r="AA2452" s="135">
        <f>'National average solar data'!W$40</f>
        <v>0</v>
      </c>
      <c r="AB2452" s="135">
        <f>'National average solar data'!X$40</f>
        <v>0</v>
      </c>
      <c r="AC2452" s="135">
        <f>'National average solar data'!Y$40</f>
        <v>0</v>
      </c>
      <c r="AD2452" s="135">
        <f>'National average solar data'!Z$40</f>
        <v>0</v>
      </c>
    </row>
    <row r="2453" spans="1:30" ht="12.6">
      <c r="A2453" s="10" t="s">
        <v>131</v>
      </c>
      <c r="B2453" s="10">
        <v>262</v>
      </c>
      <c r="C2453" s="10" t="s">
        <v>1515</v>
      </c>
      <c r="D2453" s="388">
        <v>45188</v>
      </c>
      <c r="E2453" s="389">
        <v>45188</v>
      </c>
      <c r="G2453" s="135">
        <f>'National average solar data'!C$40</f>
        <v>0</v>
      </c>
      <c r="H2453" s="135">
        <f>'National average solar data'!D$40</f>
        <v>0</v>
      </c>
      <c r="I2453" s="135">
        <f>'National average solar data'!E$40</f>
        <v>0</v>
      </c>
      <c r="J2453" s="135">
        <f>'National average solar data'!F$40</f>
        <v>0</v>
      </c>
      <c r="K2453" s="135">
        <f>'National average solar data'!G$40</f>
        <v>0</v>
      </c>
      <c r="L2453" s="135">
        <f>'National average solar data'!H$40</f>
        <v>1.6199999999999999E-2</v>
      </c>
      <c r="M2453" s="135">
        <f>'National average solar data'!I$40</f>
        <v>0.65600000000000003</v>
      </c>
      <c r="N2453" s="135">
        <f>'National average solar data'!J$40</f>
        <v>1.1278999999999999</v>
      </c>
      <c r="O2453" s="135">
        <f>'National average solar data'!K$40</f>
        <v>1.0646</v>
      </c>
      <c r="P2453" s="135">
        <f>'National average solar data'!L$40</f>
        <v>1.0369999999999999</v>
      </c>
      <c r="Q2453" s="135">
        <f>'National average solar data'!M$40</f>
        <v>1.0095000000000001</v>
      </c>
      <c r="R2453" s="135">
        <f>'National average solar data'!N$40</f>
        <v>1.0088999999999999</v>
      </c>
      <c r="S2453" s="135">
        <f>'National average solar data'!O$40</f>
        <v>1.0141</v>
      </c>
      <c r="T2453" s="135">
        <f>'National average solar data'!P$40</f>
        <v>1.0019</v>
      </c>
      <c r="U2453" s="135">
        <f>'National average solar data'!Q$40</f>
        <v>0.98240000000000005</v>
      </c>
      <c r="V2453" s="135">
        <f>'National average solar data'!R$40</f>
        <v>0.95809999999999995</v>
      </c>
      <c r="W2453" s="135">
        <f>'National average solar data'!S$40</f>
        <v>0.92149999999999999</v>
      </c>
      <c r="X2453" s="135">
        <f>'National average solar data'!T$40</f>
        <v>0.6482</v>
      </c>
      <c r="Y2453" s="135">
        <f>'National average solar data'!U$40</f>
        <v>0.12970000000000001</v>
      </c>
      <c r="Z2453" s="135">
        <f>'National average solar data'!V$40</f>
        <v>0</v>
      </c>
      <c r="AA2453" s="135">
        <f>'National average solar data'!W$40</f>
        <v>0</v>
      </c>
      <c r="AB2453" s="135">
        <f>'National average solar data'!X$40</f>
        <v>0</v>
      </c>
      <c r="AC2453" s="135">
        <f>'National average solar data'!Y$40</f>
        <v>0</v>
      </c>
      <c r="AD2453" s="135">
        <f>'National average solar data'!Z$40</f>
        <v>0</v>
      </c>
    </row>
    <row r="2454" spans="1:30" ht="12.6">
      <c r="A2454" s="10" t="s">
        <v>131</v>
      </c>
      <c r="B2454" s="10">
        <v>263</v>
      </c>
      <c r="C2454" s="10" t="s">
        <v>1515</v>
      </c>
      <c r="D2454" s="388">
        <v>45189</v>
      </c>
      <c r="E2454" s="389">
        <v>45189</v>
      </c>
      <c r="G2454" s="135">
        <f>'National average solar data'!C$40</f>
        <v>0</v>
      </c>
      <c r="H2454" s="135">
        <f>'National average solar data'!D$40</f>
        <v>0</v>
      </c>
      <c r="I2454" s="135">
        <f>'National average solar data'!E$40</f>
        <v>0</v>
      </c>
      <c r="J2454" s="135">
        <f>'National average solar data'!F$40</f>
        <v>0</v>
      </c>
      <c r="K2454" s="135">
        <f>'National average solar data'!G$40</f>
        <v>0</v>
      </c>
      <c r="L2454" s="135">
        <f>'National average solar data'!H$40</f>
        <v>1.6199999999999999E-2</v>
      </c>
      <c r="M2454" s="135">
        <f>'National average solar data'!I$40</f>
        <v>0.65600000000000003</v>
      </c>
      <c r="N2454" s="135">
        <f>'National average solar data'!J$40</f>
        <v>1.1278999999999999</v>
      </c>
      <c r="O2454" s="135">
        <f>'National average solar data'!K$40</f>
        <v>1.0646</v>
      </c>
      <c r="P2454" s="135">
        <f>'National average solar data'!L$40</f>
        <v>1.0369999999999999</v>
      </c>
      <c r="Q2454" s="135">
        <f>'National average solar data'!M$40</f>
        <v>1.0095000000000001</v>
      </c>
      <c r="R2454" s="135">
        <f>'National average solar data'!N$40</f>
        <v>1.0088999999999999</v>
      </c>
      <c r="S2454" s="135">
        <f>'National average solar data'!O$40</f>
        <v>1.0141</v>
      </c>
      <c r="T2454" s="135">
        <f>'National average solar data'!P$40</f>
        <v>1.0019</v>
      </c>
      <c r="U2454" s="135">
        <f>'National average solar data'!Q$40</f>
        <v>0.98240000000000005</v>
      </c>
      <c r="V2454" s="135">
        <f>'National average solar data'!R$40</f>
        <v>0.95809999999999995</v>
      </c>
      <c r="W2454" s="135">
        <f>'National average solar data'!S$40</f>
        <v>0.92149999999999999</v>
      </c>
      <c r="X2454" s="135">
        <f>'National average solar data'!T$40</f>
        <v>0.6482</v>
      </c>
      <c r="Y2454" s="135">
        <f>'National average solar data'!U$40</f>
        <v>0.12970000000000001</v>
      </c>
      <c r="Z2454" s="135">
        <f>'National average solar data'!V$40</f>
        <v>0</v>
      </c>
      <c r="AA2454" s="135">
        <f>'National average solar data'!W$40</f>
        <v>0</v>
      </c>
      <c r="AB2454" s="135">
        <f>'National average solar data'!X$40</f>
        <v>0</v>
      </c>
      <c r="AC2454" s="135">
        <f>'National average solar data'!Y$40</f>
        <v>0</v>
      </c>
      <c r="AD2454" s="135">
        <f>'National average solar data'!Z$40</f>
        <v>0</v>
      </c>
    </row>
    <row r="2455" spans="1:30" ht="12.6">
      <c r="A2455" s="10" t="s">
        <v>131</v>
      </c>
      <c r="B2455" s="10">
        <v>264</v>
      </c>
      <c r="C2455" s="10" t="s">
        <v>1515</v>
      </c>
      <c r="D2455" s="388">
        <v>45190</v>
      </c>
      <c r="E2455" s="389">
        <v>45190</v>
      </c>
      <c r="G2455" s="135">
        <f>'National average solar data'!C$40</f>
        <v>0</v>
      </c>
      <c r="H2455" s="135">
        <f>'National average solar data'!D$40</f>
        <v>0</v>
      </c>
      <c r="I2455" s="135">
        <f>'National average solar data'!E$40</f>
        <v>0</v>
      </c>
      <c r="J2455" s="135">
        <f>'National average solar data'!F$40</f>
        <v>0</v>
      </c>
      <c r="K2455" s="135">
        <f>'National average solar data'!G$40</f>
        <v>0</v>
      </c>
      <c r="L2455" s="135">
        <f>'National average solar data'!H$40</f>
        <v>1.6199999999999999E-2</v>
      </c>
      <c r="M2455" s="135">
        <f>'National average solar data'!I$40</f>
        <v>0.65600000000000003</v>
      </c>
      <c r="N2455" s="135">
        <f>'National average solar data'!J$40</f>
        <v>1.1278999999999999</v>
      </c>
      <c r="O2455" s="135">
        <f>'National average solar data'!K$40</f>
        <v>1.0646</v>
      </c>
      <c r="P2455" s="135">
        <f>'National average solar data'!L$40</f>
        <v>1.0369999999999999</v>
      </c>
      <c r="Q2455" s="135">
        <f>'National average solar data'!M$40</f>
        <v>1.0095000000000001</v>
      </c>
      <c r="R2455" s="135">
        <f>'National average solar data'!N$40</f>
        <v>1.0088999999999999</v>
      </c>
      <c r="S2455" s="135">
        <f>'National average solar data'!O$40</f>
        <v>1.0141</v>
      </c>
      <c r="T2455" s="135">
        <f>'National average solar data'!P$40</f>
        <v>1.0019</v>
      </c>
      <c r="U2455" s="135">
        <f>'National average solar data'!Q$40</f>
        <v>0.98240000000000005</v>
      </c>
      <c r="V2455" s="135">
        <f>'National average solar data'!R$40</f>
        <v>0.95809999999999995</v>
      </c>
      <c r="W2455" s="135">
        <f>'National average solar data'!S$40</f>
        <v>0.92149999999999999</v>
      </c>
      <c r="X2455" s="135">
        <f>'National average solar data'!T$40</f>
        <v>0.6482</v>
      </c>
      <c r="Y2455" s="135">
        <f>'National average solar data'!U$40</f>
        <v>0.12970000000000001</v>
      </c>
      <c r="Z2455" s="135">
        <f>'National average solar data'!V$40</f>
        <v>0</v>
      </c>
      <c r="AA2455" s="135">
        <f>'National average solar data'!W$40</f>
        <v>0</v>
      </c>
      <c r="AB2455" s="135">
        <f>'National average solar data'!X$40</f>
        <v>0</v>
      </c>
      <c r="AC2455" s="135">
        <f>'National average solar data'!Y$40</f>
        <v>0</v>
      </c>
      <c r="AD2455" s="135">
        <f>'National average solar data'!Z$40</f>
        <v>0</v>
      </c>
    </row>
    <row r="2456" spans="1:30" ht="12.6">
      <c r="A2456" s="10" t="s">
        <v>131</v>
      </c>
      <c r="B2456" s="10">
        <v>265</v>
      </c>
      <c r="C2456" s="10" t="s">
        <v>1515</v>
      </c>
      <c r="D2456" s="388">
        <v>45191</v>
      </c>
      <c r="E2456" s="389">
        <v>45191</v>
      </c>
      <c r="G2456" s="135">
        <f>'National average solar data'!C$40</f>
        <v>0</v>
      </c>
      <c r="H2456" s="135">
        <f>'National average solar data'!D$40</f>
        <v>0</v>
      </c>
      <c r="I2456" s="135">
        <f>'National average solar data'!E$40</f>
        <v>0</v>
      </c>
      <c r="J2456" s="135">
        <f>'National average solar data'!F$40</f>
        <v>0</v>
      </c>
      <c r="K2456" s="135">
        <f>'National average solar data'!G$40</f>
        <v>0</v>
      </c>
      <c r="L2456" s="135">
        <f>'National average solar data'!H$40</f>
        <v>1.6199999999999999E-2</v>
      </c>
      <c r="M2456" s="135">
        <f>'National average solar data'!I$40</f>
        <v>0.65600000000000003</v>
      </c>
      <c r="N2456" s="135">
        <f>'National average solar data'!J$40</f>
        <v>1.1278999999999999</v>
      </c>
      <c r="O2456" s="135">
        <f>'National average solar data'!K$40</f>
        <v>1.0646</v>
      </c>
      <c r="P2456" s="135">
        <f>'National average solar data'!L$40</f>
        <v>1.0369999999999999</v>
      </c>
      <c r="Q2456" s="135">
        <f>'National average solar data'!M$40</f>
        <v>1.0095000000000001</v>
      </c>
      <c r="R2456" s="135">
        <f>'National average solar data'!N$40</f>
        <v>1.0088999999999999</v>
      </c>
      <c r="S2456" s="135">
        <f>'National average solar data'!O$40</f>
        <v>1.0141</v>
      </c>
      <c r="T2456" s="135">
        <f>'National average solar data'!P$40</f>
        <v>1.0019</v>
      </c>
      <c r="U2456" s="135">
        <f>'National average solar data'!Q$40</f>
        <v>0.98240000000000005</v>
      </c>
      <c r="V2456" s="135">
        <f>'National average solar data'!R$40</f>
        <v>0.95809999999999995</v>
      </c>
      <c r="W2456" s="135">
        <f>'National average solar data'!S$40</f>
        <v>0.92149999999999999</v>
      </c>
      <c r="X2456" s="135">
        <f>'National average solar data'!T$40</f>
        <v>0.6482</v>
      </c>
      <c r="Y2456" s="135">
        <f>'National average solar data'!U$40</f>
        <v>0.12970000000000001</v>
      </c>
      <c r="Z2456" s="135">
        <f>'National average solar data'!V$40</f>
        <v>0</v>
      </c>
      <c r="AA2456" s="135">
        <f>'National average solar data'!W$40</f>
        <v>0</v>
      </c>
      <c r="AB2456" s="135">
        <f>'National average solar data'!X$40</f>
        <v>0</v>
      </c>
      <c r="AC2456" s="135">
        <f>'National average solar data'!Y$40</f>
        <v>0</v>
      </c>
      <c r="AD2456" s="135">
        <f>'National average solar data'!Z$40</f>
        <v>0</v>
      </c>
    </row>
    <row r="2457" spans="1:30" ht="12.6">
      <c r="A2457" s="10" t="s">
        <v>131</v>
      </c>
      <c r="B2457" s="10">
        <v>266</v>
      </c>
      <c r="C2457" s="10" t="s">
        <v>1515</v>
      </c>
      <c r="D2457" s="388">
        <v>45192</v>
      </c>
      <c r="E2457" s="389">
        <v>45192</v>
      </c>
      <c r="G2457" s="135">
        <f>'National average solar data'!C$40</f>
        <v>0</v>
      </c>
      <c r="H2457" s="135">
        <f>'National average solar data'!D$40</f>
        <v>0</v>
      </c>
      <c r="I2457" s="135">
        <f>'National average solar data'!E$40</f>
        <v>0</v>
      </c>
      <c r="J2457" s="135">
        <f>'National average solar data'!F$40</f>
        <v>0</v>
      </c>
      <c r="K2457" s="135">
        <f>'National average solar data'!G$40</f>
        <v>0</v>
      </c>
      <c r="L2457" s="135">
        <f>'National average solar data'!H$40</f>
        <v>1.6199999999999999E-2</v>
      </c>
      <c r="M2457" s="135">
        <f>'National average solar data'!I$40</f>
        <v>0.65600000000000003</v>
      </c>
      <c r="N2457" s="135">
        <f>'National average solar data'!J$40</f>
        <v>1.1278999999999999</v>
      </c>
      <c r="O2457" s="135">
        <f>'National average solar data'!K$40</f>
        <v>1.0646</v>
      </c>
      <c r="P2457" s="135">
        <f>'National average solar data'!L$40</f>
        <v>1.0369999999999999</v>
      </c>
      <c r="Q2457" s="135">
        <f>'National average solar data'!M$40</f>
        <v>1.0095000000000001</v>
      </c>
      <c r="R2457" s="135">
        <f>'National average solar data'!N$40</f>
        <v>1.0088999999999999</v>
      </c>
      <c r="S2457" s="135">
        <f>'National average solar data'!O$40</f>
        <v>1.0141</v>
      </c>
      <c r="T2457" s="135">
        <f>'National average solar data'!P$40</f>
        <v>1.0019</v>
      </c>
      <c r="U2457" s="135">
        <f>'National average solar data'!Q$40</f>
        <v>0.98240000000000005</v>
      </c>
      <c r="V2457" s="135">
        <f>'National average solar data'!R$40</f>
        <v>0.95809999999999995</v>
      </c>
      <c r="W2457" s="135">
        <f>'National average solar data'!S$40</f>
        <v>0.92149999999999999</v>
      </c>
      <c r="X2457" s="135">
        <f>'National average solar data'!T$40</f>
        <v>0.6482</v>
      </c>
      <c r="Y2457" s="135">
        <f>'National average solar data'!U$40</f>
        <v>0.12970000000000001</v>
      </c>
      <c r="Z2457" s="135">
        <f>'National average solar data'!V$40</f>
        <v>0</v>
      </c>
      <c r="AA2457" s="135">
        <f>'National average solar data'!W$40</f>
        <v>0</v>
      </c>
      <c r="AB2457" s="135">
        <f>'National average solar data'!X$40</f>
        <v>0</v>
      </c>
      <c r="AC2457" s="135">
        <f>'National average solar data'!Y$40</f>
        <v>0</v>
      </c>
      <c r="AD2457" s="135">
        <f>'National average solar data'!Z$40</f>
        <v>0</v>
      </c>
    </row>
    <row r="2458" spans="1:30" ht="12.6">
      <c r="A2458" s="10" t="s">
        <v>131</v>
      </c>
      <c r="B2458" s="10">
        <v>267</v>
      </c>
      <c r="C2458" s="10" t="s">
        <v>1515</v>
      </c>
      <c r="D2458" s="388">
        <v>45193</v>
      </c>
      <c r="E2458" s="389">
        <v>45193</v>
      </c>
      <c r="G2458" s="135">
        <f>'National average solar data'!C$40</f>
        <v>0</v>
      </c>
      <c r="H2458" s="135">
        <f>'National average solar data'!D$40</f>
        <v>0</v>
      </c>
      <c r="I2458" s="135">
        <f>'National average solar data'!E$40</f>
        <v>0</v>
      </c>
      <c r="J2458" s="135">
        <f>'National average solar data'!F$40</f>
        <v>0</v>
      </c>
      <c r="K2458" s="135">
        <f>'National average solar data'!G$40</f>
        <v>0</v>
      </c>
      <c r="L2458" s="135">
        <f>'National average solar data'!H$40</f>
        <v>1.6199999999999999E-2</v>
      </c>
      <c r="M2458" s="135">
        <f>'National average solar data'!I$40</f>
        <v>0.65600000000000003</v>
      </c>
      <c r="N2458" s="135">
        <f>'National average solar data'!J$40</f>
        <v>1.1278999999999999</v>
      </c>
      <c r="O2458" s="135">
        <f>'National average solar data'!K$40</f>
        <v>1.0646</v>
      </c>
      <c r="P2458" s="135">
        <f>'National average solar data'!L$40</f>
        <v>1.0369999999999999</v>
      </c>
      <c r="Q2458" s="135">
        <f>'National average solar data'!M$40</f>
        <v>1.0095000000000001</v>
      </c>
      <c r="R2458" s="135">
        <f>'National average solar data'!N$40</f>
        <v>1.0088999999999999</v>
      </c>
      <c r="S2458" s="135">
        <f>'National average solar data'!O$40</f>
        <v>1.0141</v>
      </c>
      <c r="T2458" s="135">
        <f>'National average solar data'!P$40</f>
        <v>1.0019</v>
      </c>
      <c r="U2458" s="135">
        <f>'National average solar data'!Q$40</f>
        <v>0.98240000000000005</v>
      </c>
      <c r="V2458" s="135">
        <f>'National average solar data'!R$40</f>
        <v>0.95809999999999995</v>
      </c>
      <c r="W2458" s="135">
        <f>'National average solar data'!S$40</f>
        <v>0.92149999999999999</v>
      </c>
      <c r="X2458" s="135">
        <f>'National average solar data'!T$40</f>
        <v>0.6482</v>
      </c>
      <c r="Y2458" s="135">
        <f>'National average solar data'!U$40</f>
        <v>0.12970000000000001</v>
      </c>
      <c r="Z2458" s="135">
        <f>'National average solar data'!V$40</f>
        <v>0</v>
      </c>
      <c r="AA2458" s="135">
        <f>'National average solar data'!W$40</f>
        <v>0</v>
      </c>
      <c r="AB2458" s="135">
        <f>'National average solar data'!X$40</f>
        <v>0</v>
      </c>
      <c r="AC2458" s="135">
        <f>'National average solar data'!Y$40</f>
        <v>0</v>
      </c>
      <c r="AD2458" s="135">
        <f>'National average solar data'!Z$40</f>
        <v>0</v>
      </c>
    </row>
    <row r="2459" spans="1:30" ht="12.6">
      <c r="A2459" s="10" t="s">
        <v>131</v>
      </c>
      <c r="B2459" s="10">
        <v>268</v>
      </c>
      <c r="C2459" s="10" t="s">
        <v>1515</v>
      </c>
      <c r="D2459" s="388">
        <v>45194</v>
      </c>
      <c r="E2459" s="389">
        <v>45194</v>
      </c>
      <c r="G2459" s="135">
        <f>'National average solar data'!C$40</f>
        <v>0</v>
      </c>
      <c r="H2459" s="135">
        <f>'National average solar data'!D$40</f>
        <v>0</v>
      </c>
      <c r="I2459" s="135">
        <f>'National average solar data'!E$40</f>
        <v>0</v>
      </c>
      <c r="J2459" s="135">
        <f>'National average solar data'!F$40</f>
        <v>0</v>
      </c>
      <c r="K2459" s="135">
        <f>'National average solar data'!G$40</f>
        <v>0</v>
      </c>
      <c r="L2459" s="135">
        <f>'National average solar data'!H$40</f>
        <v>1.6199999999999999E-2</v>
      </c>
      <c r="M2459" s="135">
        <f>'National average solar data'!I$40</f>
        <v>0.65600000000000003</v>
      </c>
      <c r="N2459" s="135">
        <f>'National average solar data'!J$40</f>
        <v>1.1278999999999999</v>
      </c>
      <c r="O2459" s="135">
        <f>'National average solar data'!K$40</f>
        <v>1.0646</v>
      </c>
      <c r="P2459" s="135">
        <f>'National average solar data'!L$40</f>
        <v>1.0369999999999999</v>
      </c>
      <c r="Q2459" s="135">
        <f>'National average solar data'!M$40</f>
        <v>1.0095000000000001</v>
      </c>
      <c r="R2459" s="135">
        <f>'National average solar data'!N$40</f>
        <v>1.0088999999999999</v>
      </c>
      <c r="S2459" s="135">
        <f>'National average solar data'!O$40</f>
        <v>1.0141</v>
      </c>
      <c r="T2459" s="135">
        <f>'National average solar data'!P$40</f>
        <v>1.0019</v>
      </c>
      <c r="U2459" s="135">
        <f>'National average solar data'!Q$40</f>
        <v>0.98240000000000005</v>
      </c>
      <c r="V2459" s="135">
        <f>'National average solar data'!R$40</f>
        <v>0.95809999999999995</v>
      </c>
      <c r="W2459" s="135">
        <f>'National average solar data'!S$40</f>
        <v>0.92149999999999999</v>
      </c>
      <c r="X2459" s="135">
        <f>'National average solar data'!T$40</f>
        <v>0.6482</v>
      </c>
      <c r="Y2459" s="135">
        <f>'National average solar data'!U$40</f>
        <v>0.12970000000000001</v>
      </c>
      <c r="Z2459" s="135">
        <f>'National average solar data'!V$40</f>
        <v>0</v>
      </c>
      <c r="AA2459" s="135">
        <f>'National average solar data'!W$40</f>
        <v>0</v>
      </c>
      <c r="AB2459" s="135">
        <f>'National average solar data'!X$40</f>
        <v>0</v>
      </c>
      <c r="AC2459" s="135">
        <f>'National average solar data'!Y$40</f>
        <v>0</v>
      </c>
      <c r="AD2459" s="135">
        <f>'National average solar data'!Z$40</f>
        <v>0</v>
      </c>
    </row>
    <row r="2460" spans="1:30" ht="12.6">
      <c r="A2460" s="10" t="s">
        <v>131</v>
      </c>
      <c r="B2460" s="10">
        <v>269</v>
      </c>
      <c r="C2460" s="10" t="s">
        <v>1515</v>
      </c>
      <c r="D2460" s="388">
        <v>45195</v>
      </c>
      <c r="E2460" s="389">
        <v>45195</v>
      </c>
      <c r="G2460" s="135">
        <f>'National average solar data'!C$40</f>
        <v>0</v>
      </c>
      <c r="H2460" s="135">
        <f>'National average solar data'!D$40</f>
        <v>0</v>
      </c>
      <c r="I2460" s="135">
        <f>'National average solar data'!E$40</f>
        <v>0</v>
      </c>
      <c r="J2460" s="135">
        <f>'National average solar data'!F$40</f>
        <v>0</v>
      </c>
      <c r="K2460" s="135">
        <f>'National average solar data'!G$40</f>
        <v>0</v>
      </c>
      <c r="L2460" s="135">
        <f>'National average solar data'!H$40</f>
        <v>1.6199999999999999E-2</v>
      </c>
      <c r="M2460" s="135">
        <f>'National average solar data'!I$40</f>
        <v>0.65600000000000003</v>
      </c>
      <c r="N2460" s="135">
        <f>'National average solar data'!J$40</f>
        <v>1.1278999999999999</v>
      </c>
      <c r="O2460" s="135">
        <f>'National average solar data'!K$40</f>
        <v>1.0646</v>
      </c>
      <c r="P2460" s="135">
        <f>'National average solar data'!L$40</f>
        <v>1.0369999999999999</v>
      </c>
      <c r="Q2460" s="135">
        <f>'National average solar data'!M$40</f>
        <v>1.0095000000000001</v>
      </c>
      <c r="R2460" s="135">
        <f>'National average solar data'!N$40</f>
        <v>1.0088999999999999</v>
      </c>
      <c r="S2460" s="135">
        <f>'National average solar data'!O$40</f>
        <v>1.0141</v>
      </c>
      <c r="T2460" s="135">
        <f>'National average solar data'!P$40</f>
        <v>1.0019</v>
      </c>
      <c r="U2460" s="135">
        <f>'National average solar data'!Q$40</f>
        <v>0.98240000000000005</v>
      </c>
      <c r="V2460" s="135">
        <f>'National average solar data'!R$40</f>
        <v>0.95809999999999995</v>
      </c>
      <c r="W2460" s="135">
        <f>'National average solar data'!S$40</f>
        <v>0.92149999999999999</v>
      </c>
      <c r="X2460" s="135">
        <f>'National average solar data'!T$40</f>
        <v>0.6482</v>
      </c>
      <c r="Y2460" s="135">
        <f>'National average solar data'!U$40</f>
        <v>0.12970000000000001</v>
      </c>
      <c r="Z2460" s="135">
        <f>'National average solar data'!V$40</f>
        <v>0</v>
      </c>
      <c r="AA2460" s="135">
        <f>'National average solar data'!W$40</f>
        <v>0</v>
      </c>
      <c r="AB2460" s="135">
        <f>'National average solar data'!X$40</f>
        <v>0</v>
      </c>
      <c r="AC2460" s="135">
        <f>'National average solar data'!Y$40</f>
        <v>0</v>
      </c>
      <c r="AD2460" s="135">
        <f>'National average solar data'!Z$40</f>
        <v>0</v>
      </c>
    </row>
    <row r="2461" spans="1:30" ht="12.6">
      <c r="A2461" s="10" t="s">
        <v>131</v>
      </c>
      <c r="B2461" s="10">
        <v>270</v>
      </c>
      <c r="C2461" s="10" t="s">
        <v>1515</v>
      </c>
      <c r="D2461" s="388">
        <v>45196</v>
      </c>
      <c r="E2461" s="389">
        <v>45196</v>
      </c>
      <c r="G2461" s="135">
        <f>'National average solar data'!C$40</f>
        <v>0</v>
      </c>
      <c r="H2461" s="135">
        <f>'National average solar data'!D$40</f>
        <v>0</v>
      </c>
      <c r="I2461" s="135">
        <f>'National average solar data'!E$40</f>
        <v>0</v>
      </c>
      <c r="J2461" s="135">
        <f>'National average solar data'!F$40</f>
        <v>0</v>
      </c>
      <c r="K2461" s="135">
        <f>'National average solar data'!G$40</f>
        <v>0</v>
      </c>
      <c r="L2461" s="135">
        <f>'National average solar data'!H$40</f>
        <v>1.6199999999999999E-2</v>
      </c>
      <c r="M2461" s="135">
        <f>'National average solar data'!I$40</f>
        <v>0.65600000000000003</v>
      </c>
      <c r="N2461" s="135">
        <f>'National average solar data'!J$40</f>
        <v>1.1278999999999999</v>
      </c>
      <c r="O2461" s="135">
        <f>'National average solar data'!K$40</f>
        <v>1.0646</v>
      </c>
      <c r="P2461" s="135">
        <f>'National average solar data'!L$40</f>
        <v>1.0369999999999999</v>
      </c>
      <c r="Q2461" s="135">
        <f>'National average solar data'!M$40</f>
        <v>1.0095000000000001</v>
      </c>
      <c r="R2461" s="135">
        <f>'National average solar data'!N$40</f>
        <v>1.0088999999999999</v>
      </c>
      <c r="S2461" s="135">
        <f>'National average solar data'!O$40</f>
        <v>1.0141</v>
      </c>
      <c r="T2461" s="135">
        <f>'National average solar data'!P$40</f>
        <v>1.0019</v>
      </c>
      <c r="U2461" s="135">
        <f>'National average solar data'!Q$40</f>
        <v>0.98240000000000005</v>
      </c>
      <c r="V2461" s="135">
        <f>'National average solar data'!R$40</f>
        <v>0.95809999999999995</v>
      </c>
      <c r="W2461" s="135">
        <f>'National average solar data'!S$40</f>
        <v>0.92149999999999999</v>
      </c>
      <c r="X2461" s="135">
        <f>'National average solar data'!T$40</f>
        <v>0.6482</v>
      </c>
      <c r="Y2461" s="135">
        <f>'National average solar data'!U$40</f>
        <v>0.12970000000000001</v>
      </c>
      <c r="Z2461" s="135">
        <f>'National average solar data'!V$40</f>
        <v>0</v>
      </c>
      <c r="AA2461" s="135">
        <f>'National average solar data'!W$40</f>
        <v>0</v>
      </c>
      <c r="AB2461" s="135">
        <f>'National average solar data'!X$40</f>
        <v>0</v>
      </c>
      <c r="AC2461" s="135">
        <f>'National average solar data'!Y$40</f>
        <v>0</v>
      </c>
      <c r="AD2461" s="135">
        <f>'National average solar data'!Z$40</f>
        <v>0</v>
      </c>
    </row>
    <row r="2462" spans="1:30" ht="12.6">
      <c r="A2462" s="10" t="s">
        <v>131</v>
      </c>
      <c r="B2462" s="10">
        <v>271</v>
      </c>
      <c r="C2462" s="10" t="s">
        <v>1515</v>
      </c>
      <c r="D2462" s="388">
        <v>45197</v>
      </c>
      <c r="E2462" s="389">
        <v>45197</v>
      </c>
      <c r="G2462" s="135">
        <f>'National average solar data'!C$40</f>
        <v>0</v>
      </c>
      <c r="H2462" s="135">
        <f>'National average solar data'!D$40</f>
        <v>0</v>
      </c>
      <c r="I2462" s="135">
        <f>'National average solar data'!E$40</f>
        <v>0</v>
      </c>
      <c r="J2462" s="135">
        <f>'National average solar data'!F$40</f>
        <v>0</v>
      </c>
      <c r="K2462" s="135">
        <f>'National average solar data'!G$40</f>
        <v>0</v>
      </c>
      <c r="L2462" s="135">
        <f>'National average solar data'!H$40</f>
        <v>1.6199999999999999E-2</v>
      </c>
      <c r="M2462" s="135">
        <f>'National average solar data'!I$40</f>
        <v>0.65600000000000003</v>
      </c>
      <c r="N2462" s="135">
        <f>'National average solar data'!J$40</f>
        <v>1.1278999999999999</v>
      </c>
      <c r="O2462" s="135">
        <f>'National average solar data'!K$40</f>
        <v>1.0646</v>
      </c>
      <c r="P2462" s="135">
        <f>'National average solar data'!L$40</f>
        <v>1.0369999999999999</v>
      </c>
      <c r="Q2462" s="135">
        <f>'National average solar data'!M$40</f>
        <v>1.0095000000000001</v>
      </c>
      <c r="R2462" s="135">
        <f>'National average solar data'!N$40</f>
        <v>1.0088999999999999</v>
      </c>
      <c r="S2462" s="135">
        <f>'National average solar data'!O$40</f>
        <v>1.0141</v>
      </c>
      <c r="T2462" s="135">
        <f>'National average solar data'!P$40</f>
        <v>1.0019</v>
      </c>
      <c r="U2462" s="135">
        <f>'National average solar data'!Q$40</f>
        <v>0.98240000000000005</v>
      </c>
      <c r="V2462" s="135">
        <f>'National average solar data'!R$40</f>
        <v>0.95809999999999995</v>
      </c>
      <c r="W2462" s="135">
        <f>'National average solar data'!S$40</f>
        <v>0.92149999999999999</v>
      </c>
      <c r="X2462" s="135">
        <f>'National average solar data'!T$40</f>
        <v>0.6482</v>
      </c>
      <c r="Y2462" s="135">
        <f>'National average solar data'!U$40</f>
        <v>0.12970000000000001</v>
      </c>
      <c r="Z2462" s="135">
        <f>'National average solar data'!V$40</f>
        <v>0</v>
      </c>
      <c r="AA2462" s="135">
        <f>'National average solar data'!W$40</f>
        <v>0</v>
      </c>
      <c r="AB2462" s="135">
        <f>'National average solar data'!X$40</f>
        <v>0</v>
      </c>
      <c r="AC2462" s="135">
        <f>'National average solar data'!Y$40</f>
        <v>0</v>
      </c>
      <c r="AD2462" s="135">
        <f>'National average solar data'!Z$40</f>
        <v>0</v>
      </c>
    </row>
    <row r="2463" spans="1:30" ht="12.6">
      <c r="A2463" s="10" t="s">
        <v>131</v>
      </c>
      <c r="B2463" s="10">
        <v>272</v>
      </c>
      <c r="C2463" s="10" t="s">
        <v>1515</v>
      </c>
      <c r="D2463" s="388">
        <v>45198</v>
      </c>
      <c r="E2463" s="389">
        <v>45198</v>
      </c>
      <c r="G2463" s="135">
        <f>'National average solar data'!C$40</f>
        <v>0</v>
      </c>
      <c r="H2463" s="135">
        <f>'National average solar data'!D$40</f>
        <v>0</v>
      </c>
      <c r="I2463" s="135">
        <f>'National average solar data'!E$40</f>
        <v>0</v>
      </c>
      <c r="J2463" s="135">
        <f>'National average solar data'!F$40</f>
        <v>0</v>
      </c>
      <c r="K2463" s="135">
        <f>'National average solar data'!G$40</f>
        <v>0</v>
      </c>
      <c r="L2463" s="135">
        <f>'National average solar data'!H$40</f>
        <v>1.6199999999999999E-2</v>
      </c>
      <c r="M2463" s="135">
        <f>'National average solar data'!I$40</f>
        <v>0.65600000000000003</v>
      </c>
      <c r="N2463" s="135">
        <f>'National average solar data'!J$40</f>
        <v>1.1278999999999999</v>
      </c>
      <c r="O2463" s="135">
        <f>'National average solar data'!K$40</f>
        <v>1.0646</v>
      </c>
      <c r="P2463" s="135">
        <f>'National average solar data'!L$40</f>
        <v>1.0369999999999999</v>
      </c>
      <c r="Q2463" s="135">
        <f>'National average solar data'!M$40</f>
        <v>1.0095000000000001</v>
      </c>
      <c r="R2463" s="135">
        <f>'National average solar data'!N$40</f>
        <v>1.0088999999999999</v>
      </c>
      <c r="S2463" s="135">
        <f>'National average solar data'!O$40</f>
        <v>1.0141</v>
      </c>
      <c r="T2463" s="135">
        <f>'National average solar data'!P$40</f>
        <v>1.0019</v>
      </c>
      <c r="U2463" s="135">
        <f>'National average solar data'!Q$40</f>
        <v>0.98240000000000005</v>
      </c>
      <c r="V2463" s="135">
        <f>'National average solar data'!R$40</f>
        <v>0.95809999999999995</v>
      </c>
      <c r="W2463" s="135">
        <f>'National average solar data'!S$40</f>
        <v>0.92149999999999999</v>
      </c>
      <c r="X2463" s="135">
        <f>'National average solar data'!T$40</f>
        <v>0.6482</v>
      </c>
      <c r="Y2463" s="135">
        <f>'National average solar data'!U$40</f>
        <v>0.12970000000000001</v>
      </c>
      <c r="Z2463" s="135">
        <f>'National average solar data'!V$40</f>
        <v>0</v>
      </c>
      <c r="AA2463" s="135">
        <f>'National average solar data'!W$40</f>
        <v>0</v>
      </c>
      <c r="AB2463" s="135">
        <f>'National average solar data'!X$40</f>
        <v>0</v>
      </c>
      <c r="AC2463" s="135">
        <f>'National average solar data'!Y$40</f>
        <v>0</v>
      </c>
      <c r="AD2463" s="135">
        <f>'National average solar data'!Z$40</f>
        <v>0</v>
      </c>
    </row>
    <row r="2464" spans="1:30" ht="12.6">
      <c r="A2464" s="10" t="s">
        <v>131</v>
      </c>
      <c r="B2464" s="10">
        <v>273</v>
      </c>
      <c r="C2464" s="10" t="s">
        <v>1515</v>
      </c>
      <c r="D2464" s="388">
        <v>45199</v>
      </c>
      <c r="E2464" s="389">
        <v>45199</v>
      </c>
      <c r="G2464" s="135">
        <f>'National average solar data'!C$40</f>
        <v>0</v>
      </c>
      <c r="H2464" s="135">
        <f>'National average solar data'!D$40</f>
        <v>0</v>
      </c>
      <c r="I2464" s="135">
        <f>'National average solar data'!E$40</f>
        <v>0</v>
      </c>
      <c r="J2464" s="135">
        <f>'National average solar data'!F$40</f>
        <v>0</v>
      </c>
      <c r="K2464" s="135">
        <f>'National average solar data'!G$40</f>
        <v>0</v>
      </c>
      <c r="L2464" s="135">
        <f>'National average solar data'!H$40</f>
        <v>1.6199999999999999E-2</v>
      </c>
      <c r="M2464" s="135">
        <f>'National average solar data'!I$40</f>
        <v>0.65600000000000003</v>
      </c>
      <c r="N2464" s="135">
        <f>'National average solar data'!J$40</f>
        <v>1.1278999999999999</v>
      </c>
      <c r="O2464" s="135">
        <f>'National average solar data'!K$40</f>
        <v>1.0646</v>
      </c>
      <c r="P2464" s="135">
        <f>'National average solar data'!L$40</f>
        <v>1.0369999999999999</v>
      </c>
      <c r="Q2464" s="135">
        <f>'National average solar data'!M$40</f>
        <v>1.0095000000000001</v>
      </c>
      <c r="R2464" s="135">
        <f>'National average solar data'!N$40</f>
        <v>1.0088999999999999</v>
      </c>
      <c r="S2464" s="135">
        <f>'National average solar data'!O$40</f>
        <v>1.0141</v>
      </c>
      <c r="T2464" s="135">
        <f>'National average solar data'!P$40</f>
        <v>1.0019</v>
      </c>
      <c r="U2464" s="135">
        <f>'National average solar data'!Q$40</f>
        <v>0.98240000000000005</v>
      </c>
      <c r="V2464" s="135">
        <f>'National average solar data'!R$40</f>
        <v>0.95809999999999995</v>
      </c>
      <c r="W2464" s="135">
        <f>'National average solar data'!S$40</f>
        <v>0.92149999999999999</v>
      </c>
      <c r="X2464" s="135">
        <f>'National average solar data'!T$40</f>
        <v>0.6482</v>
      </c>
      <c r="Y2464" s="135">
        <f>'National average solar data'!U$40</f>
        <v>0.12970000000000001</v>
      </c>
      <c r="Z2464" s="135">
        <f>'National average solar data'!V$40</f>
        <v>0</v>
      </c>
      <c r="AA2464" s="135">
        <f>'National average solar data'!W$40</f>
        <v>0</v>
      </c>
      <c r="AB2464" s="135">
        <f>'National average solar data'!X$40</f>
        <v>0</v>
      </c>
      <c r="AC2464" s="135">
        <f>'National average solar data'!Y$40</f>
        <v>0</v>
      </c>
      <c r="AD2464" s="135">
        <f>'National average solar data'!Z$40</f>
        <v>0</v>
      </c>
    </row>
    <row r="2465" spans="1:30" ht="12.6">
      <c r="A2465" s="10" t="s">
        <v>131</v>
      </c>
      <c r="B2465" s="10">
        <v>274</v>
      </c>
      <c r="C2465" s="10" t="s">
        <v>1515</v>
      </c>
      <c r="D2465" s="388">
        <v>45200</v>
      </c>
      <c r="E2465" s="389">
        <v>45200</v>
      </c>
      <c r="G2465" s="135">
        <f>'National average solar data'!C$41</f>
        <v>0</v>
      </c>
      <c r="H2465" s="135">
        <f>'National average solar data'!D$41</f>
        <v>0</v>
      </c>
      <c r="I2465" s="135">
        <f>'National average solar data'!E$41</f>
        <v>0</v>
      </c>
      <c r="J2465" s="135">
        <f>'National average solar data'!F$41</f>
        <v>0</v>
      </c>
      <c r="K2465" s="135">
        <f>'National average solar data'!G$41</f>
        <v>1.1924999999999999</v>
      </c>
      <c r="L2465" s="135">
        <f>'National average solar data'!H$41</f>
        <v>1.2754000000000001</v>
      </c>
      <c r="M2465" s="135">
        <f>'National average solar data'!I$41</f>
        <v>2.1795</v>
      </c>
      <c r="N2465" s="135">
        <f>'National average solar data'!J$41</f>
        <v>1.6903999999999999</v>
      </c>
      <c r="O2465" s="135">
        <f>'National average solar data'!K$41</f>
        <v>1.3387</v>
      </c>
      <c r="P2465" s="135">
        <f>'National average solar data'!L$41</f>
        <v>1.2110000000000001</v>
      </c>
      <c r="Q2465" s="135">
        <f>'National average solar data'!M$41</f>
        <v>1.1604000000000001</v>
      </c>
      <c r="R2465" s="135">
        <f>'National average solar data'!N$41</f>
        <v>1.1281000000000001</v>
      </c>
      <c r="S2465" s="135">
        <f>'National average solar data'!O$41</f>
        <v>1.1151</v>
      </c>
      <c r="T2465" s="135">
        <f>'National average solar data'!P$41</f>
        <v>1.1102000000000001</v>
      </c>
      <c r="U2465" s="135">
        <f>'National average solar data'!Q$41</f>
        <v>1.0920000000000001</v>
      </c>
      <c r="V2465" s="135">
        <f>'National average solar data'!R$41</f>
        <v>1.0809</v>
      </c>
      <c r="W2465" s="135">
        <f>'National average solar data'!S$41</f>
        <v>1.1102000000000001</v>
      </c>
      <c r="X2465" s="135">
        <f>'National average solar data'!T$41</f>
        <v>1.0581</v>
      </c>
      <c r="Y2465" s="135">
        <f>'National average solar data'!U$41</f>
        <v>0.8377</v>
      </c>
      <c r="Z2465" s="135">
        <f>'National average solar data'!V$41</f>
        <v>9.9400000000000002E-2</v>
      </c>
      <c r="AA2465" s="135">
        <f>'National average solar data'!W$41</f>
        <v>0</v>
      </c>
      <c r="AB2465" s="135">
        <f>'National average solar data'!X$41</f>
        <v>0</v>
      </c>
      <c r="AC2465" s="135">
        <f>'National average solar data'!Y$41</f>
        <v>0</v>
      </c>
      <c r="AD2465" s="135">
        <f>'National average solar data'!Z$41</f>
        <v>0</v>
      </c>
    </row>
    <row r="2466" spans="1:30" ht="12.6">
      <c r="A2466" s="10" t="s">
        <v>131</v>
      </c>
      <c r="B2466" s="10">
        <v>275</v>
      </c>
      <c r="C2466" s="10" t="s">
        <v>1515</v>
      </c>
      <c r="D2466" s="388">
        <v>45201</v>
      </c>
      <c r="E2466" s="389">
        <v>45201</v>
      </c>
      <c r="G2466" s="135">
        <f>'National average solar data'!C$41</f>
        <v>0</v>
      </c>
      <c r="H2466" s="135">
        <f>'National average solar data'!D$41</f>
        <v>0</v>
      </c>
      <c r="I2466" s="135">
        <f>'National average solar data'!E$41</f>
        <v>0</v>
      </c>
      <c r="J2466" s="135">
        <f>'National average solar data'!F$41</f>
        <v>0</v>
      </c>
      <c r="K2466" s="135">
        <f>'National average solar data'!G$41</f>
        <v>1.1924999999999999</v>
      </c>
      <c r="L2466" s="135">
        <f>'National average solar data'!H$41</f>
        <v>1.2754000000000001</v>
      </c>
      <c r="M2466" s="135">
        <f>'National average solar data'!I$41</f>
        <v>2.1795</v>
      </c>
      <c r="N2466" s="135">
        <f>'National average solar data'!J$41</f>
        <v>1.6903999999999999</v>
      </c>
      <c r="O2466" s="135">
        <f>'National average solar data'!K$41</f>
        <v>1.3387</v>
      </c>
      <c r="P2466" s="135">
        <f>'National average solar data'!L$41</f>
        <v>1.2110000000000001</v>
      </c>
      <c r="Q2466" s="135">
        <f>'National average solar data'!M$41</f>
        <v>1.1604000000000001</v>
      </c>
      <c r="R2466" s="135">
        <f>'National average solar data'!N$41</f>
        <v>1.1281000000000001</v>
      </c>
      <c r="S2466" s="135">
        <f>'National average solar data'!O$41</f>
        <v>1.1151</v>
      </c>
      <c r="T2466" s="135">
        <f>'National average solar data'!P$41</f>
        <v>1.1102000000000001</v>
      </c>
      <c r="U2466" s="135">
        <f>'National average solar data'!Q$41</f>
        <v>1.0920000000000001</v>
      </c>
      <c r="V2466" s="135">
        <f>'National average solar data'!R$41</f>
        <v>1.0809</v>
      </c>
      <c r="W2466" s="135">
        <f>'National average solar data'!S$41</f>
        <v>1.1102000000000001</v>
      </c>
      <c r="X2466" s="135">
        <f>'National average solar data'!T$41</f>
        <v>1.0581</v>
      </c>
      <c r="Y2466" s="135">
        <f>'National average solar data'!U$41</f>
        <v>0.8377</v>
      </c>
      <c r="Z2466" s="135">
        <f>'National average solar data'!V$41</f>
        <v>9.9400000000000002E-2</v>
      </c>
      <c r="AA2466" s="135">
        <f>'National average solar data'!W$41</f>
        <v>0</v>
      </c>
      <c r="AB2466" s="135">
        <f>'National average solar data'!X$41</f>
        <v>0</v>
      </c>
      <c r="AC2466" s="135">
        <f>'National average solar data'!Y$41</f>
        <v>0</v>
      </c>
      <c r="AD2466" s="135">
        <f>'National average solar data'!Z$41</f>
        <v>0</v>
      </c>
    </row>
    <row r="2467" spans="1:30" ht="12.6">
      <c r="A2467" s="10" t="s">
        <v>131</v>
      </c>
      <c r="B2467" s="10">
        <v>276</v>
      </c>
      <c r="C2467" s="10" t="s">
        <v>1515</v>
      </c>
      <c r="D2467" s="388">
        <v>45202</v>
      </c>
      <c r="E2467" s="389">
        <v>45202</v>
      </c>
      <c r="G2467" s="135">
        <f>'National average solar data'!C$41</f>
        <v>0</v>
      </c>
      <c r="H2467" s="135">
        <f>'National average solar data'!D$41</f>
        <v>0</v>
      </c>
      <c r="I2467" s="135">
        <f>'National average solar data'!E$41</f>
        <v>0</v>
      </c>
      <c r="J2467" s="135">
        <f>'National average solar data'!F$41</f>
        <v>0</v>
      </c>
      <c r="K2467" s="135">
        <f>'National average solar data'!G$41</f>
        <v>1.1924999999999999</v>
      </c>
      <c r="L2467" s="135">
        <f>'National average solar data'!H$41</f>
        <v>1.2754000000000001</v>
      </c>
      <c r="M2467" s="135">
        <f>'National average solar data'!I$41</f>
        <v>2.1795</v>
      </c>
      <c r="N2467" s="135">
        <f>'National average solar data'!J$41</f>
        <v>1.6903999999999999</v>
      </c>
      <c r="O2467" s="135">
        <f>'National average solar data'!K$41</f>
        <v>1.3387</v>
      </c>
      <c r="P2467" s="135">
        <f>'National average solar data'!L$41</f>
        <v>1.2110000000000001</v>
      </c>
      <c r="Q2467" s="135">
        <f>'National average solar data'!M$41</f>
        <v>1.1604000000000001</v>
      </c>
      <c r="R2467" s="135">
        <f>'National average solar data'!N$41</f>
        <v>1.1281000000000001</v>
      </c>
      <c r="S2467" s="135">
        <f>'National average solar data'!O$41</f>
        <v>1.1151</v>
      </c>
      <c r="T2467" s="135">
        <f>'National average solar data'!P$41</f>
        <v>1.1102000000000001</v>
      </c>
      <c r="U2467" s="135">
        <f>'National average solar data'!Q$41</f>
        <v>1.0920000000000001</v>
      </c>
      <c r="V2467" s="135">
        <f>'National average solar data'!R$41</f>
        <v>1.0809</v>
      </c>
      <c r="W2467" s="135">
        <f>'National average solar data'!S$41</f>
        <v>1.1102000000000001</v>
      </c>
      <c r="X2467" s="135">
        <f>'National average solar data'!T$41</f>
        <v>1.0581</v>
      </c>
      <c r="Y2467" s="135">
        <f>'National average solar data'!U$41</f>
        <v>0.8377</v>
      </c>
      <c r="Z2467" s="135">
        <f>'National average solar data'!V$41</f>
        <v>9.9400000000000002E-2</v>
      </c>
      <c r="AA2467" s="135">
        <f>'National average solar data'!W$41</f>
        <v>0</v>
      </c>
      <c r="AB2467" s="135">
        <f>'National average solar data'!X$41</f>
        <v>0</v>
      </c>
      <c r="AC2467" s="135">
        <f>'National average solar data'!Y$41</f>
        <v>0</v>
      </c>
      <c r="AD2467" s="135">
        <f>'National average solar data'!Z$41</f>
        <v>0</v>
      </c>
    </row>
    <row r="2468" spans="1:30" ht="12.6">
      <c r="A2468" s="10" t="s">
        <v>131</v>
      </c>
      <c r="B2468" s="10">
        <v>277</v>
      </c>
      <c r="C2468" s="10" t="s">
        <v>1515</v>
      </c>
      <c r="D2468" s="388">
        <v>45203</v>
      </c>
      <c r="E2468" s="389">
        <v>45203</v>
      </c>
      <c r="G2468" s="135">
        <f>'National average solar data'!C$41</f>
        <v>0</v>
      </c>
      <c r="H2468" s="135">
        <f>'National average solar data'!D$41</f>
        <v>0</v>
      </c>
      <c r="I2468" s="135">
        <f>'National average solar data'!E$41</f>
        <v>0</v>
      </c>
      <c r="J2468" s="135">
        <f>'National average solar data'!F$41</f>
        <v>0</v>
      </c>
      <c r="K2468" s="135">
        <f>'National average solar data'!G$41</f>
        <v>1.1924999999999999</v>
      </c>
      <c r="L2468" s="135">
        <f>'National average solar data'!H$41</f>
        <v>1.2754000000000001</v>
      </c>
      <c r="M2468" s="135">
        <f>'National average solar data'!I$41</f>
        <v>2.1795</v>
      </c>
      <c r="N2468" s="135">
        <f>'National average solar data'!J$41</f>
        <v>1.6903999999999999</v>
      </c>
      <c r="O2468" s="135">
        <f>'National average solar data'!K$41</f>
        <v>1.3387</v>
      </c>
      <c r="P2468" s="135">
        <f>'National average solar data'!L$41</f>
        <v>1.2110000000000001</v>
      </c>
      <c r="Q2468" s="135">
        <f>'National average solar data'!M$41</f>
        <v>1.1604000000000001</v>
      </c>
      <c r="R2468" s="135">
        <f>'National average solar data'!N$41</f>
        <v>1.1281000000000001</v>
      </c>
      <c r="S2468" s="135">
        <f>'National average solar data'!O$41</f>
        <v>1.1151</v>
      </c>
      <c r="T2468" s="135">
        <f>'National average solar data'!P$41</f>
        <v>1.1102000000000001</v>
      </c>
      <c r="U2468" s="135">
        <f>'National average solar data'!Q$41</f>
        <v>1.0920000000000001</v>
      </c>
      <c r="V2468" s="135">
        <f>'National average solar data'!R$41</f>
        <v>1.0809</v>
      </c>
      <c r="W2468" s="135">
        <f>'National average solar data'!S$41</f>
        <v>1.1102000000000001</v>
      </c>
      <c r="X2468" s="135">
        <f>'National average solar data'!T$41</f>
        <v>1.0581</v>
      </c>
      <c r="Y2468" s="135">
        <f>'National average solar data'!U$41</f>
        <v>0.8377</v>
      </c>
      <c r="Z2468" s="135">
        <f>'National average solar data'!V$41</f>
        <v>9.9400000000000002E-2</v>
      </c>
      <c r="AA2468" s="135">
        <f>'National average solar data'!W$41</f>
        <v>0</v>
      </c>
      <c r="AB2468" s="135">
        <f>'National average solar data'!X$41</f>
        <v>0</v>
      </c>
      <c r="AC2468" s="135">
        <f>'National average solar data'!Y$41</f>
        <v>0</v>
      </c>
      <c r="AD2468" s="135">
        <f>'National average solar data'!Z$41</f>
        <v>0</v>
      </c>
    </row>
    <row r="2469" spans="1:30" ht="12.6">
      <c r="A2469" s="10" t="s">
        <v>131</v>
      </c>
      <c r="B2469" s="10">
        <v>278</v>
      </c>
      <c r="C2469" s="10" t="s">
        <v>1515</v>
      </c>
      <c r="D2469" s="388">
        <v>45204</v>
      </c>
      <c r="E2469" s="389">
        <v>45204</v>
      </c>
      <c r="G2469" s="135">
        <f>'National average solar data'!C$41</f>
        <v>0</v>
      </c>
      <c r="H2469" s="135">
        <f>'National average solar data'!D$41</f>
        <v>0</v>
      </c>
      <c r="I2469" s="135">
        <f>'National average solar data'!E$41</f>
        <v>0</v>
      </c>
      <c r="J2469" s="135">
        <f>'National average solar data'!F$41</f>
        <v>0</v>
      </c>
      <c r="K2469" s="135">
        <f>'National average solar data'!G$41</f>
        <v>1.1924999999999999</v>
      </c>
      <c r="L2469" s="135">
        <f>'National average solar data'!H$41</f>
        <v>1.2754000000000001</v>
      </c>
      <c r="M2469" s="135">
        <f>'National average solar data'!I$41</f>
        <v>2.1795</v>
      </c>
      <c r="N2469" s="135">
        <f>'National average solar data'!J$41</f>
        <v>1.6903999999999999</v>
      </c>
      <c r="O2469" s="135">
        <f>'National average solar data'!K$41</f>
        <v>1.3387</v>
      </c>
      <c r="P2469" s="135">
        <f>'National average solar data'!L$41</f>
        <v>1.2110000000000001</v>
      </c>
      <c r="Q2469" s="135">
        <f>'National average solar data'!M$41</f>
        <v>1.1604000000000001</v>
      </c>
      <c r="R2469" s="135">
        <f>'National average solar data'!N$41</f>
        <v>1.1281000000000001</v>
      </c>
      <c r="S2469" s="135">
        <f>'National average solar data'!O$41</f>
        <v>1.1151</v>
      </c>
      <c r="T2469" s="135">
        <f>'National average solar data'!P$41</f>
        <v>1.1102000000000001</v>
      </c>
      <c r="U2469" s="135">
        <f>'National average solar data'!Q$41</f>
        <v>1.0920000000000001</v>
      </c>
      <c r="V2469" s="135">
        <f>'National average solar data'!R$41</f>
        <v>1.0809</v>
      </c>
      <c r="W2469" s="135">
        <f>'National average solar data'!S$41</f>
        <v>1.1102000000000001</v>
      </c>
      <c r="X2469" s="135">
        <f>'National average solar data'!T$41</f>
        <v>1.0581</v>
      </c>
      <c r="Y2469" s="135">
        <f>'National average solar data'!U$41</f>
        <v>0.8377</v>
      </c>
      <c r="Z2469" s="135">
        <f>'National average solar data'!V$41</f>
        <v>9.9400000000000002E-2</v>
      </c>
      <c r="AA2469" s="135">
        <f>'National average solar data'!W$41</f>
        <v>0</v>
      </c>
      <c r="AB2469" s="135">
        <f>'National average solar data'!X$41</f>
        <v>0</v>
      </c>
      <c r="AC2469" s="135">
        <f>'National average solar data'!Y$41</f>
        <v>0</v>
      </c>
      <c r="AD2469" s="135">
        <f>'National average solar data'!Z$41</f>
        <v>0</v>
      </c>
    </row>
    <row r="2470" spans="1:30" ht="12.6">
      <c r="A2470" s="10" t="s">
        <v>131</v>
      </c>
      <c r="B2470" s="10">
        <v>279</v>
      </c>
      <c r="C2470" s="10" t="s">
        <v>1515</v>
      </c>
      <c r="D2470" s="388">
        <v>45205</v>
      </c>
      <c r="E2470" s="389">
        <v>45205</v>
      </c>
      <c r="G2470" s="135">
        <f>'National average solar data'!C$41</f>
        <v>0</v>
      </c>
      <c r="H2470" s="135">
        <f>'National average solar data'!D$41</f>
        <v>0</v>
      </c>
      <c r="I2470" s="135">
        <f>'National average solar data'!E$41</f>
        <v>0</v>
      </c>
      <c r="J2470" s="135">
        <f>'National average solar data'!F$41</f>
        <v>0</v>
      </c>
      <c r="K2470" s="135">
        <f>'National average solar data'!G$41</f>
        <v>1.1924999999999999</v>
      </c>
      <c r="L2470" s="135">
        <f>'National average solar data'!H$41</f>
        <v>1.2754000000000001</v>
      </c>
      <c r="M2470" s="135">
        <f>'National average solar data'!I$41</f>
        <v>2.1795</v>
      </c>
      <c r="N2470" s="135">
        <f>'National average solar data'!J$41</f>
        <v>1.6903999999999999</v>
      </c>
      <c r="O2470" s="135">
        <f>'National average solar data'!K$41</f>
        <v>1.3387</v>
      </c>
      <c r="P2470" s="135">
        <f>'National average solar data'!L$41</f>
        <v>1.2110000000000001</v>
      </c>
      <c r="Q2470" s="135">
        <f>'National average solar data'!M$41</f>
        <v>1.1604000000000001</v>
      </c>
      <c r="R2470" s="135">
        <f>'National average solar data'!N$41</f>
        <v>1.1281000000000001</v>
      </c>
      <c r="S2470" s="135">
        <f>'National average solar data'!O$41</f>
        <v>1.1151</v>
      </c>
      <c r="T2470" s="135">
        <f>'National average solar data'!P$41</f>
        <v>1.1102000000000001</v>
      </c>
      <c r="U2470" s="135">
        <f>'National average solar data'!Q$41</f>
        <v>1.0920000000000001</v>
      </c>
      <c r="V2470" s="135">
        <f>'National average solar data'!R$41</f>
        <v>1.0809</v>
      </c>
      <c r="W2470" s="135">
        <f>'National average solar data'!S$41</f>
        <v>1.1102000000000001</v>
      </c>
      <c r="X2470" s="135">
        <f>'National average solar data'!T$41</f>
        <v>1.0581</v>
      </c>
      <c r="Y2470" s="135">
        <f>'National average solar data'!U$41</f>
        <v>0.8377</v>
      </c>
      <c r="Z2470" s="135">
        <f>'National average solar data'!V$41</f>
        <v>9.9400000000000002E-2</v>
      </c>
      <c r="AA2470" s="135">
        <f>'National average solar data'!W$41</f>
        <v>0</v>
      </c>
      <c r="AB2470" s="135">
        <f>'National average solar data'!X$41</f>
        <v>0</v>
      </c>
      <c r="AC2470" s="135">
        <f>'National average solar data'!Y$41</f>
        <v>0</v>
      </c>
      <c r="AD2470" s="135">
        <f>'National average solar data'!Z$41</f>
        <v>0</v>
      </c>
    </row>
    <row r="2471" spans="1:30" ht="12.6">
      <c r="A2471" s="10" t="s">
        <v>131</v>
      </c>
      <c r="B2471" s="10">
        <v>280</v>
      </c>
      <c r="C2471" s="10" t="s">
        <v>1515</v>
      </c>
      <c r="D2471" s="388">
        <v>45206</v>
      </c>
      <c r="E2471" s="389">
        <v>45206</v>
      </c>
      <c r="G2471" s="135">
        <f>'National average solar data'!C$41</f>
        <v>0</v>
      </c>
      <c r="H2471" s="135">
        <f>'National average solar data'!D$41</f>
        <v>0</v>
      </c>
      <c r="I2471" s="135">
        <f>'National average solar data'!E$41</f>
        <v>0</v>
      </c>
      <c r="J2471" s="135">
        <f>'National average solar data'!F$41</f>
        <v>0</v>
      </c>
      <c r="K2471" s="135">
        <f>'National average solar data'!G$41</f>
        <v>1.1924999999999999</v>
      </c>
      <c r="L2471" s="135">
        <f>'National average solar data'!H$41</f>
        <v>1.2754000000000001</v>
      </c>
      <c r="M2471" s="135">
        <f>'National average solar data'!I$41</f>
        <v>2.1795</v>
      </c>
      <c r="N2471" s="135">
        <f>'National average solar data'!J$41</f>
        <v>1.6903999999999999</v>
      </c>
      <c r="O2471" s="135">
        <f>'National average solar data'!K$41</f>
        <v>1.3387</v>
      </c>
      <c r="P2471" s="135">
        <f>'National average solar data'!L$41</f>
        <v>1.2110000000000001</v>
      </c>
      <c r="Q2471" s="135">
        <f>'National average solar data'!M$41</f>
        <v>1.1604000000000001</v>
      </c>
      <c r="R2471" s="135">
        <f>'National average solar data'!N$41</f>
        <v>1.1281000000000001</v>
      </c>
      <c r="S2471" s="135">
        <f>'National average solar data'!O$41</f>
        <v>1.1151</v>
      </c>
      <c r="T2471" s="135">
        <f>'National average solar data'!P$41</f>
        <v>1.1102000000000001</v>
      </c>
      <c r="U2471" s="135">
        <f>'National average solar data'!Q$41</f>
        <v>1.0920000000000001</v>
      </c>
      <c r="V2471" s="135">
        <f>'National average solar data'!R$41</f>
        <v>1.0809</v>
      </c>
      <c r="W2471" s="135">
        <f>'National average solar data'!S$41</f>
        <v>1.1102000000000001</v>
      </c>
      <c r="X2471" s="135">
        <f>'National average solar data'!T$41</f>
        <v>1.0581</v>
      </c>
      <c r="Y2471" s="135">
        <f>'National average solar data'!U$41</f>
        <v>0.8377</v>
      </c>
      <c r="Z2471" s="135">
        <f>'National average solar data'!V$41</f>
        <v>9.9400000000000002E-2</v>
      </c>
      <c r="AA2471" s="135">
        <f>'National average solar data'!W$41</f>
        <v>0</v>
      </c>
      <c r="AB2471" s="135">
        <f>'National average solar data'!X$41</f>
        <v>0</v>
      </c>
      <c r="AC2471" s="135">
        <f>'National average solar data'!Y$41</f>
        <v>0</v>
      </c>
      <c r="AD2471" s="135">
        <f>'National average solar data'!Z$41</f>
        <v>0</v>
      </c>
    </row>
    <row r="2472" spans="1:30" ht="12.6">
      <c r="A2472" s="10" t="s">
        <v>131</v>
      </c>
      <c r="B2472" s="10">
        <v>281</v>
      </c>
      <c r="C2472" s="10" t="s">
        <v>1515</v>
      </c>
      <c r="D2472" s="388">
        <v>45207</v>
      </c>
      <c r="E2472" s="389">
        <v>45207</v>
      </c>
      <c r="G2472" s="135">
        <f>'National average solar data'!C$41</f>
        <v>0</v>
      </c>
      <c r="H2472" s="135">
        <f>'National average solar data'!D$41</f>
        <v>0</v>
      </c>
      <c r="I2472" s="135">
        <f>'National average solar data'!E$41</f>
        <v>0</v>
      </c>
      <c r="J2472" s="135">
        <f>'National average solar data'!F$41</f>
        <v>0</v>
      </c>
      <c r="K2472" s="135">
        <f>'National average solar data'!G$41</f>
        <v>1.1924999999999999</v>
      </c>
      <c r="L2472" s="135">
        <f>'National average solar data'!H$41</f>
        <v>1.2754000000000001</v>
      </c>
      <c r="M2472" s="135">
        <f>'National average solar data'!I$41</f>
        <v>2.1795</v>
      </c>
      <c r="N2472" s="135">
        <f>'National average solar data'!J$41</f>
        <v>1.6903999999999999</v>
      </c>
      <c r="O2472" s="135">
        <f>'National average solar data'!K$41</f>
        <v>1.3387</v>
      </c>
      <c r="P2472" s="135">
        <f>'National average solar data'!L$41</f>
        <v>1.2110000000000001</v>
      </c>
      <c r="Q2472" s="135">
        <f>'National average solar data'!M$41</f>
        <v>1.1604000000000001</v>
      </c>
      <c r="R2472" s="135">
        <f>'National average solar data'!N$41</f>
        <v>1.1281000000000001</v>
      </c>
      <c r="S2472" s="135">
        <f>'National average solar data'!O$41</f>
        <v>1.1151</v>
      </c>
      <c r="T2472" s="135">
        <f>'National average solar data'!P$41</f>
        <v>1.1102000000000001</v>
      </c>
      <c r="U2472" s="135">
        <f>'National average solar data'!Q$41</f>
        <v>1.0920000000000001</v>
      </c>
      <c r="V2472" s="135">
        <f>'National average solar data'!R$41</f>
        <v>1.0809</v>
      </c>
      <c r="W2472" s="135">
        <f>'National average solar data'!S$41</f>
        <v>1.1102000000000001</v>
      </c>
      <c r="X2472" s="135">
        <f>'National average solar data'!T$41</f>
        <v>1.0581</v>
      </c>
      <c r="Y2472" s="135">
        <f>'National average solar data'!U$41</f>
        <v>0.8377</v>
      </c>
      <c r="Z2472" s="135">
        <f>'National average solar data'!V$41</f>
        <v>9.9400000000000002E-2</v>
      </c>
      <c r="AA2472" s="135">
        <f>'National average solar data'!W$41</f>
        <v>0</v>
      </c>
      <c r="AB2472" s="135">
        <f>'National average solar data'!X$41</f>
        <v>0</v>
      </c>
      <c r="AC2472" s="135">
        <f>'National average solar data'!Y$41</f>
        <v>0</v>
      </c>
      <c r="AD2472" s="135">
        <f>'National average solar data'!Z$41</f>
        <v>0</v>
      </c>
    </row>
    <row r="2473" spans="1:30" ht="12.6">
      <c r="A2473" s="10" t="s">
        <v>131</v>
      </c>
      <c r="B2473" s="10">
        <v>282</v>
      </c>
      <c r="C2473" s="10" t="s">
        <v>1515</v>
      </c>
      <c r="D2473" s="388">
        <v>45208</v>
      </c>
      <c r="E2473" s="389">
        <v>45208</v>
      </c>
      <c r="G2473" s="135">
        <f>'National average solar data'!C$41</f>
        <v>0</v>
      </c>
      <c r="H2473" s="135">
        <f>'National average solar data'!D$41</f>
        <v>0</v>
      </c>
      <c r="I2473" s="135">
        <f>'National average solar data'!E$41</f>
        <v>0</v>
      </c>
      <c r="J2473" s="135">
        <f>'National average solar data'!F$41</f>
        <v>0</v>
      </c>
      <c r="K2473" s="135">
        <f>'National average solar data'!G$41</f>
        <v>1.1924999999999999</v>
      </c>
      <c r="L2473" s="135">
        <f>'National average solar data'!H$41</f>
        <v>1.2754000000000001</v>
      </c>
      <c r="M2473" s="135">
        <f>'National average solar data'!I$41</f>
        <v>2.1795</v>
      </c>
      <c r="N2473" s="135">
        <f>'National average solar data'!J$41</f>
        <v>1.6903999999999999</v>
      </c>
      <c r="O2473" s="135">
        <f>'National average solar data'!K$41</f>
        <v>1.3387</v>
      </c>
      <c r="P2473" s="135">
        <f>'National average solar data'!L$41</f>
        <v>1.2110000000000001</v>
      </c>
      <c r="Q2473" s="135">
        <f>'National average solar data'!M$41</f>
        <v>1.1604000000000001</v>
      </c>
      <c r="R2473" s="135">
        <f>'National average solar data'!N$41</f>
        <v>1.1281000000000001</v>
      </c>
      <c r="S2473" s="135">
        <f>'National average solar data'!O$41</f>
        <v>1.1151</v>
      </c>
      <c r="T2473" s="135">
        <f>'National average solar data'!P$41</f>
        <v>1.1102000000000001</v>
      </c>
      <c r="U2473" s="135">
        <f>'National average solar data'!Q$41</f>
        <v>1.0920000000000001</v>
      </c>
      <c r="V2473" s="135">
        <f>'National average solar data'!R$41</f>
        <v>1.0809</v>
      </c>
      <c r="W2473" s="135">
        <f>'National average solar data'!S$41</f>
        <v>1.1102000000000001</v>
      </c>
      <c r="X2473" s="135">
        <f>'National average solar data'!T$41</f>
        <v>1.0581</v>
      </c>
      <c r="Y2473" s="135">
        <f>'National average solar data'!U$41</f>
        <v>0.8377</v>
      </c>
      <c r="Z2473" s="135">
        <f>'National average solar data'!V$41</f>
        <v>9.9400000000000002E-2</v>
      </c>
      <c r="AA2473" s="135">
        <f>'National average solar data'!W$41</f>
        <v>0</v>
      </c>
      <c r="AB2473" s="135">
        <f>'National average solar data'!X$41</f>
        <v>0</v>
      </c>
      <c r="AC2473" s="135">
        <f>'National average solar data'!Y$41</f>
        <v>0</v>
      </c>
      <c r="AD2473" s="135">
        <f>'National average solar data'!Z$41</f>
        <v>0</v>
      </c>
    </row>
    <row r="2474" spans="1:30" ht="12.6">
      <c r="A2474" s="10" t="s">
        <v>131</v>
      </c>
      <c r="B2474" s="10">
        <v>283</v>
      </c>
      <c r="C2474" s="10" t="s">
        <v>1515</v>
      </c>
      <c r="D2474" s="388">
        <v>45209</v>
      </c>
      <c r="E2474" s="389">
        <v>45209</v>
      </c>
      <c r="G2474" s="135">
        <f>'National average solar data'!C$41</f>
        <v>0</v>
      </c>
      <c r="H2474" s="135">
        <f>'National average solar data'!D$41</f>
        <v>0</v>
      </c>
      <c r="I2474" s="135">
        <f>'National average solar data'!E$41</f>
        <v>0</v>
      </c>
      <c r="J2474" s="135">
        <f>'National average solar data'!F$41</f>
        <v>0</v>
      </c>
      <c r="K2474" s="135">
        <f>'National average solar data'!G$41</f>
        <v>1.1924999999999999</v>
      </c>
      <c r="L2474" s="135">
        <f>'National average solar data'!H$41</f>
        <v>1.2754000000000001</v>
      </c>
      <c r="M2474" s="135">
        <f>'National average solar data'!I$41</f>
        <v>2.1795</v>
      </c>
      <c r="N2474" s="135">
        <f>'National average solar data'!J$41</f>
        <v>1.6903999999999999</v>
      </c>
      <c r="O2474" s="135">
        <f>'National average solar data'!K$41</f>
        <v>1.3387</v>
      </c>
      <c r="P2474" s="135">
        <f>'National average solar data'!L$41</f>
        <v>1.2110000000000001</v>
      </c>
      <c r="Q2474" s="135">
        <f>'National average solar data'!M$41</f>
        <v>1.1604000000000001</v>
      </c>
      <c r="R2474" s="135">
        <f>'National average solar data'!N$41</f>
        <v>1.1281000000000001</v>
      </c>
      <c r="S2474" s="135">
        <f>'National average solar data'!O$41</f>
        <v>1.1151</v>
      </c>
      <c r="T2474" s="135">
        <f>'National average solar data'!P$41</f>
        <v>1.1102000000000001</v>
      </c>
      <c r="U2474" s="135">
        <f>'National average solar data'!Q$41</f>
        <v>1.0920000000000001</v>
      </c>
      <c r="V2474" s="135">
        <f>'National average solar data'!R$41</f>
        <v>1.0809</v>
      </c>
      <c r="W2474" s="135">
        <f>'National average solar data'!S$41</f>
        <v>1.1102000000000001</v>
      </c>
      <c r="X2474" s="135">
        <f>'National average solar data'!T$41</f>
        <v>1.0581</v>
      </c>
      <c r="Y2474" s="135">
        <f>'National average solar data'!U$41</f>
        <v>0.8377</v>
      </c>
      <c r="Z2474" s="135">
        <f>'National average solar data'!V$41</f>
        <v>9.9400000000000002E-2</v>
      </c>
      <c r="AA2474" s="135">
        <f>'National average solar data'!W$41</f>
        <v>0</v>
      </c>
      <c r="AB2474" s="135">
        <f>'National average solar data'!X$41</f>
        <v>0</v>
      </c>
      <c r="AC2474" s="135">
        <f>'National average solar data'!Y$41</f>
        <v>0</v>
      </c>
      <c r="AD2474" s="135">
        <f>'National average solar data'!Z$41</f>
        <v>0</v>
      </c>
    </row>
    <row r="2475" spans="1:30" ht="12.6">
      <c r="A2475" s="10" t="s">
        <v>131</v>
      </c>
      <c r="B2475" s="10">
        <v>284</v>
      </c>
      <c r="C2475" s="10" t="s">
        <v>1515</v>
      </c>
      <c r="D2475" s="388">
        <v>45210</v>
      </c>
      <c r="E2475" s="389">
        <v>45210</v>
      </c>
      <c r="G2475" s="135">
        <f>'National average solar data'!C$41</f>
        <v>0</v>
      </c>
      <c r="H2475" s="135">
        <f>'National average solar data'!D$41</f>
        <v>0</v>
      </c>
      <c r="I2475" s="135">
        <f>'National average solar data'!E$41</f>
        <v>0</v>
      </c>
      <c r="J2475" s="135">
        <f>'National average solar data'!F$41</f>
        <v>0</v>
      </c>
      <c r="K2475" s="135">
        <f>'National average solar data'!G$41</f>
        <v>1.1924999999999999</v>
      </c>
      <c r="L2475" s="135">
        <f>'National average solar data'!H$41</f>
        <v>1.2754000000000001</v>
      </c>
      <c r="M2475" s="135">
        <f>'National average solar data'!I$41</f>
        <v>2.1795</v>
      </c>
      <c r="N2475" s="135">
        <f>'National average solar data'!J$41</f>
        <v>1.6903999999999999</v>
      </c>
      <c r="O2475" s="135">
        <f>'National average solar data'!K$41</f>
        <v>1.3387</v>
      </c>
      <c r="P2475" s="135">
        <f>'National average solar data'!L$41</f>
        <v>1.2110000000000001</v>
      </c>
      <c r="Q2475" s="135">
        <f>'National average solar data'!M$41</f>
        <v>1.1604000000000001</v>
      </c>
      <c r="R2475" s="135">
        <f>'National average solar data'!N$41</f>
        <v>1.1281000000000001</v>
      </c>
      <c r="S2475" s="135">
        <f>'National average solar data'!O$41</f>
        <v>1.1151</v>
      </c>
      <c r="T2475" s="135">
        <f>'National average solar data'!P$41</f>
        <v>1.1102000000000001</v>
      </c>
      <c r="U2475" s="135">
        <f>'National average solar data'!Q$41</f>
        <v>1.0920000000000001</v>
      </c>
      <c r="V2475" s="135">
        <f>'National average solar data'!R$41</f>
        <v>1.0809</v>
      </c>
      <c r="W2475" s="135">
        <f>'National average solar data'!S$41</f>
        <v>1.1102000000000001</v>
      </c>
      <c r="X2475" s="135">
        <f>'National average solar data'!T$41</f>
        <v>1.0581</v>
      </c>
      <c r="Y2475" s="135">
        <f>'National average solar data'!U$41</f>
        <v>0.8377</v>
      </c>
      <c r="Z2475" s="135">
        <f>'National average solar data'!V$41</f>
        <v>9.9400000000000002E-2</v>
      </c>
      <c r="AA2475" s="135">
        <f>'National average solar data'!W$41</f>
        <v>0</v>
      </c>
      <c r="AB2475" s="135">
        <f>'National average solar data'!X$41</f>
        <v>0</v>
      </c>
      <c r="AC2475" s="135">
        <f>'National average solar data'!Y$41</f>
        <v>0</v>
      </c>
      <c r="AD2475" s="135">
        <f>'National average solar data'!Z$41</f>
        <v>0</v>
      </c>
    </row>
    <row r="2476" spans="1:30" ht="12.6">
      <c r="A2476" s="10" t="s">
        <v>131</v>
      </c>
      <c r="B2476" s="10">
        <v>285</v>
      </c>
      <c r="C2476" s="10" t="s">
        <v>1515</v>
      </c>
      <c r="D2476" s="388">
        <v>45211</v>
      </c>
      <c r="E2476" s="389">
        <v>45211</v>
      </c>
      <c r="G2476" s="135">
        <f>'National average solar data'!C$41</f>
        <v>0</v>
      </c>
      <c r="H2476" s="135">
        <f>'National average solar data'!D$41</f>
        <v>0</v>
      </c>
      <c r="I2476" s="135">
        <f>'National average solar data'!E$41</f>
        <v>0</v>
      </c>
      <c r="J2476" s="135">
        <f>'National average solar data'!F$41</f>
        <v>0</v>
      </c>
      <c r="K2476" s="135">
        <f>'National average solar data'!G$41</f>
        <v>1.1924999999999999</v>
      </c>
      <c r="L2476" s="135">
        <f>'National average solar data'!H$41</f>
        <v>1.2754000000000001</v>
      </c>
      <c r="M2476" s="135">
        <f>'National average solar data'!I$41</f>
        <v>2.1795</v>
      </c>
      <c r="N2476" s="135">
        <f>'National average solar data'!J$41</f>
        <v>1.6903999999999999</v>
      </c>
      <c r="O2476" s="135">
        <f>'National average solar data'!K$41</f>
        <v>1.3387</v>
      </c>
      <c r="P2476" s="135">
        <f>'National average solar data'!L$41</f>
        <v>1.2110000000000001</v>
      </c>
      <c r="Q2476" s="135">
        <f>'National average solar data'!M$41</f>
        <v>1.1604000000000001</v>
      </c>
      <c r="R2476" s="135">
        <f>'National average solar data'!N$41</f>
        <v>1.1281000000000001</v>
      </c>
      <c r="S2476" s="135">
        <f>'National average solar data'!O$41</f>
        <v>1.1151</v>
      </c>
      <c r="T2476" s="135">
        <f>'National average solar data'!P$41</f>
        <v>1.1102000000000001</v>
      </c>
      <c r="U2476" s="135">
        <f>'National average solar data'!Q$41</f>
        <v>1.0920000000000001</v>
      </c>
      <c r="V2476" s="135">
        <f>'National average solar data'!R$41</f>
        <v>1.0809</v>
      </c>
      <c r="W2476" s="135">
        <f>'National average solar data'!S$41</f>
        <v>1.1102000000000001</v>
      </c>
      <c r="X2476" s="135">
        <f>'National average solar data'!T$41</f>
        <v>1.0581</v>
      </c>
      <c r="Y2476" s="135">
        <f>'National average solar data'!U$41</f>
        <v>0.8377</v>
      </c>
      <c r="Z2476" s="135">
        <f>'National average solar data'!V$41</f>
        <v>9.9400000000000002E-2</v>
      </c>
      <c r="AA2476" s="135">
        <f>'National average solar data'!W$41</f>
        <v>0</v>
      </c>
      <c r="AB2476" s="135">
        <f>'National average solar data'!X$41</f>
        <v>0</v>
      </c>
      <c r="AC2476" s="135">
        <f>'National average solar data'!Y$41</f>
        <v>0</v>
      </c>
      <c r="AD2476" s="135">
        <f>'National average solar data'!Z$41</f>
        <v>0</v>
      </c>
    </row>
    <row r="2477" spans="1:30" ht="12.6">
      <c r="A2477" s="10" t="s">
        <v>131</v>
      </c>
      <c r="B2477" s="10">
        <v>286</v>
      </c>
      <c r="C2477" s="10" t="s">
        <v>1515</v>
      </c>
      <c r="D2477" s="388">
        <v>45212</v>
      </c>
      <c r="E2477" s="389">
        <v>45212</v>
      </c>
      <c r="G2477" s="135">
        <f>'National average solar data'!C$41</f>
        <v>0</v>
      </c>
      <c r="H2477" s="135">
        <f>'National average solar data'!D$41</f>
        <v>0</v>
      </c>
      <c r="I2477" s="135">
        <f>'National average solar data'!E$41</f>
        <v>0</v>
      </c>
      <c r="J2477" s="135">
        <f>'National average solar data'!F$41</f>
        <v>0</v>
      </c>
      <c r="K2477" s="135">
        <f>'National average solar data'!G$41</f>
        <v>1.1924999999999999</v>
      </c>
      <c r="L2477" s="135">
        <f>'National average solar data'!H$41</f>
        <v>1.2754000000000001</v>
      </c>
      <c r="M2477" s="135">
        <f>'National average solar data'!I$41</f>
        <v>2.1795</v>
      </c>
      <c r="N2477" s="135">
        <f>'National average solar data'!J$41</f>
        <v>1.6903999999999999</v>
      </c>
      <c r="O2477" s="135">
        <f>'National average solar data'!K$41</f>
        <v>1.3387</v>
      </c>
      <c r="P2477" s="135">
        <f>'National average solar data'!L$41</f>
        <v>1.2110000000000001</v>
      </c>
      <c r="Q2477" s="135">
        <f>'National average solar data'!M$41</f>
        <v>1.1604000000000001</v>
      </c>
      <c r="R2477" s="135">
        <f>'National average solar data'!N$41</f>
        <v>1.1281000000000001</v>
      </c>
      <c r="S2477" s="135">
        <f>'National average solar data'!O$41</f>
        <v>1.1151</v>
      </c>
      <c r="T2477" s="135">
        <f>'National average solar data'!P$41</f>
        <v>1.1102000000000001</v>
      </c>
      <c r="U2477" s="135">
        <f>'National average solar data'!Q$41</f>
        <v>1.0920000000000001</v>
      </c>
      <c r="V2477" s="135">
        <f>'National average solar data'!R$41</f>
        <v>1.0809</v>
      </c>
      <c r="W2477" s="135">
        <f>'National average solar data'!S$41</f>
        <v>1.1102000000000001</v>
      </c>
      <c r="X2477" s="135">
        <f>'National average solar data'!T$41</f>
        <v>1.0581</v>
      </c>
      <c r="Y2477" s="135">
        <f>'National average solar data'!U$41</f>
        <v>0.8377</v>
      </c>
      <c r="Z2477" s="135">
        <f>'National average solar data'!V$41</f>
        <v>9.9400000000000002E-2</v>
      </c>
      <c r="AA2477" s="135">
        <f>'National average solar data'!W$41</f>
        <v>0</v>
      </c>
      <c r="AB2477" s="135">
        <f>'National average solar data'!X$41</f>
        <v>0</v>
      </c>
      <c r="AC2477" s="135">
        <f>'National average solar data'!Y$41</f>
        <v>0</v>
      </c>
      <c r="AD2477" s="135">
        <f>'National average solar data'!Z$41</f>
        <v>0</v>
      </c>
    </row>
    <row r="2478" spans="1:30" ht="12.6">
      <c r="A2478" s="10" t="s">
        <v>131</v>
      </c>
      <c r="B2478" s="10">
        <v>287</v>
      </c>
      <c r="C2478" s="10" t="s">
        <v>1515</v>
      </c>
      <c r="D2478" s="388">
        <v>45213</v>
      </c>
      <c r="E2478" s="389">
        <v>45213</v>
      </c>
      <c r="G2478" s="135">
        <f>'National average solar data'!C$41</f>
        <v>0</v>
      </c>
      <c r="H2478" s="135">
        <f>'National average solar data'!D$41</f>
        <v>0</v>
      </c>
      <c r="I2478" s="135">
        <f>'National average solar data'!E$41</f>
        <v>0</v>
      </c>
      <c r="J2478" s="135">
        <f>'National average solar data'!F$41</f>
        <v>0</v>
      </c>
      <c r="K2478" s="135">
        <f>'National average solar data'!G$41</f>
        <v>1.1924999999999999</v>
      </c>
      <c r="L2478" s="135">
        <f>'National average solar data'!H$41</f>
        <v>1.2754000000000001</v>
      </c>
      <c r="M2478" s="135">
        <f>'National average solar data'!I$41</f>
        <v>2.1795</v>
      </c>
      <c r="N2478" s="135">
        <f>'National average solar data'!J$41</f>
        <v>1.6903999999999999</v>
      </c>
      <c r="O2478" s="135">
        <f>'National average solar data'!K$41</f>
        <v>1.3387</v>
      </c>
      <c r="P2478" s="135">
        <f>'National average solar data'!L$41</f>
        <v>1.2110000000000001</v>
      </c>
      <c r="Q2478" s="135">
        <f>'National average solar data'!M$41</f>
        <v>1.1604000000000001</v>
      </c>
      <c r="R2478" s="135">
        <f>'National average solar data'!N$41</f>
        <v>1.1281000000000001</v>
      </c>
      <c r="S2478" s="135">
        <f>'National average solar data'!O$41</f>
        <v>1.1151</v>
      </c>
      <c r="T2478" s="135">
        <f>'National average solar data'!P$41</f>
        <v>1.1102000000000001</v>
      </c>
      <c r="U2478" s="135">
        <f>'National average solar data'!Q$41</f>
        <v>1.0920000000000001</v>
      </c>
      <c r="V2478" s="135">
        <f>'National average solar data'!R$41</f>
        <v>1.0809</v>
      </c>
      <c r="W2478" s="135">
        <f>'National average solar data'!S$41</f>
        <v>1.1102000000000001</v>
      </c>
      <c r="X2478" s="135">
        <f>'National average solar data'!T$41</f>
        <v>1.0581</v>
      </c>
      <c r="Y2478" s="135">
        <f>'National average solar data'!U$41</f>
        <v>0.8377</v>
      </c>
      <c r="Z2478" s="135">
        <f>'National average solar data'!V$41</f>
        <v>9.9400000000000002E-2</v>
      </c>
      <c r="AA2478" s="135">
        <f>'National average solar data'!W$41</f>
        <v>0</v>
      </c>
      <c r="AB2478" s="135">
        <f>'National average solar data'!X$41</f>
        <v>0</v>
      </c>
      <c r="AC2478" s="135">
        <f>'National average solar data'!Y$41</f>
        <v>0</v>
      </c>
      <c r="AD2478" s="135">
        <f>'National average solar data'!Z$41</f>
        <v>0</v>
      </c>
    </row>
    <row r="2479" spans="1:30" ht="12.6">
      <c r="A2479" s="10" t="s">
        <v>131</v>
      </c>
      <c r="B2479" s="10">
        <v>288</v>
      </c>
      <c r="C2479" s="10" t="s">
        <v>1515</v>
      </c>
      <c r="D2479" s="388">
        <v>45214</v>
      </c>
      <c r="E2479" s="389">
        <v>45214</v>
      </c>
      <c r="G2479" s="135">
        <f>'National average solar data'!C$41</f>
        <v>0</v>
      </c>
      <c r="H2479" s="135">
        <f>'National average solar data'!D$41</f>
        <v>0</v>
      </c>
      <c r="I2479" s="135">
        <f>'National average solar data'!E$41</f>
        <v>0</v>
      </c>
      <c r="J2479" s="135">
        <f>'National average solar data'!F$41</f>
        <v>0</v>
      </c>
      <c r="K2479" s="135">
        <f>'National average solar data'!G$41</f>
        <v>1.1924999999999999</v>
      </c>
      <c r="L2479" s="135">
        <f>'National average solar data'!H$41</f>
        <v>1.2754000000000001</v>
      </c>
      <c r="M2479" s="135">
        <f>'National average solar data'!I$41</f>
        <v>2.1795</v>
      </c>
      <c r="N2479" s="135">
        <f>'National average solar data'!J$41</f>
        <v>1.6903999999999999</v>
      </c>
      <c r="O2479" s="135">
        <f>'National average solar data'!K$41</f>
        <v>1.3387</v>
      </c>
      <c r="P2479" s="135">
        <f>'National average solar data'!L$41</f>
        <v>1.2110000000000001</v>
      </c>
      <c r="Q2479" s="135">
        <f>'National average solar data'!M$41</f>
        <v>1.1604000000000001</v>
      </c>
      <c r="R2479" s="135">
        <f>'National average solar data'!N$41</f>
        <v>1.1281000000000001</v>
      </c>
      <c r="S2479" s="135">
        <f>'National average solar data'!O$41</f>
        <v>1.1151</v>
      </c>
      <c r="T2479" s="135">
        <f>'National average solar data'!P$41</f>
        <v>1.1102000000000001</v>
      </c>
      <c r="U2479" s="135">
        <f>'National average solar data'!Q$41</f>
        <v>1.0920000000000001</v>
      </c>
      <c r="V2479" s="135">
        <f>'National average solar data'!R$41</f>
        <v>1.0809</v>
      </c>
      <c r="W2479" s="135">
        <f>'National average solar data'!S$41</f>
        <v>1.1102000000000001</v>
      </c>
      <c r="X2479" s="135">
        <f>'National average solar data'!T$41</f>
        <v>1.0581</v>
      </c>
      <c r="Y2479" s="135">
        <f>'National average solar data'!U$41</f>
        <v>0.8377</v>
      </c>
      <c r="Z2479" s="135">
        <f>'National average solar data'!V$41</f>
        <v>9.9400000000000002E-2</v>
      </c>
      <c r="AA2479" s="135">
        <f>'National average solar data'!W$41</f>
        <v>0</v>
      </c>
      <c r="AB2479" s="135">
        <f>'National average solar data'!X$41</f>
        <v>0</v>
      </c>
      <c r="AC2479" s="135">
        <f>'National average solar data'!Y$41</f>
        <v>0</v>
      </c>
      <c r="AD2479" s="135">
        <f>'National average solar data'!Z$41</f>
        <v>0</v>
      </c>
    </row>
    <row r="2480" spans="1:30" ht="12.6">
      <c r="A2480" s="10" t="s">
        <v>131</v>
      </c>
      <c r="B2480" s="10">
        <v>289</v>
      </c>
      <c r="C2480" s="10" t="s">
        <v>1515</v>
      </c>
      <c r="D2480" s="388">
        <v>45215</v>
      </c>
      <c r="E2480" s="389">
        <v>45215</v>
      </c>
      <c r="G2480" s="135">
        <f>'National average solar data'!C$41</f>
        <v>0</v>
      </c>
      <c r="H2480" s="135">
        <f>'National average solar data'!D$41</f>
        <v>0</v>
      </c>
      <c r="I2480" s="135">
        <f>'National average solar data'!E$41</f>
        <v>0</v>
      </c>
      <c r="J2480" s="135">
        <f>'National average solar data'!F$41</f>
        <v>0</v>
      </c>
      <c r="K2480" s="135">
        <f>'National average solar data'!G$41</f>
        <v>1.1924999999999999</v>
      </c>
      <c r="L2480" s="135">
        <f>'National average solar data'!H$41</f>
        <v>1.2754000000000001</v>
      </c>
      <c r="M2480" s="135">
        <f>'National average solar data'!I$41</f>
        <v>2.1795</v>
      </c>
      <c r="N2480" s="135">
        <f>'National average solar data'!J$41</f>
        <v>1.6903999999999999</v>
      </c>
      <c r="O2480" s="135">
        <f>'National average solar data'!K$41</f>
        <v>1.3387</v>
      </c>
      <c r="P2480" s="135">
        <f>'National average solar data'!L$41</f>
        <v>1.2110000000000001</v>
      </c>
      <c r="Q2480" s="135">
        <f>'National average solar data'!M$41</f>
        <v>1.1604000000000001</v>
      </c>
      <c r="R2480" s="135">
        <f>'National average solar data'!N$41</f>
        <v>1.1281000000000001</v>
      </c>
      <c r="S2480" s="135">
        <f>'National average solar data'!O$41</f>
        <v>1.1151</v>
      </c>
      <c r="T2480" s="135">
        <f>'National average solar data'!P$41</f>
        <v>1.1102000000000001</v>
      </c>
      <c r="U2480" s="135">
        <f>'National average solar data'!Q$41</f>
        <v>1.0920000000000001</v>
      </c>
      <c r="V2480" s="135">
        <f>'National average solar data'!R$41</f>
        <v>1.0809</v>
      </c>
      <c r="W2480" s="135">
        <f>'National average solar data'!S$41</f>
        <v>1.1102000000000001</v>
      </c>
      <c r="X2480" s="135">
        <f>'National average solar data'!T$41</f>
        <v>1.0581</v>
      </c>
      <c r="Y2480" s="135">
        <f>'National average solar data'!U$41</f>
        <v>0.8377</v>
      </c>
      <c r="Z2480" s="135">
        <f>'National average solar data'!V$41</f>
        <v>9.9400000000000002E-2</v>
      </c>
      <c r="AA2480" s="135">
        <f>'National average solar data'!W$41</f>
        <v>0</v>
      </c>
      <c r="AB2480" s="135">
        <f>'National average solar data'!X$41</f>
        <v>0</v>
      </c>
      <c r="AC2480" s="135">
        <f>'National average solar data'!Y$41</f>
        <v>0</v>
      </c>
      <c r="AD2480" s="135">
        <f>'National average solar data'!Z$41</f>
        <v>0</v>
      </c>
    </row>
    <row r="2481" spans="1:30" ht="12.6">
      <c r="A2481" s="10" t="s">
        <v>131</v>
      </c>
      <c r="B2481" s="10">
        <v>290</v>
      </c>
      <c r="C2481" s="10" t="s">
        <v>1515</v>
      </c>
      <c r="D2481" s="388">
        <v>45216</v>
      </c>
      <c r="E2481" s="389">
        <v>45216</v>
      </c>
      <c r="G2481" s="135">
        <f>'National average solar data'!C$41</f>
        <v>0</v>
      </c>
      <c r="H2481" s="135">
        <f>'National average solar data'!D$41</f>
        <v>0</v>
      </c>
      <c r="I2481" s="135">
        <f>'National average solar data'!E$41</f>
        <v>0</v>
      </c>
      <c r="J2481" s="135">
        <f>'National average solar data'!F$41</f>
        <v>0</v>
      </c>
      <c r="K2481" s="135">
        <f>'National average solar data'!G$41</f>
        <v>1.1924999999999999</v>
      </c>
      <c r="L2481" s="135">
        <f>'National average solar data'!H$41</f>
        <v>1.2754000000000001</v>
      </c>
      <c r="M2481" s="135">
        <f>'National average solar data'!I$41</f>
        <v>2.1795</v>
      </c>
      <c r="N2481" s="135">
        <f>'National average solar data'!J$41</f>
        <v>1.6903999999999999</v>
      </c>
      <c r="O2481" s="135">
        <f>'National average solar data'!K$41</f>
        <v>1.3387</v>
      </c>
      <c r="P2481" s="135">
        <f>'National average solar data'!L$41</f>
        <v>1.2110000000000001</v>
      </c>
      <c r="Q2481" s="135">
        <f>'National average solar data'!M$41</f>
        <v>1.1604000000000001</v>
      </c>
      <c r="R2481" s="135">
        <f>'National average solar data'!N$41</f>
        <v>1.1281000000000001</v>
      </c>
      <c r="S2481" s="135">
        <f>'National average solar data'!O$41</f>
        <v>1.1151</v>
      </c>
      <c r="T2481" s="135">
        <f>'National average solar data'!P$41</f>
        <v>1.1102000000000001</v>
      </c>
      <c r="U2481" s="135">
        <f>'National average solar data'!Q$41</f>
        <v>1.0920000000000001</v>
      </c>
      <c r="V2481" s="135">
        <f>'National average solar data'!R$41</f>
        <v>1.0809</v>
      </c>
      <c r="W2481" s="135">
        <f>'National average solar data'!S$41</f>
        <v>1.1102000000000001</v>
      </c>
      <c r="X2481" s="135">
        <f>'National average solar data'!T$41</f>
        <v>1.0581</v>
      </c>
      <c r="Y2481" s="135">
        <f>'National average solar data'!U$41</f>
        <v>0.8377</v>
      </c>
      <c r="Z2481" s="135">
        <f>'National average solar data'!V$41</f>
        <v>9.9400000000000002E-2</v>
      </c>
      <c r="AA2481" s="135">
        <f>'National average solar data'!W$41</f>
        <v>0</v>
      </c>
      <c r="AB2481" s="135">
        <f>'National average solar data'!X$41</f>
        <v>0</v>
      </c>
      <c r="AC2481" s="135">
        <f>'National average solar data'!Y$41</f>
        <v>0</v>
      </c>
      <c r="AD2481" s="135">
        <f>'National average solar data'!Z$41</f>
        <v>0</v>
      </c>
    </row>
    <row r="2482" spans="1:30" ht="12.6">
      <c r="A2482" s="10" t="s">
        <v>131</v>
      </c>
      <c r="B2482" s="10">
        <v>291</v>
      </c>
      <c r="C2482" s="10" t="s">
        <v>1515</v>
      </c>
      <c r="D2482" s="388">
        <v>45217</v>
      </c>
      <c r="E2482" s="389">
        <v>45217</v>
      </c>
      <c r="G2482" s="135">
        <f>'National average solar data'!C$41</f>
        <v>0</v>
      </c>
      <c r="H2482" s="135">
        <f>'National average solar data'!D$41</f>
        <v>0</v>
      </c>
      <c r="I2482" s="135">
        <f>'National average solar data'!E$41</f>
        <v>0</v>
      </c>
      <c r="J2482" s="135">
        <f>'National average solar data'!F$41</f>
        <v>0</v>
      </c>
      <c r="K2482" s="135">
        <f>'National average solar data'!G$41</f>
        <v>1.1924999999999999</v>
      </c>
      <c r="L2482" s="135">
        <f>'National average solar data'!H$41</f>
        <v>1.2754000000000001</v>
      </c>
      <c r="M2482" s="135">
        <f>'National average solar data'!I$41</f>
        <v>2.1795</v>
      </c>
      <c r="N2482" s="135">
        <f>'National average solar data'!J$41</f>
        <v>1.6903999999999999</v>
      </c>
      <c r="O2482" s="135">
        <f>'National average solar data'!K$41</f>
        <v>1.3387</v>
      </c>
      <c r="P2482" s="135">
        <f>'National average solar data'!L$41</f>
        <v>1.2110000000000001</v>
      </c>
      <c r="Q2482" s="135">
        <f>'National average solar data'!M$41</f>
        <v>1.1604000000000001</v>
      </c>
      <c r="R2482" s="135">
        <f>'National average solar data'!N$41</f>
        <v>1.1281000000000001</v>
      </c>
      <c r="S2482" s="135">
        <f>'National average solar data'!O$41</f>
        <v>1.1151</v>
      </c>
      <c r="T2482" s="135">
        <f>'National average solar data'!P$41</f>
        <v>1.1102000000000001</v>
      </c>
      <c r="U2482" s="135">
        <f>'National average solar data'!Q$41</f>
        <v>1.0920000000000001</v>
      </c>
      <c r="V2482" s="135">
        <f>'National average solar data'!R$41</f>
        <v>1.0809</v>
      </c>
      <c r="W2482" s="135">
        <f>'National average solar data'!S$41</f>
        <v>1.1102000000000001</v>
      </c>
      <c r="X2482" s="135">
        <f>'National average solar data'!T$41</f>
        <v>1.0581</v>
      </c>
      <c r="Y2482" s="135">
        <f>'National average solar data'!U$41</f>
        <v>0.8377</v>
      </c>
      <c r="Z2482" s="135">
        <f>'National average solar data'!V$41</f>
        <v>9.9400000000000002E-2</v>
      </c>
      <c r="AA2482" s="135">
        <f>'National average solar data'!W$41</f>
        <v>0</v>
      </c>
      <c r="AB2482" s="135">
        <f>'National average solar data'!X$41</f>
        <v>0</v>
      </c>
      <c r="AC2482" s="135">
        <f>'National average solar data'!Y$41</f>
        <v>0</v>
      </c>
      <c r="AD2482" s="135">
        <f>'National average solar data'!Z$41</f>
        <v>0</v>
      </c>
    </row>
    <row r="2483" spans="1:30" ht="12.6">
      <c r="A2483" s="10" t="s">
        <v>131</v>
      </c>
      <c r="B2483" s="10">
        <v>292</v>
      </c>
      <c r="C2483" s="10" t="s">
        <v>1515</v>
      </c>
      <c r="D2483" s="388">
        <v>45218</v>
      </c>
      <c r="E2483" s="389">
        <v>45218</v>
      </c>
      <c r="G2483" s="135">
        <f>'National average solar data'!C$41</f>
        <v>0</v>
      </c>
      <c r="H2483" s="135">
        <f>'National average solar data'!D$41</f>
        <v>0</v>
      </c>
      <c r="I2483" s="135">
        <f>'National average solar data'!E$41</f>
        <v>0</v>
      </c>
      <c r="J2483" s="135">
        <f>'National average solar data'!F$41</f>
        <v>0</v>
      </c>
      <c r="K2483" s="135">
        <f>'National average solar data'!G$41</f>
        <v>1.1924999999999999</v>
      </c>
      <c r="L2483" s="135">
        <f>'National average solar data'!H$41</f>
        <v>1.2754000000000001</v>
      </c>
      <c r="M2483" s="135">
        <f>'National average solar data'!I$41</f>
        <v>2.1795</v>
      </c>
      <c r="N2483" s="135">
        <f>'National average solar data'!J$41</f>
        <v>1.6903999999999999</v>
      </c>
      <c r="O2483" s="135">
        <f>'National average solar data'!K$41</f>
        <v>1.3387</v>
      </c>
      <c r="P2483" s="135">
        <f>'National average solar data'!L$41</f>
        <v>1.2110000000000001</v>
      </c>
      <c r="Q2483" s="135">
        <f>'National average solar data'!M$41</f>
        <v>1.1604000000000001</v>
      </c>
      <c r="R2483" s="135">
        <f>'National average solar data'!N$41</f>
        <v>1.1281000000000001</v>
      </c>
      <c r="S2483" s="135">
        <f>'National average solar data'!O$41</f>
        <v>1.1151</v>
      </c>
      <c r="T2483" s="135">
        <f>'National average solar data'!P$41</f>
        <v>1.1102000000000001</v>
      </c>
      <c r="U2483" s="135">
        <f>'National average solar data'!Q$41</f>
        <v>1.0920000000000001</v>
      </c>
      <c r="V2483" s="135">
        <f>'National average solar data'!R$41</f>
        <v>1.0809</v>
      </c>
      <c r="W2483" s="135">
        <f>'National average solar data'!S$41</f>
        <v>1.1102000000000001</v>
      </c>
      <c r="X2483" s="135">
        <f>'National average solar data'!T$41</f>
        <v>1.0581</v>
      </c>
      <c r="Y2483" s="135">
        <f>'National average solar data'!U$41</f>
        <v>0.8377</v>
      </c>
      <c r="Z2483" s="135">
        <f>'National average solar data'!V$41</f>
        <v>9.9400000000000002E-2</v>
      </c>
      <c r="AA2483" s="135">
        <f>'National average solar data'!W$41</f>
        <v>0</v>
      </c>
      <c r="AB2483" s="135">
        <f>'National average solar data'!X$41</f>
        <v>0</v>
      </c>
      <c r="AC2483" s="135">
        <f>'National average solar data'!Y$41</f>
        <v>0</v>
      </c>
      <c r="AD2483" s="135">
        <f>'National average solar data'!Z$41</f>
        <v>0</v>
      </c>
    </row>
    <row r="2484" spans="1:30" ht="12.6">
      <c r="A2484" s="10" t="s">
        <v>131</v>
      </c>
      <c r="B2484" s="10">
        <v>293</v>
      </c>
      <c r="C2484" s="10" t="s">
        <v>1515</v>
      </c>
      <c r="D2484" s="388">
        <v>45219</v>
      </c>
      <c r="E2484" s="389">
        <v>45219</v>
      </c>
      <c r="G2484" s="135">
        <f>'National average solar data'!C$41</f>
        <v>0</v>
      </c>
      <c r="H2484" s="135">
        <f>'National average solar data'!D$41</f>
        <v>0</v>
      </c>
      <c r="I2484" s="135">
        <f>'National average solar data'!E$41</f>
        <v>0</v>
      </c>
      <c r="J2484" s="135">
        <f>'National average solar data'!F$41</f>
        <v>0</v>
      </c>
      <c r="K2484" s="135">
        <f>'National average solar data'!G$41</f>
        <v>1.1924999999999999</v>
      </c>
      <c r="L2484" s="135">
        <f>'National average solar data'!H$41</f>
        <v>1.2754000000000001</v>
      </c>
      <c r="M2484" s="135">
        <f>'National average solar data'!I$41</f>
        <v>2.1795</v>
      </c>
      <c r="N2484" s="135">
        <f>'National average solar data'!J$41</f>
        <v>1.6903999999999999</v>
      </c>
      <c r="O2484" s="135">
        <f>'National average solar data'!K$41</f>
        <v>1.3387</v>
      </c>
      <c r="P2484" s="135">
        <f>'National average solar data'!L$41</f>
        <v>1.2110000000000001</v>
      </c>
      <c r="Q2484" s="135">
        <f>'National average solar data'!M$41</f>
        <v>1.1604000000000001</v>
      </c>
      <c r="R2484" s="135">
        <f>'National average solar data'!N$41</f>
        <v>1.1281000000000001</v>
      </c>
      <c r="S2484" s="135">
        <f>'National average solar data'!O$41</f>
        <v>1.1151</v>
      </c>
      <c r="T2484" s="135">
        <f>'National average solar data'!P$41</f>
        <v>1.1102000000000001</v>
      </c>
      <c r="U2484" s="135">
        <f>'National average solar data'!Q$41</f>
        <v>1.0920000000000001</v>
      </c>
      <c r="V2484" s="135">
        <f>'National average solar data'!R$41</f>
        <v>1.0809</v>
      </c>
      <c r="W2484" s="135">
        <f>'National average solar data'!S$41</f>
        <v>1.1102000000000001</v>
      </c>
      <c r="X2484" s="135">
        <f>'National average solar data'!T$41</f>
        <v>1.0581</v>
      </c>
      <c r="Y2484" s="135">
        <f>'National average solar data'!U$41</f>
        <v>0.8377</v>
      </c>
      <c r="Z2484" s="135">
        <f>'National average solar data'!V$41</f>
        <v>9.9400000000000002E-2</v>
      </c>
      <c r="AA2484" s="135">
        <f>'National average solar data'!W$41</f>
        <v>0</v>
      </c>
      <c r="AB2484" s="135">
        <f>'National average solar data'!X$41</f>
        <v>0</v>
      </c>
      <c r="AC2484" s="135">
        <f>'National average solar data'!Y$41</f>
        <v>0</v>
      </c>
      <c r="AD2484" s="135">
        <f>'National average solar data'!Z$41</f>
        <v>0</v>
      </c>
    </row>
    <row r="2485" spans="1:30" ht="12.6">
      <c r="A2485" s="10" t="s">
        <v>131</v>
      </c>
      <c r="B2485" s="10">
        <v>294</v>
      </c>
      <c r="C2485" s="10" t="s">
        <v>1515</v>
      </c>
      <c r="D2485" s="388">
        <v>45220</v>
      </c>
      <c r="E2485" s="389">
        <v>45220</v>
      </c>
      <c r="G2485" s="135">
        <f>'National average solar data'!C$41</f>
        <v>0</v>
      </c>
      <c r="H2485" s="135">
        <f>'National average solar data'!D$41</f>
        <v>0</v>
      </c>
      <c r="I2485" s="135">
        <f>'National average solar data'!E$41</f>
        <v>0</v>
      </c>
      <c r="J2485" s="135">
        <f>'National average solar data'!F$41</f>
        <v>0</v>
      </c>
      <c r="K2485" s="135">
        <f>'National average solar data'!G$41</f>
        <v>1.1924999999999999</v>
      </c>
      <c r="L2485" s="135">
        <f>'National average solar data'!H$41</f>
        <v>1.2754000000000001</v>
      </c>
      <c r="M2485" s="135">
        <f>'National average solar data'!I$41</f>
        <v>2.1795</v>
      </c>
      <c r="N2485" s="135">
        <f>'National average solar data'!J$41</f>
        <v>1.6903999999999999</v>
      </c>
      <c r="O2485" s="135">
        <f>'National average solar data'!K$41</f>
        <v>1.3387</v>
      </c>
      <c r="P2485" s="135">
        <f>'National average solar data'!L$41</f>
        <v>1.2110000000000001</v>
      </c>
      <c r="Q2485" s="135">
        <f>'National average solar data'!M$41</f>
        <v>1.1604000000000001</v>
      </c>
      <c r="R2485" s="135">
        <f>'National average solar data'!N$41</f>
        <v>1.1281000000000001</v>
      </c>
      <c r="S2485" s="135">
        <f>'National average solar data'!O$41</f>
        <v>1.1151</v>
      </c>
      <c r="T2485" s="135">
        <f>'National average solar data'!P$41</f>
        <v>1.1102000000000001</v>
      </c>
      <c r="U2485" s="135">
        <f>'National average solar data'!Q$41</f>
        <v>1.0920000000000001</v>
      </c>
      <c r="V2485" s="135">
        <f>'National average solar data'!R$41</f>
        <v>1.0809</v>
      </c>
      <c r="W2485" s="135">
        <f>'National average solar data'!S$41</f>
        <v>1.1102000000000001</v>
      </c>
      <c r="X2485" s="135">
        <f>'National average solar data'!T$41</f>
        <v>1.0581</v>
      </c>
      <c r="Y2485" s="135">
        <f>'National average solar data'!U$41</f>
        <v>0.8377</v>
      </c>
      <c r="Z2485" s="135">
        <f>'National average solar data'!V$41</f>
        <v>9.9400000000000002E-2</v>
      </c>
      <c r="AA2485" s="135">
        <f>'National average solar data'!W$41</f>
        <v>0</v>
      </c>
      <c r="AB2485" s="135">
        <f>'National average solar data'!X$41</f>
        <v>0</v>
      </c>
      <c r="AC2485" s="135">
        <f>'National average solar data'!Y$41</f>
        <v>0</v>
      </c>
      <c r="AD2485" s="135">
        <f>'National average solar data'!Z$41</f>
        <v>0</v>
      </c>
    </row>
    <row r="2486" spans="1:30" ht="12.6">
      <c r="A2486" s="10" t="s">
        <v>131</v>
      </c>
      <c r="B2486" s="10">
        <v>295</v>
      </c>
      <c r="C2486" s="10" t="s">
        <v>1515</v>
      </c>
      <c r="D2486" s="388">
        <v>45221</v>
      </c>
      <c r="E2486" s="389">
        <v>45221</v>
      </c>
      <c r="G2486" s="135">
        <f>'National average solar data'!C$41</f>
        <v>0</v>
      </c>
      <c r="H2486" s="135">
        <f>'National average solar data'!D$41</f>
        <v>0</v>
      </c>
      <c r="I2486" s="135">
        <f>'National average solar data'!E$41</f>
        <v>0</v>
      </c>
      <c r="J2486" s="135">
        <f>'National average solar data'!F$41</f>
        <v>0</v>
      </c>
      <c r="K2486" s="135">
        <f>'National average solar data'!G$41</f>
        <v>1.1924999999999999</v>
      </c>
      <c r="L2486" s="135">
        <f>'National average solar data'!H$41</f>
        <v>1.2754000000000001</v>
      </c>
      <c r="M2486" s="135">
        <f>'National average solar data'!I$41</f>
        <v>2.1795</v>
      </c>
      <c r="N2486" s="135">
        <f>'National average solar data'!J$41</f>
        <v>1.6903999999999999</v>
      </c>
      <c r="O2486" s="135">
        <f>'National average solar data'!K$41</f>
        <v>1.3387</v>
      </c>
      <c r="P2486" s="135">
        <f>'National average solar data'!L$41</f>
        <v>1.2110000000000001</v>
      </c>
      <c r="Q2486" s="135">
        <f>'National average solar data'!M$41</f>
        <v>1.1604000000000001</v>
      </c>
      <c r="R2486" s="135">
        <f>'National average solar data'!N$41</f>
        <v>1.1281000000000001</v>
      </c>
      <c r="S2486" s="135">
        <f>'National average solar data'!O$41</f>
        <v>1.1151</v>
      </c>
      <c r="T2486" s="135">
        <f>'National average solar data'!P$41</f>
        <v>1.1102000000000001</v>
      </c>
      <c r="U2486" s="135">
        <f>'National average solar data'!Q$41</f>
        <v>1.0920000000000001</v>
      </c>
      <c r="V2486" s="135">
        <f>'National average solar data'!R$41</f>
        <v>1.0809</v>
      </c>
      <c r="W2486" s="135">
        <f>'National average solar data'!S$41</f>
        <v>1.1102000000000001</v>
      </c>
      <c r="X2486" s="135">
        <f>'National average solar data'!T$41</f>
        <v>1.0581</v>
      </c>
      <c r="Y2486" s="135">
        <f>'National average solar data'!U$41</f>
        <v>0.8377</v>
      </c>
      <c r="Z2486" s="135">
        <f>'National average solar data'!V$41</f>
        <v>9.9400000000000002E-2</v>
      </c>
      <c r="AA2486" s="135">
        <f>'National average solar data'!W$41</f>
        <v>0</v>
      </c>
      <c r="AB2486" s="135">
        <f>'National average solar data'!X$41</f>
        <v>0</v>
      </c>
      <c r="AC2486" s="135">
        <f>'National average solar data'!Y$41</f>
        <v>0</v>
      </c>
      <c r="AD2486" s="135">
        <f>'National average solar data'!Z$41</f>
        <v>0</v>
      </c>
    </row>
    <row r="2487" spans="1:30" ht="12.6">
      <c r="A2487" s="10" t="s">
        <v>131</v>
      </c>
      <c r="B2487" s="10">
        <v>296</v>
      </c>
      <c r="C2487" s="10" t="s">
        <v>1515</v>
      </c>
      <c r="D2487" s="388">
        <v>45222</v>
      </c>
      <c r="E2487" s="389">
        <v>45222</v>
      </c>
      <c r="G2487" s="135">
        <f>'National average solar data'!C$41</f>
        <v>0</v>
      </c>
      <c r="H2487" s="135">
        <f>'National average solar data'!D$41</f>
        <v>0</v>
      </c>
      <c r="I2487" s="135">
        <f>'National average solar data'!E$41</f>
        <v>0</v>
      </c>
      <c r="J2487" s="135">
        <f>'National average solar data'!F$41</f>
        <v>0</v>
      </c>
      <c r="K2487" s="135">
        <f>'National average solar data'!G$41</f>
        <v>1.1924999999999999</v>
      </c>
      <c r="L2487" s="135">
        <f>'National average solar data'!H$41</f>
        <v>1.2754000000000001</v>
      </c>
      <c r="M2487" s="135">
        <f>'National average solar data'!I$41</f>
        <v>2.1795</v>
      </c>
      <c r="N2487" s="135">
        <f>'National average solar data'!J$41</f>
        <v>1.6903999999999999</v>
      </c>
      <c r="O2487" s="135">
        <f>'National average solar data'!K$41</f>
        <v>1.3387</v>
      </c>
      <c r="P2487" s="135">
        <f>'National average solar data'!L$41</f>
        <v>1.2110000000000001</v>
      </c>
      <c r="Q2487" s="135">
        <f>'National average solar data'!M$41</f>
        <v>1.1604000000000001</v>
      </c>
      <c r="R2487" s="135">
        <f>'National average solar data'!N$41</f>
        <v>1.1281000000000001</v>
      </c>
      <c r="S2487" s="135">
        <f>'National average solar data'!O$41</f>
        <v>1.1151</v>
      </c>
      <c r="T2487" s="135">
        <f>'National average solar data'!P$41</f>
        <v>1.1102000000000001</v>
      </c>
      <c r="U2487" s="135">
        <f>'National average solar data'!Q$41</f>
        <v>1.0920000000000001</v>
      </c>
      <c r="V2487" s="135">
        <f>'National average solar data'!R$41</f>
        <v>1.0809</v>
      </c>
      <c r="W2487" s="135">
        <f>'National average solar data'!S$41</f>
        <v>1.1102000000000001</v>
      </c>
      <c r="X2487" s="135">
        <f>'National average solar data'!T$41</f>
        <v>1.0581</v>
      </c>
      <c r="Y2487" s="135">
        <f>'National average solar data'!U$41</f>
        <v>0.8377</v>
      </c>
      <c r="Z2487" s="135">
        <f>'National average solar data'!V$41</f>
        <v>9.9400000000000002E-2</v>
      </c>
      <c r="AA2487" s="135">
        <f>'National average solar data'!W$41</f>
        <v>0</v>
      </c>
      <c r="AB2487" s="135">
        <f>'National average solar data'!X$41</f>
        <v>0</v>
      </c>
      <c r="AC2487" s="135">
        <f>'National average solar data'!Y$41</f>
        <v>0</v>
      </c>
      <c r="AD2487" s="135">
        <f>'National average solar data'!Z$41</f>
        <v>0</v>
      </c>
    </row>
    <row r="2488" spans="1:30" ht="12.6">
      <c r="A2488" s="10" t="s">
        <v>131</v>
      </c>
      <c r="B2488" s="10">
        <v>297</v>
      </c>
      <c r="C2488" s="10" t="s">
        <v>1515</v>
      </c>
      <c r="D2488" s="388">
        <v>45223</v>
      </c>
      <c r="E2488" s="389">
        <v>45223</v>
      </c>
      <c r="G2488" s="135">
        <f>'National average solar data'!C$41</f>
        <v>0</v>
      </c>
      <c r="H2488" s="135">
        <f>'National average solar data'!D$41</f>
        <v>0</v>
      </c>
      <c r="I2488" s="135">
        <f>'National average solar data'!E$41</f>
        <v>0</v>
      </c>
      <c r="J2488" s="135">
        <f>'National average solar data'!F$41</f>
        <v>0</v>
      </c>
      <c r="K2488" s="135">
        <f>'National average solar data'!G$41</f>
        <v>1.1924999999999999</v>
      </c>
      <c r="L2488" s="135">
        <f>'National average solar data'!H$41</f>
        <v>1.2754000000000001</v>
      </c>
      <c r="M2488" s="135">
        <f>'National average solar data'!I$41</f>
        <v>2.1795</v>
      </c>
      <c r="N2488" s="135">
        <f>'National average solar data'!J$41</f>
        <v>1.6903999999999999</v>
      </c>
      <c r="O2488" s="135">
        <f>'National average solar data'!K$41</f>
        <v>1.3387</v>
      </c>
      <c r="P2488" s="135">
        <f>'National average solar data'!L$41</f>
        <v>1.2110000000000001</v>
      </c>
      <c r="Q2488" s="135">
        <f>'National average solar data'!M$41</f>
        <v>1.1604000000000001</v>
      </c>
      <c r="R2488" s="135">
        <f>'National average solar data'!N$41</f>
        <v>1.1281000000000001</v>
      </c>
      <c r="S2488" s="135">
        <f>'National average solar data'!O$41</f>
        <v>1.1151</v>
      </c>
      <c r="T2488" s="135">
        <f>'National average solar data'!P$41</f>
        <v>1.1102000000000001</v>
      </c>
      <c r="U2488" s="135">
        <f>'National average solar data'!Q$41</f>
        <v>1.0920000000000001</v>
      </c>
      <c r="V2488" s="135">
        <f>'National average solar data'!R$41</f>
        <v>1.0809</v>
      </c>
      <c r="W2488" s="135">
        <f>'National average solar data'!S$41</f>
        <v>1.1102000000000001</v>
      </c>
      <c r="X2488" s="135">
        <f>'National average solar data'!T$41</f>
        <v>1.0581</v>
      </c>
      <c r="Y2488" s="135">
        <f>'National average solar data'!U$41</f>
        <v>0.8377</v>
      </c>
      <c r="Z2488" s="135">
        <f>'National average solar data'!V$41</f>
        <v>9.9400000000000002E-2</v>
      </c>
      <c r="AA2488" s="135">
        <f>'National average solar data'!W$41</f>
        <v>0</v>
      </c>
      <c r="AB2488" s="135">
        <f>'National average solar data'!X$41</f>
        <v>0</v>
      </c>
      <c r="AC2488" s="135">
        <f>'National average solar data'!Y$41</f>
        <v>0</v>
      </c>
      <c r="AD2488" s="135">
        <f>'National average solar data'!Z$41</f>
        <v>0</v>
      </c>
    </row>
    <row r="2489" spans="1:30" ht="12.6">
      <c r="A2489" s="10" t="s">
        <v>131</v>
      </c>
      <c r="B2489" s="10">
        <v>298</v>
      </c>
      <c r="C2489" s="10" t="s">
        <v>1515</v>
      </c>
      <c r="D2489" s="388">
        <v>45224</v>
      </c>
      <c r="E2489" s="389">
        <v>45224</v>
      </c>
      <c r="G2489" s="135">
        <f>'National average solar data'!C$41</f>
        <v>0</v>
      </c>
      <c r="H2489" s="135">
        <f>'National average solar data'!D$41</f>
        <v>0</v>
      </c>
      <c r="I2489" s="135">
        <f>'National average solar data'!E$41</f>
        <v>0</v>
      </c>
      <c r="J2489" s="135">
        <f>'National average solar data'!F$41</f>
        <v>0</v>
      </c>
      <c r="K2489" s="135">
        <f>'National average solar data'!G$41</f>
        <v>1.1924999999999999</v>
      </c>
      <c r="L2489" s="135">
        <f>'National average solar data'!H$41</f>
        <v>1.2754000000000001</v>
      </c>
      <c r="M2489" s="135">
        <f>'National average solar data'!I$41</f>
        <v>2.1795</v>
      </c>
      <c r="N2489" s="135">
        <f>'National average solar data'!J$41</f>
        <v>1.6903999999999999</v>
      </c>
      <c r="O2489" s="135">
        <f>'National average solar data'!K$41</f>
        <v>1.3387</v>
      </c>
      <c r="P2489" s="135">
        <f>'National average solar data'!L$41</f>
        <v>1.2110000000000001</v>
      </c>
      <c r="Q2489" s="135">
        <f>'National average solar data'!M$41</f>
        <v>1.1604000000000001</v>
      </c>
      <c r="R2489" s="135">
        <f>'National average solar data'!N$41</f>
        <v>1.1281000000000001</v>
      </c>
      <c r="S2489" s="135">
        <f>'National average solar data'!O$41</f>
        <v>1.1151</v>
      </c>
      <c r="T2489" s="135">
        <f>'National average solar data'!P$41</f>
        <v>1.1102000000000001</v>
      </c>
      <c r="U2489" s="135">
        <f>'National average solar data'!Q$41</f>
        <v>1.0920000000000001</v>
      </c>
      <c r="V2489" s="135">
        <f>'National average solar data'!R$41</f>
        <v>1.0809</v>
      </c>
      <c r="W2489" s="135">
        <f>'National average solar data'!S$41</f>
        <v>1.1102000000000001</v>
      </c>
      <c r="X2489" s="135">
        <f>'National average solar data'!T$41</f>
        <v>1.0581</v>
      </c>
      <c r="Y2489" s="135">
        <f>'National average solar data'!U$41</f>
        <v>0.8377</v>
      </c>
      <c r="Z2489" s="135">
        <f>'National average solar data'!V$41</f>
        <v>9.9400000000000002E-2</v>
      </c>
      <c r="AA2489" s="135">
        <f>'National average solar data'!W$41</f>
        <v>0</v>
      </c>
      <c r="AB2489" s="135">
        <f>'National average solar data'!X$41</f>
        <v>0</v>
      </c>
      <c r="AC2489" s="135">
        <f>'National average solar data'!Y$41</f>
        <v>0</v>
      </c>
      <c r="AD2489" s="135">
        <f>'National average solar data'!Z$41</f>
        <v>0</v>
      </c>
    </row>
    <row r="2490" spans="1:30" ht="12.6">
      <c r="A2490" s="10" t="s">
        <v>131</v>
      </c>
      <c r="B2490" s="10">
        <v>299</v>
      </c>
      <c r="C2490" s="10" t="s">
        <v>1515</v>
      </c>
      <c r="D2490" s="388">
        <v>45225</v>
      </c>
      <c r="E2490" s="389">
        <v>45225</v>
      </c>
      <c r="G2490" s="135">
        <f>'National average solar data'!C$41</f>
        <v>0</v>
      </c>
      <c r="H2490" s="135">
        <f>'National average solar data'!D$41</f>
        <v>0</v>
      </c>
      <c r="I2490" s="135">
        <f>'National average solar data'!E$41</f>
        <v>0</v>
      </c>
      <c r="J2490" s="135">
        <f>'National average solar data'!F$41</f>
        <v>0</v>
      </c>
      <c r="K2490" s="135">
        <f>'National average solar data'!G$41</f>
        <v>1.1924999999999999</v>
      </c>
      <c r="L2490" s="135">
        <f>'National average solar data'!H$41</f>
        <v>1.2754000000000001</v>
      </c>
      <c r="M2490" s="135">
        <f>'National average solar data'!I$41</f>
        <v>2.1795</v>
      </c>
      <c r="N2490" s="135">
        <f>'National average solar data'!J$41</f>
        <v>1.6903999999999999</v>
      </c>
      <c r="O2490" s="135">
        <f>'National average solar data'!K$41</f>
        <v>1.3387</v>
      </c>
      <c r="P2490" s="135">
        <f>'National average solar data'!L$41</f>
        <v>1.2110000000000001</v>
      </c>
      <c r="Q2490" s="135">
        <f>'National average solar data'!M$41</f>
        <v>1.1604000000000001</v>
      </c>
      <c r="R2490" s="135">
        <f>'National average solar data'!N$41</f>
        <v>1.1281000000000001</v>
      </c>
      <c r="S2490" s="135">
        <f>'National average solar data'!O$41</f>
        <v>1.1151</v>
      </c>
      <c r="T2490" s="135">
        <f>'National average solar data'!P$41</f>
        <v>1.1102000000000001</v>
      </c>
      <c r="U2490" s="135">
        <f>'National average solar data'!Q$41</f>
        <v>1.0920000000000001</v>
      </c>
      <c r="V2490" s="135">
        <f>'National average solar data'!R$41</f>
        <v>1.0809</v>
      </c>
      <c r="W2490" s="135">
        <f>'National average solar data'!S$41</f>
        <v>1.1102000000000001</v>
      </c>
      <c r="X2490" s="135">
        <f>'National average solar data'!T$41</f>
        <v>1.0581</v>
      </c>
      <c r="Y2490" s="135">
        <f>'National average solar data'!U$41</f>
        <v>0.8377</v>
      </c>
      <c r="Z2490" s="135">
        <f>'National average solar data'!V$41</f>
        <v>9.9400000000000002E-2</v>
      </c>
      <c r="AA2490" s="135">
        <f>'National average solar data'!W$41</f>
        <v>0</v>
      </c>
      <c r="AB2490" s="135">
        <f>'National average solar data'!X$41</f>
        <v>0</v>
      </c>
      <c r="AC2490" s="135">
        <f>'National average solar data'!Y$41</f>
        <v>0</v>
      </c>
      <c r="AD2490" s="135">
        <f>'National average solar data'!Z$41</f>
        <v>0</v>
      </c>
    </row>
    <row r="2491" spans="1:30" ht="12.6">
      <c r="A2491" s="10" t="s">
        <v>131</v>
      </c>
      <c r="B2491" s="10">
        <v>300</v>
      </c>
      <c r="C2491" s="10" t="s">
        <v>1515</v>
      </c>
      <c r="D2491" s="388">
        <v>45226</v>
      </c>
      <c r="E2491" s="389">
        <v>45226</v>
      </c>
      <c r="G2491" s="135">
        <f>'National average solar data'!C$41</f>
        <v>0</v>
      </c>
      <c r="H2491" s="135">
        <f>'National average solar data'!D$41</f>
        <v>0</v>
      </c>
      <c r="I2491" s="135">
        <f>'National average solar data'!E$41</f>
        <v>0</v>
      </c>
      <c r="J2491" s="135">
        <f>'National average solar data'!F$41</f>
        <v>0</v>
      </c>
      <c r="K2491" s="135">
        <f>'National average solar data'!G$41</f>
        <v>1.1924999999999999</v>
      </c>
      <c r="L2491" s="135">
        <f>'National average solar data'!H$41</f>
        <v>1.2754000000000001</v>
      </c>
      <c r="M2491" s="135">
        <f>'National average solar data'!I$41</f>
        <v>2.1795</v>
      </c>
      <c r="N2491" s="135">
        <f>'National average solar data'!J$41</f>
        <v>1.6903999999999999</v>
      </c>
      <c r="O2491" s="135">
        <f>'National average solar data'!K$41</f>
        <v>1.3387</v>
      </c>
      <c r="P2491" s="135">
        <f>'National average solar data'!L$41</f>
        <v>1.2110000000000001</v>
      </c>
      <c r="Q2491" s="135">
        <f>'National average solar data'!M$41</f>
        <v>1.1604000000000001</v>
      </c>
      <c r="R2491" s="135">
        <f>'National average solar data'!N$41</f>
        <v>1.1281000000000001</v>
      </c>
      <c r="S2491" s="135">
        <f>'National average solar data'!O$41</f>
        <v>1.1151</v>
      </c>
      <c r="T2491" s="135">
        <f>'National average solar data'!P$41</f>
        <v>1.1102000000000001</v>
      </c>
      <c r="U2491" s="135">
        <f>'National average solar data'!Q$41</f>
        <v>1.0920000000000001</v>
      </c>
      <c r="V2491" s="135">
        <f>'National average solar data'!R$41</f>
        <v>1.0809</v>
      </c>
      <c r="W2491" s="135">
        <f>'National average solar data'!S$41</f>
        <v>1.1102000000000001</v>
      </c>
      <c r="X2491" s="135">
        <f>'National average solar data'!T$41</f>
        <v>1.0581</v>
      </c>
      <c r="Y2491" s="135">
        <f>'National average solar data'!U$41</f>
        <v>0.8377</v>
      </c>
      <c r="Z2491" s="135">
        <f>'National average solar data'!V$41</f>
        <v>9.9400000000000002E-2</v>
      </c>
      <c r="AA2491" s="135">
        <f>'National average solar data'!W$41</f>
        <v>0</v>
      </c>
      <c r="AB2491" s="135">
        <f>'National average solar data'!X$41</f>
        <v>0</v>
      </c>
      <c r="AC2491" s="135">
        <f>'National average solar data'!Y$41</f>
        <v>0</v>
      </c>
      <c r="AD2491" s="135">
        <f>'National average solar data'!Z$41</f>
        <v>0</v>
      </c>
    </row>
    <row r="2492" spans="1:30" ht="12.6">
      <c r="A2492" s="10" t="s">
        <v>131</v>
      </c>
      <c r="B2492" s="10">
        <v>301</v>
      </c>
      <c r="C2492" s="10" t="s">
        <v>1515</v>
      </c>
      <c r="D2492" s="388">
        <v>45227</v>
      </c>
      <c r="E2492" s="389">
        <v>45227</v>
      </c>
      <c r="G2492" s="135">
        <f>'National average solar data'!C$41</f>
        <v>0</v>
      </c>
      <c r="H2492" s="135">
        <f>'National average solar data'!D$41</f>
        <v>0</v>
      </c>
      <c r="I2492" s="135">
        <f>'National average solar data'!E$41</f>
        <v>0</v>
      </c>
      <c r="J2492" s="135">
        <f>'National average solar data'!F$41</f>
        <v>0</v>
      </c>
      <c r="K2492" s="135">
        <f>'National average solar data'!G$41</f>
        <v>1.1924999999999999</v>
      </c>
      <c r="L2492" s="135">
        <f>'National average solar data'!H$41</f>
        <v>1.2754000000000001</v>
      </c>
      <c r="M2492" s="135">
        <f>'National average solar data'!I$41</f>
        <v>2.1795</v>
      </c>
      <c r="N2492" s="135">
        <f>'National average solar data'!J$41</f>
        <v>1.6903999999999999</v>
      </c>
      <c r="O2492" s="135">
        <f>'National average solar data'!K$41</f>
        <v>1.3387</v>
      </c>
      <c r="P2492" s="135">
        <f>'National average solar data'!L$41</f>
        <v>1.2110000000000001</v>
      </c>
      <c r="Q2492" s="135">
        <f>'National average solar data'!M$41</f>
        <v>1.1604000000000001</v>
      </c>
      <c r="R2492" s="135">
        <f>'National average solar data'!N$41</f>
        <v>1.1281000000000001</v>
      </c>
      <c r="S2492" s="135">
        <f>'National average solar data'!O$41</f>
        <v>1.1151</v>
      </c>
      <c r="T2492" s="135">
        <f>'National average solar data'!P$41</f>
        <v>1.1102000000000001</v>
      </c>
      <c r="U2492" s="135">
        <f>'National average solar data'!Q$41</f>
        <v>1.0920000000000001</v>
      </c>
      <c r="V2492" s="135">
        <f>'National average solar data'!R$41</f>
        <v>1.0809</v>
      </c>
      <c r="W2492" s="135">
        <f>'National average solar data'!S$41</f>
        <v>1.1102000000000001</v>
      </c>
      <c r="X2492" s="135">
        <f>'National average solar data'!T$41</f>
        <v>1.0581</v>
      </c>
      <c r="Y2492" s="135">
        <f>'National average solar data'!U$41</f>
        <v>0.8377</v>
      </c>
      <c r="Z2492" s="135">
        <f>'National average solar data'!V$41</f>
        <v>9.9400000000000002E-2</v>
      </c>
      <c r="AA2492" s="135">
        <f>'National average solar data'!W$41</f>
        <v>0</v>
      </c>
      <c r="AB2492" s="135">
        <f>'National average solar data'!X$41</f>
        <v>0</v>
      </c>
      <c r="AC2492" s="135">
        <f>'National average solar data'!Y$41</f>
        <v>0</v>
      </c>
      <c r="AD2492" s="135">
        <f>'National average solar data'!Z$41</f>
        <v>0</v>
      </c>
    </row>
    <row r="2493" spans="1:30" ht="12.6">
      <c r="A2493" s="10" t="s">
        <v>131</v>
      </c>
      <c r="B2493" s="10">
        <v>302</v>
      </c>
      <c r="C2493" s="10" t="s">
        <v>1515</v>
      </c>
      <c r="D2493" s="388">
        <v>45228</v>
      </c>
      <c r="E2493" s="389">
        <v>45228</v>
      </c>
      <c r="G2493" s="135">
        <f>'National average solar data'!C$41</f>
        <v>0</v>
      </c>
      <c r="H2493" s="135">
        <f>'National average solar data'!D$41</f>
        <v>0</v>
      </c>
      <c r="I2493" s="135">
        <f>'National average solar data'!E$41</f>
        <v>0</v>
      </c>
      <c r="J2493" s="135">
        <f>'National average solar data'!F$41</f>
        <v>0</v>
      </c>
      <c r="K2493" s="135">
        <f>'National average solar data'!G$41</f>
        <v>1.1924999999999999</v>
      </c>
      <c r="L2493" s="135">
        <f>'National average solar data'!H$41</f>
        <v>1.2754000000000001</v>
      </c>
      <c r="M2493" s="135">
        <f>'National average solar data'!I$41</f>
        <v>2.1795</v>
      </c>
      <c r="N2493" s="135">
        <f>'National average solar data'!J$41</f>
        <v>1.6903999999999999</v>
      </c>
      <c r="O2493" s="135">
        <f>'National average solar data'!K$41</f>
        <v>1.3387</v>
      </c>
      <c r="P2493" s="135">
        <f>'National average solar data'!L$41</f>
        <v>1.2110000000000001</v>
      </c>
      <c r="Q2493" s="135">
        <f>'National average solar data'!M$41</f>
        <v>1.1604000000000001</v>
      </c>
      <c r="R2493" s="135">
        <f>'National average solar data'!N$41</f>
        <v>1.1281000000000001</v>
      </c>
      <c r="S2493" s="135">
        <f>'National average solar data'!O$41</f>
        <v>1.1151</v>
      </c>
      <c r="T2493" s="135">
        <f>'National average solar data'!P$41</f>
        <v>1.1102000000000001</v>
      </c>
      <c r="U2493" s="135">
        <f>'National average solar data'!Q$41</f>
        <v>1.0920000000000001</v>
      </c>
      <c r="V2493" s="135">
        <f>'National average solar data'!R$41</f>
        <v>1.0809</v>
      </c>
      <c r="W2493" s="135">
        <f>'National average solar data'!S$41</f>
        <v>1.1102000000000001</v>
      </c>
      <c r="X2493" s="135">
        <f>'National average solar data'!T$41</f>
        <v>1.0581</v>
      </c>
      <c r="Y2493" s="135">
        <f>'National average solar data'!U$41</f>
        <v>0.8377</v>
      </c>
      <c r="Z2493" s="135">
        <f>'National average solar data'!V$41</f>
        <v>9.9400000000000002E-2</v>
      </c>
      <c r="AA2493" s="135">
        <f>'National average solar data'!W$41</f>
        <v>0</v>
      </c>
      <c r="AB2493" s="135">
        <f>'National average solar data'!X$41</f>
        <v>0</v>
      </c>
      <c r="AC2493" s="135">
        <f>'National average solar data'!Y$41</f>
        <v>0</v>
      </c>
      <c r="AD2493" s="135">
        <f>'National average solar data'!Z$41</f>
        <v>0</v>
      </c>
    </row>
    <row r="2494" spans="1:30" ht="12.6">
      <c r="A2494" s="10" t="s">
        <v>131</v>
      </c>
      <c r="B2494" s="10">
        <v>303</v>
      </c>
      <c r="C2494" s="10" t="s">
        <v>1515</v>
      </c>
      <c r="D2494" s="388">
        <v>45229</v>
      </c>
      <c r="E2494" s="389">
        <v>45229</v>
      </c>
      <c r="G2494" s="135">
        <f>'National average solar data'!C$41</f>
        <v>0</v>
      </c>
      <c r="H2494" s="135">
        <f>'National average solar data'!D$41</f>
        <v>0</v>
      </c>
      <c r="I2494" s="135">
        <f>'National average solar data'!E$41</f>
        <v>0</v>
      </c>
      <c r="J2494" s="135">
        <f>'National average solar data'!F$41</f>
        <v>0</v>
      </c>
      <c r="K2494" s="135">
        <f>'National average solar data'!G$41</f>
        <v>1.1924999999999999</v>
      </c>
      <c r="L2494" s="135">
        <f>'National average solar data'!H$41</f>
        <v>1.2754000000000001</v>
      </c>
      <c r="M2494" s="135">
        <f>'National average solar data'!I$41</f>
        <v>2.1795</v>
      </c>
      <c r="N2494" s="135">
        <f>'National average solar data'!J$41</f>
        <v>1.6903999999999999</v>
      </c>
      <c r="O2494" s="135">
        <f>'National average solar data'!K$41</f>
        <v>1.3387</v>
      </c>
      <c r="P2494" s="135">
        <f>'National average solar data'!L$41</f>
        <v>1.2110000000000001</v>
      </c>
      <c r="Q2494" s="135">
        <f>'National average solar data'!M$41</f>
        <v>1.1604000000000001</v>
      </c>
      <c r="R2494" s="135">
        <f>'National average solar data'!N$41</f>
        <v>1.1281000000000001</v>
      </c>
      <c r="S2494" s="135">
        <f>'National average solar data'!O$41</f>
        <v>1.1151</v>
      </c>
      <c r="T2494" s="135">
        <f>'National average solar data'!P$41</f>
        <v>1.1102000000000001</v>
      </c>
      <c r="U2494" s="135">
        <f>'National average solar data'!Q$41</f>
        <v>1.0920000000000001</v>
      </c>
      <c r="V2494" s="135">
        <f>'National average solar data'!R$41</f>
        <v>1.0809</v>
      </c>
      <c r="W2494" s="135">
        <f>'National average solar data'!S$41</f>
        <v>1.1102000000000001</v>
      </c>
      <c r="X2494" s="135">
        <f>'National average solar data'!T$41</f>
        <v>1.0581</v>
      </c>
      <c r="Y2494" s="135">
        <f>'National average solar data'!U$41</f>
        <v>0.8377</v>
      </c>
      <c r="Z2494" s="135">
        <f>'National average solar data'!V$41</f>
        <v>9.9400000000000002E-2</v>
      </c>
      <c r="AA2494" s="135">
        <f>'National average solar data'!W$41</f>
        <v>0</v>
      </c>
      <c r="AB2494" s="135">
        <f>'National average solar data'!X$41</f>
        <v>0</v>
      </c>
      <c r="AC2494" s="135">
        <f>'National average solar data'!Y$41</f>
        <v>0</v>
      </c>
      <c r="AD2494" s="135">
        <f>'National average solar data'!Z$41</f>
        <v>0</v>
      </c>
    </row>
    <row r="2495" spans="1:30" ht="12.6">
      <c r="A2495" s="10" t="s">
        <v>131</v>
      </c>
      <c r="B2495" s="10">
        <v>304</v>
      </c>
      <c r="C2495" s="10" t="s">
        <v>1515</v>
      </c>
      <c r="D2495" s="388">
        <v>45230</v>
      </c>
      <c r="E2495" s="389">
        <v>45230</v>
      </c>
      <c r="G2495" s="135">
        <f>'National average solar data'!C$41</f>
        <v>0</v>
      </c>
      <c r="H2495" s="135">
        <f>'National average solar data'!D$41</f>
        <v>0</v>
      </c>
      <c r="I2495" s="135">
        <f>'National average solar data'!E$41</f>
        <v>0</v>
      </c>
      <c r="J2495" s="135">
        <f>'National average solar data'!F$41</f>
        <v>0</v>
      </c>
      <c r="K2495" s="135">
        <f>'National average solar data'!G$41</f>
        <v>1.1924999999999999</v>
      </c>
      <c r="L2495" s="135">
        <f>'National average solar data'!H$41</f>
        <v>1.2754000000000001</v>
      </c>
      <c r="M2495" s="135">
        <f>'National average solar data'!I$41</f>
        <v>2.1795</v>
      </c>
      <c r="N2495" s="135">
        <f>'National average solar data'!J$41</f>
        <v>1.6903999999999999</v>
      </c>
      <c r="O2495" s="135">
        <f>'National average solar data'!K$41</f>
        <v>1.3387</v>
      </c>
      <c r="P2495" s="135">
        <f>'National average solar data'!L$41</f>
        <v>1.2110000000000001</v>
      </c>
      <c r="Q2495" s="135">
        <f>'National average solar data'!M$41</f>
        <v>1.1604000000000001</v>
      </c>
      <c r="R2495" s="135">
        <f>'National average solar data'!N$41</f>
        <v>1.1281000000000001</v>
      </c>
      <c r="S2495" s="135">
        <f>'National average solar data'!O$41</f>
        <v>1.1151</v>
      </c>
      <c r="T2495" s="135">
        <f>'National average solar data'!P$41</f>
        <v>1.1102000000000001</v>
      </c>
      <c r="U2495" s="135">
        <f>'National average solar data'!Q$41</f>
        <v>1.0920000000000001</v>
      </c>
      <c r="V2495" s="135">
        <f>'National average solar data'!R$41</f>
        <v>1.0809</v>
      </c>
      <c r="W2495" s="135">
        <f>'National average solar data'!S$41</f>
        <v>1.1102000000000001</v>
      </c>
      <c r="X2495" s="135">
        <f>'National average solar data'!T$41</f>
        <v>1.0581</v>
      </c>
      <c r="Y2495" s="135">
        <f>'National average solar data'!U$41</f>
        <v>0.8377</v>
      </c>
      <c r="Z2495" s="135">
        <f>'National average solar data'!V$41</f>
        <v>9.9400000000000002E-2</v>
      </c>
      <c r="AA2495" s="135">
        <f>'National average solar data'!W$41</f>
        <v>0</v>
      </c>
      <c r="AB2495" s="135">
        <f>'National average solar data'!X$41</f>
        <v>0</v>
      </c>
      <c r="AC2495" s="135">
        <f>'National average solar data'!Y$41</f>
        <v>0</v>
      </c>
      <c r="AD2495" s="135">
        <f>'National average solar data'!Z$41</f>
        <v>0</v>
      </c>
    </row>
    <row r="2496" spans="1:30" ht="12.6">
      <c r="A2496" s="10" t="s">
        <v>131</v>
      </c>
      <c r="B2496" s="10">
        <v>305</v>
      </c>
      <c r="C2496" s="10" t="s">
        <v>1515</v>
      </c>
      <c r="D2496" s="388">
        <v>45231</v>
      </c>
      <c r="E2496" s="389">
        <v>45231</v>
      </c>
      <c r="G2496" s="135">
        <f>'National average solar data'!C$42</f>
        <v>0</v>
      </c>
      <c r="H2496" s="135">
        <f>'National average solar data'!D$42</f>
        <v>0</v>
      </c>
      <c r="I2496" s="135">
        <f>'National average solar data'!E$42</f>
        <v>0</v>
      </c>
      <c r="J2496" s="135">
        <f>'National average solar data'!F$42</f>
        <v>0</v>
      </c>
      <c r="K2496" s="135">
        <f>'National average solar data'!G$42</f>
        <v>3.1785999999999999</v>
      </c>
      <c r="L2496" s="135">
        <f>'National average solar data'!H$42</f>
        <v>4.7793999999999999</v>
      </c>
      <c r="M2496" s="135">
        <f>'National average solar data'!I$42</f>
        <v>2.9573999999999998</v>
      </c>
      <c r="N2496" s="135">
        <f>'National average solar data'!J$42</f>
        <v>1.9527000000000001</v>
      </c>
      <c r="O2496" s="135">
        <f>'National average solar data'!K$42</f>
        <v>1.4548000000000001</v>
      </c>
      <c r="P2496" s="135">
        <f>'National average solar data'!L$42</f>
        <v>1.2750999999999999</v>
      </c>
      <c r="Q2496" s="135">
        <f>'National average solar data'!M$42</f>
        <v>1.1942999999999999</v>
      </c>
      <c r="R2496" s="135">
        <f>'National average solar data'!N$42</f>
        <v>1.1773</v>
      </c>
      <c r="S2496" s="135">
        <f>'National average solar data'!O$42</f>
        <v>1.1718</v>
      </c>
      <c r="T2496" s="135">
        <f>'National average solar data'!P$42</f>
        <v>1.1709000000000001</v>
      </c>
      <c r="U2496" s="135">
        <f>'National average solar data'!Q$42</f>
        <v>1.1863999999999999</v>
      </c>
      <c r="V2496" s="135">
        <f>'National average solar data'!R$42</f>
        <v>1.2403999999999999</v>
      </c>
      <c r="W2496" s="135">
        <f>'National average solar data'!S$42</f>
        <v>1.3688</v>
      </c>
      <c r="X2496" s="135">
        <f>'National average solar data'!T$42</f>
        <v>1.6334</v>
      </c>
      <c r="Y2496" s="135">
        <f>'National average solar data'!U$42</f>
        <v>2.1362999999999999</v>
      </c>
      <c r="Z2496" s="135">
        <f>'National average solar data'!V$42</f>
        <v>1.26</v>
      </c>
      <c r="AA2496" s="135">
        <f>'National average solar data'!W$42</f>
        <v>1.7078</v>
      </c>
      <c r="AB2496" s="135">
        <f>'National average solar data'!X$42</f>
        <v>0</v>
      </c>
      <c r="AC2496" s="135">
        <f>'National average solar data'!Y$42</f>
        <v>0</v>
      </c>
      <c r="AD2496" s="135">
        <f>'National average solar data'!Z$42</f>
        <v>0</v>
      </c>
    </row>
    <row r="2497" spans="1:30" ht="12.6">
      <c r="A2497" s="10" t="s">
        <v>131</v>
      </c>
      <c r="B2497" s="10">
        <v>306</v>
      </c>
      <c r="C2497" s="10" t="s">
        <v>1515</v>
      </c>
      <c r="D2497" s="388">
        <v>45232</v>
      </c>
      <c r="E2497" s="389">
        <v>45232</v>
      </c>
      <c r="G2497" s="135">
        <f>'National average solar data'!C$42</f>
        <v>0</v>
      </c>
      <c r="H2497" s="135">
        <f>'National average solar data'!D$42</f>
        <v>0</v>
      </c>
      <c r="I2497" s="135">
        <f>'National average solar data'!E$42</f>
        <v>0</v>
      </c>
      <c r="J2497" s="135">
        <f>'National average solar data'!F$42</f>
        <v>0</v>
      </c>
      <c r="K2497" s="135">
        <f>'National average solar data'!G$42</f>
        <v>3.1785999999999999</v>
      </c>
      <c r="L2497" s="135">
        <f>'National average solar data'!H$42</f>
        <v>4.7793999999999999</v>
      </c>
      <c r="M2497" s="135">
        <f>'National average solar data'!I$42</f>
        <v>2.9573999999999998</v>
      </c>
      <c r="N2497" s="135">
        <f>'National average solar data'!J$42</f>
        <v>1.9527000000000001</v>
      </c>
      <c r="O2497" s="135">
        <f>'National average solar data'!K$42</f>
        <v>1.4548000000000001</v>
      </c>
      <c r="P2497" s="135">
        <f>'National average solar data'!L$42</f>
        <v>1.2750999999999999</v>
      </c>
      <c r="Q2497" s="135">
        <f>'National average solar data'!M$42</f>
        <v>1.1942999999999999</v>
      </c>
      <c r="R2497" s="135">
        <f>'National average solar data'!N$42</f>
        <v>1.1773</v>
      </c>
      <c r="S2497" s="135">
        <f>'National average solar data'!O$42</f>
        <v>1.1718</v>
      </c>
      <c r="T2497" s="135">
        <f>'National average solar data'!P$42</f>
        <v>1.1709000000000001</v>
      </c>
      <c r="U2497" s="135">
        <f>'National average solar data'!Q$42</f>
        <v>1.1863999999999999</v>
      </c>
      <c r="V2497" s="135">
        <f>'National average solar data'!R$42</f>
        <v>1.2403999999999999</v>
      </c>
      <c r="W2497" s="135">
        <f>'National average solar data'!S$42</f>
        <v>1.3688</v>
      </c>
      <c r="X2497" s="135">
        <f>'National average solar data'!T$42</f>
        <v>1.6334</v>
      </c>
      <c r="Y2497" s="135">
        <f>'National average solar data'!U$42</f>
        <v>2.1362999999999999</v>
      </c>
      <c r="Z2497" s="135">
        <f>'National average solar data'!V$42</f>
        <v>1.26</v>
      </c>
      <c r="AA2497" s="135">
        <f>'National average solar data'!W$42</f>
        <v>1.7078</v>
      </c>
      <c r="AB2497" s="135">
        <f>'National average solar data'!X$42</f>
        <v>0</v>
      </c>
      <c r="AC2497" s="135">
        <f>'National average solar data'!Y$42</f>
        <v>0</v>
      </c>
      <c r="AD2497" s="135">
        <f>'National average solar data'!Z$42</f>
        <v>0</v>
      </c>
    </row>
    <row r="2498" spans="1:30" ht="12.6">
      <c r="A2498" s="10" t="s">
        <v>131</v>
      </c>
      <c r="B2498" s="10">
        <v>307</v>
      </c>
      <c r="C2498" s="10" t="s">
        <v>1515</v>
      </c>
      <c r="D2498" s="388">
        <v>45233</v>
      </c>
      <c r="E2498" s="389">
        <v>45233</v>
      </c>
      <c r="G2498" s="135">
        <f>'National average solar data'!C$42</f>
        <v>0</v>
      </c>
      <c r="H2498" s="135">
        <f>'National average solar data'!D$42</f>
        <v>0</v>
      </c>
      <c r="I2498" s="135">
        <f>'National average solar data'!E$42</f>
        <v>0</v>
      </c>
      <c r="J2498" s="135">
        <f>'National average solar data'!F$42</f>
        <v>0</v>
      </c>
      <c r="K2498" s="135">
        <f>'National average solar data'!G$42</f>
        <v>3.1785999999999999</v>
      </c>
      <c r="L2498" s="135">
        <f>'National average solar data'!H$42</f>
        <v>4.7793999999999999</v>
      </c>
      <c r="M2498" s="135">
        <f>'National average solar data'!I$42</f>
        <v>2.9573999999999998</v>
      </c>
      <c r="N2498" s="135">
        <f>'National average solar data'!J$42</f>
        <v>1.9527000000000001</v>
      </c>
      <c r="O2498" s="135">
        <f>'National average solar data'!K$42</f>
        <v>1.4548000000000001</v>
      </c>
      <c r="P2498" s="135">
        <f>'National average solar data'!L$42</f>
        <v>1.2750999999999999</v>
      </c>
      <c r="Q2498" s="135">
        <f>'National average solar data'!M$42</f>
        <v>1.1942999999999999</v>
      </c>
      <c r="R2498" s="135">
        <f>'National average solar data'!N$42</f>
        <v>1.1773</v>
      </c>
      <c r="S2498" s="135">
        <f>'National average solar data'!O$42</f>
        <v>1.1718</v>
      </c>
      <c r="T2498" s="135">
        <f>'National average solar data'!P$42</f>
        <v>1.1709000000000001</v>
      </c>
      <c r="U2498" s="135">
        <f>'National average solar data'!Q$42</f>
        <v>1.1863999999999999</v>
      </c>
      <c r="V2498" s="135">
        <f>'National average solar data'!R$42</f>
        <v>1.2403999999999999</v>
      </c>
      <c r="W2498" s="135">
        <f>'National average solar data'!S$42</f>
        <v>1.3688</v>
      </c>
      <c r="X2498" s="135">
        <f>'National average solar data'!T$42</f>
        <v>1.6334</v>
      </c>
      <c r="Y2498" s="135">
        <f>'National average solar data'!U$42</f>
        <v>2.1362999999999999</v>
      </c>
      <c r="Z2498" s="135">
        <f>'National average solar data'!V$42</f>
        <v>1.26</v>
      </c>
      <c r="AA2498" s="135">
        <f>'National average solar data'!W$42</f>
        <v>1.7078</v>
      </c>
      <c r="AB2498" s="135">
        <f>'National average solar data'!X$42</f>
        <v>0</v>
      </c>
      <c r="AC2498" s="135">
        <f>'National average solar data'!Y$42</f>
        <v>0</v>
      </c>
      <c r="AD2498" s="135">
        <f>'National average solar data'!Z$42</f>
        <v>0</v>
      </c>
    </row>
    <row r="2499" spans="1:30" ht="12.6">
      <c r="A2499" s="10" t="s">
        <v>131</v>
      </c>
      <c r="B2499" s="10">
        <v>308</v>
      </c>
      <c r="C2499" s="10" t="s">
        <v>1515</v>
      </c>
      <c r="D2499" s="388">
        <v>45234</v>
      </c>
      <c r="E2499" s="389">
        <v>45234</v>
      </c>
      <c r="G2499" s="135">
        <f>'National average solar data'!C$42</f>
        <v>0</v>
      </c>
      <c r="H2499" s="135">
        <f>'National average solar data'!D$42</f>
        <v>0</v>
      </c>
      <c r="I2499" s="135">
        <f>'National average solar data'!E$42</f>
        <v>0</v>
      </c>
      <c r="J2499" s="135">
        <f>'National average solar data'!F$42</f>
        <v>0</v>
      </c>
      <c r="K2499" s="135">
        <f>'National average solar data'!G$42</f>
        <v>3.1785999999999999</v>
      </c>
      <c r="L2499" s="135">
        <f>'National average solar data'!H$42</f>
        <v>4.7793999999999999</v>
      </c>
      <c r="M2499" s="135">
        <f>'National average solar data'!I$42</f>
        <v>2.9573999999999998</v>
      </c>
      <c r="N2499" s="135">
        <f>'National average solar data'!J$42</f>
        <v>1.9527000000000001</v>
      </c>
      <c r="O2499" s="135">
        <f>'National average solar data'!K$42</f>
        <v>1.4548000000000001</v>
      </c>
      <c r="P2499" s="135">
        <f>'National average solar data'!L$42</f>
        <v>1.2750999999999999</v>
      </c>
      <c r="Q2499" s="135">
        <f>'National average solar data'!M$42</f>
        <v>1.1942999999999999</v>
      </c>
      <c r="R2499" s="135">
        <f>'National average solar data'!N$42</f>
        <v>1.1773</v>
      </c>
      <c r="S2499" s="135">
        <f>'National average solar data'!O$42</f>
        <v>1.1718</v>
      </c>
      <c r="T2499" s="135">
        <f>'National average solar data'!P$42</f>
        <v>1.1709000000000001</v>
      </c>
      <c r="U2499" s="135">
        <f>'National average solar data'!Q$42</f>
        <v>1.1863999999999999</v>
      </c>
      <c r="V2499" s="135">
        <f>'National average solar data'!R$42</f>
        <v>1.2403999999999999</v>
      </c>
      <c r="W2499" s="135">
        <f>'National average solar data'!S$42</f>
        <v>1.3688</v>
      </c>
      <c r="X2499" s="135">
        <f>'National average solar data'!T$42</f>
        <v>1.6334</v>
      </c>
      <c r="Y2499" s="135">
        <f>'National average solar data'!U$42</f>
        <v>2.1362999999999999</v>
      </c>
      <c r="Z2499" s="135">
        <f>'National average solar data'!V$42</f>
        <v>1.26</v>
      </c>
      <c r="AA2499" s="135">
        <f>'National average solar data'!W$42</f>
        <v>1.7078</v>
      </c>
      <c r="AB2499" s="135">
        <f>'National average solar data'!X$42</f>
        <v>0</v>
      </c>
      <c r="AC2499" s="135">
        <f>'National average solar data'!Y$42</f>
        <v>0</v>
      </c>
      <c r="AD2499" s="135">
        <f>'National average solar data'!Z$42</f>
        <v>0</v>
      </c>
    </row>
    <row r="2500" spans="1:30" ht="12.6">
      <c r="A2500" s="10" t="s">
        <v>131</v>
      </c>
      <c r="B2500" s="10">
        <v>309</v>
      </c>
      <c r="C2500" s="10" t="s">
        <v>1515</v>
      </c>
      <c r="D2500" s="388">
        <v>45235</v>
      </c>
      <c r="E2500" s="389">
        <v>45235</v>
      </c>
      <c r="G2500" s="135">
        <f>'National average solar data'!C$42</f>
        <v>0</v>
      </c>
      <c r="H2500" s="135">
        <f>'National average solar data'!D$42</f>
        <v>0</v>
      </c>
      <c r="I2500" s="135">
        <f>'National average solar data'!E$42</f>
        <v>0</v>
      </c>
      <c r="J2500" s="135">
        <f>'National average solar data'!F$42</f>
        <v>0</v>
      </c>
      <c r="K2500" s="135">
        <f>'National average solar data'!G$42</f>
        <v>3.1785999999999999</v>
      </c>
      <c r="L2500" s="135">
        <f>'National average solar data'!H$42</f>
        <v>4.7793999999999999</v>
      </c>
      <c r="M2500" s="135">
        <f>'National average solar data'!I$42</f>
        <v>2.9573999999999998</v>
      </c>
      <c r="N2500" s="135">
        <f>'National average solar data'!J$42</f>
        <v>1.9527000000000001</v>
      </c>
      <c r="O2500" s="135">
        <f>'National average solar data'!K$42</f>
        <v>1.4548000000000001</v>
      </c>
      <c r="P2500" s="135">
        <f>'National average solar data'!L$42</f>
        <v>1.2750999999999999</v>
      </c>
      <c r="Q2500" s="135">
        <f>'National average solar data'!M$42</f>
        <v>1.1942999999999999</v>
      </c>
      <c r="R2500" s="135">
        <f>'National average solar data'!N$42</f>
        <v>1.1773</v>
      </c>
      <c r="S2500" s="135">
        <f>'National average solar data'!O$42</f>
        <v>1.1718</v>
      </c>
      <c r="T2500" s="135">
        <f>'National average solar data'!P$42</f>
        <v>1.1709000000000001</v>
      </c>
      <c r="U2500" s="135">
        <f>'National average solar data'!Q$42</f>
        <v>1.1863999999999999</v>
      </c>
      <c r="V2500" s="135">
        <f>'National average solar data'!R$42</f>
        <v>1.2403999999999999</v>
      </c>
      <c r="W2500" s="135">
        <f>'National average solar data'!S$42</f>
        <v>1.3688</v>
      </c>
      <c r="X2500" s="135">
        <f>'National average solar data'!T$42</f>
        <v>1.6334</v>
      </c>
      <c r="Y2500" s="135">
        <f>'National average solar data'!U$42</f>
        <v>2.1362999999999999</v>
      </c>
      <c r="Z2500" s="135">
        <f>'National average solar data'!V$42</f>
        <v>1.26</v>
      </c>
      <c r="AA2500" s="135">
        <f>'National average solar data'!W$42</f>
        <v>1.7078</v>
      </c>
      <c r="AB2500" s="135">
        <f>'National average solar data'!X$42</f>
        <v>0</v>
      </c>
      <c r="AC2500" s="135">
        <f>'National average solar data'!Y$42</f>
        <v>0</v>
      </c>
      <c r="AD2500" s="135">
        <f>'National average solar data'!Z$42</f>
        <v>0</v>
      </c>
    </row>
    <row r="2501" spans="1:30" ht="12.6">
      <c r="A2501" s="10" t="s">
        <v>131</v>
      </c>
      <c r="B2501" s="10">
        <v>310</v>
      </c>
      <c r="C2501" s="10" t="s">
        <v>1515</v>
      </c>
      <c r="D2501" s="388">
        <v>45236</v>
      </c>
      <c r="E2501" s="389">
        <v>45236</v>
      </c>
      <c r="G2501" s="135">
        <f>'National average solar data'!C$42</f>
        <v>0</v>
      </c>
      <c r="H2501" s="135">
        <f>'National average solar data'!D$42</f>
        <v>0</v>
      </c>
      <c r="I2501" s="135">
        <f>'National average solar data'!E$42</f>
        <v>0</v>
      </c>
      <c r="J2501" s="135">
        <f>'National average solar data'!F$42</f>
        <v>0</v>
      </c>
      <c r="K2501" s="135">
        <f>'National average solar data'!G$42</f>
        <v>3.1785999999999999</v>
      </c>
      <c r="L2501" s="135">
        <f>'National average solar data'!H$42</f>
        <v>4.7793999999999999</v>
      </c>
      <c r="M2501" s="135">
        <f>'National average solar data'!I$42</f>
        <v>2.9573999999999998</v>
      </c>
      <c r="N2501" s="135">
        <f>'National average solar data'!J$42</f>
        <v>1.9527000000000001</v>
      </c>
      <c r="O2501" s="135">
        <f>'National average solar data'!K$42</f>
        <v>1.4548000000000001</v>
      </c>
      <c r="P2501" s="135">
        <f>'National average solar data'!L$42</f>
        <v>1.2750999999999999</v>
      </c>
      <c r="Q2501" s="135">
        <f>'National average solar data'!M$42</f>
        <v>1.1942999999999999</v>
      </c>
      <c r="R2501" s="135">
        <f>'National average solar data'!N$42</f>
        <v>1.1773</v>
      </c>
      <c r="S2501" s="135">
        <f>'National average solar data'!O$42</f>
        <v>1.1718</v>
      </c>
      <c r="T2501" s="135">
        <f>'National average solar data'!P$42</f>
        <v>1.1709000000000001</v>
      </c>
      <c r="U2501" s="135">
        <f>'National average solar data'!Q$42</f>
        <v>1.1863999999999999</v>
      </c>
      <c r="V2501" s="135">
        <f>'National average solar data'!R$42</f>
        <v>1.2403999999999999</v>
      </c>
      <c r="W2501" s="135">
        <f>'National average solar data'!S$42</f>
        <v>1.3688</v>
      </c>
      <c r="X2501" s="135">
        <f>'National average solar data'!T$42</f>
        <v>1.6334</v>
      </c>
      <c r="Y2501" s="135">
        <f>'National average solar data'!U$42</f>
        <v>2.1362999999999999</v>
      </c>
      <c r="Z2501" s="135">
        <f>'National average solar data'!V$42</f>
        <v>1.26</v>
      </c>
      <c r="AA2501" s="135">
        <f>'National average solar data'!W$42</f>
        <v>1.7078</v>
      </c>
      <c r="AB2501" s="135">
        <f>'National average solar data'!X$42</f>
        <v>0</v>
      </c>
      <c r="AC2501" s="135">
        <f>'National average solar data'!Y$42</f>
        <v>0</v>
      </c>
      <c r="AD2501" s="135">
        <f>'National average solar data'!Z$42</f>
        <v>0</v>
      </c>
    </row>
    <row r="2502" spans="1:30" ht="12.6">
      <c r="A2502" s="10" t="s">
        <v>131</v>
      </c>
      <c r="B2502" s="10">
        <v>311</v>
      </c>
      <c r="C2502" s="10" t="s">
        <v>1515</v>
      </c>
      <c r="D2502" s="388">
        <v>45237</v>
      </c>
      <c r="E2502" s="389">
        <v>45237</v>
      </c>
      <c r="G2502" s="135">
        <f>'National average solar data'!C$42</f>
        <v>0</v>
      </c>
      <c r="H2502" s="135">
        <f>'National average solar data'!D$42</f>
        <v>0</v>
      </c>
      <c r="I2502" s="135">
        <f>'National average solar data'!E$42</f>
        <v>0</v>
      </c>
      <c r="J2502" s="135">
        <f>'National average solar data'!F$42</f>
        <v>0</v>
      </c>
      <c r="K2502" s="135">
        <f>'National average solar data'!G$42</f>
        <v>3.1785999999999999</v>
      </c>
      <c r="L2502" s="135">
        <f>'National average solar data'!H$42</f>
        <v>4.7793999999999999</v>
      </c>
      <c r="M2502" s="135">
        <f>'National average solar data'!I$42</f>
        <v>2.9573999999999998</v>
      </c>
      <c r="N2502" s="135">
        <f>'National average solar data'!J$42</f>
        <v>1.9527000000000001</v>
      </c>
      <c r="O2502" s="135">
        <f>'National average solar data'!K$42</f>
        <v>1.4548000000000001</v>
      </c>
      <c r="P2502" s="135">
        <f>'National average solar data'!L$42</f>
        <v>1.2750999999999999</v>
      </c>
      <c r="Q2502" s="135">
        <f>'National average solar data'!M$42</f>
        <v>1.1942999999999999</v>
      </c>
      <c r="R2502" s="135">
        <f>'National average solar data'!N$42</f>
        <v>1.1773</v>
      </c>
      <c r="S2502" s="135">
        <f>'National average solar data'!O$42</f>
        <v>1.1718</v>
      </c>
      <c r="T2502" s="135">
        <f>'National average solar data'!P$42</f>
        <v>1.1709000000000001</v>
      </c>
      <c r="U2502" s="135">
        <f>'National average solar data'!Q$42</f>
        <v>1.1863999999999999</v>
      </c>
      <c r="V2502" s="135">
        <f>'National average solar data'!R$42</f>
        <v>1.2403999999999999</v>
      </c>
      <c r="W2502" s="135">
        <f>'National average solar data'!S$42</f>
        <v>1.3688</v>
      </c>
      <c r="X2502" s="135">
        <f>'National average solar data'!T$42</f>
        <v>1.6334</v>
      </c>
      <c r="Y2502" s="135">
        <f>'National average solar data'!U$42</f>
        <v>2.1362999999999999</v>
      </c>
      <c r="Z2502" s="135">
        <f>'National average solar data'!V$42</f>
        <v>1.26</v>
      </c>
      <c r="AA2502" s="135">
        <f>'National average solar data'!W$42</f>
        <v>1.7078</v>
      </c>
      <c r="AB2502" s="135">
        <f>'National average solar data'!X$42</f>
        <v>0</v>
      </c>
      <c r="AC2502" s="135">
        <f>'National average solar data'!Y$42</f>
        <v>0</v>
      </c>
      <c r="AD2502" s="135">
        <f>'National average solar data'!Z$42</f>
        <v>0</v>
      </c>
    </row>
    <row r="2503" spans="1:30" ht="12.6">
      <c r="A2503" s="10" t="s">
        <v>131</v>
      </c>
      <c r="B2503" s="10">
        <v>312</v>
      </c>
      <c r="C2503" s="10" t="s">
        <v>1515</v>
      </c>
      <c r="D2503" s="388">
        <v>45238</v>
      </c>
      <c r="E2503" s="389">
        <v>45238</v>
      </c>
      <c r="G2503" s="135">
        <f>'National average solar data'!C$42</f>
        <v>0</v>
      </c>
      <c r="H2503" s="135">
        <f>'National average solar data'!D$42</f>
        <v>0</v>
      </c>
      <c r="I2503" s="135">
        <f>'National average solar data'!E$42</f>
        <v>0</v>
      </c>
      <c r="J2503" s="135">
        <f>'National average solar data'!F$42</f>
        <v>0</v>
      </c>
      <c r="K2503" s="135">
        <f>'National average solar data'!G$42</f>
        <v>3.1785999999999999</v>
      </c>
      <c r="L2503" s="135">
        <f>'National average solar data'!H$42</f>
        <v>4.7793999999999999</v>
      </c>
      <c r="M2503" s="135">
        <f>'National average solar data'!I$42</f>
        <v>2.9573999999999998</v>
      </c>
      <c r="N2503" s="135">
        <f>'National average solar data'!J$42</f>
        <v>1.9527000000000001</v>
      </c>
      <c r="O2503" s="135">
        <f>'National average solar data'!K$42</f>
        <v>1.4548000000000001</v>
      </c>
      <c r="P2503" s="135">
        <f>'National average solar data'!L$42</f>
        <v>1.2750999999999999</v>
      </c>
      <c r="Q2503" s="135">
        <f>'National average solar data'!M$42</f>
        <v>1.1942999999999999</v>
      </c>
      <c r="R2503" s="135">
        <f>'National average solar data'!N$42</f>
        <v>1.1773</v>
      </c>
      <c r="S2503" s="135">
        <f>'National average solar data'!O$42</f>
        <v>1.1718</v>
      </c>
      <c r="T2503" s="135">
        <f>'National average solar data'!P$42</f>
        <v>1.1709000000000001</v>
      </c>
      <c r="U2503" s="135">
        <f>'National average solar data'!Q$42</f>
        <v>1.1863999999999999</v>
      </c>
      <c r="V2503" s="135">
        <f>'National average solar data'!R$42</f>
        <v>1.2403999999999999</v>
      </c>
      <c r="W2503" s="135">
        <f>'National average solar data'!S$42</f>
        <v>1.3688</v>
      </c>
      <c r="X2503" s="135">
        <f>'National average solar data'!T$42</f>
        <v>1.6334</v>
      </c>
      <c r="Y2503" s="135">
        <f>'National average solar data'!U$42</f>
        <v>2.1362999999999999</v>
      </c>
      <c r="Z2503" s="135">
        <f>'National average solar data'!V$42</f>
        <v>1.26</v>
      </c>
      <c r="AA2503" s="135">
        <f>'National average solar data'!W$42</f>
        <v>1.7078</v>
      </c>
      <c r="AB2503" s="135">
        <f>'National average solar data'!X$42</f>
        <v>0</v>
      </c>
      <c r="AC2503" s="135">
        <f>'National average solar data'!Y$42</f>
        <v>0</v>
      </c>
      <c r="AD2503" s="135">
        <f>'National average solar data'!Z$42</f>
        <v>0</v>
      </c>
    </row>
    <row r="2504" spans="1:30" ht="12.6">
      <c r="A2504" s="10" t="s">
        <v>131</v>
      </c>
      <c r="B2504" s="10">
        <v>313</v>
      </c>
      <c r="C2504" s="10" t="s">
        <v>1515</v>
      </c>
      <c r="D2504" s="388">
        <v>45239</v>
      </c>
      <c r="E2504" s="389">
        <v>45239</v>
      </c>
      <c r="G2504" s="135">
        <f>'National average solar data'!C$42</f>
        <v>0</v>
      </c>
      <c r="H2504" s="135">
        <f>'National average solar data'!D$42</f>
        <v>0</v>
      </c>
      <c r="I2504" s="135">
        <f>'National average solar data'!E$42</f>
        <v>0</v>
      </c>
      <c r="J2504" s="135">
        <f>'National average solar data'!F$42</f>
        <v>0</v>
      </c>
      <c r="K2504" s="135">
        <f>'National average solar data'!G$42</f>
        <v>3.1785999999999999</v>
      </c>
      <c r="L2504" s="135">
        <f>'National average solar data'!H$42</f>
        <v>4.7793999999999999</v>
      </c>
      <c r="M2504" s="135">
        <f>'National average solar data'!I$42</f>
        <v>2.9573999999999998</v>
      </c>
      <c r="N2504" s="135">
        <f>'National average solar data'!J$42</f>
        <v>1.9527000000000001</v>
      </c>
      <c r="O2504" s="135">
        <f>'National average solar data'!K$42</f>
        <v>1.4548000000000001</v>
      </c>
      <c r="P2504" s="135">
        <f>'National average solar data'!L$42</f>
        <v>1.2750999999999999</v>
      </c>
      <c r="Q2504" s="135">
        <f>'National average solar data'!M$42</f>
        <v>1.1942999999999999</v>
      </c>
      <c r="R2504" s="135">
        <f>'National average solar data'!N$42</f>
        <v>1.1773</v>
      </c>
      <c r="S2504" s="135">
        <f>'National average solar data'!O$42</f>
        <v>1.1718</v>
      </c>
      <c r="T2504" s="135">
        <f>'National average solar data'!P$42</f>
        <v>1.1709000000000001</v>
      </c>
      <c r="U2504" s="135">
        <f>'National average solar data'!Q$42</f>
        <v>1.1863999999999999</v>
      </c>
      <c r="V2504" s="135">
        <f>'National average solar data'!R$42</f>
        <v>1.2403999999999999</v>
      </c>
      <c r="W2504" s="135">
        <f>'National average solar data'!S$42</f>
        <v>1.3688</v>
      </c>
      <c r="X2504" s="135">
        <f>'National average solar data'!T$42</f>
        <v>1.6334</v>
      </c>
      <c r="Y2504" s="135">
        <f>'National average solar data'!U$42</f>
        <v>2.1362999999999999</v>
      </c>
      <c r="Z2504" s="135">
        <f>'National average solar data'!V$42</f>
        <v>1.26</v>
      </c>
      <c r="AA2504" s="135">
        <f>'National average solar data'!W$42</f>
        <v>1.7078</v>
      </c>
      <c r="AB2504" s="135">
        <f>'National average solar data'!X$42</f>
        <v>0</v>
      </c>
      <c r="AC2504" s="135">
        <f>'National average solar data'!Y$42</f>
        <v>0</v>
      </c>
      <c r="AD2504" s="135">
        <f>'National average solar data'!Z$42</f>
        <v>0</v>
      </c>
    </row>
    <row r="2505" spans="1:30" ht="12.6">
      <c r="A2505" s="10" t="s">
        <v>131</v>
      </c>
      <c r="B2505" s="10">
        <v>314</v>
      </c>
      <c r="C2505" s="10" t="s">
        <v>1515</v>
      </c>
      <c r="D2505" s="388">
        <v>45240</v>
      </c>
      <c r="E2505" s="389">
        <v>45240</v>
      </c>
      <c r="G2505" s="135">
        <f>'National average solar data'!C$42</f>
        <v>0</v>
      </c>
      <c r="H2505" s="135">
        <f>'National average solar data'!D$42</f>
        <v>0</v>
      </c>
      <c r="I2505" s="135">
        <f>'National average solar data'!E$42</f>
        <v>0</v>
      </c>
      <c r="J2505" s="135">
        <f>'National average solar data'!F$42</f>
        <v>0</v>
      </c>
      <c r="K2505" s="135">
        <f>'National average solar data'!G$42</f>
        <v>3.1785999999999999</v>
      </c>
      <c r="L2505" s="135">
        <f>'National average solar data'!H$42</f>
        <v>4.7793999999999999</v>
      </c>
      <c r="M2505" s="135">
        <f>'National average solar data'!I$42</f>
        <v>2.9573999999999998</v>
      </c>
      <c r="N2505" s="135">
        <f>'National average solar data'!J$42</f>
        <v>1.9527000000000001</v>
      </c>
      <c r="O2505" s="135">
        <f>'National average solar data'!K$42</f>
        <v>1.4548000000000001</v>
      </c>
      <c r="P2505" s="135">
        <f>'National average solar data'!L$42</f>
        <v>1.2750999999999999</v>
      </c>
      <c r="Q2505" s="135">
        <f>'National average solar data'!M$42</f>
        <v>1.1942999999999999</v>
      </c>
      <c r="R2505" s="135">
        <f>'National average solar data'!N$42</f>
        <v>1.1773</v>
      </c>
      <c r="S2505" s="135">
        <f>'National average solar data'!O$42</f>
        <v>1.1718</v>
      </c>
      <c r="T2505" s="135">
        <f>'National average solar data'!P$42</f>
        <v>1.1709000000000001</v>
      </c>
      <c r="U2505" s="135">
        <f>'National average solar data'!Q$42</f>
        <v>1.1863999999999999</v>
      </c>
      <c r="V2505" s="135">
        <f>'National average solar data'!R$42</f>
        <v>1.2403999999999999</v>
      </c>
      <c r="W2505" s="135">
        <f>'National average solar data'!S$42</f>
        <v>1.3688</v>
      </c>
      <c r="X2505" s="135">
        <f>'National average solar data'!T$42</f>
        <v>1.6334</v>
      </c>
      <c r="Y2505" s="135">
        <f>'National average solar data'!U$42</f>
        <v>2.1362999999999999</v>
      </c>
      <c r="Z2505" s="135">
        <f>'National average solar data'!V$42</f>
        <v>1.26</v>
      </c>
      <c r="AA2505" s="135">
        <f>'National average solar data'!W$42</f>
        <v>1.7078</v>
      </c>
      <c r="AB2505" s="135">
        <f>'National average solar data'!X$42</f>
        <v>0</v>
      </c>
      <c r="AC2505" s="135">
        <f>'National average solar data'!Y$42</f>
        <v>0</v>
      </c>
      <c r="AD2505" s="135">
        <f>'National average solar data'!Z$42</f>
        <v>0</v>
      </c>
    </row>
    <row r="2506" spans="1:30" ht="12.6">
      <c r="A2506" s="10" t="s">
        <v>131</v>
      </c>
      <c r="B2506" s="10">
        <v>315</v>
      </c>
      <c r="C2506" s="10" t="s">
        <v>1515</v>
      </c>
      <c r="D2506" s="388">
        <v>45241</v>
      </c>
      <c r="E2506" s="389">
        <v>45241</v>
      </c>
      <c r="G2506" s="135">
        <f>'National average solar data'!C$42</f>
        <v>0</v>
      </c>
      <c r="H2506" s="135">
        <f>'National average solar data'!D$42</f>
        <v>0</v>
      </c>
      <c r="I2506" s="135">
        <f>'National average solar data'!E$42</f>
        <v>0</v>
      </c>
      <c r="J2506" s="135">
        <f>'National average solar data'!F$42</f>
        <v>0</v>
      </c>
      <c r="K2506" s="135">
        <f>'National average solar data'!G$42</f>
        <v>3.1785999999999999</v>
      </c>
      <c r="L2506" s="135">
        <f>'National average solar data'!H$42</f>
        <v>4.7793999999999999</v>
      </c>
      <c r="M2506" s="135">
        <f>'National average solar data'!I$42</f>
        <v>2.9573999999999998</v>
      </c>
      <c r="N2506" s="135">
        <f>'National average solar data'!J$42</f>
        <v>1.9527000000000001</v>
      </c>
      <c r="O2506" s="135">
        <f>'National average solar data'!K$42</f>
        <v>1.4548000000000001</v>
      </c>
      <c r="P2506" s="135">
        <f>'National average solar data'!L$42</f>
        <v>1.2750999999999999</v>
      </c>
      <c r="Q2506" s="135">
        <f>'National average solar data'!M$42</f>
        <v>1.1942999999999999</v>
      </c>
      <c r="R2506" s="135">
        <f>'National average solar data'!N$42</f>
        <v>1.1773</v>
      </c>
      <c r="S2506" s="135">
        <f>'National average solar data'!O$42</f>
        <v>1.1718</v>
      </c>
      <c r="T2506" s="135">
        <f>'National average solar data'!P$42</f>
        <v>1.1709000000000001</v>
      </c>
      <c r="U2506" s="135">
        <f>'National average solar data'!Q$42</f>
        <v>1.1863999999999999</v>
      </c>
      <c r="V2506" s="135">
        <f>'National average solar data'!R$42</f>
        <v>1.2403999999999999</v>
      </c>
      <c r="W2506" s="135">
        <f>'National average solar data'!S$42</f>
        <v>1.3688</v>
      </c>
      <c r="X2506" s="135">
        <f>'National average solar data'!T$42</f>
        <v>1.6334</v>
      </c>
      <c r="Y2506" s="135">
        <f>'National average solar data'!U$42</f>
        <v>2.1362999999999999</v>
      </c>
      <c r="Z2506" s="135">
        <f>'National average solar data'!V$42</f>
        <v>1.26</v>
      </c>
      <c r="AA2506" s="135">
        <f>'National average solar data'!W$42</f>
        <v>1.7078</v>
      </c>
      <c r="AB2506" s="135">
        <f>'National average solar data'!X$42</f>
        <v>0</v>
      </c>
      <c r="AC2506" s="135">
        <f>'National average solar data'!Y$42</f>
        <v>0</v>
      </c>
      <c r="AD2506" s="135">
        <f>'National average solar data'!Z$42</f>
        <v>0</v>
      </c>
    </row>
    <row r="2507" spans="1:30" ht="12.6">
      <c r="A2507" s="10" t="s">
        <v>131</v>
      </c>
      <c r="B2507" s="10">
        <v>316</v>
      </c>
      <c r="C2507" s="10" t="s">
        <v>1515</v>
      </c>
      <c r="D2507" s="388">
        <v>45242</v>
      </c>
      <c r="E2507" s="389">
        <v>45242</v>
      </c>
      <c r="G2507" s="135">
        <f>'National average solar data'!C$42</f>
        <v>0</v>
      </c>
      <c r="H2507" s="135">
        <f>'National average solar data'!D$42</f>
        <v>0</v>
      </c>
      <c r="I2507" s="135">
        <f>'National average solar data'!E$42</f>
        <v>0</v>
      </c>
      <c r="J2507" s="135">
        <f>'National average solar data'!F$42</f>
        <v>0</v>
      </c>
      <c r="K2507" s="135">
        <f>'National average solar data'!G$42</f>
        <v>3.1785999999999999</v>
      </c>
      <c r="L2507" s="135">
        <f>'National average solar data'!H$42</f>
        <v>4.7793999999999999</v>
      </c>
      <c r="M2507" s="135">
        <f>'National average solar data'!I$42</f>
        <v>2.9573999999999998</v>
      </c>
      <c r="N2507" s="135">
        <f>'National average solar data'!J$42</f>
        <v>1.9527000000000001</v>
      </c>
      <c r="O2507" s="135">
        <f>'National average solar data'!K$42</f>
        <v>1.4548000000000001</v>
      </c>
      <c r="P2507" s="135">
        <f>'National average solar data'!L$42</f>
        <v>1.2750999999999999</v>
      </c>
      <c r="Q2507" s="135">
        <f>'National average solar data'!M$42</f>
        <v>1.1942999999999999</v>
      </c>
      <c r="R2507" s="135">
        <f>'National average solar data'!N$42</f>
        <v>1.1773</v>
      </c>
      <c r="S2507" s="135">
        <f>'National average solar data'!O$42</f>
        <v>1.1718</v>
      </c>
      <c r="T2507" s="135">
        <f>'National average solar data'!P$42</f>
        <v>1.1709000000000001</v>
      </c>
      <c r="U2507" s="135">
        <f>'National average solar data'!Q$42</f>
        <v>1.1863999999999999</v>
      </c>
      <c r="V2507" s="135">
        <f>'National average solar data'!R$42</f>
        <v>1.2403999999999999</v>
      </c>
      <c r="W2507" s="135">
        <f>'National average solar data'!S$42</f>
        <v>1.3688</v>
      </c>
      <c r="X2507" s="135">
        <f>'National average solar data'!T$42</f>
        <v>1.6334</v>
      </c>
      <c r="Y2507" s="135">
        <f>'National average solar data'!U$42</f>
        <v>2.1362999999999999</v>
      </c>
      <c r="Z2507" s="135">
        <f>'National average solar data'!V$42</f>
        <v>1.26</v>
      </c>
      <c r="AA2507" s="135">
        <f>'National average solar data'!W$42</f>
        <v>1.7078</v>
      </c>
      <c r="AB2507" s="135">
        <f>'National average solar data'!X$42</f>
        <v>0</v>
      </c>
      <c r="AC2507" s="135">
        <f>'National average solar data'!Y$42</f>
        <v>0</v>
      </c>
      <c r="AD2507" s="135">
        <f>'National average solar data'!Z$42</f>
        <v>0</v>
      </c>
    </row>
    <row r="2508" spans="1:30" ht="12.6">
      <c r="A2508" s="10" t="s">
        <v>131</v>
      </c>
      <c r="B2508" s="10">
        <v>317</v>
      </c>
      <c r="C2508" s="10" t="s">
        <v>1515</v>
      </c>
      <c r="D2508" s="388">
        <v>45243</v>
      </c>
      <c r="E2508" s="389">
        <v>45243</v>
      </c>
      <c r="G2508" s="135">
        <f>'National average solar data'!C$42</f>
        <v>0</v>
      </c>
      <c r="H2508" s="135">
        <f>'National average solar data'!D$42</f>
        <v>0</v>
      </c>
      <c r="I2508" s="135">
        <f>'National average solar data'!E$42</f>
        <v>0</v>
      </c>
      <c r="J2508" s="135">
        <f>'National average solar data'!F$42</f>
        <v>0</v>
      </c>
      <c r="K2508" s="135">
        <f>'National average solar data'!G$42</f>
        <v>3.1785999999999999</v>
      </c>
      <c r="L2508" s="135">
        <f>'National average solar data'!H$42</f>
        <v>4.7793999999999999</v>
      </c>
      <c r="M2508" s="135">
        <f>'National average solar data'!I$42</f>
        <v>2.9573999999999998</v>
      </c>
      <c r="N2508" s="135">
        <f>'National average solar data'!J$42</f>
        <v>1.9527000000000001</v>
      </c>
      <c r="O2508" s="135">
        <f>'National average solar data'!K$42</f>
        <v>1.4548000000000001</v>
      </c>
      <c r="P2508" s="135">
        <f>'National average solar data'!L$42</f>
        <v>1.2750999999999999</v>
      </c>
      <c r="Q2508" s="135">
        <f>'National average solar data'!M$42</f>
        <v>1.1942999999999999</v>
      </c>
      <c r="R2508" s="135">
        <f>'National average solar data'!N$42</f>
        <v>1.1773</v>
      </c>
      <c r="S2508" s="135">
        <f>'National average solar data'!O$42</f>
        <v>1.1718</v>
      </c>
      <c r="T2508" s="135">
        <f>'National average solar data'!P$42</f>
        <v>1.1709000000000001</v>
      </c>
      <c r="U2508" s="135">
        <f>'National average solar data'!Q$42</f>
        <v>1.1863999999999999</v>
      </c>
      <c r="V2508" s="135">
        <f>'National average solar data'!R$42</f>
        <v>1.2403999999999999</v>
      </c>
      <c r="W2508" s="135">
        <f>'National average solar data'!S$42</f>
        <v>1.3688</v>
      </c>
      <c r="X2508" s="135">
        <f>'National average solar data'!T$42</f>
        <v>1.6334</v>
      </c>
      <c r="Y2508" s="135">
        <f>'National average solar data'!U$42</f>
        <v>2.1362999999999999</v>
      </c>
      <c r="Z2508" s="135">
        <f>'National average solar data'!V$42</f>
        <v>1.26</v>
      </c>
      <c r="AA2508" s="135">
        <f>'National average solar data'!W$42</f>
        <v>1.7078</v>
      </c>
      <c r="AB2508" s="135">
        <f>'National average solar data'!X$42</f>
        <v>0</v>
      </c>
      <c r="AC2508" s="135">
        <f>'National average solar data'!Y$42</f>
        <v>0</v>
      </c>
      <c r="AD2508" s="135">
        <f>'National average solar data'!Z$42</f>
        <v>0</v>
      </c>
    </row>
    <row r="2509" spans="1:30" ht="12.6">
      <c r="A2509" s="10" t="s">
        <v>131</v>
      </c>
      <c r="B2509" s="10">
        <v>318</v>
      </c>
      <c r="C2509" s="10" t="s">
        <v>1515</v>
      </c>
      <c r="D2509" s="388">
        <v>45244</v>
      </c>
      <c r="E2509" s="389">
        <v>45244</v>
      </c>
      <c r="G2509" s="135">
        <f>'National average solar data'!C$42</f>
        <v>0</v>
      </c>
      <c r="H2509" s="135">
        <f>'National average solar data'!D$42</f>
        <v>0</v>
      </c>
      <c r="I2509" s="135">
        <f>'National average solar data'!E$42</f>
        <v>0</v>
      </c>
      <c r="J2509" s="135">
        <f>'National average solar data'!F$42</f>
        <v>0</v>
      </c>
      <c r="K2509" s="135">
        <f>'National average solar data'!G$42</f>
        <v>3.1785999999999999</v>
      </c>
      <c r="L2509" s="135">
        <f>'National average solar data'!H$42</f>
        <v>4.7793999999999999</v>
      </c>
      <c r="M2509" s="135">
        <f>'National average solar data'!I$42</f>
        <v>2.9573999999999998</v>
      </c>
      <c r="N2509" s="135">
        <f>'National average solar data'!J$42</f>
        <v>1.9527000000000001</v>
      </c>
      <c r="O2509" s="135">
        <f>'National average solar data'!K$42</f>
        <v>1.4548000000000001</v>
      </c>
      <c r="P2509" s="135">
        <f>'National average solar data'!L$42</f>
        <v>1.2750999999999999</v>
      </c>
      <c r="Q2509" s="135">
        <f>'National average solar data'!M$42</f>
        <v>1.1942999999999999</v>
      </c>
      <c r="R2509" s="135">
        <f>'National average solar data'!N$42</f>
        <v>1.1773</v>
      </c>
      <c r="S2509" s="135">
        <f>'National average solar data'!O$42</f>
        <v>1.1718</v>
      </c>
      <c r="T2509" s="135">
        <f>'National average solar data'!P$42</f>
        <v>1.1709000000000001</v>
      </c>
      <c r="U2509" s="135">
        <f>'National average solar data'!Q$42</f>
        <v>1.1863999999999999</v>
      </c>
      <c r="V2509" s="135">
        <f>'National average solar data'!R$42</f>
        <v>1.2403999999999999</v>
      </c>
      <c r="W2509" s="135">
        <f>'National average solar data'!S$42</f>
        <v>1.3688</v>
      </c>
      <c r="X2509" s="135">
        <f>'National average solar data'!T$42</f>
        <v>1.6334</v>
      </c>
      <c r="Y2509" s="135">
        <f>'National average solar data'!U$42</f>
        <v>2.1362999999999999</v>
      </c>
      <c r="Z2509" s="135">
        <f>'National average solar data'!V$42</f>
        <v>1.26</v>
      </c>
      <c r="AA2509" s="135">
        <f>'National average solar data'!W$42</f>
        <v>1.7078</v>
      </c>
      <c r="AB2509" s="135">
        <f>'National average solar data'!X$42</f>
        <v>0</v>
      </c>
      <c r="AC2509" s="135">
        <f>'National average solar data'!Y$42</f>
        <v>0</v>
      </c>
      <c r="AD2509" s="135">
        <f>'National average solar data'!Z$42</f>
        <v>0</v>
      </c>
    </row>
    <row r="2510" spans="1:30" ht="12.6">
      <c r="A2510" s="10" t="s">
        <v>131</v>
      </c>
      <c r="B2510" s="10">
        <v>319</v>
      </c>
      <c r="C2510" s="10" t="s">
        <v>1515</v>
      </c>
      <c r="D2510" s="388">
        <v>45245</v>
      </c>
      <c r="E2510" s="389">
        <v>45245</v>
      </c>
      <c r="G2510" s="135">
        <f>'National average solar data'!C$42</f>
        <v>0</v>
      </c>
      <c r="H2510" s="135">
        <f>'National average solar data'!D$42</f>
        <v>0</v>
      </c>
      <c r="I2510" s="135">
        <f>'National average solar data'!E$42</f>
        <v>0</v>
      </c>
      <c r="J2510" s="135">
        <f>'National average solar data'!F$42</f>
        <v>0</v>
      </c>
      <c r="K2510" s="135">
        <f>'National average solar data'!G$42</f>
        <v>3.1785999999999999</v>
      </c>
      <c r="L2510" s="135">
        <f>'National average solar data'!H$42</f>
        <v>4.7793999999999999</v>
      </c>
      <c r="M2510" s="135">
        <f>'National average solar data'!I$42</f>
        <v>2.9573999999999998</v>
      </c>
      <c r="N2510" s="135">
        <f>'National average solar data'!J$42</f>
        <v>1.9527000000000001</v>
      </c>
      <c r="O2510" s="135">
        <f>'National average solar data'!K$42</f>
        <v>1.4548000000000001</v>
      </c>
      <c r="P2510" s="135">
        <f>'National average solar data'!L$42</f>
        <v>1.2750999999999999</v>
      </c>
      <c r="Q2510" s="135">
        <f>'National average solar data'!M$42</f>
        <v>1.1942999999999999</v>
      </c>
      <c r="R2510" s="135">
        <f>'National average solar data'!N$42</f>
        <v>1.1773</v>
      </c>
      <c r="S2510" s="135">
        <f>'National average solar data'!O$42</f>
        <v>1.1718</v>
      </c>
      <c r="T2510" s="135">
        <f>'National average solar data'!P$42</f>
        <v>1.1709000000000001</v>
      </c>
      <c r="U2510" s="135">
        <f>'National average solar data'!Q$42</f>
        <v>1.1863999999999999</v>
      </c>
      <c r="V2510" s="135">
        <f>'National average solar data'!R$42</f>
        <v>1.2403999999999999</v>
      </c>
      <c r="W2510" s="135">
        <f>'National average solar data'!S$42</f>
        <v>1.3688</v>
      </c>
      <c r="X2510" s="135">
        <f>'National average solar data'!T$42</f>
        <v>1.6334</v>
      </c>
      <c r="Y2510" s="135">
        <f>'National average solar data'!U$42</f>
        <v>2.1362999999999999</v>
      </c>
      <c r="Z2510" s="135">
        <f>'National average solar data'!V$42</f>
        <v>1.26</v>
      </c>
      <c r="AA2510" s="135">
        <f>'National average solar data'!W$42</f>
        <v>1.7078</v>
      </c>
      <c r="AB2510" s="135">
        <f>'National average solar data'!X$42</f>
        <v>0</v>
      </c>
      <c r="AC2510" s="135">
        <f>'National average solar data'!Y$42</f>
        <v>0</v>
      </c>
      <c r="AD2510" s="135">
        <f>'National average solar data'!Z$42</f>
        <v>0</v>
      </c>
    </row>
    <row r="2511" spans="1:30" ht="12.6">
      <c r="A2511" s="10" t="s">
        <v>131</v>
      </c>
      <c r="B2511" s="10">
        <v>320</v>
      </c>
      <c r="C2511" s="10" t="s">
        <v>1515</v>
      </c>
      <c r="D2511" s="388">
        <v>45246</v>
      </c>
      <c r="E2511" s="389">
        <v>45246</v>
      </c>
      <c r="G2511" s="135">
        <f>'National average solar data'!C$42</f>
        <v>0</v>
      </c>
      <c r="H2511" s="135">
        <f>'National average solar data'!D$42</f>
        <v>0</v>
      </c>
      <c r="I2511" s="135">
        <f>'National average solar data'!E$42</f>
        <v>0</v>
      </c>
      <c r="J2511" s="135">
        <f>'National average solar data'!F$42</f>
        <v>0</v>
      </c>
      <c r="K2511" s="135">
        <f>'National average solar data'!G$42</f>
        <v>3.1785999999999999</v>
      </c>
      <c r="L2511" s="135">
        <f>'National average solar data'!H$42</f>
        <v>4.7793999999999999</v>
      </c>
      <c r="M2511" s="135">
        <f>'National average solar data'!I$42</f>
        <v>2.9573999999999998</v>
      </c>
      <c r="N2511" s="135">
        <f>'National average solar data'!J$42</f>
        <v>1.9527000000000001</v>
      </c>
      <c r="O2511" s="135">
        <f>'National average solar data'!K$42</f>
        <v>1.4548000000000001</v>
      </c>
      <c r="P2511" s="135">
        <f>'National average solar data'!L$42</f>
        <v>1.2750999999999999</v>
      </c>
      <c r="Q2511" s="135">
        <f>'National average solar data'!M$42</f>
        <v>1.1942999999999999</v>
      </c>
      <c r="R2511" s="135">
        <f>'National average solar data'!N$42</f>
        <v>1.1773</v>
      </c>
      <c r="S2511" s="135">
        <f>'National average solar data'!O$42</f>
        <v>1.1718</v>
      </c>
      <c r="T2511" s="135">
        <f>'National average solar data'!P$42</f>
        <v>1.1709000000000001</v>
      </c>
      <c r="U2511" s="135">
        <f>'National average solar data'!Q$42</f>
        <v>1.1863999999999999</v>
      </c>
      <c r="V2511" s="135">
        <f>'National average solar data'!R$42</f>
        <v>1.2403999999999999</v>
      </c>
      <c r="W2511" s="135">
        <f>'National average solar data'!S$42</f>
        <v>1.3688</v>
      </c>
      <c r="X2511" s="135">
        <f>'National average solar data'!T$42</f>
        <v>1.6334</v>
      </c>
      <c r="Y2511" s="135">
        <f>'National average solar data'!U$42</f>
        <v>2.1362999999999999</v>
      </c>
      <c r="Z2511" s="135">
        <f>'National average solar data'!V$42</f>
        <v>1.26</v>
      </c>
      <c r="AA2511" s="135">
        <f>'National average solar data'!W$42</f>
        <v>1.7078</v>
      </c>
      <c r="AB2511" s="135">
        <f>'National average solar data'!X$42</f>
        <v>0</v>
      </c>
      <c r="AC2511" s="135">
        <f>'National average solar data'!Y$42</f>
        <v>0</v>
      </c>
      <c r="AD2511" s="135">
        <f>'National average solar data'!Z$42</f>
        <v>0</v>
      </c>
    </row>
    <row r="2512" spans="1:30" ht="12.6">
      <c r="A2512" s="10" t="s">
        <v>131</v>
      </c>
      <c r="B2512" s="10">
        <v>321</v>
      </c>
      <c r="C2512" s="10" t="s">
        <v>1515</v>
      </c>
      <c r="D2512" s="388">
        <v>45247</v>
      </c>
      <c r="E2512" s="389">
        <v>45247</v>
      </c>
      <c r="G2512" s="135">
        <f>'National average solar data'!C$42</f>
        <v>0</v>
      </c>
      <c r="H2512" s="135">
        <f>'National average solar data'!D$42</f>
        <v>0</v>
      </c>
      <c r="I2512" s="135">
        <f>'National average solar data'!E$42</f>
        <v>0</v>
      </c>
      <c r="J2512" s="135">
        <f>'National average solar data'!F$42</f>
        <v>0</v>
      </c>
      <c r="K2512" s="135">
        <f>'National average solar data'!G$42</f>
        <v>3.1785999999999999</v>
      </c>
      <c r="L2512" s="135">
        <f>'National average solar data'!H$42</f>
        <v>4.7793999999999999</v>
      </c>
      <c r="M2512" s="135">
        <f>'National average solar data'!I$42</f>
        <v>2.9573999999999998</v>
      </c>
      <c r="N2512" s="135">
        <f>'National average solar data'!J$42</f>
        <v>1.9527000000000001</v>
      </c>
      <c r="O2512" s="135">
        <f>'National average solar data'!K$42</f>
        <v>1.4548000000000001</v>
      </c>
      <c r="P2512" s="135">
        <f>'National average solar data'!L$42</f>
        <v>1.2750999999999999</v>
      </c>
      <c r="Q2512" s="135">
        <f>'National average solar data'!M$42</f>
        <v>1.1942999999999999</v>
      </c>
      <c r="R2512" s="135">
        <f>'National average solar data'!N$42</f>
        <v>1.1773</v>
      </c>
      <c r="S2512" s="135">
        <f>'National average solar data'!O$42</f>
        <v>1.1718</v>
      </c>
      <c r="T2512" s="135">
        <f>'National average solar data'!P$42</f>
        <v>1.1709000000000001</v>
      </c>
      <c r="U2512" s="135">
        <f>'National average solar data'!Q$42</f>
        <v>1.1863999999999999</v>
      </c>
      <c r="V2512" s="135">
        <f>'National average solar data'!R$42</f>
        <v>1.2403999999999999</v>
      </c>
      <c r="W2512" s="135">
        <f>'National average solar data'!S$42</f>
        <v>1.3688</v>
      </c>
      <c r="X2512" s="135">
        <f>'National average solar data'!T$42</f>
        <v>1.6334</v>
      </c>
      <c r="Y2512" s="135">
        <f>'National average solar data'!U$42</f>
        <v>2.1362999999999999</v>
      </c>
      <c r="Z2512" s="135">
        <f>'National average solar data'!V$42</f>
        <v>1.26</v>
      </c>
      <c r="AA2512" s="135">
        <f>'National average solar data'!W$42</f>
        <v>1.7078</v>
      </c>
      <c r="AB2512" s="135">
        <f>'National average solar data'!X$42</f>
        <v>0</v>
      </c>
      <c r="AC2512" s="135">
        <f>'National average solar data'!Y$42</f>
        <v>0</v>
      </c>
      <c r="AD2512" s="135">
        <f>'National average solar data'!Z$42</f>
        <v>0</v>
      </c>
    </row>
    <row r="2513" spans="1:30" ht="12.6">
      <c r="A2513" s="10" t="s">
        <v>131</v>
      </c>
      <c r="B2513" s="10">
        <v>322</v>
      </c>
      <c r="C2513" s="10" t="s">
        <v>1515</v>
      </c>
      <c r="D2513" s="388">
        <v>45248</v>
      </c>
      <c r="E2513" s="389">
        <v>45248</v>
      </c>
      <c r="G2513" s="135">
        <f>'National average solar data'!C$42</f>
        <v>0</v>
      </c>
      <c r="H2513" s="135">
        <f>'National average solar data'!D$42</f>
        <v>0</v>
      </c>
      <c r="I2513" s="135">
        <f>'National average solar data'!E$42</f>
        <v>0</v>
      </c>
      <c r="J2513" s="135">
        <f>'National average solar data'!F$42</f>
        <v>0</v>
      </c>
      <c r="K2513" s="135">
        <f>'National average solar data'!G$42</f>
        <v>3.1785999999999999</v>
      </c>
      <c r="L2513" s="135">
        <f>'National average solar data'!H$42</f>
        <v>4.7793999999999999</v>
      </c>
      <c r="M2513" s="135">
        <f>'National average solar data'!I$42</f>
        <v>2.9573999999999998</v>
      </c>
      <c r="N2513" s="135">
        <f>'National average solar data'!J$42</f>
        <v>1.9527000000000001</v>
      </c>
      <c r="O2513" s="135">
        <f>'National average solar data'!K$42</f>
        <v>1.4548000000000001</v>
      </c>
      <c r="P2513" s="135">
        <f>'National average solar data'!L$42</f>
        <v>1.2750999999999999</v>
      </c>
      <c r="Q2513" s="135">
        <f>'National average solar data'!M$42</f>
        <v>1.1942999999999999</v>
      </c>
      <c r="R2513" s="135">
        <f>'National average solar data'!N$42</f>
        <v>1.1773</v>
      </c>
      <c r="S2513" s="135">
        <f>'National average solar data'!O$42</f>
        <v>1.1718</v>
      </c>
      <c r="T2513" s="135">
        <f>'National average solar data'!P$42</f>
        <v>1.1709000000000001</v>
      </c>
      <c r="U2513" s="135">
        <f>'National average solar data'!Q$42</f>
        <v>1.1863999999999999</v>
      </c>
      <c r="V2513" s="135">
        <f>'National average solar data'!R$42</f>
        <v>1.2403999999999999</v>
      </c>
      <c r="W2513" s="135">
        <f>'National average solar data'!S$42</f>
        <v>1.3688</v>
      </c>
      <c r="X2513" s="135">
        <f>'National average solar data'!T$42</f>
        <v>1.6334</v>
      </c>
      <c r="Y2513" s="135">
        <f>'National average solar data'!U$42</f>
        <v>2.1362999999999999</v>
      </c>
      <c r="Z2513" s="135">
        <f>'National average solar data'!V$42</f>
        <v>1.26</v>
      </c>
      <c r="AA2513" s="135">
        <f>'National average solar data'!W$42</f>
        <v>1.7078</v>
      </c>
      <c r="AB2513" s="135">
        <f>'National average solar data'!X$42</f>
        <v>0</v>
      </c>
      <c r="AC2513" s="135">
        <f>'National average solar data'!Y$42</f>
        <v>0</v>
      </c>
      <c r="AD2513" s="135">
        <f>'National average solar data'!Z$42</f>
        <v>0</v>
      </c>
    </row>
    <row r="2514" spans="1:30" ht="12.6">
      <c r="A2514" s="10" t="s">
        <v>131</v>
      </c>
      <c r="B2514" s="10">
        <v>323</v>
      </c>
      <c r="C2514" s="10" t="s">
        <v>1515</v>
      </c>
      <c r="D2514" s="388">
        <v>45249</v>
      </c>
      <c r="E2514" s="389">
        <v>45249</v>
      </c>
      <c r="G2514" s="135">
        <f>'National average solar data'!C$42</f>
        <v>0</v>
      </c>
      <c r="H2514" s="135">
        <f>'National average solar data'!D$42</f>
        <v>0</v>
      </c>
      <c r="I2514" s="135">
        <f>'National average solar data'!E$42</f>
        <v>0</v>
      </c>
      <c r="J2514" s="135">
        <f>'National average solar data'!F$42</f>
        <v>0</v>
      </c>
      <c r="K2514" s="135">
        <f>'National average solar data'!G$42</f>
        <v>3.1785999999999999</v>
      </c>
      <c r="L2514" s="135">
        <f>'National average solar data'!H$42</f>
        <v>4.7793999999999999</v>
      </c>
      <c r="M2514" s="135">
        <f>'National average solar data'!I$42</f>
        <v>2.9573999999999998</v>
      </c>
      <c r="N2514" s="135">
        <f>'National average solar data'!J$42</f>
        <v>1.9527000000000001</v>
      </c>
      <c r="O2514" s="135">
        <f>'National average solar data'!K$42</f>
        <v>1.4548000000000001</v>
      </c>
      <c r="P2514" s="135">
        <f>'National average solar data'!L$42</f>
        <v>1.2750999999999999</v>
      </c>
      <c r="Q2514" s="135">
        <f>'National average solar data'!M$42</f>
        <v>1.1942999999999999</v>
      </c>
      <c r="R2514" s="135">
        <f>'National average solar data'!N$42</f>
        <v>1.1773</v>
      </c>
      <c r="S2514" s="135">
        <f>'National average solar data'!O$42</f>
        <v>1.1718</v>
      </c>
      <c r="T2514" s="135">
        <f>'National average solar data'!P$42</f>
        <v>1.1709000000000001</v>
      </c>
      <c r="U2514" s="135">
        <f>'National average solar data'!Q$42</f>
        <v>1.1863999999999999</v>
      </c>
      <c r="V2514" s="135">
        <f>'National average solar data'!R$42</f>
        <v>1.2403999999999999</v>
      </c>
      <c r="W2514" s="135">
        <f>'National average solar data'!S$42</f>
        <v>1.3688</v>
      </c>
      <c r="X2514" s="135">
        <f>'National average solar data'!T$42</f>
        <v>1.6334</v>
      </c>
      <c r="Y2514" s="135">
        <f>'National average solar data'!U$42</f>
        <v>2.1362999999999999</v>
      </c>
      <c r="Z2514" s="135">
        <f>'National average solar data'!V$42</f>
        <v>1.26</v>
      </c>
      <c r="AA2514" s="135">
        <f>'National average solar data'!W$42</f>
        <v>1.7078</v>
      </c>
      <c r="AB2514" s="135">
        <f>'National average solar data'!X$42</f>
        <v>0</v>
      </c>
      <c r="AC2514" s="135">
        <f>'National average solar data'!Y$42</f>
        <v>0</v>
      </c>
      <c r="AD2514" s="135">
        <f>'National average solar data'!Z$42</f>
        <v>0</v>
      </c>
    </row>
    <row r="2515" spans="1:30" ht="12.6">
      <c r="A2515" s="10" t="s">
        <v>131</v>
      </c>
      <c r="B2515" s="10">
        <v>324</v>
      </c>
      <c r="C2515" s="10" t="s">
        <v>1515</v>
      </c>
      <c r="D2515" s="388">
        <v>45250</v>
      </c>
      <c r="E2515" s="389">
        <v>45250</v>
      </c>
      <c r="G2515" s="135">
        <f>'National average solar data'!C$42</f>
        <v>0</v>
      </c>
      <c r="H2515" s="135">
        <f>'National average solar data'!D$42</f>
        <v>0</v>
      </c>
      <c r="I2515" s="135">
        <f>'National average solar data'!E$42</f>
        <v>0</v>
      </c>
      <c r="J2515" s="135">
        <f>'National average solar data'!F$42</f>
        <v>0</v>
      </c>
      <c r="K2515" s="135">
        <f>'National average solar data'!G$42</f>
        <v>3.1785999999999999</v>
      </c>
      <c r="L2515" s="135">
        <f>'National average solar data'!H$42</f>
        <v>4.7793999999999999</v>
      </c>
      <c r="M2515" s="135">
        <f>'National average solar data'!I$42</f>
        <v>2.9573999999999998</v>
      </c>
      <c r="N2515" s="135">
        <f>'National average solar data'!J$42</f>
        <v>1.9527000000000001</v>
      </c>
      <c r="O2515" s="135">
        <f>'National average solar data'!K$42</f>
        <v>1.4548000000000001</v>
      </c>
      <c r="P2515" s="135">
        <f>'National average solar data'!L$42</f>
        <v>1.2750999999999999</v>
      </c>
      <c r="Q2515" s="135">
        <f>'National average solar data'!M$42</f>
        <v>1.1942999999999999</v>
      </c>
      <c r="R2515" s="135">
        <f>'National average solar data'!N$42</f>
        <v>1.1773</v>
      </c>
      <c r="S2515" s="135">
        <f>'National average solar data'!O$42</f>
        <v>1.1718</v>
      </c>
      <c r="T2515" s="135">
        <f>'National average solar data'!P$42</f>
        <v>1.1709000000000001</v>
      </c>
      <c r="U2515" s="135">
        <f>'National average solar data'!Q$42</f>
        <v>1.1863999999999999</v>
      </c>
      <c r="V2515" s="135">
        <f>'National average solar data'!R$42</f>
        <v>1.2403999999999999</v>
      </c>
      <c r="W2515" s="135">
        <f>'National average solar data'!S$42</f>
        <v>1.3688</v>
      </c>
      <c r="X2515" s="135">
        <f>'National average solar data'!T$42</f>
        <v>1.6334</v>
      </c>
      <c r="Y2515" s="135">
        <f>'National average solar data'!U$42</f>
        <v>2.1362999999999999</v>
      </c>
      <c r="Z2515" s="135">
        <f>'National average solar data'!V$42</f>
        <v>1.26</v>
      </c>
      <c r="AA2515" s="135">
        <f>'National average solar data'!W$42</f>
        <v>1.7078</v>
      </c>
      <c r="AB2515" s="135">
        <f>'National average solar data'!X$42</f>
        <v>0</v>
      </c>
      <c r="AC2515" s="135">
        <f>'National average solar data'!Y$42</f>
        <v>0</v>
      </c>
      <c r="AD2515" s="135">
        <f>'National average solar data'!Z$42</f>
        <v>0</v>
      </c>
    </row>
    <row r="2516" spans="1:30" ht="12.6">
      <c r="A2516" s="10" t="s">
        <v>131</v>
      </c>
      <c r="B2516" s="10">
        <v>325</v>
      </c>
      <c r="C2516" s="10" t="s">
        <v>1515</v>
      </c>
      <c r="D2516" s="388">
        <v>45251</v>
      </c>
      <c r="E2516" s="389">
        <v>45251</v>
      </c>
      <c r="G2516" s="135">
        <f>'National average solar data'!C$42</f>
        <v>0</v>
      </c>
      <c r="H2516" s="135">
        <f>'National average solar data'!D$42</f>
        <v>0</v>
      </c>
      <c r="I2516" s="135">
        <f>'National average solar data'!E$42</f>
        <v>0</v>
      </c>
      <c r="J2516" s="135">
        <f>'National average solar data'!F$42</f>
        <v>0</v>
      </c>
      <c r="K2516" s="135">
        <f>'National average solar data'!G$42</f>
        <v>3.1785999999999999</v>
      </c>
      <c r="L2516" s="135">
        <f>'National average solar data'!H$42</f>
        <v>4.7793999999999999</v>
      </c>
      <c r="M2516" s="135">
        <f>'National average solar data'!I$42</f>
        <v>2.9573999999999998</v>
      </c>
      <c r="N2516" s="135">
        <f>'National average solar data'!J$42</f>
        <v>1.9527000000000001</v>
      </c>
      <c r="O2516" s="135">
        <f>'National average solar data'!K$42</f>
        <v>1.4548000000000001</v>
      </c>
      <c r="P2516" s="135">
        <f>'National average solar data'!L$42</f>
        <v>1.2750999999999999</v>
      </c>
      <c r="Q2516" s="135">
        <f>'National average solar data'!M$42</f>
        <v>1.1942999999999999</v>
      </c>
      <c r="R2516" s="135">
        <f>'National average solar data'!N$42</f>
        <v>1.1773</v>
      </c>
      <c r="S2516" s="135">
        <f>'National average solar data'!O$42</f>
        <v>1.1718</v>
      </c>
      <c r="T2516" s="135">
        <f>'National average solar data'!P$42</f>
        <v>1.1709000000000001</v>
      </c>
      <c r="U2516" s="135">
        <f>'National average solar data'!Q$42</f>
        <v>1.1863999999999999</v>
      </c>
      <c r="V2516" s="135">
        <f>'National average solar data'!R$42</f>
        <v>1.2403999999999999</v>
      </c>
      <c r="W2516" s="135">
        <f>'National average solar data'!S$42</f>
        <v>1.3688</v>
      </c>
      <c r="X2516" s="135">
        <f>'National average solar data'!T$42</f>
        <v>1.6334</v>
      </c>
      <c r="Y2516" s="135">
        <f>'National average solar data'!U$42</f>
        <v>2.1362999999999999</v>
      </c>
      <c r="Z2516" s="135">
        <f>'National average solar data'!V$42</f>
        <v>1.26</v>
      </c>
      <c r="AA2516" s="135">
        <f>'National average solar data'!W$42</f>
        <v>1.7078</v>
      </c>
      <c r="AB2516" s="135">
        <f>'National average solar data'!X$42</f>
        <v>0</v>
      </c>
      <c r="AC2516" s="135">
        <f>'National average solar data'!Y$42</f>
        <v>0</v>
      </c>
      <c r="AD2516" s="135">
        <f>'National average solar data'!Z$42</f>
        <v>0</v>
      </c>
    </row>
    <row r="2517" spans="1:30" ht="12.6">
      <c r="A2517" s="10" t="s">
        <v>131</v>
      </c>
      <c r="B2517" s="10">
        <v>326</v>
      </c>
      <c r="C2517" s="10" t="s">
        <v>1515</v>
      </c>
      <c r="D2517" s="388">
        <v>45252</v>
      </c>
      <c r="E2517" s="389">
        <v>45252</v>
      </c>
      <c r="G2517" s="135">
        <f>'National average solar data'!C$42</f>
        <v>0</v>
      </c>
      <c r="H2517" s="135">
        <f>'National average solar data'!D$42</f>
        <v>0</v>
      </c>
      <c r="I2517" s="135">
        <f>'National average solar data'!E$42</f>
        <v>0</v>
      </c>
      <c r="J2517" s="135">
        <f>'National average solar data'!F$42</f>
        <v>0</v>
      </c>
      <c r="K2517" s="135">
        <f>'National average solar data'!G$42</f>
        <v>3.1785999999999999</v>
      </c>
      <c r="L2517" s="135">
        <f>'National average solar data'!H$42</f>
        <v>4.7793999999999999</v>
      </c>
      <c r="M2517" s="135">
        <f>'National average solar data'!I$42</f>
        <v>2.9573999999999998</v>
      </c>
      <c r="N2517" s="135">
        <f>'National average solar data'!J$42</f>
        <v>1.9527000000000001</v>
      </c>
      <c r="O2517" s="135">
        <f>'National average solar data'!K$42</f>
        <v>1.4548000000000001</v>
      </c>
      <c r="P2517" s="135">
        <f>'National average solar data'!L$42</f>
        <v>1.2750999999999999</v>
      </c>
      <c r="Q2517" s="135">
        <f>'National average solar data'!M$42</f>
        <v>1.1942999999999999</v>
      </c>
      <c r="R2517" s="135">
        <f>'National average solar data'!N$42</f>
        <v>1.1773</v>
      </c>
      <c r="S2517" s="135">
        <f>'National average solar data'!O$42</f>
        <v>1.1718</v>
      </c>
      <c r="T2517" s="135">
        <f>'National average solar data'!P$42</f>
        <v>1.1709000000000001</v>
      </c>
      <c r="U2517" s="135">
        <f>'National average solar data'!Q$42</f>
        <v>1.1863999999999999</v>
      </c>
      <c r="V2517" s="135">
        <f>'National average solar data'!R$42</f>
        <v>1.2403999999999999</v>
      </c>
      <c r="W2517" s="135">
        <f>'National average solar data'!S$42</f>
        <v>1.3688</v>
      </c>
      <c r="X2517" s="135">
        <f>'National average solar data'!T$42</f>
        <v>1.6334</v>
      </c>
      <c r="Y2517" s="135">
        <f>'National average solar data'!U$42</f>
        <v>2.1362999999999999</v>
      </c>
      <c r="Z2517" s="135">
        <f>'National average solar data'!V$42</f>
        <v>1.26</v>
      </c>
      <c r="AA2517" s="135">
        <f>'National average solar data'!W$42</f>
        <v>1.7078</v>
      </c>
      <c r="AB2517" s="135">
        <f>'National average solar data'!X$42</f>
        <v>0</v>
      </c>
      <c r="AC2517" s="135">
        <f>'National average solar data'!Y$42</f>
        <v>0</v>
      </c>
      <c r="AD2517" s="135">
        <f>'National average solar data'!Z$42</f>
        <v>0</v>
      </c>
    </row>
    <row r="2518" spans="1:30" ht="12.6">
      <c r="A2518" s="10" t="s">
        <v>131</v>
      </c>
      <c r="B2518" s="10">
        <v>327</v>
      </c>
      <c r="C2518" s="10" t="s">
        <v>1515</v>
      </c>
      <c r="D2518" s="388">
        <v>45253</v>
      </c>
      <c r="E2518" s="389">
        <v>45253</v>
      </c>
      <c r="G2518" s="135">
        <f>'National average solar data'!C$42</f>
        <v>0</v>
      </c>
      <c r="H2518" s="135">
        <f>'National average solar data'!D$42</f>
        <v>0</v>
      </c>
      <c r="I2518" s="135">
        <f>'National average solar data'!E$42</f>
        <v>0</v>
      </c>
      <c r="J2518" s="135">
        <f>'National average solar data'!F$42</f>
        <v>0</v>
      </c>
      <c r="K2518" s="135">
        <f>'National average solar data'!G$42</f>
        <v>3.1785999999999999</v>
      </c>
      <c r="L2518" s="135">
        <f>'National average solar data'!H$42</f>
        <v>4.7793999999999999</v>
      </c>
      <c r="M2518" s="135">
        <f>'National average solar data'!I$42</f>
        <v>2.9573999999999998</v>
      </c>
      <c r="N2518" s="135">
        <f>'National average solar data'!J$42</f>
        <v>1.9527000000000001</v>
      </c>
      <c r="O2518" s="135">
        <f>'National average solar data'!K$42</f>
        <v>1.4548000000000001</v>
      </c>
      <c r="P2518" s="135">
        <f>'National average solar data'!L$42</f>
        <v>1.2750999999999999</v>
      </c>
      <c r="Q2518" s="135">
        <f>'National average solar data'!M$42</f>
        <v>1.1942999999999999</v>
      </c>
      <c r="R2518" s="135">
        <f>'National average solar data'!N$42</f>
        <v>1.1773</v>
      </c>
      <c r="S2518" s="135">
        <f>'National average solar data'!O$42</f>
        <v>1.1718</v>
      </c>
      <c r="T2518" s="135">
        <f>'National average solar data'!P$42</f>
        <v>1.1709000000000001</v>
      </c>
      <c r="U2518" s="135">
        <f>'National average solar data'!Q$42</f>
        <v>1.1863999999999999</v>
      </c>
      <c r="V2518" s="135">
        <f>'National average solar data'!R$42</f>
        <v>1.2403999999999999</v>
      </c>
      <c r="W2518" s="135">
        <f>'National average solar data'!S$42</f>
        <v>1.3688</v>
      </c>
      <c r="X2518" s="135">
        <f>'National average solar data'!T$42</f>
        <v>1.6334</v>
      </c>
      <c r="Y2518" s="135">
        <f>'National average solar data'!U$42</f>
        <v>2.1362999999999999</v>
      </c>
      <c r="Z2518" s="135">
        <f>'National average solar data'!V$42</f>
        <v>1.26</v>
      </c>
      <c r="AA2518" s="135">
        <f>'National average solar data'!W$42</f>
        <v>1.7078</v>
      </c>
      <c r="AB2518" s="135">
        <f>'National average solar data'!X$42</f>
        <v>0</v>
      </c>
      <c r="AC2518" s="135">
        <f>'National average solar data'!Y$42</f>
        <v>0</v>
      </c>
      <c r="AD2518" s="135">
        <f>'National average solar data'!Z$42</f>
        <v>0</v>
      </c>
    </row>
    <row r="2519" spans="1:30" ht="12.6">
      <c r="A2519" s="10" t="s">
        <v>131</v>
      </c>
      <c r="B2519" s="10">
        <v>328</v>
      </c>
      <c r="C2519" s="10" t="s">
        <v>1515</v>
      </c>
      <c r="D2519" s="388">
        <v>45254</v>
      </c>
      <c r="E2519" s="389">
        <v>45254</v>
      </c>
      <c r="G2519" s="135">
        <f>'National average solar data'!C$42</f>
        <v>0</v>
      </c>
      <c r="H2519" s="135">
        <f>'National average solar data'!D$42</f>
        <v>0</v>
      </c>
      <c r="I2519" s="135">
        <f>'National average solar data'!E$42</f>
        <v>0</v>
      </c>
      <c r="J2519" s="135">
        <f>'National average solar data'!F$42</f>
        <v>0</v>
      </c>
      <c r="K2519" s="135">
        <f>'National average solar data'!G$42</f>
        <v>3.1785999999999999</v>
      </c>
      <c r="L2519" s="135">
        <f>'National average solar data'!H$42</f>
        <v>4.7793999999999999</v>
      </c>
      <c r="M2519" s="135">
        <f>'National average solar data'!I$42</f>
        <v>2.9573999999999998</v>
      </c>
      <c r="N2519" s="135">
        <f>'National average solar data'!J$42</f>
        <v>1.9527000000000001</v>
      </c>
      <c r="O2519" s="135">
        <f>'National average solar data'!K$42</f>
        <v>1.4548000000000001</v>
      </c>
      <c r="P2519" s="135">
        <f>'National average solar data'!L$42</f>
        <v>1.2750999999999999</v>
      </c>
      <c r="Q2519" s="135">
        <f>'National average solar data'!M$42</f>
        <v>1.1942999999999999</v>
      </c>
      <c r="R2519" s="135">
        <f>'National average solar data'!N$42</f>
        <v>1.1773</v>
      </c>
      <c r="S2519" s="135">
        <f>'National average solar data'!O$42</f>
        <v>1.1718</v>
      </c>
      <c r="T2519" s="135">
        <f>'National average solar data'!P$42</f>
        <v>1.1709000000000001</v>
      </c>
      <c r="U2519" s="135">
        <f>'National average solar data'!Q$42</f>
        <v>1.1863999999999999</v>
      </c>
      <c r="V2519" s="135">
        <f>'National average solar data'!R$42</f>
        <v>1.2403999999999999</v>
      </c>
      <c r="W2519" s="135">
        <f>'National average solar data'!S$42</f>
        <v>1.3688</v>
      </c>
      <c r="X2519" s="135">
        <f>'National average solar data'!T$42</f>
        <v>1.6334</v>
      </c>
      <c r="Y2519" s="135">
        <f>'National average solar data'!U$42</f>
        <v>2.1362999999999999</v>
      </c>
      <c r="Z2519" s="135">
        <f>'National average solar data'!V$42</f>
        <v>1.26</v>
      </c>
      <c r="AA2519" s="135">
        <f>'National average solar data'!W$42</f>
        <v>1.7078</v>
      </c>
      <c r="AB2519" s="135">
        <f>'National average solar data'!X$42</f>
        <v>0</v>
      </c>
      <c r="AC2519" s="135">
        <f>'National average solar data'!Y$42</f>
        <v>0</v>
      </c>
      <c r="AD2519" s="135">
        <f>'National average solar data'!Z$42</f>
        <v>0</v>
      </c>
    </row>
    <row r="2520" spans="1:30" ht="12.6">
      <c r="A2520" s="10" t="s">
        <v>131</v>
      </c>
      <c r="B2520" s="10">
        <v>329</v>
      </c>
      <c r="C2520" s="10" t="s">
        <v>1515</v>
      </c>
      <c r="D2520" s="388">
        <v>45255</v>
      </c>
      <c r="E2520" s="389">
        <v>45255</v>
      </c>
      <c r="G2520" s="135">
        <f>'National average solar data'!C$42</f>
        <v>0</v>
      </c>
      <c r="H2520" s="135">
        <f>'National average solar data'!D$42</f>
        <v>0</v>
      </c>
      <c r="I2520" s="135">
        <f>'National average solar data'!E$42</f>
        <v>0</v>
      </c>
      <c r="J2520" s="135">
        <f>'National average solar data'!F$42</f>
        <v>0</v>
      </c>
      <c r="K2520" s="135">
        <f>'National average solar data'!G$42</f>
        <v>3.1785999999999999</v>
      </c>
      <c r="L2520" s="135">
        <f>'National average solar data'!H$42</f>
        <v>4.7793999999999999</v>
      </c>
      <c r="M2520" s="135">
        <f>'National average solar data'!I$42</f>
        <v>2.9573999999999998</v>
      </c>
      <c r="N2520" s="135">
        <f>'National average solar data'!J$42</f>
        <v>1.9527000000000001</v>
      </c>
      <c r="O2520" s="135">
        <f>'National average solar data'!K$42</f>
        <v>1.4548000000000001</v>
      </c>
      <c r="P2520" s="135">
        <f>'National average solar data'!L$42</f>
        <v>1.2750999999999999</v>
      </c>
      <c r="Q2520" s="135">
        <f>'National average solar data'!M$42</f>
        <v>1.1942999999999999</v>
      </c>
      <c r="R2520" s="135">
        <f>'National average solar data'!N$42</f>
        <v>1.1773</v>
      </c>
      <c r="S2520" s="135">
        <f>'National average solar data'!O$42</f>
        <v>1.1718</v>
      </c>
      <c r="T2520" s="135">
        <f>'National average solar data'!P$42</f>
        <v>1.1709000000000001</v>
      </c>
      <c r="U2520" s="135">
        <f>'National average solar data'!Q$42</f>
        <v>1.1863999999999999</v>
      </c>
      <c r="V2520" s="135">
        <f>'National average solar data'!R$42</f>
        <v>1.2403999999999999</v>
      </c>
      <c r="W2520" s="135">
        <f>'National average solar data'!S$42</f>
        <v>1.3688</v>
      </c>
      <c r="X2520" s="135">
        <f>'National average solar data'!T$42</f>
        <v>1.6334</v>
      </c>
      <c r="Y2520" s="135">
        <f>'National average solar data'!U$42</f>
        <v>2.1362999999999999</v>
      </c>
      <c r="Z2520" s="135">
        <f>'National average solar data'!V$42</f>
        <v>1.26</v>
      </c>
      <c r="AA2520" s="135">
        <f>'National average solar data'!W$42</f>
        <v>1.7078</v>
      </c>
      <c r="AB2520" s="135">
        <f>'National average solar data'!X$42</f>
        <v>0</v>
      </c>
      <c r="AC2520" s="135">
        <f>'National average solar data'!Y$42</f>
        <v>0</v>
      </c>
      <c r="AD2520" s="135">
        <f>'National average solar data'!Z$42</f>
        <v>0</v>
      </c>
    </row>
    <row r="2521" spans="1:30" ht="12.6">
      <c r="A2521" s="10" t="s">
        <v>131</v>
      </c>
      <c r="B2521" s="10">
        <v>330</v>
      </c>
      <c r="C2521" s="10" t="s">
        <v>1515</v>
      </c>
      <c r="D2521" s="388">
        <v>45256</v>
      </c>
      <c r="E2521" s="389">
        <v>45256</v>
      </c>
      <c r="G2521" s="135">
        <f>'National average solar data'!C$42</f>
        <v>0</v>
      </c>
      <c r="H2521" s="135">
        <f>'National average solar data'!D$42</f>
        <v>0</v>
      </c>
      <c r="I2521" s="135">
        <f>'National average solar data'!E$42</f>
        <v>0</v>
      </c>
      <c r="J2521" s="135">
        <f>'National average solar data'!F$42</f>
        <v>0</v>
      </c>
      <c r="K2521" s="135">
        <f>'National average solar data'!G$42</f>
        <v>3.1785999999999999</v>
      </c>
      <c r="L2521" s="135">
        <f>'National average solar data'!H$42</f>
        <v>4.7793999999999999</v>
      </c>
      <c r="M2521" s="135">
        <f>'National average solar data'!I$42</f>
        <v>2.9573999999999998</v>
      </c>
      <c r="N2521" s="135">
        <f>'National average solar data'!J$42</f>
        <v>1.9527000000000001</v>
      </c>
      <c r="O2521" s="135">
        <f>'National average solar data'!K$42</f>
        <v>1.4548000000000001</v>
      </c>
      <c r="P2521" s="135">
        <f>'National average solar data'!L$42</f>
        <v>1.2750999999999999</v>
      </c>
      <c r="Q2521" s="135">
        <f>'National average solar data'!M$42</f>
        <v>1.1942999999999999</v>
      </c>
      <c r="R2521" s="135">
        <f>'National average solar data'!N$42</f>
        <v>1.1773</v>
      </c>
      <c r="S2521" s="135">
        <f>'National average solar data'!O$42</f>
        <v>1.1718</v>
      </c>
      <c r="T2521" s="135">
        <f>'National average solar data'!P$42</f>
        <v>1.1709000000000001</v>
      </c>
      <c r="U2521" s="135">
        <f>'National average solar data'!Q$42</f>
        <v>1.1863999999999999</v>
      </c>
      <c r="V2521" s="135">
        <f>'National average solar data'!R$42</f>
        <v>1.2403999999999999</v>
      </c>
      <c r="W2521" s="135">
        <f>'National average solar data'!S$42</f>
        <v>1.3688</v>
      </c>
      <c r="X2521" s="135">
        <f>'National average solar data'!T$42</f>
        <v>1.6334</v>
      </c>
      <c r="Y2521" s="135">
        <f>'National average solar data'!U$42</f>
        <v>2.1362999999999999</v>
      </c>
      <c r="Z2521" s="135">
        <f>'National average solar data'!V$42</f>
        <v>1.26</v>
      </c>
      <c r="AA2521" s="135">
        <f>'National average solar data'!W$42</f>
        <v>1.7078</v>
      </c>
      <c r="AB2521" s="135">
        <f>'National average solar data'!X$42</f>
        <v>0</v>
      </c>
      <c r="AC2521" s="135">
        <f>'National average solar data'!Y$42</f>
        <v>0</v>
      </c>
      <c r="AD2521" s="135">
        <f>'National average solar data'!Z$42</f>
        <v>0</v>
      </c>
    </row>
    <row r="2522" spans="1:30" ht="12.6">
      <c r="A2522" s="10" t="s">
        <v>131</v>
      </c>
      <c r="B2522" s="10">
        <v>331</v>
      </c>
      <c r="C2522" s="10" t="s">
        <v>1515</v>
      </c>
      <c r="D2522" s="388">
        <v>45257</v>
      </c>
      <c r="E2522" s="389">
        <v>45257</v>
      </c>
      <c r="G2522" s="135">
        <f>'National average solar data'!C$42</f>
        <v>0</v>
      </c>
      <c r="H2522" s="135">
        <f>'National average solar data'!D$42</f>
        <v>0</v>
      </c>
      <c r="I2522" s="135">
        <f>'National average solar data'!E$42</f>
        <v>0</v>
      </c>
      <c r="J2522" s="135">
        <f>'National average solar data'!F$42</f>
        <v>0</v>
      </c>
      <c r="K2522" s="135">
        <f>'National average solar data'!G$42</f>
        <v>3.1785999999999999</v>
      </c>
      <c r="L2522" s="135">
        <f>'National average solar data'!H$42</f>
        <v>4.7793999999999999</v>
      </c>
      <c r="M2522" s="135">
        <f>'National average solar data'!I$42</f>
        <v>2.9573999999999998</v>
      </c>
      <c r="N2522" s="135">
        <f>'National average solar data'!J$42</f>
        <v>1.9527000000000001</v>
      </c>
      <c r="O2522" s="135">
        <f>'National average solar data'!K$42</f>
        <v>1.4548000000000001</v>
      </c>
      <c r="P2522" s="135">
        <f>'National average solar data'!L$42</f>
        <v>1.2750999999999999</v>
      </c>
      <c r="Q2522" s="135">
        <f>'National average solar data'!M$42</f>
        <v>1.1942999999999999</v>
      </c>
      <c r="R2522" s="135">
        <f>'National average solar data'!N$42</f>
        <v>1.1773</v>
      </c>
      <c r="S2522" s="135">
        <f>'National average solar data'!O$42</f>
        <v>1.1718</v>
      </c>
      <c r="T2522" s="135">
        <f>'National average solar data'!P$42</f>
        <v>1.1709000000000001</v>
      </c>
      <c r="U2522" s="135">
        <f>'National average solar data'!Q$42</f>
        <v>1.1863999999999999</v>
      </c>
      <c r="V2522" s="135">
        <f>'National average solar data'!R$42</f>
        <v>1.2403999999999999</v>
      </c>
      <c r="W2522" s="135">
        <f>'National average solar data'!S$42</f>
        <v>1.3688</v>
      </c>
      <c r="X2522" s="135">
        <f>'National average solar data'!T$42</f>
        <v>1.6334</v>
      </c>
      <c r="Y2522" s="135">
        <f>'National average solar data'!U$42</f>
        <v>2.1362999999999999</v>
      </c>
      <c r="Z2522" s="135">
        <f>'National average solar data'!V$42</f>
        <v>1.26</v>
      </c>
      <c r="AA2522" s="135">
        <f>'National average solar data'!W$42</f>
        <v>1.7078</v>
      </c>
      <c r="AB2522" s="135">
        <f>'National average solar data'!X$42</f>
        <v>0</v>
      </c>
      <c r="AC2522" s="135">
        <f>'National average solar data'!Y$42</f>
        <v>0</v>
      </c>
      <c r="AD2522" s="135">
        <f>'National average solar data'!Z$42</f>
        <v>0</v>
      </c>
    </row>
    <row r="2523" spans="1:30" ht="12.6">
      <c r="A2523" s="10" t="s">
        <v>131</v>
      </c>
      <c r="B2523" s="10">
        <v>332</v>
      </c>
      <c r="C2523" s="10" t="s">
        <v>1515</v>
      </c>
      <c r="D2523" s="388">
        <v>45258</v>
      </c>
      <c r="E2523" s="389">
        <v>45258</v>
      </c>
      <c r="G2523" s="135">
        <f>'National average solar data'!C$42</f>
        <v>0</v>
      </c>
      <c r="H2523" s="135">
        <f>'National average solar data'!D$42</f>
        <v>0</v>
      </c>
      <c r="I2523" s="135">
        <f>'National average solar data'!E$42</f>
        <v>0</v>
      </c>
      <c r="J2523" s="135">
        <f>'National average solar data'!F$42</f>
        <v>0</v>
      </c>
      <c r="K2523" s="135">
        <f>'National average solar data'!G$42</f>
        <v>3.1785999999999999</v>
      </c>
      <c r="L2523" s="135">
        <f>'National average solar data'!H$42</f>
        <v>4.7793999999999999</v>
      </c>
      <c r="M2523" s="135">
        <f>'National average solar data'!I$42</f>
        <v>2.9573999999999998</v>
      </c>
      <c r="N2523" s="135">
        <f>'National average solar data'!J$42</f>
        <v>1.9527000000000001</v>
      </c>
      <c r="O2523" s="135">
        <f>'National average solar data'!K$42</f>
        <v>1.4548000000000001</v>
      </c>
      <c r="P2523" s="135">
        <f>'National average solar data'!L$42</f>
        <v>1.2750999999999999</v>
      </c>
      <c r="Q2523" s="135">
        <f>'National average solar data'!M$42</f>
        <v>1.1942999999999999</v>
      </c>
      <c r="R2523" s="135">
        <f>'National average solar data'!N$42</f>
        <v>1.1773</v>
      </c>
      <c r="S2523" s="135">
        <f>'National average solar data'!O$42</f>
        <v>1.1718</v>
      </c>
      <c r="T2523" s="135">
        <f>'National average solar data'!P$42</f>
        <v>1.1709000000000001</v>
      </c>
      <c r="U2523" s="135">
        <f>'National average solar data'!Q$42</f>
        <v>1.1863999999999999</v>
      </c>
      <c r="V2523" s="135">
        <f>'National average solar data'!R$42</f>
        <v>1.2403999999999999</v>
      </c>
      <c r="W2523" s="135">
        <f>'National average solar data'!S$42</f>
        <v>1.3688</v>
      </c>
      <c r="X2523" s="135">
        <f>'National average solar data'!T$42</f>
        <v>1.6334</v>
      </c>
      <c r="Y2523" s="135">
        <f>'National average solar data'!U$42</f>
        <v>2.1362999999999999</v>
      </c>
      <c r="Z2523" s="135">
        <f>'National average solar data'!V$42</f>
        <v>1.26</v>
      </c>
      <c r="AA2523" s="135">
        <f>'National average solar data'!W$42</f>
        <v>1.7078</v>
      </c>
      <c r="AB2523" s="135">
        <f>'National average solar data'!X$42</f>
        <v>0</v>
      </c>
      <c r="AC2523" s="135">
        <f>'National average solar data'!Y$42</f>
        <v>0</v>
      </c>
      <c r="AD2523" s="135">
        <f>'National average solar data'!Z$42</f>
        <v>0</v>
      </c>
    </row>
    <row r="2524" spans="1:30" ht="12.6">
      <c r="A2524" s="10" t="s">
        <v>131</v>
      </c>
      <c r="B2524" s="10">
        <v>333</v>
      </c>
      <c r="C2524" s="10" t="s">
        <v>1515</v>
      </c>
      <c r="D2524" s="388">
        <v>45259</v>
      </c>
      <c r="E2524" s="389">
        <v>45259</v>
      </c>
      <c r="G2524" s="135">
        <f>'National average solar data'!C$42</f>
        <v>0</v>
      </c>
      <c r="H2524" s="135">
        <f>'National average solar data'!D$42</f>
        <v>0</v>
      </c>
      <c r="I2524" s="135">
        <f>'National average solar data'!E$42</f>
        <v>0</v>
      </c>
      <c r="J2524" s="135">
        <f>'National average solar data'!F$42</f>
        <v>0</v>
      </c>
      <c r="K2524" s="135">
        <f>'National average solar data'!G$42</f>
        <v>3.1785999999999999</v>
      </c>
      <c r="L2524" s="135">
        <f>'National average solar data'!H$42</f>
        <v>4.7793999999999999</v>
      </c>
      <c r="M2524" s="135">
        <f>'National average solar data'!I$42</f>
        <v>2.9573999999999998</v>
      </c>
      <c r="N2524" s="135">
        <f>'National average solar data'!J$42</f>
        <v>1.9527000000000001</v>
      </c>
      <c r="O2524" s="135">
        <f>'National average solar data'!K$42</f>
        <v>1.4548000000000001</v>
      </c>
      <c r="P2524" s="135">
        <f>'National average solar data'!L$42</f>
        <v>1.2750999999999999</v>
      </c>
      <c r="Q2524" s="135">
        <f>'National average solar data'!M$42</f>
        <v>1.1942999999999999</v>
      </c>
      <c r="R2524" s="135">
        <f>'National average solar data'!N$42</f>
        <v>1.1773</v>
      </c>
      <c r="S2524" s="135">
        <f>'National average solar data'!O$42</f>
        <v>1.1718</v>
      </c>
      <c r="T2524" s="135">
        <f>'National average solar data'!P$42</f>
        <v>1.1709000000000001</v>
      </c>
      <c r="U2524" s="135">
        <f>'National average solar data'!Q$42</f>
        <v>1.1863999999999999</v>
      </c>
      <c r="V2524" s="135">
        <f>'National average solar data'!R$42</f>
        <v>1.2403999999999999</v>
      </c>
      <c r="W2524" s="135">
        <f>'National average solar data'!S$42</f>
        <v>1.3688</v>
      </c>
      <c r="X2524" s="135">
        <f>'National average solar data'!T$42</f>
        <v>1.6334</v>
      </c>
      <c r="Y2524" s="135">
        <f>'National average solar data'!U$42</f>
        <v>2.1362999999999999</v>
      </c>
      <c r="Z2524" s="135">
        <f>'National average solar data'!V$42</f>
        <v>1.26</v>
      </c>
      <c r="AA2524" s="135">
        <f>'National average solar data'!W$42</f>
        <v>1.7078</v>
      </c>
      <c r="AB2524" s="135">
        <f>'National average solar data'!X$42</f>
        <v>0</v>
      </c>
      <c r="AC2524" s="135">
        <f>'National average solar data'!Y$42</f>
        <v>0</v>
      </c>
      <c r="AD2524" s="135">
        <f>'National average solar data'!Z$42</f>
        <v>0</v>
      </c>
    </row>
    <row r="2525" spans="1:30" ht="12.6">
      <c r="A2525" s="10" t="s">
        <v>131</v>
      </c>
      <c r="B2525" s="10">
        <v>334</v>
      </c>
      <c r="C2525" s="10" t="s">
        <v>1515</v>
      </c>
      <c r="D2525" s="388">
        <v>45260</v>
      </c>
      <c r="E2525" s="389">
        <v>45260</v>
      </c>
      <c r="G2525" s="135">
        <f>'National average solar data'!C$42</f>
        <v>0</v>
      </c>
      <c r="H2525" s="135">
        <f>'National average solar data'!D$42</f>
        <v>0</v>
      </c>
      <c r="I2525" s="135">
        <f>'National average solar data'!E$42</f>
        <v>0</v>
      </c>
      <c r="J2525" s="135">
        <f>'National average solar data'!F$42</f>
        <v>0</v>
      </c>
      <c r="K2525" s="135">
        <f>'National average solar data'!G$42</f>
        <v>3.1785999999999999</v>
      </c>
      <c r="L2525" s="135">
        <f>'National average solar data'!H$42</f>
        <v>4.7793999999999999</v>
      </c>
      <c r="M2525" s="135">
        <f>'National average solar data'!I$42</f>
        <v>2.9573999999999998</v>
      </c>
      <c r="N2525" s="135">
        <f>'National average solar data'!J$42</f>
        <v>1.9527000000000001</v>
      </c>
      <c r="O2525" s="135">
        <f>'National average solar data'!K$42</f>
        <v>1.4548000000000001</v>
      </c>
      <c r="P2525" s="135">
        <f>'National average solar data'!L$42</f>
        <v>1.2750999999999999</v>
      </c>
      <c r="Q2525" s="135">
        <f>'National average solar data'!M$42</f>
        <v>1.1942999999999999</v>
      </c>
      <c r="R2525" s="135">
        <f>'National average solar data'!N$42</f>
        <v>1.1773</v>
      </c>
      <c r="S2525" s="135">
        <f>'National average solar data'!O$42</f>
        <v>1.1718</v>
      </c>
      <c r="T2525" s="135">
        <f>'National average solar data'!P$42</f>
        <v>1.1709000000000001</v>
      </c>
      <c r="U2525" s="135">
        <f>'National average solar data'!Q$42</f>
        <v>1.1863999999999999</v>
      </c>
      <c r="V2525" s="135">
        <f>'National average solar data'!R$42</f>
        <v>1.2403999999999999</v>
      </c>
      <c r="W2525" s="135">
        <f>'National average solar data'!S$42</f>
        <v>1.3688</v>
      </c>
      <c r="X2525" s="135">
        <f>'National average solar data'!T$42</f>
        <v>1.6334</v>
      </c>
      <c r="Y2525" s="135">
        <f>'National average solar data'!U$42</f>
        <v>2.1362999999999999</v>
      </c>
      <c r="Z2525" s="135">
        <f>'National average solar data'!V$42</f>
        <v>1.26</v>
      </c>
      <c r="AA2525" s="135">
        <f>'National average solar data'!W$42</f>
        <v>1.7078</v>
      </c>
      <c r="AB2525" s="135">
        <f>'National average solar data'!X$42</f>
        <v>0</v>
      </c>
      <c r="AC2525" s="135">
        <f>'National average solar data'!Y$42</f>
        <v>0</v>
      </c>
      <c r="AD2525" s="135">
        <f>'National average solar data'!Z$42</f>
        <v>0</v>
      </c>
    </row>
    <row r="2526" spans="1:30" ht="12.6">
      <c r="A2526" s="10" t="s">
        <v>131</v>
      </c>
      <c r="B2526" s="10">
        <v>335</v>
      </c>
      <c r="C2526" s="10" t="s">
        <v>1512</v>
      </c>
      <c r="D2526" s="388">
        <v>45261</v>
      </c>
      <c r="E2526" s="389">
        <v>45261</v>
      </c>
      <c r="G2526" s="135">
        <f>'National average solar data'!C$43</f>
        <v>0</v>
      </c>
      <c r="H2526" s="135">
        <f>'National average solar data'!D$43</f>
        <v>0</v>
      </c>
      <c r="I2526" s="135">
        <f>'National average solar data'!E$43</f>
        <v>0</v>
      </c>
      <c r="J2526" s="135">
        <f>'National average solar data'!F$43</f>
        <v>0</v>
      </c>
      <c r="K2526" s="135">
        <f>'National average solar data'!G$43</f>
        <v>5.2438000000000002</v>
      </c>
      <c r="L2526" s="135">
        <f>'National average solar data'!H$43</f>
        <v>4.2289000000000003</v>
      </c>
      <c r="M2526" s="135">
        <f>'National average solar data'!I$43</f>
        <v>2.6732</v>
      </c>
      <c r="N2526" s="135">
        <f>'National average solar data'!J$43</f>
        <v>1.7943</v>
      </c>
      <c r="O2526" s="135">
        <f>'National average solar data'!K$43</f>
        <v>1.381</v>
      </c>
      <c r="P2526" s="135">
        <f>'National average solar data'!L$43</f>
        <v>1.2574000000000001</v>
      </c>
      <c r="Q2526" s="135">
        <f>'National average solar data'!M$43</f>
        <v>1.2201</v>
      </c>
      <c r="R2526" s="135">
        <f>'National average solar data'!N$43</f>
        <v>1.2252000000000001</v>
      </c>
      <c r="S2526" s="135">
        <f>'National average solar data'!O$43</f>
        <v>1.2295</v>
      </c>
      <c r="T2526" s="135">
        <f>'National average solar data'!P$43</f>
        <v>1.2384999999999999</v>
      </c>
      <c r="U2526" s="135">
        <f>'National average solar data'!Q$43</f>
        <v>1.2741</v>
      </c>
      <c r="V2526" s="135">
        <f>'National average solar data'!R$43</f>
        <v>1.3718999999999999</v>
      </c>
      <c r="W2526" s="135">
        <f>'National average solar data'!S$43</f>
        <v>1.62</v>
      </c>
      <c r="X2526" s="135">
        <f>'National average solar data'!T$43</f>
        <v>2.2570999999999999</v>
      </c>
      <c r="Y2526" s="135">
        <f>'National average solar data'!U$43</f>
        <v>3.1484999999999999</v>
      </c>
      <c r="Z2526" s="135">
        <f>'National average solar data'!V$43</f>
        <v>4.5765000000000002</v>
      </c>
      <c r="AA2526" s="135">
        <f>'National average solar data'!W$43</f>
        <v>4.5842999999999998</v>
      </c>
      <c r="AB2526" s="135">
        <f>'National average solar data'!X$43</f>
        <v>0</v>
      </c>
      <c r="AC2526" s="135">
        <f>'National average solar data'!Y$43</f>
        <v>0</v>
      </c>
      <c r="AD2526" s="135">
        <f>'National average solar data'!Z$43</f>
        <v>0</v>
      </c>
    </row>
    <row r="2527" spans="1:30" ht="12.6">
      <c r="A2527" s="10" t="s">
        <v>131</v>
      </c>
      <c r="B2527" s="10">
        <v>336</v>
      </c>
      <c r="C2527" s="10" t="s">
        <v>1512</v>
      </c>
      <c r="D2527" s="388">
        <v>45262</v>
      </c>
      <c r="E2527" s="389">
        <v>45262</v>
      </c>
      <c r="G2527" s="135">
        <f>'National average solar data'!C$43</f>
        <v>0</v>
      </c>
      <c r="H2527" s="135">
        <f>'National average solar data'!D$43</f>
        <v>0</v>
      </c>
      <c r="I2527" s="135">
        <f>'National average solar data'!E$43</f>
        <v>0</v>
      </c>
      <c r="J2527" s="135">
        <f>'National average solar data'!F$43</f>
        <v>0</v>
      </c>
      <c r="K2527" s="135">
        <f>'National average solar data'!G$43</f>
        <v>5.2438000000000002</v>
      </c>
      <c r="L2527" s="135">
        <f>'National average solar data'!H$43</f>
        <v>4.2289000000000003</v>
      </c>
      <c r="M2527" s="135">
        <f>'National average solar data'!I$43</f>
        <v>2.6732</v>
      </c>
      <c r="N2527" s="135">
        <f>'National average solar data'!J$43</f>
        <v>1.7943</v>
      </c>
      <c r="O2527" s="135">
        <f>'National average solar data'!K$43</f>
        <v>1.381</v>
      </c>
      <c r="P2527" s="135">
        <f>'National average solar data'!L$43</f>
        <v>1.2574000000000001</v>
      </c>
      <c r="Q2527" s="135">
        <f>'National average solar data'!M$43</f>
        <v>1.2201</v>
      </c>
      <c r="R2527" s="135">
        <f>'National average solar data'!N$43</f>
        <v>1.2252000000000001</v>
      </c>
      <c r="S2527" s="135">
        <f>'National average solar data'!O$43</f>
        <v>1.2295</v>
      </c>
      <c r="T2527" s="135">
        <f>'National average solar data'!P$43</f>
        <v>1.2384999999999999</v>
      </c>
      <c r="U2527" s="135">
        <f>'National average solar data'!Q$43</f>
        <v>1.2741</v>
      </c>
      <c r="V2527" s="135">
        <f>'National average solar data'!R$43</f>
        <v>1.3718999999999999</v>
      </c>
      <c r="W2527" s="135">
        <f>'National average solar data'!S$43</f>
        <v>1.62</v>
      </c>
      <c r="X2527" s="135">
        <f>'National average solar data'!T$43</f>
        <v>2.2570999999999999</v>
      </c>
      <c r="Y2527" s="135">
        <f>'National average solar data'!U$43</f>
        <v>3.1484999999999999</v>
      </c>
      <c r="Z2527" s="135">
        <f>'National average solar data'!V$43</f>
        <v>4.5765000000000002</v>
      </c>
      <c r="AA2527" s="135">
        <f>'National average solar data'!W$43</f>
        <v>4.5842999999999998</v>
      </c>
      <c r="AB2527" s="135">
        <f>'National average solar data'!X$43</f>
        <v>0</v>
      </c>
      <c r="AC2527" s="135">
        <f>'National average solar data'!Y$43</f>
        <v>0</v>
      </c>
      <c r="AD2527" s="135">
        <f>'National average solar data'!Z$43</f>
        <v>0</v>
      </c>
    </row>
    <row r="2528" spans="1:30" ht="12.6">
      <c r="A2528" s="10" t="s">
        <v>131</v>
      </c>
      <c r="B2528" s="10">
        <v>337</v>
      </c>
      <c r="C2528" s="10" t="s">
        <v>1512</v>
      </c>
      <c r="D2528" s="388">
        <v>45263</v>
      </c>
      <c r="E2528" s="389">
        <v>45263</v>
      </c>
      <c r="G2528" s="135">
        <f>'National average solar data'!C$43</f>
        <v>0</v>
      </c>
      <c r="H2528" s="135">
        <f>'National average solar data'!D$43</f>
        <v>0</v>
      </c>
      <c r="I2528" s="135">
        <f>'National average solar data'!E$43</f>
        <v>0</v>
      </c>
      <c r="J2528" s="135">
        <f>'National average solar data'!F$43</f>
        <v>0</v>
      </c>
      <c r="K2528" s="135">
        <f>'National average solar data'!G$43</f>
        <v>5.2438000000000002</v>
      </c>
      <c r="L2528" s="135">
        <f>'National average solar data'!H$43</f>
        <v>4.2289000000000003</v>
      </c>
      <c r="M2528" s="135">
        <f>'National average solar data'!I$43</f>
        <v>2.6732</v>
      </c>
      <c r="N2528" s="135">
        <f>'National average solar data'!J$43</f>
        <v>1.7943</v>
      </c>
      <c r="O2528" s="135">
        <f>'National average solar data'!K$43</f>
        <v>1.381</v>
      </c>
      <c r="P2528" s="135">
        <f>'National average solar data'!L$43</f>
        <v>1.2574000000000001</v>
      </c>
      <c r="Q2528" s="135">
        <f>'National average solar data'!M$43</f>
        <v>1.2201</v>
      </c>
      <c r="R2528" s="135">
        <f>'National average solar data'!N$43</f>
        <v>1.2252000000000001</v>
      </c>
      <c r="S2528" s="135">
        <f>'National average solar data'!O$43</f>
        <v>1.2295</v>
      </c>
      <c r="T2528" s="135">
        <f>'National average solar data'!P$43</f>
        <v>1.2384999999999999</v>
      </c>
      <c r="U2528" s="135">
        <f>'National average solar data'!Q$43</f>
        <v>1.2741</v>
      </c>
      <c r="V2528" s="135">
        <f>'National average solar data'!R$43</f>
        <v>1.3718999999999999</v>
      </c>
      <c r="W2528" s="135">
        <f>'National average solar data'!S$43</f>
        <v>1.62</v>
      </c>
      <c r="X2528" s="135">
        <f>'National average solar data'!T$43</f>
        <v>2.2570999999999999</v>
      </c>
      <c r="Y2528" s="135">
        <f>'National average solar data'!U$43</f>
        <v>3.1484999999999999</v>
      </c>
      <c r="Z2528" s="135">
        <f>'National average solar data'!V$43</f>
        <v>4.5765000000000002</v>
      </c>
      <c r="AA2528" s="135">
        <f>'National average solar data'!W$43</f>
        <v>4.5842999999999998</v>
      </c>
      <c r="AB2528" s="135">
        <f>'National average solar data'!X$43</f>
        <v>0</v>
      </c>
      <c r="AC2528" s="135">
        <f>'National average solar data'!Y$43</f>
        <v>0</v>
      </c>
      <c r="AD2528" s="135">
        <f>'National average solar data'!Z$43</f>
        <v>0</v>
      </c>
    </row>
    <row r="2529" spans="1:30" ht="12.6">
      <c r="A2529" s="10" t="s">
        <v>131</v>
      </c>
      <c r="B2529" s="10">
        <v>338</v>
      </c>
      <c r="C2529" s="10" t="s">
        <v>1512</v>
      </c>
      <c r="D2529" s="388">
        <v>45264</v>
      </c>
      <c r="E2529" s="389">
        <v>45264</v>
      </c>
      <c r="G2529" s="135">
        <f>'National average solar data'!C$43</f>
        <v>0</v>
      </c>
      <c r="H2529" s="135">
        <f>'National average solar data'!D$43</f>
        <v>0</v>
      </c>
      <c r="I2529" s="135">
        <f>'National average solar data'!E$43</f>
        <v>0</v>
      </c>
      <c r="J2529" s="135">
        <f>'National average solar data'!F$43</f>
        <v>0</v>
      </c>
      <c r="K2529" s="135">
        <f>'National average solar data'!G$43</f>
        <v>5.2438000000000002</v>
      </c>
      <c r="L2529" s="135">
        <f>'National average solar data'!H$43</f>
        <v>4.2289000000000003</v>
      </c>
      <c r="M2529" s="135">
        <f>'National average solar data'!I$43</f>
        <v>2.6732</v>
      </c>
      <c r="N2529" s="135">
        <f>'National average solar data'!J$43</f>
        <v>1.7943</v>
      </c>
      <c r="O2529" s="135">
        <f>'National average solar data'!K$43</f>
        <v>1.381</v>
      </c>
      <c r="P2529" s="135">
        <f>'National average solar data'!L$43</f>
        <v>1.2574000000000001</v>
      </c>
      <c r="Q2529" s="135">
        <f>'National average solar data'!M$43</f>
        <v>1.2201</v>
      </c>
      <c r="R2529" s="135">
        <f>'National average solar data'!N$43</f>
        <v>1.2252000000000001</v>
      </c>
      <c r="S2529" s="135">
        <f>'National average solar data'!O$43</f>
        <v>1.2295</v>
      </c>
      <c r="T2529" s="135">
        <f>'National average solar data'!P$43</f>
        <v>1.2384999999999999</v>
      </c>
      <c r="U2529" s="135">
        <f>'National average solar data'!Q$43</f>
        <v>1.2741</v>
      </c>
      <c r="V2529" s="135">
        <f>'National average solar data'!R$43</f>
        <v>1.3718999999999999</v>
      </c>
      <c r="W2529" s="135">
        <f>'National average solar data'!S$43</f>
        <v>1.62</v>
      </c>
      <c r="X2529" s="135">
        <f>'National average solar data'!T$43</f>
        <v>2.2570999999999999</v>
      </c>
      <c r="Y2529" s="135">
        <f>'National average solar data'!U$43</f>
        <v>3.1484999999999999</v>
      </c>
      <c r="Z2529" s="135">
        <f>'National average solar data'!V$43</f>
        <v>4.5765000000000002</v>
      </c>
      <c r="AA2529" s="135">
        <f>'National average solar data'!W$43</f>
        <v>4.5842999999999998</v>
      </c>
      <c r="AB2529" s="135">
        <f>'National average solar data'!X$43</f>
        <v>0</v>
      </c>
      <c r="AC2529" s="135">
        <f>'National average solar data'!Y$43</f>
        <v>0</v>
      </c>
      <c r="AD2529" s="135">
        <f>'National average solar data'!Z$43</f>
        <v>0</v>
      </c>
    </row>
    <row r="2530" spans="1:30" ht="12.6">
      <c r="A2530" s="10" t="s">
        <v>131</v>
      </c>
      <c r="B2530" s="10">
        <v>339</v>
      </c>
      <c r="C2530" s="10" t="s">
        <v>1512</v>
      </c>
      <c r="D2530" s="388">
        <v>45265</v>
      </c>
      <c r="E2530" s="389">
        <v>45265</v>
      </c>
      <c r="G2530" s="135">
        <f>'National average solar data'!C$43</f>
        <v>0</v>
      </c>
      <c r="H2530" s="135">
        <f>'National average solar data'!D$43</f>
        <v>0</v>
      </c>
      <c r="I2530" s="135">
        <f>'National average solar data'!E$43</f>
        <v>0</v>
      </c>
      <c r="J2530" s="135">
        <f>'National average solar data'!F$43</f>
        <v>0</v>
      </c>
      <c r="K2530" s="135">
        <f>'National average solar data'!G$43</f>
        <v>5.2438000000000002</v>
      </c>
      <c r="L2530" s="135">
        <f>'National average solar data'!H$43</f>
        <v>4.2289000000000003</v>
      </c>
      <c r="M2530" s="135">
        <f>'National average solar data'!I$43</f>
        <v>2.6732</v>
      </c>
      <c r="N2530" s="135">
        <f>'National average solar data'!J$43</f>
        <v>1.7943</v>
      </c>
      <c r="O2530" s="135">
        <f>'National average solar data'!K$43</f>
        <v>1.381</v>
      </c>
      <c r="P2530" s="135">
        <f>'National average solar data'!L$43</f>
        <v>1.2574000000000001</v>
      </c>
      <c r="Q2530" s="135">
        <f>'National average solar data'!M$43</f>
        <v>1.2201</v>
      </c>
      <c r="R2530" s="135">
        <f>'National average solar data'!N$43</f>
        <v>1.2252000000000001</v>
      </c>
      <c r="S2530" s="135">
        <f>'National average solar data'!O$43</f>
        <v>1.2295</v>
      </c>
      <c r="T2530" s="135">
        <f>'National average solar data'!P$43</f>
        <v>1.2384999999999999</v>
      </c>
      <c r="U2530" s="135">
        <f>'National average solar data'!Q$43</f>
        <v>1.2741</v>
      </c>
      <c r="V2530" s="135">
        <f>'National average solar data'!R$43</f>
        <v>1.3718999999999999</v>
      </c>
      <c r="W2530" s="135">
        <f>'National average solar data'!S$43</f>
        <v>1.62</v>
      </c>
      <c r="X2530" s="135">
        <f>'National average solar data'!T$43</f>
        <v>2.2570999999999999</v>
      </c>
      <c r="Y2530" s="135">
        <f>'National average solar data'!U$43</f>
        <v>3.1484999999999999</v>
      </c>
      <c r="Z2530" s="135">
        <f>'National average solar data'!V$43</f>
        <v>4.5765000000000002</v>
      </c>
      <c r="AA2530" s="135">
        <f>'National average solar data'!W$43</f>
        <v>4.5842999999999998</v>
      </c>
      <c r="AB2530" s="135">
        <f>'National average solar data'!X$43</f>
        <v>0</v>
      </c>
      <c r="AC2530" s="135">
        <f>'National average solar data'!Y$43</f>
        <v>0</v>
      </c>
      <c r="AD2530" s="135">
        <f>'National average solar data'!Z$43</f>
        <v>0</v>
      </c>
    </row>
    <row r="2531" spans="1:30" ht="12.6">
      <c r="A2531" s="10" t="s">
        <v>131</v>
      </c>
      <c r="B2531" s="10">
        <v>340</v>
      </c>
      <c r="C2531" s="10" t="s">
        <v>1512</v>
      </c>
      <c r="D2531" s="388">
        <v>45266</v>
      </c>
      <c r="E2531" s="389">
        <v>45266</v>
      </c>
      <c r="G2531" s="135">
        <f>'National average solar data'!C$43</f>
        <v>0</v>
      </c>
      <c r="H2531" s="135">
        <f>'National average solar data'!D$43</f>
        <v>0</v>
      </c>
      <c r="I2531" s="135">
        <f>'National average solar data'!E$43</f>
        <v>0</v>
      </c>
      <c r="J2531" s="135">
        <f>'National average solar data'!F$43</f>
        <v>0</v>
      </c>
      <c r="K2531" s="135">
        <f>'National average solar data'!G$43</f>
        <v>5.2438000000000002</v>
      </c>
      <c r="L2531" s="135">
        <f>'National average solar data'!H$43</f>
        <v>4.2289000000000003</v>
      </c>
      <c r="M2531" s="135">
        <f>'National average solar data'!I$43</f>
        <v>2.6732</v>
      </c>
      <c r="N2531" s="135">
        <f>'National average solar data'!J$43</f>
        <v>1.7943</v>
      </c>
      <c r="O2531" s="135">
        <f>'National average solar data'!K$43</f>
        <v>1.381</v>
      </c>
      <c r="P2531" s="135">
        <f>'National average solar data'!L$43</f>
        <v>1.2574000000000001</v>
      </c>
      <c r="Q2531" s="135">
        <f>'National average solar data'!M$43</f>
        <v>1.2201</v>
      </c>
      <c r="R2531" s="135">
        <f>'National average solar data'!N$43</f>
        <v>1.2252000000000001</v>
      </c>
      <c r="S2531" s="135">
        <f>'National average solar data'!O$43</f>
        <v>1.2295</v>
      </c>
      <c r="T2531" s="135">
        <f>'National average solar data'!P$43</f>
        <v>1.2384999999999999</v>
      </c>
      <c r="U2531" s="135">
        <f>'National average solar data'!Q$43</f>
        <v>1.2741</v>
      </c>
      <c r="V2531" s="135">
        <f>'National average solar data'!R$43</f>
        <v>1.3718999999999999</v>
      </c>
      <c r="W2531" s="135">
        <f>'National average solar data'!S$43</f>
        <v>1.62</v>
      </c>
      <c r="X2531" s="135">
        <f>'National average solar data'!T$43</f>
        <v>2.2570999999999999</v>
      </c>
      <c r="Y2531" s="135">
        <f>'National average solar data'!U$43</f>
        <v>3.1484999999999999</v>
      </c>
      <c r="Z2531" s="135">
        <f>'National average solar data'!V$43</f>
        <v>4.5765000000000002</v>
      </c>
      <c r="AA2531" s="135">
        <f>'National average solar data'!W$43</f>
        <v>4.5842999999999998</v>
      </c>
      <c r="AB2531" s="135">
        <f>'National average solar data'!X$43</f>
        <v>0</v>
      </c>
      <c r="AC2531" s="135">
        <f>'National average solar data'!Y$43</f>
        <v>0</v>
      </c>
      <c r="AD2531" s="135">
        <f>'National average solar data'!Z$43</f>
        <v>0</v>
      </c>
    </row>
    <row r="2532" spans="1:30" ht="12.6">
      <c r="A2532" s="10" t="s">
        <v>131</v>
      </c>
      <c r="B2532" s="10">
        <v>341</v>
      </c>
      <c r="C2532" s="10" t="s">
        <v>1512</v>
      </c>
      <c r="D2532" s="388">
        <v>45267</v>
      </c>
      <c r="E2532" s="389">
        <v>45267</v>
      </c>
      <c r="G2532" s="135">
        <f>'National average solar data'!C$43</f>
        <v>0</v>
      </c>
      <c r="H2532" s="135">
        <f>'National average solar data'!D$43</f>
        <v>0</v>
      </c>
      <c r="I2532" s="135">
        <f>'National average solar data'!E$43</f>
        <v>0</v>
      </c>
      <c r="J2532" s="135">
        <f>'National average solar data'!F$43</f>
        <v>0</v>
      </c>
      <c r="K2532" s="135">
        <f>'National average solar data'!G$43</f>
        <v>5.2438000000000002</v>
      </c>
      <c r="L2532" s="135">
        <f>'National average solar data'!H$43</f>
        <v>4.2289000000000003</v>
      </c>
      <c r="M2532" s="135">
        <f>'National average solar data'!I$43</f>
        <v>2.6732</v>
      </c>
      <c r="N2532" s="135">
        <f>'National average solar data'!J$43</f>
        <v>1.7943</v>
      </c>
      <c r="O2532" s="135">
        <f>'National average solar data'!K$43</f>
        <v>1.381</v>
      </c>
      <c r="P2532" s="135">
        <f>'National average solar data'!L$43</f>
        <v>1.2574000000000001</v>
      </c>
      <c r="Q2532" s="135">
        <f>'National average solar data'!M$43</f>
        <v>1.2201</v>
      </c>
      <c r="R2532" s="135">
        <f>'National average solar data'!N$43</f>
        <v>1.2252000000000001</v>
      </c>
      <c r="S2532" s="135">
        <f>'National average solar data'!O$43</f>
        <v>1.2295</v>
      </c>
      <c r="T2532" s="135">
        <f>'National average solar data'!P$43</f>
        <v>1.2384999999999999</v>
      </c>
      <c r="U2532" s="135">
        <f>'National average solar data'!Q$43</f>
        <v>1.2741</v>
      </c>
      <c r="V2532" s="135">
        <f>'National average solar data'!R$43</f>
        <v>1.3718999999999999</v>
      </c>
      <c r="W2532" s="135">
        <f>'National average solar data'!S$43</f>
        <v>1.62</v>
      </c>
      <c r="X2532" s="135">
        <f>'National average solar data'!T$43</f>
        <v>2.2570999999999999</v>
      </c>
      <c r="Y2532" s="135">
        <f>'National average solar data'!U$43</f>
        <v>3.1484999999999999</v>
      </c>
      <c r="Z2532" s="135">
        <f>'National average solar data'!V$43</f>
        <v>4.5765000000000002</v>
      </c>
      <c r="AA2532" s="135">
        <f>'National average solar data'!W$43</f>
        <v>4.5842999999999998</v>
      </c>
      <c r="AB2532" s="135">
        <f>'National average solar data'!X$43</f>
        <v>0</v>
      </c>
      <c r="AC2532" s="135">
        <f>'National average solar data'!Y$43</f>
        <v>0</v>
      </c>
      <c r="AD2532" s="135">
        <f>'National average solar data'!Z$43</f>
        <v>0</v>
      </c>
    </row>
    <row r="2533" spans="1:30" ht="12.6">
      <c r="A2533" s="10" t="s">
        <v>131</v>
      </c>
      <c r="B2533" s="10">
        <v>342</v>
      </c>
      <c r="C2533" s="10" t="s">
        <v>1512</v>
      </c>
      <c r="D2533" s="388">
        <v>45268</v>
      </c>
      <c r="E2533" s="389">
        <v>45268</v>
      </c>
      <c r="G2533" s="135">
        <f>'National average solar data'!C$43</f>
        <v>0</v>
      </c>
      <c r="H2533" s="135">
        <f>'National average solar data'!D$43</f>
        <v>0</v>
      </c>
      <c r="I2533" s="135">
        <f>'National average solar data'!E$43</f>
        <v>0</v>
      </c>
      <c r="J2533" s="135">
        <f>'National average solar data'!F$43</f>
        <v>0</v>
      </c>
      <c r="K2533" s="135">
        <f>'National average solar data'!G$43</f>
        <v>5.2438000000000002</v>
      </c>
      <c r="L2533" s="135">
        <f>'National average solar data'!H$43</f>
        <v>4.2289000000000003</v>
      </c>
      <c r="M2533" s="135">
        <f>'National average solar data'!I$43</f>
        <v>2.6732</v>
      </c>
      <c r="N2533" s="135">
        <f>'National average solar data'!J$43</f>
        <v>1.7943</v>
      </c>
      <c r="O2533" s="135">
        <f>'National average solar data'!K$43</f>
        <v>1.381</v>
      </c>
      <c r="P2533" s="135">
        <f>'National average solar data'!L$43</f>
        <v>1.2574000000000001</v>
      </c>
      <c r="Q2533" s="135">
        <f>'National average solar data'!M$43</f>
        <v>1.2201</v>
      </c>
      <c r="R2533" s="135">
        <f>'National average solar data'!N$43</f>
        <v>1.2252000000000001</v>
      </c>
      <c r="S2533" s="135">
        <f>'National average solar data'!O$43</f>
        <v>1.2295</v>
      </c>
      <c r="T2533" s="135">
        <f>'National average solar data'!P$43</f>
        <v>1.2384999999999999</v>
      </c>
      <c r="U2533" s="135">
        <f>'National average solar data'!Q$43</f>
        <v>1.2741</v>
      </c>
      <c r="V2533" s="135">
        <f>'National average solar data'!R$43</f>
        <v>1.3718999999999999</v>
      </c>
      <c r="W2533" s="135">
        <f>'National average solar data'!S$43</f>
        <v>1.62</v>
      </c>
      <c r="X2533" s="135">
        <f>'National average solar data'!T$43</f>
        <v>2.2570999999999999</v>
      </c>
      <c r="Y2533" s="135">
        <f>'National average solar data'!U$43</f>
        <v>3.1484999999999999</v>
      </c>
      <c r="Z2533" s="135">
        <f>'National average solar data'!V$43</f>
        <v>4.5765000000000002</v>
      </c>
      <c r="AA2533" s="135">
        <f>'National average solar data'!W$43</f>
        <v>4.5842999999999998</v>
      </c>
      <c r="AB2533" s="135">
        <f>'National average solar data'!X$43</f>
        <v>0</v>
      </c>
      <c r="AC2533" s="135">
        <f>'National average solar data'!Y$43</f>
        <v>0</v>
      </c>
      <c r="AD2533" s="135">
        <f>'National average solar data'!Z$43</f>
        <v>0</v>
      </c>
    </row>
    <row r="2534" spans="1:30" ht="12.6">
      <c r="A2534" s="10" t="s">
        <v>131</v>
      </c>
      <c r="B2534" s="10">
        <v>343</v>
      </c>
      <c r="C2534" s="10" t="s">
        <v>1512</v>
      </c>
      <c r="D2534" s="388">
        <v>45269</v>
      </c>
      <c r="E2534" s="389">
        <v>45269</v>
      </c>
      <c r="G2534" s="135">
        <f>'National average solar data'!C$43</f>
        <v>0</v>
      </c>
      <c r="H2534" s="135">
        <f>'National average solar data'!D$43</f>
        <v>0</v>
      </c>
      <c r="I2534" s="135">
        <f>'National average solar data'!E$43</f>
        <v>0</v>
      </c>
      <c r="J2534" s="135">
        <f>'National average solar data'!F$43</f>
        <v>0</v>
      </c>
      <c r="K2534" s="135">
        <f>'National average solar data'!G$43</f>
        <v>5.2438000000000002</v>
      </c>
      <c r="L2534" s="135">
        <f>'National average solar data'!H$43</f>
        <v>4.2289000000000003</v>
      </c>
      <c r="M2534" s="135">
        <f>'National average solar data'!I$43</f>
        <v>2.6732</v>
      </c>
      <c r="N2534" s="135">
        <f>'National average solar data'!J$43</f>
        <v>1.7943</v>
      </c>
      <c r="O2534" s="135">
        <f>'National average solar data'!K$43</f>
        <v>1.381</v>
      </c>
      <c r="P2534" s="135">
        <f>'National average solar data'!L$43</f>
        <v>1.2574000000000001</v>
      </c>
      <c r="Q2534" s="135">
        <f>'National average solar data'!M$43</f>
        <v>1.2201</v>
      </c>
      <c r="R2534" s="135">
        <f>'National average solar data'!N$43</f>
        <v>1.2252000000000001</v>
      </c>
      <c r="S2534" s="135">
        <f>'National average solar data'!O$43</f>
        <v>1.2295</v>
      </c>
      <c r="T2534" s="135">
        <f>'National average solar data'!P$43</f>
        <v>1.2384999999999999</v>
      </c>
      <c r="U2534" s="135">
        <f>'National average solar data'!Q$43</f>
        <v>1.2741</v>
      </c>
      <c r="V2534" s="135">
        <f>'National average solar data'!R$43</f>
        <v>1.3718999999999999</v>
      </c>
      <c r="W2534" s="135">
        <f>'National average solar data'!S$43</f>
        <v>1.62</v>
      </c>
      <c r="X2534" s="135">
        <f>'National average solar data'!T$43</f>
        <v>2.2570999999999999</v>
      </c>
      <c r="Y2534" s="135">
        <f>'National average solar data'!U$43</f>
        <v>3.1484999999999999</v>
      </c>
      <c r="Z2534" s="135">
        <f>'National average solar data'!V$43</f>
        <v>4.5765000000000002</v>
      </c>
      <c r="AA2534" s="135">
        <f>'National average solar data'!W$43</f>
        <v>4.5842999999999998</v>
      </c>
      <c r="AB2534" s="135">
        <f>'National average solar data'!X$43</f>
        <v>0</v>
      </c>
      <c r="AC2534" s="135">
        <f>'National average solar data'!Y$43</f>
        <v>0</v>
      </c>
      <c r="AD2534" s="135">
        <f>'National average solar data'!Z$43</f>
        <v>0</v>
      </c>
    </row>
    <row r="2535" spans="1:30" ht="12.6">
      <c r="A2535" s="10" t="s">
        <v>131</v>
      </c>
      <c r="B2535" s="10">
        <v>344</v>
      </c>
      <c r="C2535" s="10" t="s">
        <v>1512</v>
      </c>
      <c r="D2535" s="388">
        <v>45270</v>
      </c>
      <c r="E2535" s="389">
        <v>45270</v>
      </c>
      <c r="G2535" s="135">
        <f>'National average solar data'!C$43</f>
        <v>0</v>
      </c>
      <c r="H2535" s="135">
        <f>'National average solar data'!D$43</f>
        <v>0</v>
      </c>
      <c r="I2535" s="135">
        <f>'National average solar data'!E$43</f>
        <v>0</v>
      </c>
      <c r="J2535" s="135">
        <f>'National average solar data'!F$43</f>
        <v>0</v>
      </c>
      <c r="K2535" s="135">
        <f>'National average solar data'!G$43</f>
        <v>5.2438000000000002</v>
      </c>
      <c r="L2535" s="135">
        <f>'National average solar data'!H$43</f>
        <v>4.2289000000000003</v>
      </c>
      <c r="M2535" s="135">
        <f>'National average solar data'!I$43</f>
        <v>2.6732</v>
      </c>
      <c r="N2535" s="135">
        <f>'National average solar data'!J$43</f>
        <v>1.7943</v>
      </c>
      <c r="O2535" s="135">
        <f>'National average solar data'!K$43</f>
        <v>1.381</v>
      </c>
      <c r="P2535" s="135">
        <f>'National average solar data'!L$43</f>
        <v>1.2574000000000001</v>
      </c>
      <c r="Q2535" s="135">
        <f>'National average solar data'!M$43</f>
        <v>1.2201</v>
      </c>
      <c r="R2535" s="135">
        <f>'National average solar data'!N$43</f>
        <v>1.2252000000000001</v>
      </c>
      <c r="S2535" s="135">
        <f>'National average solar data'!O$43</f>
        <v>1.2295</v>
      </c>
      <c r="T2535" s="135">
        <f>'National average solar data'!P$43</f>
        <v>1.2384999999999999</v>
      </c>
      <c r="U2535" s="135">
        <f>'National average solar data'!Q$43</f>
        <v>1.2741</v>
      </c>
      <c r="V2535" s="135">
        <f>'National average solar data'!R$43</f>
        <v>1.3718999999999999</v>
      </c>
      <c r="W2535" s="135">
        <f>'National average solar data'!S$43</f>
        <v>1.62</v>
      </c>
      <c r="X2535" s="135">
        <f>'National average solar data'!T$43</f>
        <v>2.2570999999999999</v>
      </c>
      <c r="Y2535" s="135">
        <f>'National average solar data'!U$43</f>
        <v>3.1484999999999999</v>
      </c>
      <c r="Z2535" s="135">
        <f>'National average solar data'!V$43</f>
        <v>4.5765000000000002</v>
      </c>
      <c r="AA2535" s="135">
        <f>'National average solar data'!W$43</f>
        <v>4.5842999999999998</v>
      </c>
      <c r="AB2535" s="135">
        <f>'National average solar data'!X$43</f>
        <v>0</v>
      </c>
      <c r="AC2535" s="135">
        <f>'National average solar data'!Y$43</f>
        <v>0</v>
      </c>
      <c r="AD2535" s="135">
        <f>'National average solar data'!Z$43</f>
        <v>0</v>
      </c>
    </row>
    <row r="2536" spans="1:30" ht="12.6">
      <c r="A2536" s="10" t="s">
        <v>131</v>
      </c>
      <c r="B2536" s="10">
        <v>345</v>
      </c>
      <c r="C2536" s="10" t="s">
        <v>1512</v>
      </c>
      <c r="D2536" s="388">
        <v>45271</v>
      </c>
      <c r="E2536" s="389">
        <v>45271</v>
      </c>
      <c r="G2536" s="135">
        <f>'National average solar data'!C$43</f>
        <v>0</v>
      </c>
      <c r="H2536" s="135">
        <f>'National average solar data'!D$43</f>
        <v>0</v>
      </c>
      <c r="I2536" s="135">
        <f>'National average solar data'!E$43</f>
        <v>0</v>
      </c>
      <c r="J2536" s="135">
        <f>'National average solar data'!F$43</f>
        <v>0</v>
      </c>
      <c r="K2536" s="135">
        <f>'National average solar data'!G$43</f>
        <v>5.2438000000000002</v>
      </c>
      <c r="L2536" s="135">
        <f>'National average solar data'!H$43</f>
        <v>4.2289000000000003</v>
      </c>
      <c r="M2536" s="135">
        <f>'National average solar data'!I$43</f>
        <v>2.6732</v>
      </c>
      <c r="N2536" s="135">
        <f>'National average solar data'!J$43</f>
        <v>1.7943</v>
      </c>
      <c r="O2536" s="135">
        <f>'National average solar data'!K$43</f>
        <v>1.381</v>
      </c>
      <c r="P2536" s="135">
        <f>'National average solar data'!L$43</f>
        <v>1.2574000000000001</v>
      </c>
      <c r="Q2536" s="135">
        <f>'National average solar data'!M$43</f>
        <v>1.2201</v>
      </c>
      <c r="R2536" s="135">
        <f>'National average solar data'!N$43</f>
        <v>1.2252000000000001</v>
      </c>
      <c r="S2536" s="135">
        <f>'National average solar data'!O$43</f>
        <v>1.2295</v>
      </c>
      <c r="T2536" s="135">
        <f>'National average solar data'!P$43</f>
        <v>1.2384999999999999</v>
      </c>
      <c r="U2536" s="135">
        <f>'National average solar data'!Q$43</f>
        <v>1.2741</v>
      </c>
      <c r="V2536" s="135">
        <f>'National average solar data'!R$43</f>
        <v>1.3718999999999999</v>
      </c>
      <c r="W2536" s="135">
        <f>'National average solar data'!S$43</f>
        <v>1.62</v>
      </c>
      <c r="X2536" s="135">
        <f>'National average solar data'!T$43</f>
        <v>2.2570999999999999</v>
      </c>
      <c r="Y2536" s="135">
        <f>'National average solar data'!U$43</f>
        <v>3.1484999999999999</v>
      </c>
      <c r="Z2536" s="135">
        <f>'National average solar data'!V$43</f>
        <v>4.5765000000000002</v>
      </c>
      <c r="AA2536" s="135">
        <f>'National average solar data'!W$43</f>
        <v>4.5842999999999998</v>
      </c>
      <c r="AB2536" s="135">
        <f>'National average solar data'!X$43</f>
        <v>0</v>
      </c>
      <c r="AC2536" s="135">
        <f>'National average solar data'!Y$43</f>
        <v>0</v>
      </c>
      <c r="AD2536" s="135">
        <f>'National average solar data'!Z$43</f>
        <v>0</v>
      </c>
    </row>
    <row r="2537" spans="1:30" ht="12.6">
      <c r="A2537" s="10" t="s">
        <v>131</v>
      </c>
      <c r="B2537" s="10">
        <v>346</v>
      </c>
      <c r="C2537" s="10" t="s">
        <v>1512</v>
      </c>
      <c r="D2537" s="388">
        <v>45272</v>
      </c>
      <c r="E2537" s="389">
        <v>45272</v>
      </c>
      <c r="G2537" s="135">
        <f>'National average solar data'!C$43</f>
        <v>0</v>
      </c>
      <c r="H2537" s="135">
        <f>'National average solar data'!D$43</f>
        <v>0</v>
      </c>
      <c r="I2537" s="135">
        <f>'National average solar data'!E$43</f>
        <v>0</v>
      </c>
      <c r="J2537" s="135">
        <f>'National average solar data'!F$43</f>
        <v>0</v>
      </c>
      <c r="K2537" s="135">
        <f>'National average solar data'!G$43</f>
        <v>5.2438000000000002</v>
      </c>
      <c r="L2537" s="135">
        <f>'National average solar data'!H$43</f>
        <v>4.2289000000000003</v>
      </c>
      <c r="M2537" s="135">
        <f>'National average solar data'!I$43</f>
        <v>2.6732</v>
      </c>
      <c r="N2537" s="135">
        <f>'National average solar data'!J$43</f>
        <v>1.7943</v>
      </c>
      <c r="O2537" s="135">
        <f>'National average solar data'!K$43</f>
        <v>1.381</v>
      </c>
      <c r="P2537" s="135">
        <f>'National average solar data'!L$43</f>
        <v>1.2574000000000001</v>
      </c>
      <c r="Q2537" s="135">
        <f>'National average solar data'!M$43</f>
        <v>1.2201</v>
      </c>
      <c r="R2537" s="135">
        <f>'National average solar data'!N$43</f>
        <v>1.2252000000000001</v>
      </c>
      <c r="S2537" s="135">
        <f>'National average solar data'!O$43</f>
        <v>1.2295</v>
      </c>
      <c r="T2537" s="135">
        <f>'National average solar data'!P$43</f>
        <v>1.2384999999999999</v>
      </c>
      <c r="U2537" s="135">
        <f>'National average solar data'!Q$43</f>
        <v>1.2741</v>
      </c>
      <c r="V2537" s="135">
        <f>'National average solar data'!R$43</f>
        <v>1.3718999999999999</v>
      </c>
      <c r="W2537" s="135">
        <f>'National average solar data'!S$43</f>
        <v>1.62</v>
      </c>
      <c r="X2537" s="135">
        <f>'National average solar data'!T$43</f>
        <v>2.2570999999999999</v>
      </c>
      <c r="Y2537" s="135">
        <f>'National average solar data'!U$43</f>
        <v>3.1484999999999999</v>
      </c>
      <c r="Z2537" s="135">
        <f>'National average solar data'!V$43</f>
        <v>4.5765000000000002</v>
      </c>
      <c r="AA2537" s="135">
        <f>'National average solar data'!W$43</f>
        <v>4.5842999999999998</v>
      </c>
      <c r="AB2537" s="135">
        <f>'National average solar data'!X$43</f>
        <v>0</v>
      </c>
      <c r="AC2537" s="135">
        <f>'National average solar data'!Y$43</f>
        <v>0</v>
      </c>
      <c r="AD2537" s="135">
        <f>'National average solar data'!Z$43</f>
        <v>0</v>
      </c>
    </row>
    <row r="2538" spans="1:30" ht="12.6">
      <c r="A2538" s="10" t="s">
        <v>131</v>
      </c>
      <c r="B2538" s="10">
        <v>347</v>
      </c>
      <c r="C2538" s="10" t="s">
        <v>1512</v>
      </c>
      <c r="D2538" s="388">
        <v>45273</v>
      </c>
      <c r="E2538" s="389">
        <v>45273</v>
      </c>
      <c r="G2538" s="135">
        <f>'National average solar data'!C$43</f>
        <v>0</v>
      </c>
      <c r="H2538" s="135">
        <f>'National average solar data'!D$43</f>
        <v>0</v>
      </c>
      <c r="I2538" s="135">
        <f>'National average solar data'!E$43</f>
        <v>0</v>
      </c>
      <c r="J2538" s="135">
        <f>'National average solar data'!F$43</f>
        <v>0</v>
      </c>
      <c r="K2538" s="135">
        <f>'National average solar data'!G$43</f>
        <v>5.2438000000000002</v>
      </c>
      <c r="L2538" s="135">
        <f>'National average solar data'!H$43</f>
        <v>4.2289000000000003</v>
      </c>
      <c r="M2538" s="135">
        <f>'National average solar data'!I$43</f>
        <v>2.6732</v>
      </c>
      <c r="N2538" s="135">
        <f>'National average solar data'!J$43</f>
        <v>1.7943</v>
      </c>
      <c r="O2538" s="135">
        <f>'National average solar data'!K$43</f>
        <v>1.381</v>
      </c>
      <c r="P2538" s="135">
        <f>'National average solar data'!L$43</f>
        <v>1.2574000000000001</v>
      </c>
      <c r="Q2538" s="135">
        <f>'National average solar data'!M$43</f>
        <v>1.2201</v>
      </c>
      <c r="R2538" s="135">
        <f>'National average solar data'!N$43</f>
        <v>1.2252000000000001</v>
      </c>
      <c r="S2538" s="135">
        <f>'National average solar data'!O$43</f>
        <v>1.2295</v>
      </c>
      <c r="T2538" s="135">
        <f>'National average solar data'!P$43</f>
        <v>1.2384999999999999</v>
      </c>
      <c r="U2538" s="135">
        <f>'National average solar data'!Q$43</f>
        <v>1.2741</v>
      </c>
      <c r="V2538" s="135">
        <f>'National average solar data'!R$43</f>
        <v>1.3718999999999999</v>
      </c>
      <c r="W2538" s="135">
        <f>'National average solar data'!S$43</f>
        <v>1.62</v>
      </c>
      <c r="X2538" s="135">
        <f>'National average solar data'!T$43</f>
        <v>2.2570999999999999</v>
      </c>
      <c r="Y2538" s="135">
        <f>'National average solar data'!U$43</f>
        <v>3.1484999999999999</v>
      </c>
      <c r="Z2538" s="135">
        <f>'National average solar data'!V$43</f>
        <v>4.5765000000000002</v>
      </c>
      <c r="AA2538" s="135">
        <f>'National average solar data'!W$43</f>
        <v>4.5842999999999998</v>
      </c>
      <c r="AB2538" s="135">
        <f>'National average solar data'!X$43</f>
        <v>0</v>
      </c>
      <c r="AC2538" s="135">
        <f>'National average solar data'!Y$43</f>
        <v>0</v>
      </c>
      <c r="AD2538" s="135">
        <f>'National average solar data'!Z$43</f>
        <v>0</v>
      </c>
    </row>
    <row r="2539" spans="1:30" ht="12.6">
      <c r="A2539" s="10" t="s">
        <v>131</v>
      </c>
      <c r="B2539" s="10">
        <v>348</v>
      </c>
      <c r="C2539" s="10" t="s">
        <v>1512</v>
      </c>
      <c r="D2539" s="388">
        <v>45274</v>
      </c>
      <c r="E2539" s="389">
        <v>45274</v>
      </c>
      <c r="G2539" s="135">
        <f>'National average solar data'!C$43</f>
        <v>0</v>
      </c>
      <c r="H2539" s="135">
        <f>'National average solar data'!D$43</f>
        <v>0</v>
      </c>
      <c r="I2539" s="135">
        <f>'National average solar data'!E$43</f>
        <v>0</v>
      </c>
      <c r="J2539" s="135">
        <f>'National average solar data'!F$43</f>
        <v>0</v>
      </c>
      <c r="K2539" s="135">
        <f>'National average solar data'!G$43</f>
        <v>5.2438000000000002</v>
      </c>
      <c r="L2539" s="135">
        <f>'National average solar data'!H$43</f>
        <v>4.2289000000000003</v>
      </c>
      <c r="M2539" s="135">
        <f>'National average solar data'!I$43</f>
        <v>2.6732</v>
      </c>
      <c r="N2539" s="135">
        <f>'National average solar data'!J$43</f>
        <v>1.7943</v>
      </c>
      <c r="O2539" s="135">
        <f>'National average solar data'!K$43</f>
        <v>1.381</v>
      </c>
      <c r="P2539" s="135">
        <f>'National average solar data'!L$43</f>
        <v>1.2574000000000001</v>
      </c>
      <c r="Q2539" s="135">
        <f>'National average solar data'!M$43</f>
        <v>1.2201</v>
      </c>
      <c r="R2539" s="135">
        <f>'National average solar data'!N$43</f>
        <v>1.2252000000000001</v>
      </c>
      <c r="S2539" s="135">
        <f>'National average solar data'!O$43</f>
        <v>1.2295</v>
      </c>
      <c r="T2539" s="135">
        <f>'National average solar data'!P$43</f>
        <v>1.2384999999999999</v>
      </c>
      <c r="U2539" s="135">
        <f>'National average solar data'!Q$43</f>
        <v>1.2741</v>
      </c>
      <c r="V2539" s="135">
        <f>'National average solar data'!R$43</f>
        <v>1.3718999999999999</v>
      </c>
      <c r="W2539" s="135">
        <f>'National average solar data'!S$43</f>
        <v>1.62</v>
      </c>
      <c r="X2539" s="135">
        <f>'National average solar data'!T$43</f>
        <v>2.2570999999999999</v>
      </c>
      <c r="Y2539" s="135">
        <f>'National average solar data'!U$43</f>
        <v>3.1484999999999999</v>
      </c>
      <c r="Z2539" s="135">
        <f>'National average solar data'!V$43</f>
        <v>4.5765000000000002</v>
      </c>
      <c r="AA2539" s="135">
        <f>'National average solar data'!W$43</f>
        <v>4.5842999999999998</v>
      </c>
      <c r="AB2539" s="135">
        <f>'National average solar data'!X$43</f>
        <v>0</v>
      </c>
      <c r="AC2539" s="135">
        <f>'National average solar data'!Y$43</f>
        <v>0</v>
      </c>
      <c r="AD2539" s="135">
        <f>'National average solar data'!Z$43</f>
        <v>0</v>
      </c>
    </row>
    <row r="2540" spans="1:30" ht="12.6">
      <c r="A2540" s="10" t="s">
        <v>131</v>
      </c>
      <c r="B2540" s="10">
        <v>349</v>
      </c>
      <c r="C2540" s="10" t="s">
        <v>1512</v>
      </c>
      <c r="D2540" s="388">
        <v>45275</v>
      </c>
      <c r="E2540" s="389">
        <v>45275</v>
      </c>
      <c r="G2540" s="135">
        <f>'National average solar data'!C$43</f>
        <v>0</v>
      </c>
      <c r="H2540" s="135">
        <f>'National average solar data'!D$43</f>
        <v>0</v>
      </c>
      <c r="I2540" s="135">
        <f>'National average solar data'!E$43</f>
        <v>0</v>
      </c>
      <c r="J2540" s="135">
        <f>'National average solar data'!F$43</f>
        <v>0</v>
      </c>
      <c r="K2540" s="135">
        <f>'National average solar data'!G$43</f>
        <v>5.2438000000000002</v>
      </c>
      <c r="L2540" s="135">
        <f>'National average solar data'!H$43</f>
        <v>4.2289000000000003</v>
      </c>
      <c r="M2540" s="135">
        <f>'National average solar data'!I$43</f>
        <v>2.6732</v>
      </c>
      <c r="N2540" s="135">
        <f>'National average solar data'!J$43</f>
        <v>1.7943</v>
      </c>
      <c r="O2540" s="135">
        <f>'National average solar data'!K$43</f>
        <v>1.381</v>
      </c>
      <c r="P2540" s="135">
        <f>'National average solar data'!L$43</f>
        <v>1.2574000000000001</v>
      </c>
      <c r="Q2540" s="135">
        <f>'National average solar data'!M$43</f>
        <v>1.2201</v>
      </c>
      <c r="R2540" s="135">
        <f>'National average solar data'!N$43</f>
        <v>1.2252000000000001</v>
      </c>
      <c r="S2540" s="135">
        <f>'National average solar data'!O$43</f>
        <v>1.2295</v>
      </c>
      <c r="T2540" s="135">
        <f>'National average solar data'!P$43</f>
        <v>1.2384999999999999</v>
      </c>
      <c r="U2540" s="135">
        <f>'National average solar data'!Q$43</f>
        <v>1.2741</v>
      </c>
      <c r="V2540" s="135">
        <f>'National average solar data'!R$43</f>
        <v>1.3718999999999999</v>
      </c>
      <c r="W2540" s="135">
        <f>'National average solar data'!S$43</f>
        <v>1.62</v>
      </c>
      <c r="X2540" s="135">
        <f>'National average solar data'!T$43</f>
        <v>2.2570999999999999</v>
      </c>
      <c r="Y2540" s="135">
        <f>'National average solar data'!U$43</f>
        <v>3.1484999999999999</v>
      </c>
      <c r="Z2540" s="135">
        <f>'National average solar data'!V$43</f>
        <v>4.5765000000000002</v>
      </c>
      <c r="AA2540" s="135">
        <f>'National average solar data'!W$43</f>
        <v>4.5842999999999998</v>
      </c>
      <c r="AB2540" s="135">
        <f>'National average solar data'!X$43</f>
        <v>0</v>
      </c>
      <c r="AC2540" s="135">
        <f>'National average solar data'!Y$43</f>
        <v>0</v>
      </c>
      <c r="AD2540" s="135">
        <f>'National average solar data'!Z$43</f>
        <v>0</v>
      </c>
    </row>
    <row r="2541" spans="1:30" ht="12.6">
      <c r="A2541" s="10" t="s">
        <v>131</v>
      </c>
      <c r="B2541" s="10">
        <v>350</v>
      </c>
      <c r="C2541" s="10" t="s">
        <v>1512</v>
      </c>
      <c r="D2541" s="388">
        <v>45276</v>
      </c>
      <c r="E2541" s="389">
        <v>45276</v>
      </c>
      <c r="G2541" s="135">
        <f>'National average solar data'!C$43</f>
        <v>0</v>
      </c>
      <c r="H2541" s="135">
        <f>'National average solar data'!D$43</f>
        <v>0</v>
      </c>
      <c r="I2541" s="135">
        <f>'National average solar data'!E$43</f>
        <v>0</v>
      </c>
      <c r="J2541" s="135">
        <f>'National average solar data'!F$43</f>
        <v>0</v>
      </c>
      <c r="K2541" s="135">
        <f>'National average solar data'!G$43</f>
        <v>5.2438000000000002</v>
      </c>
      <c r="L2541" s="135">
        <f>'National average solar data'!H$43</f>
        <v>4.2289000000000003</v>
      </c>
      <c r="M2541" s="135">
        <f>'National average solar data'!I$43</f>
        <v>2.6732</v>
      </c>
      <c r="N2541" s="135">
        <f>'National average solar data'!J$43</f>
        <v>1.7943</v>
      </c>
      <c r="O2541" s="135">
        <f>'National average solar data'!K$43</f>
        <v>1.381</v>
      </c>
      <c r="P2541" s="135">
        <f>'National average solar data'!L$43</f>
        <v>1.2574000000000001</v>
      </c>
      <c r="Q2541" s="135">
        <f>'National average solar data'!M$43</f>
        <v>1.2201</v>
      </c>
      <c r="R2541" s="135">
        <f>'National average solar data'!N$43</f>
        <v>1.2252000000000001</v>
      </c>
      <c r="S2541" s="135">
        <f>'National average solar data'!O$43</f>
        <v>1.2295</v>
      </c>
      <c r="T2541" s="135">
        <f>'National average solar data'!P$43</f>
        <v>1.2384999999999999</v>
      </c>
      <c r="U2541" s="135">
        <f>'National average solar data'!Q$43</f>
        <v>1.2741</v>
      </c>
      <c r="V2541" s="135">
        <f>'National average solar data'!R$43</f>
        <v>1.3718999999999999</v>
      </c>
      <c r="W2541" s="135">
        <f>'National average solar data'!S$43</f>
        <v>1.62</v>
      </c>
      <c r="X2541" s="135">
        <f>'National average solar data'!T$43</f>
        <v>2.2570999999999999</v>
      </c>
      <c r="Y2541" s="135">
        <f>'National average solar data'!U$43</f>
        <v>3.1484999999999999</v>
      </c>
      <c r="Z2541" s="135">
        <f>'National average solar data'!V$43</f>
        <v>4.5765000000000002</v>
      </c>
      <c r="AA2541" s="135">
        <f>'National average solar data'!W$43</f>
        <v>4.5842999999999998</v>
      </c>
      <c r="AB2541" s="135">
        <f>'National average solar data'!X$43</f>
        <v>0</v>
      </c>
      <c r="AC2541" s="135">
        <f>'National average solar data'!Y$43</f>
        <v>0</v>
      </c>
      <c r="AD2541" s="135">
        <f>'National average solar data'!Z$43</f>
        <v>0</v>
      </c>
    </row>
    <row r="2542" spans="1:30" ht="12.6">
      <c r="A2542" s="10" t="s">
        <v>131</v>
      </c>
      <c r="B2542" s="10">
        <v>351</v>
      </c>
      <c r="C2542" s="10" t="s">
        <v>1512</v>
      </c>
      <c r="D2542" s="388">
        <v>45277</v>
      </c>
      <c r="E2542" s="389">
        <v>45277</v>
      </c>
      <c r="G2542" s="135">
        <f>'National average solar data'!C$43</f>
        <v>0</v>
      </c>
      <c r="H2542" s="135">
        <f>'National average solar data'!D$43</f>
        <v>0</v>
      </c>
      <c r="I2542" s="135">
        <f>'National average solar data'!E$43</f>
        <v>0</v>
      </c>
      <c r="J2542" s="135">
        <f>'National average solar data'!F$43</f>
        <v>0</v>
      </c>
      <c r="K2542" s="135">
        <f>'National average solar data'!G$43</f>
        <v>5.2438000000000002</v>
      </c>
      <c r="L2542" s="135">
        <f>'National average solar data'!H$43</f>
        <v>4.2289000000000003</v>
      </c>
      <c r="M2542" s="135">
        <f>'National average solar data'!I$43</f>
        <v>2.6732</v>
      </c>
      <c r="N2542" s="135">
        <f>'National average solar data'!J$43</f>
        <v>1.7943</v>
      </c>
      <c r="O2542" s="135">
        <f>'National average solar data'!K$43</f>
        <v>1.381</v>
      </c>
      <c r="P2542" s="135">
        <f>'National average solar data'!L$43</f>
        <v>1.2574000000000001</v>
      </c>
      <c r="Q2542" s="135">
        <f>'National average solar data'!M$43</f>
        <v>1.2201</v>
      </c>
      <c r="R2542" s="135">
        <f>'National average solar data'!N$43</f>
        <v>1.2252000000000001</v>
      </c>
      <c r="S2542" s="135">
        <f>'National average solar data'!O$43</f>
        <v>1.2295</v>
      </c>
      <c r="T2542" s="135">
        <f>'National average solar data'!P$43</f>
        <v>1.2384999999999999</v>
      </c>
      <c r="U2542" s="135">
        <f>'National average solar data'!Q$43</f>
        <v>1.2741</v>
      </c>
      <c r="V2542" s="135">
        <f>'National average solar data'!R$43</f>
        <v>1.3718999999999999</v>
      </c>
      <c r="W2542" s="135">
        <f>'National average solar data'!S$43</f>
        <v>1.62</v>
      </c>
      <c r="X2542" s="135">
        <f>'National average solar data'!T$43</f>
        <v>2.2570999999999999</v>
      </c>
      <c r="Y2542" s="135">
        <f>'National average solar data'!U$43</f>
        <v>3.1484999999999999</v>
      </c>
      <c r="Z2542" s="135">
        <f>'National average solar data'!V$43</f>
        <v>4.5765000000000002</v>
      </c>
      <c r="AA2542" s="135">
        <f>'National average solar data'!W$43</f>
        <v>4.5842999999999998</v>
      </c>
      <c r="AB2542" s="135">
        <f>'National average solar data'!X$43</f>
        <v>0</v>
      </c>
      <c r="AC2542" s="135">
        <f>'National average solar data'!Y$43</f>
        <v>0</v>
      </c>
      <c r="AD2542" s="135">
        <f>'National average solar data'!Z$43</f>
        <v>0</v>
      </c>
    </row>
    <row r="2543" spans="1:30" ht="12.6">
      <c r="A2543" s="10" t="s">
        <v>131</v>
      </c>
      <c r="B2543" s="10">
        <v>352</v>
      </c>
      <c r="C2543" s="10" t="s">
        <v>1512</v>
      </c>
      <c r="D2543" s="388">
        <v>45278</v>
      </c>
      <c r="E2543" s="389">
        <v>45278</v>
      </c>
      <c r="G2543" s="135">
        <f>'National average solar data'!C$43</f>
        <v>0</v>
      </c>
      <c r="H2543" s="135">
        <f>'National average solar data'!D$43</f>
        <v>0</v>
      </c>
      <c r="I2543" s="135">
        <f>'National average solar data'!E$43</f>
        <v>0</v>
      </c>
      <c r="J2543" s="135">
        <f>'National average solar data'!F$43</f>
        <v>0</v>
      </c>
      <c r="K2543" s="135">
        <f>'National average solar data'!G$43</f>
        <v>5.2438000000000002</v>
      </c>
      <c r="L2543" s="135">
        <f>'National average solar data'!H$43</f>
        <v>4.2289000000000003</v>
      </c>
      <c r="M2543" s="135">
        <f>'National average solar data'!I$43</f>
        <v>2.6732</v>
      </c>
      <c r="N2543" s="135">
        <f>'National average solar data'!J$43</f>
        <v>1.7943</v>
      </c>
      <c r="O2543" s="135">
        <f>'National average solar data'!K$43</f>
        <v>1.381</v>
      </c>
      <c r="P2543" s="135">
        <f>'National average solar data'!L$43</f>
        <v>1.2574000000000001</v>
      </c>
      <c r="Q2543" s="135">
        <f>'National average solar data'!M$43</f>
        <v>1.2201</v>
      </c>
      <c r="R2543" s="135">
        <f>'National average solar data'!N$43</f>
        <v>1.2252000000000001</v>
      </c>
      <c r="S2543" s="135">
        <f>'National average solar data'!O$43</f>
        <v>1.2295</v>
      </c>
      <c r="T2543" s="135">
        <f>'National average solar data'!P$43</f>
        <v>1.2384999999999999</v>
      </c>
      <c r="U2543" s="135">
        <f>'National average solar data'!Q$43</f>
        <v>1.2741</v>
      </c>
      <c r="V2543" s="135">
        <f>'National average solar data'!R$43</f>
        <v>1.3718999999999999</v>
      </c>
      <c r="W2543" s="135">
        <f>'National average solar data'!S$43</f>
        <v>1.62</v>
      </c>
      <c r="X2543" s="135">
        <f>'National average solar data'!T$43</f>
        <v>2.2570999999999999</v>
      </c>
      <c r="Y2543" s="135">
        <f>'National average solar data'!U$43</f>
        <v>3.1484999999999999</v>
      </c>
      <c r="Z2543" s="135">
        <f>'National average solar data'!V$43</f>
        <v>4.5765000000000002</v>
      </c>
      <c r="AA2543" s="135">
        <f>'National average solar data'!W$43</f>
        <v>4.5842999999999998</v>
      </c>
      <c r="AB2543" s="135">
        <f>'National average solar data'!X$43</f>
        <v>0</v>
      </c>
      <c r="AC2543" s="135">
        <f>'National average solar data'!Y$43</f>
        <v>0</v>
      </c>
      <c r="AD2543" s="135">
        <f>'National average solar data'!Z$43</f>
        <v>0</v>
      </c>
    </row>
    <row r="2544" spans="1:30" ht="12.6">
      <c r="A2544" s="10" t="s">
        <v>131</v>
      </c>
      <c r="B2544" s="10">
        <v>353</v>
      </c>
      <c r="C2544" s="10" t="s">
        <v>1512</v>
      </c>
      <c r="D2544" s="388">
        <v>45279</v>
      </c>
      <c r="E2544" s="389">
        <v>45279</v>
      </c>
      <c r="G2544" s="135">
        <f>'National average solar data'!C$43</f>
        <v>0</v>
      </c>
      <c r="H2544" s="135">
        <f>'National average solar data'!D$43</f>
        <v>0</v>
      </c>
      <c r="I2544" s="135">
        <f>'National average solar data'!E$43</f>
        <v>0</v>
      </c>
      <c r="J2544" s="135">
        <f>'National average solar data'!F$43</f>
        <v>0</v>
      </c>
      <c r="K2544" s="135">
        <f>'National average solar data'!G$43</f>
        <v>5.2438000000000002</v>
      </c>
      <c r="L2544" s="135">
        <f>'National average solar data'!H$43</f>
        <v>4.2289000000000003</v>
      </c>
      <c r="M2544" s="135">
        <f>'National average solar data'!I$43</f>
        <v>2.6732</v>
      </c>
      <c r="N2544" s="135">
        <f>'National average solar data'!J$43</f>
        <v>1.7943</v>
      </c>
      <c r="O2544" s="135">
        <f>'National average solar data'!K$43</f>
        <v>1.381</v>
      </c>
      <c r="P2544" s="135">
        <f>'National average solar data'!L$43</f>
        <v>1.2574000000000001</v>
      </c>
      <c r="Q2544" s="135">
        <f>'National average solar data'!M$43</f>
        <v>1.2201</v>
      </c>
      <c r="R2544" s="135">
        <f>'National average solar data'!N$43</f>
        <v>1.2252000000000001</v>
      </c>
      <c r="S2544" s="135">
        <f>'National average solar data'!O$43</f>
        <v>1.2295</v>
      </c>
      <c r="T2544" s="135">
        <f>'National average solar data'!P$43</f>
        <v>1.2384999999999999</v>
      </c>
      <c r="U2544" s="135">
        <f>'National average solar data'!Q$43</f>
        <v>1.2741</v>
      </c>
      <c r="V2544" s="135">
        <f>'National average solar data'!R$43</f>
        <v>1.3718999999999999</v>
      </c>
      <c r="W2544" s="135">
        <f>'National average solar data'!S$43</f>
        <v>1.62</v>
      </c>
      <c r="X2544" s="135">
        <f>'National average solar data'!T$43</f>
        <v>2.2570999999999999</v>
      </c>
      <c r="Y2544" s="135">
        <f>'National average solar data'!U$43</f>
        <v>3.1484999999999999</v>
      </c>
      <c r="Z2544" s="135">
        <f>'National average solar data'!V$43</f>
        <v>4.5765000000000002</v>
      </c>
      <c r="AA2544" s="135">
        <f>'National average solar data'!W$43</f>
        <v>4.5842999999999998</v>
      </c>
      <c r="AB2544" s="135">
        <f>'National average solar data'!X$43</f>
        <v>0</v>
      </c>
      <c r="AC2544" s="135">
        <f>'National average solar data'!Y$43</f>
        <v>0</v>
      </c>
      <c r="AD2544" s="135">
        <f>'National average solar data'!Z$43</f>
        <v>0</v>
      </c>
    </row>
    <row r="2545" spans="1:30" ht="12.6">
      <c r="A2545" s="10" t="s">
        <v>131</v>
      </c>
      <c r="B2545" s="10">
        <v>354</v>
      </c>
      <c r="C2545" s="10" t="s">
        <v>1512</v>
      </c>
      <c r="D2545" s="388">
        <v>45280</v>
      </c>
      <c r="E2545" s="389">
        <v>45280</v>
      </c>
      <c r="G2545" s="135">
        <f>'National average solar data'!C$43</f>
        <v>0</v>
      </c>
      <c r="H2545" s="135">
        <f>'National average solar data'!D$43</f>
        <v>0</v>
      </c>
      <c r="I2545" s="135">
        <f>'National average solar data'!E$43</f>
        <v>0</v>
      </c>
      <c r="J2545" s="135">
        <f>'National average solar data'!F$43</f>
        <v>0</v>
      </c>
      <c r="K2545" s="135">
        <f>'National average solar data'!G$43</f>
        <v>5.2438000000000002</v>
      </c>
      <c r="L2545" s="135">
        <f>'National average solar data'!H$43</f>
        <v>4.2289000000000003</v>
      </c>
      <c r="M2545" s="135">
        <f>'National average solar data'!I$43</f>
        <v>2.6732</v>
      </c>
      <c r="N2545" s="135">
        <f>'National average solar data'!J$43</f>
        <v>1.7943</v>
      </c>
      <c r="O2545" s="135">
        <f>'National average solar data'!K$43</f>
        <v>1.381</v>
      </c>
      <c r="P2545" s="135">
        <f>'National average solar data'!L$43</f>
        <v>1.2574000000000001</v>
      </c>
      <c r="Q2545" s="135">
        <f>'National average solar data'!M$43</f>
        <v>1.2201</v>
      </c>
      <c r="R2545" s="135">
        <f>'National average solar data'!N$43</f>
        <v>1.2252000000000001</v>
      </c>
      <c r="S2545" s="135">
        <f>'National average solar data'!O$43</f>
        <v>1.2295</v>
      </c>
      <c r="T2545" s="135">
        <f>'National average solar data'!P$43</f>
        <v>1.2384999999999999</v>
      </c>
      <c r="U2545" s="135">
        <f>'National average solar data'!Q$43</f>
        <v>1.2741</v>
      </c>
      <c r="V2545" s="135">
        <f>'National average solar data'!R$43</f>
        <v>1.3718999999999999</v>
      </c>
      <c r="W2545" s="135">
        <f>'National average solar data'!S$43</f>
        <v>1.62</v>
      </c>
      <c r="X2545" s="135">
        <f>'National average solar data'!T$43</f>
        <v>2.2570999999999999</v>
      </c>
      <c r="Y2545" s="135">
        <f>'National average solar data'!U$43</f>
        <v>3.1484999999999999</v>
      </c>
      <c r="Z2545" s="135">
        <f>'National average solar data'!V$43</f>
        <v>4.5765000000000002</v>
      </c>
      <c r="AA2545" s="135">
        <f>'National average solar data'!W$43</f>
        <v>4.5842999999999998</v>
      </c>
      <c r="AB2545" s="135">
        <f>'National average solar data'!X$43</f>
        <v>0</v>
      </c>
      <c r="AC2545" s="135">
        <f>'National average solar data'!Y$43</f>
        <v>0</v>
      </c>
      <c r="AD2545" s="135">
        <f>'National average solar data'!Z$43</f>
        <v>0</v>
      </c>
    </row>
    <row r="2546" spans="1:30" ht="12.6">
      <c r="A2546" s="10" t="s">
        <v>131</v>
      </c>
      <c r="B2546" s="10">
        <v>355</v>
      </c>
      <c r="C2546" s="10" t="s">
        <v>1512</v>
      </c>
      <c r="D2546" s="388">
        <v>45281</v>
      </c>
      <c r="E2546" s="389">
        <v>45281</v>
      </c>
      <c r="G2546" s="135">
        <f>'National average solar data'!C$43</f>
        <v>0</v>
      </c>
      <c r="H2546" s="135">
        <f>'National average solar data'!D$43</f>
        <v>0</v>
      </c>
      <c r="I2546" s="135">
        <f>'National average solar data'!E$43</f>
        <v>0</v>
      </c>
      <c r="J2546" s="135">
        <f>'National average solar data'!F$43</f>
        <v>0</v>
      </c>
      <c r="K2546" s="135">
        <f>'National average solar data'!G$43</f>
        <v>5.2438000000000002</v>
      </c>
      <c r="L2546" s="135">
        <f>'National average solar data'!H$43</f>
        <v>4.2289000000000003</v>
      </c>
      <c r="M2546" s="135">
        <f>'National average solar data'!I$43</f>
        <v>2.6732</v>
      </c>
      <c r="N2546" s="135">
        <f>'National average solar data'!J$43</f>
        <v>1.7943</v>
      </c>
      <c r="O2546" s="135">
        <f>'National average solar data'!K$43</f>
        <v>1.381</v>
      </c>
      <c r="P2546" s="135">
        <f>'National average solar data'!L$43</f>
        <v>1.2574000000000001</v>
      </c>
      <c r="Q2546" s="135">
        <f>'National average solar data'!M$43</f>
        <v>1.2201</v>
      </c>
      <c r="R2546" s="135">
        <f>'National average solar data'!N$43</f>
        <v>1.2252000000000001</v>
      </c>
      <c r="S2546" s="135">
        <f>'National average solar data'!O$43</f>
        <v>1.2295</v>
      </c>
      <c r="T2546" s="135">
        <f>'National average solar data'!P$43</f>
        <v>1.2384999999999999</v>
      </c>
      <c r="U2546" s="135">
        <f>'National average solar data'!Q$43</f>
        <v>1.2741</v>
      </c>
      <c r="V2546" s="135">
        <f>'National average solar data'!R$43</f>
        <v>1.3718999999999999</v>
      </c>
      <c r="W2546" s="135">
        <f>'National average solar data'!S$43</f>
        <v>1.62</v>
      </c>
      <c r="X2546" s="135">
        <f>'National average solar data'!T$43</f>
        <v>2.2570999999999999</v>
      </c>
      <c r="Y2546" s="135">
        <f>'National average solar data'!U$43</f>
        <v>3.1484999999999999</v>
      </c>
      <c r="Z2546" s="135">
        <f>'National average solar data'!V$43</f>
        <v>4.5765000000000002</v>
      </c>
      <c r="AA2546" s="135">
        <f>'National average solar data'!W$43</f>
        <v>4.5842999999999998</v>
      </c>
      <c r="AB2546" s="135">
        <f>'National average solar data'!X$43</f>
        <v>0</v>
      </c>
      <c r="AC2546" s="135">
        <f>'National average solar data'!Y$43</f>
        <v>0</v>
      </c>
      <c r="AD2546" s="135">
        <f>'National average solar data'!Z$43</f>
        <v>0</v>
      </c>
    </row>
    <row r="2547" spans="1:30" ht="12.6">
      <c r="A2547" s="10" t="s">
        <v>131</v>
      </c>
      <c r="B2547" s="10">
        <v>356</v>
      </c>
      <c r="C2547" s="10" t="s">
        <v>1512</v>
      </c>
      <c r="D2547" s="388">
        <v>45282</v>
      </c>
      <c r="E2547" s="389">
        <v>45282</v>
      </c>
      <c r="G2547" s="135">
        <f>'National average solar data'!C$43</f>
        <v>0</v>
      </c>
      <c r="H2547" s="135">
        <f>'National average solar data'!D$43</f>
        <v>0</v>
      </c>
      <c r="I2547" s="135">
        <f>'National average solar data'!E$43</f>
        <v>0</v>
      </c>
      <c r="J2547" s="135">
        <f>'National average solar data'!F$43</f>
        <v>0</v>
      </c>
      <c r="K2547" s="135">
        <f>'National average solar data'!G$43</f>
        <v>5.2438000000000002</v>
      </c>
      <c r="L2547" s="135">
        <f>'National average solar data'!H$43</f>
        <v>4.2289000000000003</v>
      </c>
      <c r="M2547" s="135">
        <f>'National average solar data'!I$43</f>
        <v>2.6732</v>
      </c>
      <c r="N2547" s="135">
        <f>'National average solar data'!J$43</f>
        <v>1.7943</v>
      </c>
      <c r="O2547" s="135">
        <f>'National average solar data'!K$43</f>
        <v>1.381</v>
      </c>
      <c r="P2547" s="135">
        <f>'National average solar data'!L$43</f>
        <v>1.2574000000000001</v>
      </c>
      <c r="Q2547" s="135">
        <f>'National average solar data'!M$43</f>
        <v>1.2201</v>
      </c>
      <c r="R2547" s="135">
        <f>'National average solar data'!N$43</f>
        <v>1.2252000000000001</v>
      </c>
      <c r="S2547" s="135">
        <f>'National average solar data'!O$43</f>
        <v>1.2295</v>
      </c>
      <c r="T2547" s="135">
        <f>'National average solar data'!P$43</f>
        <v>1.2384999999999999</v>
      </c>
      <c r="U2547" s="135">
        <f>'National average solar data'!Q$43</f>
        <v>1.2741</v>
      </c>
      <c r="V2547" s="135">
        <f>'National average solar data'!R$43</f>
        <v>1.3718999999999999</v>
      </c>
      <c r="W2547" s="135">
        <f>'National average solar data'!S$43</f>
        <v>1.62</v>
      </c>
      <c r="X2547" s="135">
        <f>'National average solar data'!T$43</f>
        <v>2.2570999999999999</v>
      </c>
      <c r="Y2547" s="135">
        <f>'National average solar data'!U$43</f>
        <v>3.1484999999999999</v>
      </c>
      <c r="Z2547" s="135">
        <f>'National average solar data'!V$43</f>
        <v>4.5765000000000002</v>
      </c>
      <c r="AA2547" s="135">
        <f>'National average solar data'!W$43</f>
        <v>4.5842999999999998</v>
      </c>
      <c r="AB2547" s="135">
        <f>'National average solar data'!X$43</f>
        <v>0</v>
      </c>
      <c r="AC2547" s="135">
        <f>'National average solar data'!Y$43</f>
        <v>0</v>
      </c>
      <c r="AD2547" s="135">
        <f>'National average solar data'!Z$43</f>
        <v>0</v>
      </c>
    </row>
    <row r="2548" spans="1:30" ht="12.6">
      <c r="A2548" s="10" t="s">
        <v>131</v>
      </c>
      <c r="B2548" s="10">
        <v>357</v>
      </c>
      <c r="C2548" s="10" t="s">
        <v>1512</v>
      </c>
      <c r="D2548" s="388">
        <v>45283</v>
      </c>
      <c r="E2548" s="389">
        <v>45283</v>
      </c>
      <c r="G2548" s="135">
        <f>'National average solar data'!C$43</f>
        <v>0</v>
      </c>
      <c r="H2548" s="135">
        <f>'National average solar data'!D$43</f>
        <v>0</v>
      </c>
      <c r="I2548" s="135">
        <f>'National average solar data'!E$43</f>
        <v>0</v>
      </c>
      <c r="J2548" s="135">
        <f>'National average solar data'!F$43</f>
        <v>0</v>
      </c>
      <c r="K2548" s="135">
        <f>'National average solar data'!G$43</f>
        <v>5.2438000000000002</v>
      </c>
      <c r="L2548" s="135">
        <f>'National average solar data'!H$43</f>
        <v>4.2289000000000003</v>
      </c>
      <c r="M2548" s="135">
        <f>'National average solar data'!I$43</f>
        <v>2.6732</v>
      </c>
      <c r="N2548" s="135">
        <f>'National average solar data'!J$43</f>
        <v>1.7943</v>
      </c>
      <c r="O2548" s="135">
        <f>'National average solar data'!K$43</f>
        <v>1.381</v>
      </c>
      <c r="P2548" s="135">
        <f>'National average solar data'!L$43</f>
        <v>1.2574000000000001</v>
      </c>
      <c r="Q2548" s="135">
        <f>'National average solar data'!M$43</f>
        <v>1.2201</v>
      </c>
      <c r="R2548" s="135">
        <f>'National average solar data'!N$43</f>
        <v>1.2252000000000001</v>
      </c>
      <c r="S2548" s="135">
        <f>'National average solar data'!O$43</f>
        <v>1.2295</v>
      </c>
      <c r="T2548" s="135">
        <f>'National average solar data'!P$43</f>
        <v>1.2384999999999999</v>
      </c>
      <c r="U2548" s="135">
        <f>'National average solar data'!Q$43</f>
        <v>1.2741</v>
      </c>
      <c r="V2548" s="135">
        <f>'National average solar data'!R$43</f>
        <v>1.3718999999999999</v>
      </c>
      <c r="W2548" s="135">
        <f>'National average solar data'!S$43</f>
        <v>1.62</v>
      </c>
      <c r="X2548" s="135">
        <f>'National average solar data'!T$43</f>
        <v>2.2570999999999999</v>
      </c>
      <c r="Y2548" s="135">
        <f>'National average solar data'!U$43</f>
        <v>3.1484999999999999</v>
      </c>
      <c r="Z2548" s="135">
        <f>'National average solar data'!V$43</f>
        <v>4.5765000000000002</v>
      </c>
      <c r="AA2548" s="135">
        <f>'National average solar data'!W$43</f>
        <v>4.5842999999999998</v>
      </c>
      <c r="AB2548" s="135">
        <f>'National average solar data'!X$43</f>
        <v>0</v>
      </c>
      <c r="AC2548" s="135">
        <f>'National average solar data'!Y$43</f>
        <v>0</v>
      </c>
      <c r="AD2548" s="135">
        <f>'National average solar data'!Z$43</f>
        <v>0</v>
      </c>
    </row>
    <row r="2549" spans="1:30" ht="12.6">
      <c r="A2549" s="10" t="s">
        <v>131</v>
      </c>
      <c r="B2549" s="10">
        <v>358</v>
      </c>
      <c r="C2549" s="10" t="s">
        <v>1512</v>
      </c>
      <c r="D2549" s="388">
        <v>45284</v>
      </c>
      <c r="E2549" s="389">
        <v>45284</v>
      </c>
      <c r="G2549" s="135">
        <f>'National average solar data'!C$43</f>
        <v>0</v>
      </c>
      <c r="H2549" s="135">
        <f>'National average solar data'!D$43</f>
        <v>0</v>
      </c>
      <c r="I2549" s="135">
        <f>'National average solar data'!E$43</f>
        <v>0</v>
      </c>
      <c r="J2549" s="135">
        <f>'National average solar data'!F$43</f>
        <v>0</v>
      </c>
      <c r="K2549" s="135">
        <f>'National average solar data'!G$43</f>
        <v>5.2438000000000002</v>
      </c>
      <c r="L2549" s="135">
        <f>'National average solar data'!H$43</f>
        <v>4.2289000000000003</v>
      </c>
      <c r="M2549" s="135">
        <f>'National average solar data'!I$43</f>
        <v>2.6732</v>
      </c>
      <c r="N2549" s="135">
        <f>'National average solar data'!J$43</f>
        <v>1.7943</v>
      </c>
      <c r="O2549" s="135">
        <f>'National average solar data'!K$43</f>
        <v>1.381</v>
      </c>
      <c r="P2549" s="135">
        <f>'National average solar data'!L$43</f>
        <v>1.2574000000000001</v>
      </c>
      <c r="Q2549" s="135">
        <f>'National average solar data'!M$43</f>
        <v>1.2201</v>
      </c>
      <c r="R2549" s="135">
        <f>'National average solar data'!N$43</f>
        <v>1.2252000000000001</v>
      </c>
      <c r="S2549" s="135">
        <f>'National average solar data'!O$43</f>
        <v>1.2295</v>
      </c>
      <c r="T2549" s="135">
        <f>'National average solar data'!P$43</f>
        <v>1.2384999999999999</v>
      </c>
      <c r="U2549" s="135">
        <f>'National average solar data'!Q$43</f>
        <v>1.2741</v>
      </c>
      <c r="V2549" s="135">
        <f>'National average solar data'!R$43</f>
        <v>1.3718999999999999</v>
      </c>
      <c r="W2549" s="135">
        <f>'National average solar data'!S$43</f>
        <v>1.62</v>
      </c>
      <c r="X2549" s="135">
        <f>'National average solar data'!T$43</f>
        <v>2.2570999999999999</v>
      </c>
      <c r="Y2549" s="135">
        <f>'National average solar data'!U$43</f>
        <v>3.1484999999999999</v>
      </c>
      <c r="Z2549" s="135">
        <f>'National average solar data'!V$43</f>
        <v>4.5765000000000002</v>
      </c>
      <c r="AA2549" s="135">
        <f>'National average solar data'!W$43</f>
        <v>4.5842999999999998</v>
      </c>
      <c r="AB2549" s="135">
        <f>'National average solar data'!X$43</f>
        <v>0</v>
      </c>
      <c r="AC2549" s="135">
        <f>'National average solar data'!Y$43</f>
        <v>0</v>
      </c>
      <c r="AD2549" s="135">
        <f>'National average solar data'!Z$43</f>
        <v>0</v>
      </c>
    </row>
    <row r="2550" spans="1:30" ht="12.6">
      <c r="A2550" s="10" t="s">
        <v>131</v>
      </c>
      <c r="B2550" s="10">
        <v>359</v>
      </c>
      <c r="C2550" s="10" t="s">
        <v>1512</v>
      </c>
      <c r="D2550" s="388">
        <v>45285</v>
      </c>
      <c r="E2550" s="389">
        <v>45285</v>
      </c>
      <c r="G2550" s="135">
        <f>'National average solar data'!C$43</f>
        <v>0</v>
      </c>
      <c r="H2550" s="135">
        <f>'National average solar data'!D$43</f>
        <v>0</v>
      </c>
      <c r="I2550" s="135">
        <f>'National average solar data'!E$43</f>
        <v>0</v>
      </c>
      <c r="J2550" s="135">
        <f>'National average solar data'!F$43</f>
        <v>0</v>
      </c>
      <c r="K2550" s="135">
        <f>'National average solar data'!G$43</f>
        <v>5.2438000000000002</v>
      </c>
      <c r="L2550" s="135">
        <f>'National average solar data'!H$43</f>
        <v>4.2289000000000003</v>
      </c>
      <c r="M2550" s="135">
        <f>'National average solar data'!I$43</f>
        <v>2.6732</v>
      </c>
      <c r="N2550" s="135">
        <f>'National average solar data'!J$43</f>
        <v>1.7943</v>
      </c>
      <c r="O2550" s="135">
        <f>'National average solar data'!K$43</f>
        <v>1.381</v>
      </c>
      <c r="P2550" s="135">
        <f>'National average solar data'!L$43</f>
        <v>1.2574000000000001</v>
      </c>
      <c r="Q2550" s="135">
        <f>'National average solar data'!M$43</f>
        <v>1.2201</v>
      </c>
      <c r="R2550" s="135">
        <f>'National average solar data'!N$43</f>
        <v>1.2252000000000001</v>
      </c>
      <c r="S2550" s="135">
        <f>'National average solar data'!O$43</f>
        <v>1.2295</v>
      </c>
      <c r="T2550" s="135">
        <f>'National average solar data'!P$43</f>
        <v>1.2384999999999999</v>
      </c>
      <c r="U2550" s="135">
        <f>'National average solar data'!Q$43</f>
        <v>1.2741</v>
      </c>
      <c r="V2550" s="135">
        <f>'National average solar data'!R$43</f>
        <v>1.3718999999999999</v>
      </c>
      <c r="W2550" s="135">
        <f>'National average solar data'!S$43</f>
        <v>1.62</v>
      </c>
      <c r="X2550" s="135">
        <f>'National average solar data'!T$43</f>
        <v>2.2570999999999999</v>
      </c>
      <c r="Y2550" s="135">
        <f>'National average solar data'!U$43</f>
        <v>3.1484999999999999</v>
      </c>
      <c r="Z2550" s="135">
        <f>'National average solar data'!V$43</f>
        <v>4.5765000000000002</v>
      </c>
      <c r="AA2550" s="135">
        <f>'National average solar data'!W$43</f>
        <v>4.5842999999999998</v>
      </c>
      <c r="AB2550" s="135">
        <f>'National average solar data'!X$43</f>
        <v>0</v>
      </c>
      <c r="AC2550" s="135">
        <f>'National average solar data'!Y$43</f>
        <v>0</v>
      </c>
      <c r="AD2550" s="135">
        <f>'National average solar data'!Z$43</f>
        <v>0</v>
      </c>
    </row>
    <row r="2551" spans="1:30" ht="12.6">
      <c r="A2551" s="10" t="s">
        <v>131</v>
      </c>
      <c r="B2551" s="10">
        <v>360</v>
      </c>
      <c r="C2551" s="10" t="s">
        <v>1512</v>
      </c>
      <c r="D2551" s="388">
        <v>45286</v>
      </c>
      <c r="E2551" s="389">
        <v>45286</v>
      </c>
      <c r="G2551" s="135">
        <f>'National average solar data'!C$43</f>
        <v>0</v>
      </c>
      <c r="H2551" s="135">
        <f>'National average solar data'!D$43</f>
        <v>0</v>
      </c>
      <c r="I2551" s="135">
        <f>'National average solar data'!E$43</f>
        <v>0</v>
      </c>
      <c r="J2551" s="135">
        <f>'National average solar data'!F$43</f>
        <v>0</v>
      </c>
      <c r="K2551" s="135">
        <f>'National average solar data'!G$43</f>
        <v>5.2438000000000002</v>
      </c>
      <c r="L2551" s="135">
        <f>'National average solar data'!H$43</f>
        <v>4.2289000000000003</v>
      </c>
      <c r="M2551" s="135">
        <f>'National average solar data'!I$43</f>
        <v>2.6732</v>
      </c>
      <c r="N2551" s="135">
        <f>'National average solar data'!J$43</f>
        <v>1.7943</v>
      </c>
      <c r="O2551" s="135">
        <f>'National average solar data'!K$43</f>
        <v>1.381</v>
      </c>
      <c r="P2551" s="135">
        <f>'National average solar data'!L$43</f>
        <v>1.2574000000000001</v>
      </c>
      <c r="Q2551" s="135">
        <f>'National average solar data'!M$43</f>
        <v>1.2201</v>
      </c>
      <c r="R2551" s="135">
        <f>'National average solar data'!N$43</f>
        <v>1.2252000000000001</v>
      </c>
      <c r="S2551" s="135">
        <f>'National average solar data'!O$43</f>
        <v>1.2295</v>
      </c>
      <c r="T2551" s="135">
        <f>'National average solar data'!P$43</f>
        <v>1.2384999999999999</v>
      </c>
      <c r="U2551" s="135">
        <f>'National average solar data'!Q$43</f>
        <v>1.2741</v>
      </c>
      <c r="V2551" s="135">
        <f>'National average solar data'!R$43</f>
        <v>1.3718999999999999</v>
      </c>
      <c r="W2551" s="135">
        <f>'National average solar data'!S$43</f>
        <v>1.62</v>
      </c>
      <c r="X2551" s="135">
        <f>'National average solar data'!T$43</f>
        <v>2.2570999999999999</v>
      </c>
      <c r="Y2551" s="135">
        <f>'National average solar data'!U$43</f>
        <v>3.1484999999999999</v>
      </c>
      <c r="Z2551" s="135">
        <f>'National average solar data'!V$43</f>
        <v>4.5765000000000002</v>
      </c>
      <c r="AA2551" s="135">
        <f>'National average solar data'!W$43</f>
        <v>4.5842999999999998</v>
      </c>
      <c r="AB2551" s="135">
        <f>'National average solar data'!X$43</f>
        <v>0</v>
      </c>
      <c r="AC2551" s="135">
        <f>'National average solar data'!Y$43</f>
        <v>0</v>
      </c>
      <c r="AD2551" s="135">
        <f>'National average solar data'!Z$43</f>
        <v>0</v>
      </c>
    </row>
    <row r="2552" spans="1:30" ht="12.6">
      <c r="A2552" s="10" t="s">
        <v>131</v>
      </c>
      <c r="B2552" s="10">
        <v>361</v>
      </c>
      <c r="C2552" s="10" t="s">
        <v>1512</v>
      </c>
      <c r="D2552" s="388">
        <v>45287</v>
      </c>
      <c r="E2552" s="389">
        <v>45287</v>
      </c>
      <c r="G2552" s="135">
        <f>'National average solar data'!C$43</f>
        <v>0</v>
      </c>
      <c r="H2552" s="135">
        <f>'National average solar data'!D$43</f>
        <v>0</v>
      </c>
      <c r="I2552" s="135">
        <f>'National average solar data'!E$43</f>
        <v>0</v>
      </c>
      <c r="J2552" s="135">
        <f>'National average solar data'!F$43</f>
        <v>0</v>
      </c>
      <c r="K2552" s="135">
        <f>'National average solar data'!G$43</f>
        <v>5.2438000000000002</v>
      </c>
      <c r="L2552" s="135">
        <f>'National average solar data'!H$43</f>
        <v>4.2289000000000003</v>
      </c>
      <c r="M2552" s="135">
        <f>'National average solar data'!I$43</f>
        <v>2.6732</v>
      </c>
      <c r="N2552" s="135">
        <f>'National average solar data'!J$43</f>
        <v>1.7943</v>
      </c>
      <c r="O2552" s="135">
        <f>'National average solar data'!K$43</f>
        <v>1.381</v>
      </c>
      <c r="P2552" s="135">
        <f>'National average solar data'!L$43</f>
        <v>1.2574000000000001</v>
      </c>
      <c r="Q2552" s="135">
        <f>'National average solar data'!M$43</f>
        <v>1.2201</v>
      </c>
      <c r="R2552" s="135">
        <f>'National average solar data'!N$43</f>
        <v>1.2252000000000001</v>
      </c>
      <c r="S2552" s="135">
        <f>'National average solar data'!O$43</f>
        <v>1.2295</v>
      </c>
      <c r="T2552" s="135">
        <f>'National average solar data'!P$43</f>
        <v>1.2384999999999999</v>
      </c>
      <c r="U2552" s="135">
        <f>'National average solar data'!Q$43</f>
        <v>1.2741</v>
      </c>
      <c r="V2552" s="135">
        <f>'National average solar data'!R$43</f>
        <v>1.3718999999999999</v>
      </c>
      <c r="W2552" s="135">
        <f>'National average solar data'!S$43</f>
        <v>1.62</v>
      </c>
      <c r="X2552" s="135">
        <f>'National average solar data'!T$43</f>
        <v>2.2570999999999999</v>
      </c>
      <c r="Y2552" s="135">
        <f>'National average solar data'!U$43</f>
        <v>3.1484999999999999</v>
      </c>
      <c r="Z2552" s="135">
        <f>'National average solar data'!V$43</f>
        <v>4.5765000000000002</v>
      </c>
      <c r="AA2552" s="135">
        <f>'National average solar data'!W$43</f>
        <v>4.5842999999999998</v>
      </c>
      <c r="AB2552" s="135">
        <f>'National average solar data'!X$43</f>
        <v>0</v>
      </c>
      <c r="AC2552" s="135">
        <f>'National average solar data'!Y$43</f>
        <v>0</v>
      </c>
      <c r="AD2552" s="135">
        <f>'National average solar data'!Z$43</f>
        <v>0</v>
      </c>
    </row>
    <row r="2553" spans="1:30" ht="12.6">
      <c r="A2553" s="10" t="s">
        <v>131</v>
      </c>
      <c r="B2553" s="10">
        <v>362</v>
      </c>
      <c r="C2553" s="10" t="s">
        <v>1512</v>
      </c>
      <c r="D2553" s="388">
        <v>45288</v>
      </c>
      <c r="E2553" s="389">
        <v>45288</v>
      </c>
      <c r="G2553" s="135">
        <f>'National average solar data'!C$43</f>
        <v>0</v>
      </c>
      <c r="H2553" s="135">
        <f>'National average solar data'!D$43</f>
        <v>0</v>
      </c>
      <c r="I2553" s="135">
        <f>'National average solar data'!E$43</f>
        <v>0</v>
      </c>
      <c r="J2553" s="135">
        <f>'National average solar data'!F$43</f>
        <v>0</v>
      </c>
      <c r="K2553" s="135">
        <f>'National average solar data'!G$43</f>
        <v>5.2438000000000002</v>
      </c>
      <c r="L2553" s="135">
        <f>'National average solar data'!H$43</f>
        <v>4.2289000000000003</v>
      </c>
      <c r="M2553" s="135">
        <f>'National average solar data'!I$43</f>
        <v>2.6732</v>
      </c>
      <c r="N2553" s="135">
        <f>'National average solar data'!J$43</f>
        <v>1.7943</v>
      </c>
      <c r="O2553" s="135">
        <f>'National average solar data'!K$43</f>
        <v>1.381</v>
      </c>
      <c r="P2553" s="135">
        <f>'National average solar data'!L$43</f>
        <v>1.2574000000000001</v>
      </c>
      <c r="Q2553" s="135">
        <f>'National average solar data'!M$43</f>
        <v>1.2201</v>
      </c>
      <c r="R2553" s="135">
        <f>'National average solar data'!N$43</f>
        <v>1.2252000000000001</v>
      </c>
      <c r="S2553" s="135">
        <f>'National average solar data'!O$43</f>
        <v>1.2295</v>
      </c>
      <c r="T2553" s="135">
        <f>'National average solar data'!P$43</f>
        <v>1.2384999999999999</v>
      </c>
      <c r="U2553" s="135">
        <f>'National average solar data'!Q$43</f>
        <v>1.2741</v>
      </c>
      <c r="V2553" s="135">
        <f>'National average solar data'!R$43</f>
        <v>1.3718999999999999</v>
      </c>
      <c r="W2553" s="135">
        <f>'National average solar data'!S$43</f>
        <v>1.62</v>
      </c>
      <c r="X2553" s="135">
        <f>'National average solar data'!T$43</f>
        <v>2.2570999999999999</v>
      </c>
      <c r="Y2553" s="135">
        <f>'National average solar data'!U$43</f>
        <v>3.1484999999999999</v>
      </c>
      <c r="Z2553" s="135">
        <f>'National average solar data'!V$43</f>
        <v>4.5765000000000002</v>
      </c>
      <c r="AA2553" s="135">
        <f>'National average solar data'!W$43</f>
        <v>4.5842999999999998</v>
      </c>
      <c r="AB2553" s="135">
        <f>'National average solar data'!X$43</f>
        <v>0</v>
      </c>
      <c r="AC2553" s="135">
        <f>'National average solar data'!Y$43</f>
        <v>0</v>
      </c>
      <c r="AD2553" s="135">
        <f>'National average solar data'!Z$43</f>
        <v>0</v>
      </c>
    </row>
    <row r="2554" spans="1:30" ht="12.6">
      <c r="A2554" s="10" t="s">
        <v>131</v>
      </c>
      <c r="B2554" s="10">
        <v>363</v>
      </c>
      <c r="C2554" s="10" t="s">
        <v>1512</v>
      </c>
      <c r="D2554" s="388">
        <v>45289</v>
      </c>
      <c r="E2554" s="389">
        <v>45289</v>
      </c>
      <c r="G2554" s="135">
        <f>'National average solar data'!C$43</f>
        <v>0</v>
      </c>
      <c r="H2554" s="135">
        <f>'National average solar data'!D$43</f>
        <v>0</v>
      </c>
      <c r="I2554" s="135">
        <f>'National average solar data'!E$43</f>
        <v>0</v>
      </c>
      <c r="J2554" s="135">
        <f>'National average solar data'!F$43</f>
        <v>0</v>
      </c>
      <c r="K2554" s="135">
        <f>'National average solar data'!G$43</f>
        <v>5.2438000000000002</v>
      </c>
      <c r="L2554" s="135">
        <f>'National average solar data'!H$43</f>
        <v>4.2289000000000003</v>
      </c>
      <c r="M2554" s="135">
        <f>'National average solar data'!I$43</f>
        <v>2.6732</v>
      </c>
      <c r="N2554" s="135">
        <f>'National average solar data'!J$43</f>
        <v>1.7943</v>
      </c>
      <c r="O2554" s="135">
        <f>'National average solar data'!K$43</f>
        <v>1.381</v>
      </c>
      <c r="P2554" s="135">
        <f>'National average solar data'!L$43</f>
        <v>1.2574000000000001</v>
      </c>
      <c r="Q2554" s="135">
        <f>'National average solar data'!M$43</f>
        <v>1.2201</v>
      </c>
      <c r="R2554" s="135">
        <f>'National average solar data'!N$43</f>
        <v>1.2252000000000001</v>
      </c>
      <c r="S2554" s="135">
        <f>'National average solar data'!O$43</f>
        <v>1.2295</v>
      </c>
      <c r="T2554" s="135">
        <f>'National average solar data'!P$43</f>
        <v>1.2384999999999999</v>
      </c>
      <c r="U2554" s="135">
        <f>'National average solar data'!Q$43</f>
        <v>1.2741</v>
      </c>
      <c r="V2554" s="135">
        <f>'National average solar data'!R$43</f>
        <v>1.3718999999999999</v>
      </c>
      <c r="W2554" s="135">
        <f>'National average solar data'!S$43</f>
        <v>1.62</v>
      </c>
      <c r="X2554" s="135">
        <f>'National average solar data'!T$43</f>
        <v>2.2570999999999999</v>
      </c>
      <c r="Y2554" s="135">
        <f>'National average solar data'!U$43</f>
        <v>3.1484999999999999</v>
      </c>
      <c r="Z2554" s="135">
        <f>'National average solar data'!V$43</f>
        <v>4.5765000000000002</v>
      </c>
      <c r="AA2554" s="135">
        <f>'National average solar data'!W$43</f>
        <v>4.5842999999999998</v>
      </c>
      <c r="AB2554" s="135">
        <f>'National average solar data'!X$43</f>
        <v>0</v>
      </c>
      <c r="AC2554" s="135">
        <f>'National average solar data'!Y$43</f>
        <v>0</v>
      </c>
      <c r="AD2554" s="135">
        <f>'National average solar data'!Z$43</f>
        <v>0</v>
      </c>
    </row>
    <row r="2555" spans="1:30" ht="12.6">
      <c r="A2555" s="10" t="s">
        <v>131</v>
      </c>
      <c r="B2555" s="10">
        <v>364</v>
      </c>
      <c r="C2555" s="10" t="s">
        <v>1512</v>
      </c>
      <c r="D2555" s="388">
        <v>45290</v>
      </c>
      <c r="E2555" s="389">
        <v>45290</v>
      </c>
      <c r="G2555" s="135">
        <f>'National average solar data'!C$43</f>
        <v>0</v>
      </c>
      <c r="H2555" s="135">
        <f>'National average solar data'!D$43</f>
        <v>0</v>
      </c>
      <c r="I2555" s="135">
        <f>'National average solar data'!E$43</f>
        <v>0</v>
      </c>
      <c r="J2555" s="135">
        <f>'National average solar data'!F$43</f>
        <v>0</v>
      </c>
      <c r="K2555" s="135">
        <f>'National average solar data'!G$43</f>
        <v>5.2438000000000002</v>
      </c>
      <c r="L2555" s="135">
        <f>'National average solar data'!H$43</f>
        <v>4.2289000000000003</v>
      </c>
      <c r="M2555" s="135">
        <f>'National average solar data'!I$43</f>
        <v>2.6732</v>
      </c>
      <c r="N2555" s="135">
        <f>'National average solar data'!J$43</f>
        <v>1.7943</v>
      </c>
      <c r="O2555" s="135">
        <f>'National average solar data'!K$43</f>
        <v>1.381</v>
      </c>
      <c r="P2555" s="135">
        <f>'National average solar data'!L$43</f>
        <v>1.2574000000000001</v>
      </c>
      <c r="Q2555" s="135">
        <f>'National average solar data'!M$43</f>
        <v>1.2201</v>
      </c>
      <c r="R2555" s="135">
        <f>'National average solar data'!N$43</f>
        <v>1.2252000000000001</v>
      </c>
      <c r="S2555" s="135">
        <f>'National average solar data'!O$43</f>
        <v>1.2295</v>
      </c>
      <c r="T2555" s="135">
        <f>'National average solar data'!P$43</f>
        <v>1.2384999999999999</v>
      </c>
      <c r="U2555" s="135">
        <f>'National average solar data'!Q$43</f>
        <v>1.2741</v>
      </c>
      <c r="V2555" s="135">
        <f>'National average solar data'!R$43</f>
        <v>1.3718999999999999</v>
      </c>
      <c r="W2555" s="135">
        <f>'National average solar data'!S$43</f>
        <v>1.62</v>
      </c>
      <c r="X2555" s="135">
        <f>'National average solar data'!T$43</f>
        <v>2.2570999999999999</v>
      </c>
      <c r="Y2555" s="135">
        <f>'National average solar data'!U$43</f>
        <v>3.1484999999999999</v>
      </c>
      <c r="Z2555" s="135">
        <f>'National average solar data'!V$43</f>
        <v>4.5765000000000002</v>
      </c>
      <c r="AA2555" s="135">
        <f>'National average solar data'!W$43</f>
        <v>4.5842999999999998</v>
      </c>
      <c r="AB2555" s="135">
        <f>'National average solar data'!X$43</f>
        <v>0</v>
      </c>
      <c r="AC2555" s="135">
        <f>'National average solar data'!Y$43</f>
        <v>0</v>
      </c>
      <c r="AD2555" s="135">
        <f>'National average solar data'!Z$43</f>
        <v>0</v>
      </c>
    </row>
    <row r="2556" spans="1:30" ht="12.6">
      <c r="A2556" s="10" t="s">
        <v>131</v>
      </c>
      <c r="B2556" s="10">
        <v>365</v>
      </c>
      <c r="C2556" s="10" t="s">
        <v>1512</v>
      </c>
      <c r="D2556" s="388">
        <v>45291</v>
      </c>
      <c r="E2556" s="389">
        <v>45291</v>
      </c>
      <c r="G2556" s="135">
        <f>'National average solar data'!C$43</f>
        <v>0</v>
      </c>
      <c r="H2556" s="135">
        <f>'National average solar data'!D$43</f>
        <v>0</v>
      </c>
      <c r="I2556" s="135">
        <f>'National average solar data'!E$43</f>
        <v>0</v>
      </c>
      <c r="J2556" s="135">
        <f>'National average solar data'!F$43</f>
        <v>0</v>
      </c>
      <c r="K2556" s="135">
        <f>'National average solar data'!G$43</f>
        <v>5.2438000000000002</v>
      </c>
      <c r="L2556" s="135">
        <f>'National average solar data'!H$43</f>
        <v>4.2289000000000003</v>
      </c>
      <c r="M2556" s="135">
        <f>'National average solar data'!I$43</f>
        <v>2.6732</v>
      </c>
      <c r="N2556" s="135">
        <f>'National average solar data'!J$43</f>
        <v>1.7943</v>
      </c>
      <c r="O2556" s="135">
        <f>'National average solar data'!K$43</f>
        <v>1.381</v>
      </c>
      <c r="P2556" s="135">
        <f>'National average solar data'!L$43</f>
        <v>1.2574000000000001</v>
      </c>
      <c r="Q2556" s="135">
        <f>'National average solar data'!M$43</f>
        <v>1.2201</v>
      </c>
      <c r="R2556" s="135">
        <f>'National average solar data'!N$43</f>
        <v>1.2252000000000001</v>
      </c>
      <c r="S2556" s="135">
        <f>'National average solar data'!O$43</f>
        <v>1.2295</v>
      </c>
      <c r="T2556" s="135">
        <f>'National average solar data'!P$43</f>
        <v>1.2384999999999999</v>
      </c>
      <c r="U2556" s="135">
        <f>'National average solar data'!Q$43</f>
        <v>1.2741</v>
      </c>
      <c r="V2556" s="135">
        <f>'National average solar data'!R$43</f>
        <v>1.3718999999999999</v>
      </c>
      <c r="W2556" s="135">
        <f>'National average solar data'!S$43</f>
        <v>1.62</v>
      </c>
      <c r="X2556" s="135">
        <f>'National average solar data'!T$43</f>
        <v>2.2570999999999999</v>
      </c>
      <c r="Y2556" s="135">
        <f>'National average solar data'!U$43</f>
        <v>3.1484999999999999</v>
      </c>
      <c r="Z2556" s="135">
        <f>'National average solar data'!V$43</f>
        <v>4.5765000000000002</v>
      </c>
      <c r="AA2556" s="135">
        <f>'National average solar data'!W$43</f>
        <v>4.5842999999999998</v>
      </c>
      <c r="AB2556" s="135">
        <f>'National average solar data'!X$43</f>
        <v>0</v>
      </c>
      <c r="AC2556" s="135">
        <f>'National average solar data'!Y$43</f>
        <v>0</v>
      </c>
      <c r="AD2556" s="135">
        <f>'National average solar data'!Z$43</f>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E06666"/>
    <outlinePr summaryBelow="0" summaryRight="0"/>
  </sheetPr>
  <dimension ref="A1:AE123"/>
  <sheetViews>
    <sheetView zoomScaleNormal="100" workbookViewId="0">
      <selection activeCell="F133" sqref="F133"/>
    </sheetView>
  </sheetViews>
  <sheetFormatPr defaultColWidth="12.5703125" defaultRowHeight="15.75" customHeight="1"/>
  <cols>
    <col min="3" max="3" width="29.140625" customWidth="1"/>
    <col min="29" max="29" width="20" customWidth="1"/>
  </cols>
  <sheetData>
    <row r="1" spans="1:31" ht="12.95">
      <c r="A1" s="114" t="s">
        <v>1517</v>
      </c>
      <c r="B1" s="114" t="s">
        <v>1518</v>
      </c>
      <c r="C1" s="114" t="s">
        <v>1506</v>
      </c>
      <c r="D1" s="392">
        <v>0</v>
      </c>
      <c r="E1" s="392">
        <v>4.1666666666666664E-2</v>
      </c>
      <c r="F1" s="392">
        <v>8.3333333333333329E-2</v>
      </c>
      <c r="G1" s="392">
        <v>0.125</v>
      </c>
      <c r="H1" s="392">
        <v>0.16666666666666666</v>
      </c>
      <c r="I1" s="392">
        <v>0.20833333333333334</v>
      </c>
      <c r="J1" s="392">
        <v>0.25</v>
      </c>
      <c r="K1" s="392">
        <v>0.29166666666666669</v>
      </c>
      <c r="L1" s="392">
        <v>0.33333333333333331</v>
      </c>
      <c r="M1" s="392">
        <v>0.375</v>
      </c>
      <c r="N1" s="392">
        <v>0.41666666666666669</v>
      </c>
      <c r="O1" s="392">
        <v>0.45833333333333331</v>
      </c>
      <c r="P1" s="392">
        <v>0.5</v>
      </c>
      <c r="Q1" s="392">
        <v>0.54166666666666663</v>
      </c>
      <c r="R1" s="392">
        <v>0.58333333333333337</v>
      </c>
      <c r="S1" s="392">
        <v>0.625</v>
      </c>
      <c r="T1" s="392">
        <v>0.66666666666666663</v>
      </c>
      <c r="U1" s="392">
        <v>0.70833333333333337</v>
      </c>
      <c r="V1" s="392">
        <v>0.75</v>
      </c>
      <c r="W1" s="392">
        <v>0.79166666666666663</v>
      </c>
      <c r="X1" s="392">
        <v>0.83333333333333337</v>
      </c>
      <c r="Y1" s="392">
        <v>0.875</v>
      </c>
      <c r="Z1" s="392">
        <v>0.91666666666666663</v>
      </c>
      <c r="AA1" s="392">
        <v>0.95833333333333337</v>
      </c>
      <c r="AB1" s="114" t="s">
        <v>14</v>
      </c>
      <c r="AC1" s="114"/>
      <c r="AD1" s="114"/>
      <c r="AE1" s="114"/>
    </row>
    <row r="2" spans="1:31" ht="15.75" customHeight="1">
      <c r="A2" s="71" t="s">
        <v>1514</v>
      </c>
      <c r="B2" s="71"/>
      <c r="C2" s="71" t="s">
        <v>1519</v>
      </c>
      <c r="D2" s="71">
        <f>D58*'Full home'!$E$28</f>
        <v>0</v>
      </c>
      <c r="E2" s="71">
        <f>E58*'Full home'!$E$28</f>
        <v>0</v>
      </c>
      <c r="F2" s="71">
        <f>F58*'Full home'!$E$28</f>
        <v>0</v>
      </c>
      <c r="G2" s="71">
        <f>G58*'Full home'!$E$28</f>
        <v>0</v>
      </c>
      <c r="H2" s="71">
        <f>H58*'Full home'!$E$28</f>
        <v>0</v>
      </c>
      <c r="I2" s="71">
        <f>I58*'Full home'!$E$28</f>
        <v>0</v>
      </c>
      <c r="J2" s="71">
        <f>J58*'Full home'!$E$28</f>
        <v>2.3439401373828426E-3</v>
      </c>
      <c r="K2" s="71">
        <f>K58*'Full home'!$E$28</f>
        <v>0.17110763002894749</v>
      </c>
      <c r="L2" s="71">
        <f>L58*'Full home'!$E$28</f>
        <v>0.96804727673911406</v>
      </c>
      <c r="M2" s="71">
        <f>M58*'Full home'!$E$28</f>
        <v>1.7040444798773264</v>
      </c>
      <c r="N2" s="71">
        <f>N58*'Full home'!$E$28</f>
        <v>2.203303729139872</v>
      </c>
      <c r="O2" s="71">
        <f>O58*'Full home'!$E$28</f>
        <v>2.4142583415043277</v>
      </c>
      <c r="P2" s="71">
        <f>P58*'Full home'!$E$28</f>
        <v>2.3744113591688194</v>
      </c>
      <c r="Q2" s="71">
        <f>Q58*'Full home'!$E$28</f>
        <v>2.1470491658426836</v>
      </c>
      <c r="R2" s="71">
        <f>R58*'Full home'!$E$28</f>
        <v>1.7438914622128345</v>
      </c>
      <c r="S2" s="71">
        <f>S58*'Full home'!$E$28</f>
        <v>1.1274352060811472</v>
      </c>
      <c r="T2" s="71">
        <f>T58*'Full home'!$E$28</f>
        <v>0.45238044651488862</v>
      </c>
      <c r="U2" s="71">
        <f>U58*'Full home'!$E$28</f>
        <v>4.2190922472891162E-2</v>
      </c>
      <c r="V2" s="71">
        <f>V58*'Full home'!$E$28</f>
        <v>0</v>
      </c>
      <c r="W2" s="71">
        <f>W58*'Full home'!$E$28</f>
        <v>0</v>
      </c>
      <c r="X2" s="71">
        <f>X58*'Full home'!$E$28</f>
        <v>0</v>
      </c>
      <c r="Y2" s="71">
        <f>Y58*'Full home'!$E$28</f>
        <v>0</v>
      </c>
      <c r="Z2" s="71">
        <f>Z58*'Full home'!$E$28</f>
        <v>0</v>
      </c>
      <c r="AA2" s="71">
        <f>AA58*'Full home'!$E$28</f>
        <v>0</v>
      </c>
      <c r="AB2" s="230"/>
      <c r="AC2" s="230"/>
      <c r="AD2" s="230"/>
      <c r="AE2" s="230"/>
    </row>
    <row r="3" spans="1:31" ht="12.95">
      <c r="A3" s="96" t="s">
        <v>1514</v>
      </c>
      <c r="B3" s="96"/>
      <c r="C3" s="96" t="s">
        <v>1520</v>
      </c>
      <c r="D3" s="71">
        <f t="shared" ref="D3:AA3" si="0">SUM(D4:D9)</f>
        <v>0.33861330410890067</v>
      </c>
      <c r="E3" s="71">
        <f t="shared" si="0"/>
        <v>0.3068339959719818</v>
      </c>
      <c r="F3" s="71">
        <f t="shared" si="0"/>
        <v>0.29125707975233067</v>
      </c>
      <c r="G3" s="71">
        <f t="shared" si="0"/>
        <v>0.29176815361834629</v>
      </c>
      <c r="H3" s="71">
        <f t="shared" si="0"/>
        <v>0.35872946357311342</v>
      </c>
      <c r="I3" s="71">
        <f t="shared" si="0"/>
        <v>0.49772387784341443</v>
      </c>
      <c r="J3" s="71">
        <f t="shared" si="0"/>
        <v>0.98367085270384425</v>
      </c>
      <c r="K3" s="71">
        <f t="shared" si="0"/>
        <v>1.2194344454369712</v>
      </c>
      <c r="L3" s="71">
        <f t="shared" si="0"/>
        <v>0.86265911184480293</v>
      </c>
      <c r="M3" s="71">
        <f t="shared" si="0"/>
        <v>0.65704767810884768</v>
      </c>
      <c r="N3" s="71">
        <f t="shared" si="0"/>
        <v>0.61460200516754315</v>
      </c>
      <c r="O3" s="71">
        <f t="shared" si="0"/>
        <v>0.61071917409758958</v>
      </c>
      <c r="P3" s="71">
        <f t="shared" si="0"/>
        <v>0.59224200337337884</v>
      </c>
      <c r="Q3" s="71">
        <f t="shared" si="0"/>
        <v>0.55541585528245518</v>
      </c>
      <c r="R3" s="71">
        <f t="shared" si="0"/>
        <v>0.51868518563593857</v>
      </c>
      <c r="S3" s="71">
        <f t="shared" si="0"/>
        <v>0.57541044248120343</v>
      </c>
      <c r="T3" s="71">
        <f t="shared" si="0"/>
        <v>0.88154470140782493</v>
      </c>
      <c r="U3" s="71">
        <f t="shared" si="0"/>
        <v>1.4195039642308229</v>
      </c>
      <c r="V3" s="71">
        <f t="shared" si="0"/>
        <v>1.4554506438831349</v>
      </c>
      <c r="W3" s="71">
        <f t="shared" si="0"/>
        <v>1.3568620004319629</v>
      </c>
      <c r="X3" s="71">
        <f t="shared" si="0"/>
        <v>1.2080080743928214</v>
      </c>
      <c r="Y3" s="71">
        <f t="shared" si="0"/>
        <v>0.93501795337981575</v>
      </c>
      <c r="Z3" s="71">
        <f t="shared" si="0"/>
        <v>0.60912617369252153</v>
      </c>
      <c r="AA3" s="71">
        <f t="shared" si="0"/>
        <v>0.42094972510187922</v>
      </c>
      <c r="AC3" s="62" t="s">
        <v>1521</v>
      </c>
      <c r="AD3" s="62" t="s">
        <v>1219</v>
      </c>
      <c r="AE3" s="62" t="s">
        <v>1522</v>
      </c>
    </row>
    <row r="4" spans="1:31" ht="15.75" customHeight="1">
      <c r="A4" s="96" t="s">
        <v>1514</v>
      </c>
      <c r="B4" s="96"/>
      <c r="C4" s="96" t="s">
        <v>56</v>
      </c>
      <c r="D4" s="71">
        <f>AVERAGE('Load Profiles'!G1248:G1339)*$B$40</f>
        <v>7.1743732182666109E-2</v>
      </c>
      <c r="E4" s="71">
        <f>AVERAGE('Load Profiles'!H1248:H1339)*$B$40</f>
        <v>6.620893829898962E-2</v>
      </c>
      <c r="F4" s="71">
        <f>AVERAGE('Load Profiles'!I1248:I1339)*$B$40</f>
        <v>6.7609600839694639E-2</v>
      </c>
      <c r="G4" s="71">
        <f>AVERAGE('Load Profiles'!J1248:J1339)*$B$40</f>
        <v>7.3697015431523655E-2</v>
      </c>
      <c r="H4" s="71">
        <f>AVERAGE('Load Profiles'!K1248:K1339)*$B$40</f>
        <v>0.11355058360458012</v>
      </c>
      <c r="I4" s="71">
        <f>AVERAGE('Load Profiles'!L1248:L1339)*$B$40</f>
        <v>0.20264805658501811</v>
      </c>
      <c r="J4" s="71">
        <f>AVERAGE('Load Profiles'!M1248:M1339)*$B$40</f>
        <v>0.56321149059696185</v>
      </c>
      <c r="K4" s="71">
        <f>AVERAGE('Load Profiles'!N1248:N1339)*$B$40</f>
        <v>0.63154405090582566</v>
      </c>
      <c r="L4" s="71">
        <f>AVERAGE('Load Profiles'!O1248:O1339)*$B$40</f>
        <v>0.34883698902690258</v>
      </c>
      <c r="M4" s="71">
        <f>AVERAGE('Load Profiles'!P1248:P1339)*$B$40</f>
        <v>0.18140016096619149</v>
      </c>
      <c r="N4" s="71">
        <f>AVERAGE('Load Profiles'!Q1248:Q1339)*$B$40</f>
        <v>0.12730098151182831</v>
      </c>
      <c r="O4" s="71">
        <f>AVERAGE('Load Profiles'!R1248:R1339)*$B$40</f>
        <v>0.10922438164149045</v>
      </c>
      <c r="P4" s="71">
        <f>AVERAGE('Load Profiles'!S1248:S1339)*$B$40</f>
        <v>0.10718555236697978</v>
      </c>
      <c r="Q4" s="71">
        <f>AVERAGE('Load Profiles'!T1248:T1339)*$B$40</f>
        <v>0.10506197877195086</v>
      </c>
      <c r="R4" s="71">
        <f>AVERAGE('Load Profiles'!U1248:U1339)*$B$40</f>
        <v>0.10579122376140339</v>
      </c>
      <c r="S4" s="71">
        <f>AVERAGE('Load Profiles'!V1248:V1339)*$B$40</f>
        <v>0.14379981824296489</v>
      </c>
      <c r="T4" s="71">
        <f>AVERAGE('Load Profiles'!W1248:W1339)*$B$40</f>
        <v>0.2712692270124305</v>
      </c>
      <c r="U4" s="71">
        <f>AVERAGE('Load Profiles'!X1248:X1339)*$B$40</f>
        <v>0.48884578538820272</v>
      </c>
      <c r="V4" s="71">
        <f>AVERAGE('Load Profiles'!Y1248:Y1339)*$B$40</f>
        <v>0.56403290477019041</v>
      </c>
      <c r="W4" s="71">
        <f>AVERAGE('Load Profiles'!Z1248:Z1339)*$B$40</f>
        <v>0.57734580900457599</v>
      </c>
      <c r="X4" s="71">
        <f>AVERAGE('Load Profiles'!AA1248:AA1339)*$B$40</f>
        <v>0.54322377218254392</v>
      </c>
      <c r="Y4" s="71">
        <f>AVERAGE('Load Profiles'!AB1248:AB1339)*$B$40</f>
        <v>0.38416342794528446</v>
      </c>
      <c r="Z4" s="71">
        <f>AVERAGE('Load Profiles'!AC1248:AC1339)*$B$40</f>
        <v>0.18776883058409191</v>
      </c>
      <c r="AA4" s="71">
        <f>AVERAGE('Load Profiles'!AD1248:AD1339)*$B$40</f>
        <v>9.3591572148143856E-2</v>
      </c>
      <c r="AC4" s="95" t="s">
        <v>1523</v>
      </c>
      <c r="AD4" s="70">
        <f>SUM(D3:AA3)</f>
        <v>17.561275865521445</v>
      </c>
      <c r="AE4" s="226">
        <f t="shared" ref="AE4:AE7" si="1">AD4/$AD$4</f>
        <v>1</v>
      </c>
    </row>
    <row r="5" spans="1:31" ht="15.75" customHeight="1">
      <c r="A5" s="96" t="s">
        <v>1514</v>
      </c>
      <c r="B5" s="96"/>
      <c r="C5" s="96" t="s">
        <v>58</v>
      </c>
      <c r="D5" s="71">
        <f>AVERAGE('Load Profiles'!G1613:G1704)*$B$41</f>
        <v>4.181781914710371E-2</v>
      </c>
      <c r="E5" s="71">
        <f>AVERAGE('Load Profiles'!H1613:H1704)*$B$41</f>
        <v>4.1896755670028381E-2</v>
      </c>
      <c r="F5" s="71">
        <f>AVERAGE('Load Profiles'!I1613:I1704)*$B$41</f>
        <v>3.4684454944616853E-2</v>
      </c>
      <c r="G5" s="71">
        <f>AVERAGE('Load Profiles'!J1613:J1704)*$B$41</f>
        <v>2.9359760151195197E-2</v>
      </c>
      <c r="H5" s="71">
        <f>AVERAGE('Load Profiles'!K1613:K1704)*$B$41</f>
        <v>5.0290246495874401E-2</v>
      </c>
      <c r="I5" s="71">
        <f>AVERAGE('Load Profiles'!L1613:L1704)*$B$41</f>
        <v>6.2195925963794342E-2</v>
      </c>
      <c r="J5" s="71">
        <f>AVERAGE('Load Profiles'!M1613:M1704)*$B$41</f>
        <v>0.11461542515161767</v>
      </c>
      <c r="K5" s="71">
        <f>AVERAGE('Load Profiles'!N1613:N1704)*$B$41</f>
        <v>0.2228515698649052</v>
      </c>
      <c r="L5" s="71">
        <f>AVERAGE('Load Profiles'!O1613:O1704)*$B$41</f>
        <v>0.1725000630032259</v>
      </c>
      <c r="M5" s="71">
        <f>AVERAGE('Load Profiles'!P1613:P1704)*$B$41</f>
        <v>0.13641486459534824</v>
      </c>
      <c r="N5" s="71">
        <f>AVERAGE('Load Profiles'!Q1613:Q1704)*$B$41</f>
        <v>0.13513009462522377</v>
      </c>
      <c r="O5" s="71">
        <f>AVERAGE('Load Profiles'!R1613:R1704)*$B$41</f>
        <v>0.13656270464014061</v>
      </c>
      <c r="P5" s="71">
        <f>AVERAGE('Load Profiles'!S1613:S1704)*$B$41</f>
        <v>0.11470893676223881</v>
      </c>
      <c r="Q5" s="71">
        <f>AVERAGE('Load Profiles'!T1613:T1704)*$B$41</f>
        <v>9.228776347687892E-2</v>
      </c>
      <c r="R5" s="71">
        <f>AVERAGE('Load Profiles'!U1613:U1704)*$B$41</f>
        <v>6.8553535287202774E-2</v>
      </c>
      <c r="S5" s="71">
        <f>AVERAGE('Load Profiles'!V1613:V1704)*$B$41</f>
        <v>7.3959438212733708E-2</v>
      </c>
      <c r="T5" s="71">
        <f>AVERAGE('Load Profiles'!W1613:W1704)*$B$41</f>
        <v>9.1852234300986962E-2</v>
      </c>
      <c r="U5" s="71">
        <f>AVERAGE('Load Profiles'!X1613:X1704)*$B$41</f>
        <v>0.12162968128361262</v>
      </c>
      <c r="V5" s="71">
        <f>AVERAGE('Load Profiles'!Y1613:Y1704)*$B$41</f>
        <v>0.14496652225755063</v>
      </c>
      <c r="W5" s="71">
        <f>AVERAGE('Load Profiles'!Z1613:Z1704)*$B$41</f>
        <v>0.13430363459015038</v>
      </c>
      <c r="X5" s="71">
        <f>AVERAGE('Load Profiles'!AA1613:AA1704)*$B$41</f>
        <v>0.13319931268843516</v>
      </c>
      <c r="Y5" s="71">
        <f>AVERAGE('Load Profiles'!AB1613:AB1704)*$B$41</f>
        <v>0.11582316018542682</v>
      </c>
      <c r="Z5" s="71">
        <f>AVERAGE('Load Profiles'!AC1613:AC1704)*$B$41</f>
        <v>8.511590665060495E-2</v>
      </c>
      <c r="AA5" s="71">
        <f>AVERAGE('Load Profiles'!AD1613:AD1704)*$B$41</f>
        <v>6.074325072303146E-2</v>
      </c>
      <c r="AC5" s="95" t="s">
        <v>1524</v>
      </c>
      <c r="AD5" s="70">
        <f>SUM(D2:AA2)</f>
        <v>15.350463959720235</v>
      </c>
      <c r="AE5" s="226">
        <f t="shared" si="1"/>
        <v>0.87410869672961744</v>
      </c>
    </row>
    <row r="6" spans="1:31" ht="15.75" customHeight="1">
      <c r="A6" s="96" t="s">
        <v>1514</v>
      </c>
      <c r="B6" s="96"/>
      <c r="C6" s="96" t="s">
        <v>186</v>
      </c>
      <c r="D6" s="71">
        <f>AVERAGE('Load Profiles'!G153:G244)*$B$42</f>
        <v>7.5021851732343615E-3</v>
      </c>
      <c r="E6" s="71">
        <f>AVERAGE('Load Profiles'!H153:H244)*$B$42</f>
        <v>4.5307492453065968E-3</v>
      </c>
      <c r="F6" s="71">
        <f>AVERAGE('Load Profiles'!I153:I244)*$B$42</f>
        <v>3.7855896329655864E-3</v>
      </c>
      <c r="G6" s="71">
        <f>AVERAGE('Load Profiles'!J153:J244)*$B$42</f>
        <v>3.7472838295269941E-3</v>
      </c>
      <c r="H6" s="71">
        <f>AVERAGE('Load Profiles'!K153:K244)*$B$42</f>
        <v>3.6282458477929977E-3</v>
      </c>
      <c r="I6" s="71">
        <f>AVERAGE('Load Profiles'!L153:L244)*$B$42</f>
        <v>4.7142114506701725E-3</v>
      </c>
      <c r="J6" s="71">
        <f>AVERAGE('Load Profiles'!M153:M244)*$B$42</f>
        <v>1.2817347858254521E-2</v>
      </c>
      <c r="K6" s="71">
        <f>AVERAGE('Load Profiles'!N153:N244)*$B$42</f>
        <v>2.8007524324207726E-2</v>
      </c>
      <c r="L6" s="71">
        <f>AVERAGE('Load Profiles'!O153:O244)*$B$42</f>
        <v>2.5569604554455772E-2</v>
      </c>
      <c r="M6" s="71">
        <f>AVERAGE('Load Profiles'!P153:P244)*$B$42</f>
        <v>3.4250205386260738E-2</v>
      </c>
      <c r="N6" s="71">
        <f>AVERAGE('Load Profiles'!Q153:Q244)*$B$42</f>
        <v>4.0259591845219524E-2</v>
      </c>
      <c r="O6" s="71">
        <f>AVERAGE('Load Profiles'!R153:R244)*$B$42</f>
        <v>5.5275786195151798E-2</v>
      </c>
      <c r="P6" s="71">
        <f>AVERAGE('Load Profiles'!S153:S244)*$B$42</f>
        <v>6.1687941031451587E-2</v>
      </c>
      <c r="Q6" s="71">
        <f>AVERAGE('Load Profiles'!T153:T244)*$B$42</f>
        <v>5.1812008382560823E-2</v>
      </c>
      <c r="R6" s="71">
        <f>AVERAGE('Load Profiles'!U153:U244)*$B$42</f>
        <v>4.5035868896050643E-2</v>
      </c>
      <c r="S6" s="71">
        <f>AVERAGE('Load Profiles'!V153:V244)*$B$42</f>
        <v>6.2980778714799623E-2</v>
      </c>
      <c r="T6" s="71">
        <f>AVERAGE('Load Profiles'!W153:W244)*$B$42</f>
        <v>0.20761039102326456</v>
      </c>
      <c r="U6" s="71">
        <f>AVERAGE('Load Profiles'!X153:X244)*$B$42</f>
        <v>0.4229632332000311</v>
      </c>
      <c r="V6" s="71">
        <f>AVERAGE('Load Profiles'!Y153:Y244)*$B$42</f>
        <v>0.30691301803348342</v>
      </c>
      <c r="W6" s="71">
        <f>AVERAGE('Load Profiles'!Z153:Z244)*$B$42</f>
        <v>0.19560766760765286</v>
      </c>
      <c r="X6" s="71">
        <f>AVERAGE('Load Profiles'!AA153:AA244)*$B$42</f>
        <v>8.1315634800944961E-2</v>
      </c>
      <c r="Y6" s="71">
        <f>AVERAGE('Load Profiles'!AB153:AB244)*$B$42</f>
        <v>2.9997866988386652E-2</v>
      </c>
      <c r="Z6" s="71">
        <f>AVERAGE('Load Profiles'!AC153:AC244)*$B$42</f>
        <v>1.3547805356559696E-2</v>
      </c>
      <c r="AA6" s="71">
        <f>AVERAGE('Load Profiles'!AD153:AD244)*$B$42</f>
        <v>9.1011230775753169E-3</v>
      </c>
      <c r="AC6" s="95" t="s">
        <v>1525</v>
      </c>
      <c r="AD6" s="70">
        <f t="shared" ref="AD6:AD7" si="2">SUM(D13:AA13)</f>
        <v>-9.6956595645743668</v>
      </c>
      <c r="AE6" s="226">
        <f t="shared" si="1"/>
        <v>-0.55210450760073371</v>
      </c>
    </row>
    <row r="7" spans="1:31" ht="12.95">
      <c r="A7" s="96" t="s">
        <v>1514</v>
      </c>
      <c r="B7" s="96"/>
      <c r="C7" s="96" t="s">
        <v>865</v>
      </c>
      <c r="D7" s="71">
        <f>AVERAGE('Load Profiles'!G1978:G2069)*$B$43</f>
        <v>0.10829013611155876</v>
      </c>
      <c r="E7" s="71">
        <f>AVERAGE('Load Profiles'!H1978:H2069)*$B$43</f>
        <v>9.4783501946548845E-2</v>
      </c>
      <c r="F7" s="71">
        <f>AVERAGE('Load Profiles'!I1978:I2069)*$B$43</f>
        <v>8.9295226824444435E-2</v>
      </c>
      <c r="G7" s="71">
        <f>AVERAGE('Load Profiles'!J1978:J2069)*$B$43</f>
        <v>8.9485824642445824E-2</v>
      </c>
      <c r="H7" s="71">
        <f>AVERAGE('Load Profiles'!K1978:K2069)*$B$43</f>
        <v>8.8713669372010459E-2</v>
      </c>
      <c r="I7" s="71">
        <f>AVERAGE('Load Profiles'!L1978:L2069)*$B$43</f>
        <v>8.9714935292213194E-2</v>
      </c>
      <c r="J7" s="71">
        <f>AVERAGE('Load Profiles'!M1978:M2069)*$B$43</f>
        <v>9.8212493652981264E-2</v>
      </c>
      <c r="K7" s="71">
        <f>AVERAGE('Load Profiles'!N1978:N2069)*$B$43</f>
        <v>0.11638212120156181</v>
      </c>
      <c r="L7" s="71">
        <f>AVERAGE('Load Profiles'!O1978:O2069)*$B$43</f>
        <v>0.13111566852627415</v>
      </c>
      <c r="M7" s="71">
        <f>AVERAGE('Load Profiles'!P1978:P2069)*$B$43</f>
        <v>0.13401810128720443</v>
      </c>
      <c r="N7" s="71">
        <f>AVERAGE('Load Profiles'!Q1978:Q2069)*$B$43</f>
        <v>0.13344530146871819</v>
      </c>
      <c r="O7" s="71">
        <f>AVERAGE('Load Profiles'!R1978:R2069)*$B$43</f>
        <v>0.12675117374556985</v>
      </c>
      <c r="P7" s="71">
        <f>AVERAGE('Load Profiles'!S1978:S2069)*$B$43</f>
        <v>0.12331764545839161</v>
      </c>
      <c r="Q7" s="71">
        <f>AVERAGE('Load Profiles'!T1978:T2069)*$B$43</f>
        <v>0.12187119507914734</v>
      </c>
      <c r="R7" s="71">
        <f>AVERAGE('Load Profiles'!U1978:U2069)*$B$43</f>
        <v>0.11992835145683454</v>
      </c>
      <c r="S7" s="71">
        <f>AVERAGE('Load Profiles'!V1978:V2069)*$B$43</f>
        <v>0.11744896616939111</v>
      </c>
      <c r="T7" s="71">
        <f>AVERAGE('Load Profiles'!W1978:W2069)*$B$43</f>
        <v>0.11761255041064904</v>
      </c>
      <c r="U7" s="71">
        <f>AVERAGE('Load Profiles'!X1978:X2069)*$B$43</f>
        <v>0.11941167696955053</v>
      </c>
      <c r="V7" s="71">
        <f>AVERAGE('Load Profiles'!Y1978:Y2069)*$B$43</f>
        <v>0.12279355555354833</v>
      </c>
      <c r="W7" s="71">
        <f>AVERAGE('Load Profiles'!Z1978:Z2069)*$B$43</f>
        <v>0.12315131901941408</v>
      </c>
      <c r="X7" s="71">
        <f>AVERAGE('Load Profiles'!AA1978:AA2069)*$B$43</f>
        <v>0.13723475979756319</v>
      </c>
      <c r="Y7" s="71">
        <f>AVERAGE('Load Profiles'!AB1978:AB2069)*$B$43</f>
        <v>0.13375365489328592</v>
      </c>
      <c r="Z7" s="71">
        <f>AVERAGE('Load Profiles'!AC1978:AC2069)*$B$43</f>
        <v>0.12577265478586327</v>
      </c>
      <c r="AA7" s="71">
        <f>AVERAGE('Load Profiles'!AD1978:AD2069)*$B$43</f>
        <v>0.12188496932154848</v>
      </c>
      <c r="AC7" s="95" t="s">
        <v>1526</v>
      </c>
      <c r="AD7" s="70">
        <f t="shared" si="2"/>
        <v>5.6548043951458702</v>
      </c>
      <c r="AE7" s="393">
        <f t="shared" si="1"/>
        <v>0.32200418912888379</v>
      </c>
    </row>
    <row r="8" spans="1:31" ht="15.75" customHeight="1">
      <c r="A8" s="96" t="s">
        <v>1514</v>
      </c>
      <c r="B8" s="96"/>
      <c r="C8" s="96" t="s">
        <v>61</v>
      </c>
      <c r="D8" s="71">
        <f>AVERAGE('Load Profiles'!G518:G609)*$B$44</f>
        <v>1.3516576286238565E-2</v>
      </c>
      <c r="E8" s="71">
        <f>AVERAGE('Load Profiles'!H518:H609)*$B$44</f>
        <v>1.0771288472313777E-2</v>
      </c>
      <c r="F8" s="71">
        <f>AVERAGE('Load Profiles'!I518:I609)*$B$44</f>
        <v>9.4871207995697194E-3</v>
      </c>
      <c r="G8" s="71">
        <f>AVERAGE('Load Profiles'!J518:J609)*$B$44</f>
        <v>1.0790133066586022E-2</v>
      </c>
      <c r="H8" s="71">
        <f>AVERAGE('Load Profiles'!K518:K609)*$B$44</f>
        <v>1.7369734116272469E-2</v>
      </c>
      <c r="I8" s="71">
        <f>AVERAGE('Load Profiles'!L518:L609)*$B$44</f>
        <v>4.7306490653250821E-2</v>
      </c>
      <c r="J8" s="71">
        <f>AVERAGE('Load Profiles'!M518:M609)*$B$44</f>
        <v>7.7446230817982145E-2</v>
      </c>
      <c r="K8" s="71">
        <f>AVERAGE('Load Profiles'!N518:N609)*$B$44</f>
        <v>8.4399245359382147E-2</v>
      </c>
      <c r="L8" s="71">
        <f>AVERAGE('Load Profiles'!O518:O609)*$B$44</f>
        <v>5.0056327350468881E-2</v>
      </c>
      <c r="M8" s="71">
        <f>AVERAGE('Load Profiles'!P518:P609)*$B$44</f>
        <v>3.8457956994538675E-2</v>
      </c>
      <c r="N8" s="71">
        <f>AVERAGE('Load Profiles'!Q518:Q609)*$B$44</f>
        <v>3.4455402781129761E-2</v>
      </c>
      <c r="O8" s="71">
        <f>AVERAGE('Load Profiles'!R518:R609)*$B$44</f>
        <v>3.3353666067161877E-2</v>
      </c>
      <c r="P8" s="71">
        <f>AVERAGE('Load Profiles'!S518:S609)*$B$44</f>
        <v>3.2245803575141015E-2</v>
      </c>
      <c r="Q8" s="71">
        <f>AVERAGE('Load Profiles'!T518:T609)*$B$44</f>
        <v>3.0683087127143887E-2</v>
      </c>
      <c r="R8" s="71">
        <f>AVERAGE('Load Profiles'!U518:U609)*$B$44</f>
        <v>2.8943205116126199E-2</v>
      </c>
      <c r="S8" s="71">
        <f>AVERAGE('Load Profiles'!V518:V609)*$B$44</f>
        <v>3.0674266241768312E-2</v>
      </c>
      <c r="T8" s="71">
        <f>AVERAGE('Load Profiles'!W518:W609)*$B$44</f>
        <v>4.7361501007085811E-2</v>
      </c>
      <c r="U8" s="71">
        <f>AVERAGE('Load Profiles'!X518:X609)*$B$44</f>
        <v>9.9450221246457512E-2</v>
      </c>
      <c r="V8" s="71">
        <f>AVERAGE('Load Profiles'!Y518:Y609)*$B$44</f>
        <v>0.12070733027103389</v>
      </c>
      <c r="W8" s="71">
        <f>AVERAGE('Load Profiles'!Z518:Z609)*$B$44</f>
        <v>0.10556735550146214</v>
      </c>
      <c r="X8" s="71">
        <f>AVERAGE('Load Profiles'!AA518:AA609)*$B$44</f>
        <v>9.094725598993135E-2</v>
      </c>
      <c r="Y8" s="71">
        <f>AVERAGE('Load Profiles'!AB518:AB609)*$B$44</f>
        <v>7.7195133706521535E-2</v>
      </c>
      <c r="Z8" s="71">
        <f>AVERAGE('Load Profiles'!AC518:AC609)*$B$44</f>
        <v>4.9929801790924565E-2</v>
      </c>
      <c r="AA8" s="71">
        <f>AVERAGE('Load Profiles'!AD518:AD609)*$B$44</f>
        <v>2.5303855874977476E-2</v>
      </c>
    </row>
    <row r="9" spans="1:31" ht="15.75" customHeight="1">
      <c r="A9" s="96" t="s">
        <v>1514</v>
      </c>
      <c r="B9" s="96"/>
      <c r="C9" s="96" t="s">
        <v>63</v>
      </c>
      <c r="D9" s="71">
        <f>AVERAGE('Load Profiles'!G883:G974)*$B$45</f>
        <v>9.5742855208099192E-2</v>
      </c>
      <c r="E9" s="71">
        <f>AVERAGE('Load Profiles'!H883:H974)*$B$45</f>
        <v>8.8642762338794534E-2</v>
      </c>
      <c r="F9" s="71">
        <f>AVERAGE('Load Profiles'!I883:I974)*$B$45</f>
        <v>8.6395086711039432E-2</v>
      </c>
      <c r="G9" s="71">
        <f>AVERAGE('Load Profiles'!J883:J974)*$B$45</f>
        <v>8.468813649706862E-2</v>
      </c>
      <c r="H9" s="71">
        <f>AVERAGE('Load Profiles'!K883:K974)*$B$45</f>
        <v>8.5176984136582992E-2</v>
      </c>
      <c r="I9" s="71">
        <f>AVERAGE('Load Profiles'!L883:L974)*$B$45</f>
        <v>9.1144257898467751E-2</v>
      </c>
      <c r="J9" s="71">
        <f>AVERAGE('Load Profiles'!M883:M974)*$B$45</f>
        <v>0.1173678646260467</v>
      </c>
      <c r="K9" s="71">
        <f>AVERAGE('Load Profiles'!N883:N974)*$B$45</f>
        <v>0.13624993378108879</v>
      </c>
      <c r="L9" s="71">
        <f>AVERAGE('Load Profiles'!O883:O974)*$B$45</f>
        <v>0.13458045938347576</v>
      </c>
      <c r="M9" s="71">
        <f>AVERAGE('Load Profiles'!P883:P974)*$B$45</f>
        <v>0.13250638887930413</v>
      </c>
      <c r="N9" s="71">
        <f>AVERAGE('Load Profiles'!Q883:Q974)*$B$45</f>
        <v>0.14401063293542365</v>
      </c>
      <c r="O9" s="71">
        <f>AVERAGE('Load Profiles'!R883:R974)*$B$45</f>
        <v>0.14955146180807494</v>
      </c>
      <c r="P9" s="71">
        <f>AVERAGE('Load Profiles'!S883:S974)*$B$45</f>
        <v>0.15309612417917606</v>
      </c>
      <c r="Q9" s="71">
        <f>AVERAGE('Load Profiles'!T883:T974)*$B$45</f>
        <v>0.15369982244477334</v>
      </c>
      <c r="R9" s="71">
        <f>AVERAGE('Load Profiles'!U883:U974)*$B$45</f>
        <v>0.150433001118321</v>
      </c>
      <c r="S9" s="71">
        <f>AVERAGE('Load Profiles'!V883:V974)*$B$45</f>
        <v>0.14654717489954577</v>
      </c>
      <c r="T9" s="71">
        <f>AVERAGE('Load Profiles'!W883:W974)*$B$45</f>
        <v>0.1458387976534081</v>
      </c>
      <c r="U9" s="71">
        <f>AVERAGE('Load Profiles'!X883:X974)*$B$45</f>
        <v>0.1672033661429686</v>
      </c>
      <c r="V9" s="71">
        <f>AVERAGE('Load Profiles'!Y883:Y974)*$B$45</f>
        <v>0.19603731299732816</v>
      </c>
      <c r="W9" s="71">
        <f>AVERAGE('Load Profiles'!Z883:Z974)*$B$45</f>
        <v>0.22088621470870737</v>
      </c>
      <c r="X9" s="71">
        <f>AVERAGE('Load Profiles'!AA883:AA974)*$B$45</f>
        <v>0.22208733893340291</v>
      </c>
      <c r="Y9" s="71">
        <f>AVERAGE('Load Profiles'!AB883:AB974)*$B$45</f>
        <v>0.19408470966091035</v>
      </c>
      <c r="Z9" s="71">
        <f>AVERAGE('Load Profiles'!AC883:AC974)*$B$45</f>
        <v>0.14699117452447713</v>
      </c>
      <c r="AA9" s="71">
        <f>AVERAGE('Load Profiles'!AD883:AD974)*$B$45</f>
        <v>0.11032495395660266</v>
      </c>
    </row>
    <row r="10" spans="1:31" ht="15.75" customHeight="1">
      <c r="A10" s="96" t="s">
        <v>1514</v>
      </c>
      <c r="B10" s="96"/>
      <c r="C10" s="96" t="s">
        <v>914</v>
      </c>
      <c r="D10" s="71">
        <f t="shared" ref="D10:AA10" ca="1" si="3">D46</f>
        <v>0.72238525518105379</v>
      </c>
      <c r="E10" s="71">
        <f t="shared" ca="1" si="3"/>
        <v>1.155816408289686</v>
      </c>
      <c r="F10" s="71">
        <f t="shared" ca="1" si="3"/>
        <v>0.86686230621726446</v>
      </c>
      <c r="G10" s="71">
        <f t="shared" ca="1" si="3"/>
        <v>0.57790820414484301</v>
      </c>
      <c r="H10" s="71">
        <f t="shared" ca="1" si="3"/>
        <v>0.50566967862673773</v>
      </c>
      <c r="I10" s="71">
        <f t="shared" ca="1" si="3"/>
        <v>0.36119262759052689</v>
      </c>
      <c r="J10" s="71">
        <f t="shared" ca="1" si="3"/>
        <v>0.43343115310863223</v>
      </c>
      <c r="K10" s="71">
        <f t="shared" ca="1" si="3"/>
        <v>0.50566967862673773</v>
      </c>
      <c r="L10" s="71">
        <f t="shared" ca="1" si="3"/>
        <v>0.57790820414484301</v>
      </c>
      <c r="M10" s="71">
        <f t="shared" ca="1" si="3"/>
        <v>0.43343115310863223</v>
      </c>
      <c r="N10" s="71">
        <f t="shared" ca="1" si="3"/>
        <v>0.36119262759052689</v>
      </c>
      <c r="O10" s="71">
        <f t="shared" ca="1" si="3"/>
        <v>0.36119262759052689</v>
      </c>
      <c r="P10" s="71">
        <f t="shared" ca="1" si="3"/>
        <v>0.43343115310863223</v>
      </c>
      <c r="Q10" s="71">
        <f t="shared" ca="1" si="3"/>
        <v>0.57790820414484301</v>
      </c>
      <c r="R10" s="71">
        <f t="shared" ca="1" si="3"/>
        <v>0.26005869186517933</v>
      </c>
      <c r="S10" s="71">
        <f t="shared" ca="1" si="3"/>
        <v>0.26005869186517933</v>
      </c>
      <c r="T10" s="71">
        <f t="shared" ca="1" si="3"/>
        <v>0.26005869186517933</v>
      </c>
      <c r="U10" s="71">
        <f t="shared" ca="1" si="3"/>
        <v>0.2889541020724215</v>
      </c>
      <c r="V10" s="71">
        <f t="shared" ca="1" si="3"/>
        <v>0.43343115310863223</v>
      </c>
      <c r="W10" s="71">
        <f t="shared" ca="1" si="3"/>
        <v>0.6501467296629484</v>
      </c>
      <c r="X10" s="71">
        <f t="shared" ca="1" si="3"/>
        <v>0.86686230621726446</v>
      </c>
      <c r="Y10" s="71">
        <f t="shared" ca="1" si="3"/>
        <v>1.3725319848440021</v>
      </c>
      <c r="Z10" s="71">
        <f t="shared" ca="1" si="3"/>
        <v>1.2280549338077915</v>
      </c>
      <c r="AA10" s="71">
        <f t="shared" ca="1" si="3"/>
        <v>0.95354853683899099</v>
      </c>
    </row>
    <row r="11" spans="1:31" ht="15.75" customHeight="1">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row>
    <row r="12" spans="1:31" ht="15.75" customHeight="1">
      <c r="A12" s="96" t="s">
        <v>1514</v>
      </c>
      <c r="B12" s="96"/>
      <c r="C12" s="96" t="s">
        <v>1527</v>
      </c>
      <c r="D12" s="71">
        <f t="shared" ref="D12:AA12" si="4">IF(D3-D2&gt;0,D3-D2,0)</f>
        <v>0.33861330410890067</v>
      </c>
      <c r="E12" s="71">
        <f t="shared" si="4"/>
        <v>0.3068339959719818</v>
      </c>
      <c r="F12" s="71">
        <f t="shared" si="4"/>
        <v>0.29125707975233067</v>
      </c>
      <c r="G12" s="71">
        <f t="shared" si="4"/>
        <v>0.29176815361834629</v>
      </c>
      <c r="H12" s="71">
        <f t="shared" si="4"/>
        <v>0.35872946357311342</v>
      </c>
      <c r="I12" s="71">
        <f t="shared" si="4"/>
        <v>0.49772387784341443</v>
      </c>
      <c r="J12" s="71">
        <f t="shared" si="4"/>
        <v>0.98132691256646143</v>
      </c>
      <c r="K12" s="71">
        <f t="shared" si="4"/>
        <v>1.0483268154080236</v>
      </c>
      <c r="L12" s="96">
        <f t="shared" si="4"/>
        <v>0</v>
      </c>
      <c r="M12" s="96">
        <f t="shared" si="4"/>
        <v>0</v>
      </c>
      <c r="N12" s="96">
        <f t="shared" si="4"/>
        <v>0</v>
      </c>
      <c r="O12" s="96">
        <f t="shared" si="4"/>
        <v>0</v>
      </c>
      <c r="P12" s="96">
        <f t="shared" si="4"/>
        <v>0</v>
      </c>
      <c r="Q12" s="96">
        <f t="shared" si="4"/>
        <v>0</v>
      </c>
      <c r="R12" s="96">
        <f t="shared" si="4"/>
        <v>0</v>
      </c>
      <c r="S12" s="96">
        <f t="shared" si="4"/>
        <v>0</v>
      </c>
      <c r="T12" s="71">
        <f t="shared" si="4"/>
        <v>0.4291642548929363</v>
      </c>
      <c r="U12" s="71">
        <f t="shared" si="4"/>
        <v>1.3773130417579318</v>
      </c>
      <c r="V12" s="71">
        <f t="shared" si="4"/>
        <v>1.4554506438831349</v>
      </c>
      <c r="W12" s="71">
        <f t="shared" si="4"/>
        <v>1.3568620004319629</v>
      </c>
      <c r="X12" s="71">
        <f t="shared" si="4"/>
        <v>1.2080080743928214</v>
      </c>
      <c r="Y12" s="71">
        <f t="shared" si="4"/>
        <v>0.93501795337981575</v>
      </c>
      <c r="Z12" s="71">
        <f t="shared" si="4"/>
        <v>0.60912617369252153</v>
      </c>
      <c r="AA12" s="71">
        <f t="shared" si="4"/>
        <v>0.42094972510187922</v>
      </c>
    </row>
    <row r="13" spans="1:31" ht="15.75" customHeight="1">
      <c r="A13" s="96" t="s">
        <v>1514</v>
      </c>
      <c r="B13" s="96"/>
      <c r="C13" s="96" t="s">
        <v>1528</v>
      </c>
      <c r="D13" s="96">
        <f>IF(D3-D2&lt;0,(D3-D2)*-1,0)</f>
        <v>0</v>
      </c>
      <c r="E13" s="96">
        <f t="shared" ref="E13:AA13" si="5">IF(E3-E2&lt;0,E3-E2,0)</f>
        <v>0</v>
      </c>
      <c r="F13" s="96">
        <f t="shared" si="5"/>
        <v>0</v>
      </c>
      <c r="G13" s="96">
        <f t="shared" si="5"/>
        <v>0</v>
      </c>
      <c r="H13" s="96">
        <f t="shared" si="5"/>
        <v>0</v>
      </c>
      <c r="I13" s="96">
        <f t="shared" si="5"/>
        <v>0</v>
      </c>
      <c r="J13" s="96">
        <f t="shared" si="5"/>
        <v>0</v>
      </c>
      <c r="K13" s="96">
        <f t="shared" si="5"/>
        <v>0</v>
      </c>
      <c r="L13" s="71">
        <f t="shared" si="5"/>
        <v>-0.10538816489431113</v>
      </c>
      <c r="M13" s="71">
        <f t="shared" si="5"/>
        <v>-1.0469968017684788</v>
      </c>
      <c r="N13" s="71">
        <f t="shared" si="5"/>
        <v>-1.5887017239723289</v>
      </c>
      <c r="O13" s="71">
        <f t="shared" si="5"/>
        <v>-1.803539167406738</v>
      </c>
      <c r="P13" s="71">
        <f t="shared" si="5"/>
        <v>-1.7821693557954406</v>
      </c>
      <c r="Q13" s="71">
        <f t="shared" si="5"/>
        <v>-1.5916333105602285</v>
      </c>
      <c r="R13" s="71">
        <f t="shared" si="5"/>
        <v>-1.2252062765768961</v>
      </c>
      <c r="S13" s="71">
        <f t="shared" si="5"/>
        <v>-0.55202476359994379</v>
      </c>
      <c r="T13" s="96">
        <f t="shared" si="5"/>
        <v>0</v>
      </c>
      <c r="U13" s="96">
        <f t="shared" si="5"/>
        <v>0</v>
      </c>
      <c r="V13" s="96">
        <f t="shared" si="5"/>
        <v>0</v>
      </c>
      <c r="W13" s="96">
        <f t="shared" si="5"/>
        <v>0</v>
      </c>
      <c r="X13" s="96">
        <f t="shared" si="5"/>
        <v>0</v>
      </c>
      <c r="Y13" s="96">
        <f t="shared" si="5"/>
        <v>0</v>
      </c>
      <c r="Z13" s="96">
        <f t="shared" si="5"/>
        <v>0</v>
      </c>
      <c r="AA13" s="96">
        <f t="shared" si="5"/>
        <v>0</v>
      </c>
    </row>
    <row r="14" spans="1:31" ht="15.75" customHeight="1">
      <c r="A14" s="96" t="s">
        <v>1514</v>
      </c>
      <c r="B14" s="96"/>
      <c r="C14" s="96" t="s">
        <v>1526</v>
      </c>
      <c r="D14" s="71">
        <f t="shared" ref="D14:AA14" si="6">IF(D2&gt;D3,D3,D2)</f>
        <v>0</v>
      </c>
      <c r="E14" s="71">
        <f t="shared" si="6"/>
        <v>0</v>
      </c>
      <c r="F14" s="71">
        <f t="shared" si="6"/>
        <v>0</v>
      </c>
      <c r="G14" s="71">
        <f t="shared" si="6"/>
        <v>0</v>
      </c>
      <c r="H14" s="71">
        <f t="shared" si="6"/>
        <v>0</v>
      </c>
      <c r="I14" s="71">
        <f t="shared" si="6"/>
        <v>0</v>
      </c>
      <c r="J14" s="71">
        <f t="shared" si="6"/>
        <v>2.3439401373828426E-3</v>
      </c>
      <c r="K14" s="71">
        <f t="shared" si="6"/>
        <v>0.17110763002894749</v>
      </c>
      <c r="L14" s="71">
        <f t="shared" si="6"/>
        <v>0.86265911184480293</v>
      </c>
      <c r="M14" s="71">
        <f t="shared" si="6"/>
        <v>0.65704767810884768</v>
      </c>
      <c r="N14" s="71">
        <f t="shared" si="6"/>
        <v>0.61460200516754315</v>
      </c>
      <c r="O14" s="71">
        <f t="shared" si="6"/>
        <v>0.61071917409758958</v>
      </c>
      <c r="P14" s="71">
        <f t="shared" si="6"/>
        <v>0.59224200337337884</v>
      </c>
      <c r="Q14" s="71">
        <f t="shared" si="6"/>
        <v>0.55541585528245518</v>
      </c>
      <c r="R14" s="71">
        <f t="shared" si="6"/>
        <v>0.51868518563593857</v>
      </c>
      <c r="S14" s="71">
        <f t="shared" si="6"/>
        <v>0.57541044248120343</v>
      </c>
      <c r="T14" s="71">
        <f t="shared" si="6"/>
        <v>0.45238044651488862</v>
      </c>
      <c r="U14" s="71">
        <f t="shared" si="6"/>
        <v>4.2190922472891162E-2</v>
      </c>
      <c r="V14" s="71">
        <f t="shared" si="6"/>
        <v>0</v>
      </c>
      <c r="W14" s="71">
        <f t="shared" si="6"/>
        <v>0</v>
      </c>
      <c r="X14" s="71">
        <f t="shared" si="6"/>
        <v>0</v>
      </c>
      <c r="Y14" s="71">
        <f t="shared" si="6"/>
        <v>0</v>
      </c>
      <c r="Z14" s="71">
        <f t="shared" si="6"/>
        <v>0</v>
      </c>
      <c r="AA14" s="71">
        <f t="shared" si="6"/>
        <v>0</v>
      </c>
      <c r="AC14" s="135"/>
    </row>
    <row r="19" spans="1:31" ht="12.95">
      <c r="A19" s="47"/>
      <c r="B19" s="47"/>
      <c r="C19" s="114" t="s">
        <v>1506</v>
      </c>
      <c r="D19" s="392">
        <v>0</v>
      </c>
      <c r="E19" s="392">
        <v>4.1666666666666664E-2</v>
      </c>
      <c r="F19" s="392">
        <v>8.3333333333333329E-2</v>
      </c>
      <c r="G19" s="392">
        <v>0.125</v>
      </c>
      <c r="H19" s="392">
        <v>0.16666666666666666</v>
      </c>
      <c r="I19" s="392">
        <v>0.20833333333333334</v>
      </c>
      <c r="J19" s="392">
        <v>0.25</v>
      </c>
      <c r="K19" s="392">
        <v>0.29166666666666669</v>
      </c>
      <c r="L19" s="392">
        <v>0.33333333333333331</v>
      </c>
      <c r="M19" s="392">
        <v>0.375</v>
      </c>
      <c r="N19" s="392">
        <v>0.41666666666666669</v>
      </c>
      <c r="O19" s="392">
        <v>0.45833333333333331</v>
      </c>
      <c r="P19" s="392">
        <v>0.5</v>
      </c>
      <c r="Q19" s="392">
        <v>0.54166666666666663</v>
      </c>
      <c r="R19" s="392">
        <v>0.58333333333333337</v>
      </c>
      <c r="S19" s="392">
        <v>0.625</v>
      </c>
      <c r="T19" s="392">
        <v>0.66666666666666663</v>
      </c>
      <c r="U19" s="392">
        <v>0.70833333333333337</v>
      </c>
      <c r="V19" s="392">
        <v>0.75</v>
      </c>
      <c r="W19" s="392">
        <v>0.79166666666666663</v>
      </c>
      <c r="X19" s="392">
        <v>0.83333333333333337</v>
      </c>
      <c r="Y19" s="392">
        <v>0.875</v>
      </c>
      <c r="Z19" s="392">
        <v>0.91666666666666663</v>
      </c>
      <c r="AA19" s="392">
        <v>0.95833333333333337</v>
      </c>
      <c r="AB19" s="47"/>
      <c r="AC19" s="47"/>
      <c r="AD19" s="47"/>
      <c r="AE19" s="47"/>
    </row>
    <row r="20" spans="1:31" ht="15.75" customHeight="1">
      <c r="A20" s="244" t="s">
        <v>1512</v>
      </c>
      <c r="B20" s="244"/>
      <c r="C20" s="244" t="s">
        <v>1529</v>
      </c>
      <c r="D20" s="244">
        <f>D57*'Full home'!$E$28</f>
        <v>0</v>
      </c>
      <c r="E20" s="244">
        <f>E57*'Full home'!$E$28</f>
        <v>0</v>
      </c>
      <c r="F20" s="244">
        <f>F57*'Full home'!$E$28</f>
        <v>0</v>
      </c>
      <c r="G20" s="244">
        <f>G57*'Full home'!$E$28</f>
        <v>0</v>
      </c>
      <c r="H20" s="244">
        <f>H57*'Full home'!$E$28</f>
        <v>2.3439401373828426E-3</v>
      </c>
      <c r="I20" s="244">
        <f>I57*'Full home'!$E$28</f>
        <v>7.7350024533633793E-2</v>
      </c>
      <c r="J20" s="244">
        <f>J57*'Full home'!$E$28</f>
        <v>0.56488957310926502</v>
      </c>
      <c r="K20" s="244">
        <f>K57*'Full home'!$E$28</f>
        <v>1.3899565014680255</v>
      </c>
      <c r="L20" s="244">
        <f>L57*'Full home'!$E$28</f>
        <v>2.2619022325744429</v>
      </c>
      <c r="M20" s="244">
        <f>M57*'Full home'!$E$28</f>
        <v>3.0260267173612494</v>
      </c>
      <c r="N20" s="244">
        <f>N57*'Full home'!$E$28</f>
        <v>3.6166996319817257</v>
      </c>
      <c r="O20" s="244">
        <f>O57*'Full home'!$E$28</f>
        <v>3.9636027723143865</v>
      </c>
      <c r="P20" s="244">
        <f>P57*'Full home'!$E$28</f>
        <v>4.019857335611575</v>
      </c>
      <c r="Q20" s="244">
        <f>Q57*'Full home'!$E$28</f>
        <v>3.7737436211863766</v>
      </c>
      <c r="R20" s="244">
        <f>R57*'Full home'!$E$28</f>
        <v>3.2580767909621513</v>
      </c>
      <c r="S20" s="244">
        <f>S57*'Full home'!$E$28</f>
        <v>2.5220795878239386</v>
      </c>
      <c r="T20" s="244">
        <f>T57*'Full home'!$E$28</f>
        <v>1.64075809616799</v>
      </c>
      <c r="U20" s="244">
        <f>U57*'Full home'!$E$28</f>
        <v>0.77818812561110373</v>
      </c>
      <c r="V20" s="244">
        <f>V57*'Full home'!$E$28</f>
        <v>0.27892887634855829</v>
      </c>
      <c r="W20" s="244">
        <f>W57*'Full home'!$E$28</f>
        <v>5.3910623159805375E-2</v>
      </c>
      <c r="X20" s="244">
        <f>X57*'Full home'!$E$28</f>
        <v>2.3439401373828426E-3</v>
      </c>
      <c r="Y20" s="244">
        <f>Y57*'Full home'!$E$28</f>
        <v>0</v>
      </c>
      <c r="Z20" s="244">
        <f>Z57*'Full home'!$E$28</f>
        <v>0</v>
      </c>
      <c r="AA20" s="244">
        <f>AA57*'Full home'!$E$28</f>
        <v>0</v>
      </c>
      <c r="AB20" s="230"/>
      <c r="AC20" s="230"/>
      <c r="AD20" s="230"/>
      <c r="AE20" s="230"/>
    </row>
    <row r="21" spans="1:31" ht="12.95">
      <c r="A21" s="37" t="s">
        <v>1512</v>
      </c>
      <c r="B21" s="37"/>
      <c r="C21" s="37" t="s">
        <v>1530</v>
      </c>
      <c r="D21" s="244">
        <f t="shared" ref="D21:AA21" si="7">SUM(D22:D27)</f>
        <v>0.25691067473227619</v>
      </c>
      <c r="E21" s="244">
        <f t="shared" si="7"/>
        <v>0.2366311004889205</v>
      </c>
      <c r="F21" s="244">
        <f t="shared" si="7"/>
        <v>0.23038009785686062</v>
      </c>
      <c r="G21" s="244">
        <f t="shared" si="7"/>
        <v>0.25473278690798473</v>
      </c>
      <c r="H21" s="244">
        <f t="shared" si="7"/>
        <v>0.27869076020361833</v>
      </c>
      <c r="I21" s="244">
        <f t="shared" si="7"/>
        <v>0.33369246451495971</v>
      </c>
      <c r="J21" s="244">
        <f t="shared" si="7"/>
        <v>0.43719858672440415</v>
      </c>
      <c r="K21" s="244">
        <f t="shared" si="7"/>
        <v>0.441795061712765</v>
      </c>
      <c r="L21" s="244">
        <f t="shared" si="7"/>
        <v>0.42147936594130325</v>
      </c>
      <c r="M21" s="244">
        <f t="shared" si="7"/>
        <v>0.44455947175388261</v>
      </c>
      <c r="N21" s="244">
        <f t="shared" si="7"/>
        <v>0.47194106107800421</v>
      </c>
      <c r="O21" s="244">
        <f t="shared" si="7"/>
        <v>0.47241315738145639</v>
      </c>
      <c r="P21" s="244">
        <f t="shared" si="7"/>
        <v>0.44305548883415857</v>
      </c>
      <c r="Q21" s="244">
        <f t="shared" si="7"/>
        <v>0.45464052072312588</v>
      </c>
      <c r="R21" s="244">
        <f t="shared" si="7"/>
        <v>0.51526150936538262</v>
      </c>
      <c r="S21" s="244">
        <f t="shared" si="7"/>
        <v>0.63044447926368108</v>
      </c>
      <c r="T21" s="244">
        <f t="shared" si="7"/>
        <v>0.82291105841783918</v>
      </c>
      <c r="U21" s="244">
        <f t="shared" si="7"/>
        <v>0.73790092670290641</v>
      </c>
      <c r="V21" s="244">
        <f t="shared" si="7"/>
        <v>0.70338120362434031</v>
      </c>
      <c r="W21" s="244">
        <f t="shared" si="7"/>
        <v>0.60411625824043469</v>
      </c>
      <c r="X21" s="244">
        <f t="shared" si="7"/>
        <v>0.55932573183884493</v>
      </c>
      <c r="Y21" s="244">
        <f t="shared" si="7"/>
        <v>0.45921514508733802</v>
      </c>
      <c r="Z21" s="244">
        <f t="shared" si="7"/>
        <v>0.34556106073517895</v>
      </c>
      <c r="AA21" s="244">
        <f t="shared" si="7"/>
        <v>0.28924247147515925</v>
      </c>
      <c r="AC21" s="394" t="s">
        <v>1531</v>
      </c>
      <c r="AD21" s="394" t="s">
        <v>1219</v>
      </c>
      <c r="AE21" s="394" t="s">
        <v>1522</v>
      </c>
    </row>
    <row r="22" spans="1:31" ht="15.75" customHeight="1">
      <c r="A22" s="37" t="s">
        <v>1512</v>
      </c>
      <c r="B22" s="37"/>
      <c r="C22" s="37" t="s">
        <v>56</v>
      </c>
      <c r="D22" s="244">
        <f>AVERAGE('Load Profiles'!G1097:G1155,'Load Profiles'!G1431:G1461)*$B$40</f>
        <v>2.0727813281626969E-2</v>
      </c>
      <c r="E22" s="244">
        <f>AVERAGE('Load Profiles'!H1097:H1155,'Load Profiles'!H1431:H1461)*$B$40</f>
        <v>2.0954054501734834E-2</v>
      </c>
      <c r="F22" s="244">
        <f>AVERAGE('Load Profiles'!I1097:I1155,'Load Profiles'!I1431:I1461)*$B$40</f>
        <v>2.1513073611139685E-2</v>
      </c>
      <c r="G22" s="244">
        <f>AVERAGE('Load Profiles'!J1097:J1155,'Load Profiles'!J1431:J1461)*$B$40</f>
        <v>2.3212634768877329E-2</v>
      </c>
      <c r="H22" s="244">
        <f>AVERAGE('Load Profiles'!K1097:K1155,'Load Profiles'!K1431:K1461)*$B$40</f>
        <v>2.4114608109670078E-2</v>
      </c>
      <c r="I22" s="244">
        <f>AVERAGE('Load Profiles'!L1097:L1155,'Load Profiles'!L1431:L1461)*$B$40</f>
        <v>2.5727731820960512E-2</v>
      </c>
      <c r="J22" s="244">
        <f>AVERAGE('Load Profiles'!M1097:M1155,'Load Profiles'!M1431:M1461)*$B$40</f>
        <v>2.0608972623718896E-2</v>
      </c>
      <c r="K22" s="244">
        <f>AVERAGE('Load Profiles'!N1097:N1155,'Load Profiles'!N1431:N1461)*$B$40</f>
        <v>1.5246348317417084E-2</v>
      </c>
      <c r="L22" s="244">
        <f>AVERAGE('Load Profiles'!O1097:O1155,'Load Profiles'!O1431:O1461)*$B$40</f>
        <v>1.5859961419358377E-2</v>
      </c>
      <c r="M22" s="244">
        <f>AVERAGE('Load Profiles'!P1097:P1155,'Load Profiles'!P1431:P1461)*$B$40</f>
        <v>1.7885125021444764E-2</v>
      </c>
      <c r="N22" s="244">
        <f>AVERAGE('Load Profiles'!Q1097:Q1155,'Load Profiles'!Q1431:Q1461)*$B$40</f>
        <v>1.9124410198147573E-2</v>
      </c>
      <c r="O22" s="244">
        <f>AVERAGE('Load Profiles'!R1097:R1155,'Load Profiles'!R1431:R1461)*$B$40</f>
        <v>3.0265819870593066E-2</v>
      </c>
      <c r="P22" s="244">
        <f>AVERAGE('Load Profiles'!S1097:S1155,'Load Profiles'!S1431:S1461)*$B$40</f>
        <v>4.1144597370558089E-2</v>
      </c>
      <c r="Q22" s="244">
        <f>AVERAGE('Load Profiles'!T1097:T1155,'Load Profiles'!T1431:T1461)*$B$40</f>
        <v>6.6765134145753705E-2</v>
      </c>
      <c r="R22" s="244">
        <f>AVERAGE('Load Profiles'!U1097:U1155,'Load Profiles'!U1431:U1461)*$B$40</f>
        <v>0.11259866583812828</v>
      </c>
      <c r="S22" s="244">
        <f>AVERAGE('Load Profiles'!V1097:V1155,'Load Profiles'!V1431:V1461)*$B$40</f>
        <v>0.13531004889481524</v>
      </c>
      <c r="T22" s="244">
        <f>AVERAGE('Load Profiles'!W1097:W1155,'Load Profiles'!W1431:W1461)*$B$40</f>
        <v>0.14545647807799938</v>
      </c>
      <c r="U22" s="244">
        <f>AVERAGE('Load Profiles'!X1097:X1155,'Load Profiles'!X1431:X1461)*$B$40</f>
        <v>0.13124230438748333</v>
      </c>
      <c r="V22" s="244">
        <f>AVERAGE('Load Profiles'!Y1097:Y1155,'Load Profiles'!Y1431:Y1461)*$B$40</f>
        <v>0.1187650341748014</v>
      </c>
      <c r="W22" s="244">
        <f>AVERAGE('Load Profiles'!Z1097:Z1155,'Load Profiles'!Z1431:Z1461)*$B$40</f>
        <v>8.4485942148097029E-2</v>
      </c>
      <c r="X22" s="244">
        <f>AVERAGE('Load Profiles'!AA1097:AA1155,'Load Profiles'!AA1431:AA1461)*$B$40</f>
        <v>6.5596803950262614E-2</v>
      </c>
      <c r="Y22" s="244">
        <f>AVERAGE('Load Profiles'!AB1097:AB1155,'Load Profiles'!AB1431:AB1461)*$B$40</f>
        <v>4.4770198563190727E-2</v>
      </c>
      <c r="Z22" s="244">
        <f>AVERAGE('Load Profiles'!AC1097:AC1155,'Load Profiles'!AC1431:AC1461)*$B$40</f>
        <v>2.7132000742407195E-2</v>
      </c>
      <c r="AA22" s="244">
        <f>AVERAGE('Load Profiles'!AD1097:AD1155,'Load Profiles'!AD1431:AD1461)*$B$40</f>
        <v>2.4761373864540394E-2</v>
      </c>
      <c r="AC22" s="37" t="s">
        <v>1523</v>
      </c>
      <c r="AD22" s="72">
        <f>SUM(D21:AA21)</f>
        <v>10.845480443604824</v>
      </c>
      <c r="AE22" s="166">
        <f t="shared" ref="AE22:AE25" si="8">AD22/$AD$22</f>
        <v>1</v>
      </c>
    </row>
    <row r="23" spans="1:31" ht="15.75" customHeight="1">
      <c r="A23" s="37" t="s">
        <v>1512</v>
      </c>
      <c r="B23" s="37"/>
      <c r="C23" s="37" t="s">
        <v>58</v>
      </c>
      <c r="D23" s="244">
        <f>AVERAGE('Load Profiles'!G1462:G1520,'Load Profiles'!G1796:G1826)*$B$41</f>
        <v>3.0343551927710551E-2</v>
      </c>
      <c r="E23" s="244">
        <f>AVERAGE('Load Profiles'!H1462:H1520,'Load Profiles'!H1796:H1826)*$B$41</f>
        <v>2.7344925328254541E-2</v>
      </c>
      <c r="F23" s="244">
        <f>AVERAGE('Load Profiles'!I1462:I1520,'Load Profiles'!I1796:I1826)*$B$41</f>
        <v>2.7569543758028225E-2</v>
      </c>
      <c r="G23" s="244">
        <f>AVERAGE('Load Profiles'!J1462:J1520,'Load Profiles'!J1796:J1826)*$B$41</f>
        <v>5.0534464824113431E-2</v>
      </c>
      <c r="H23" s="244">
        <f>AVERAGE('Load Profiles'!K1462:K1520,'Load Profiles'!K1796:K1826)*$B$41</f>
        <v>5.7936779837650124E-2</v>
      </c>
      <c r="I23" s="244">
        <f>AVERAGE('Load Profiles'!L1462:L1520,'Load Profiles'!L1796:L1826)*$B$41</f>
        <v>7.5697876966419983E-2</v>
      </c>
      <c r="J23" s="244">
        <f>AVERAGE('Load Profiles'!M1462:M1520,'Load Profiles'!M1796:M1826)*$B$41</f>
        <v>0.13636132101586765</v>
      </c>
      <c r="K23" s="244">
        <f>AVERAGE('Load Profiles'!N1462:N1520,'Load Profiles'!N1796:N1826)*$B$41</f>
        <v>0.12081060909933038</v>
      </c>
      <c r="L23" s="244">
        <f>AVERAGE('Load Profiles'!O1462:O1520,'Load Profiles'!O1796:O1826)*$B$41</f>
        <v>9.307223803127955E-2</v>
      </c>
      <c r="M23" s="244">
        <f>AVERAGE('Load Profiles'!P1462:P1520,'Load Profiles'!P1796:P1826)*$B$41</f>
        <v>0.10409126500070419</v>
      </c>
      <c r="N23" s="244">
        <f>AVERAGE('Load Profiles'!Q1462:Q1520,'Load Profiles'!Q1796:Q1826)*$B$41</f>
        <v>0.10236271982758044</v>
      </c>
      <c r="O23" s="244">
        <f>AVERAGE('Load Profiles'!R1462:R1520,'Load Profiles'!R1796:R1826)*$B$41</f>
        <v>7.9082059942663555E-2</v>
      </c>
      <c r="P23" s="244">
        <f>AVERAGE('Load Profiles'!S1462:S1520,'Load Profiles'!S1796:S1826)*$B$41</f>
        <v>6.4259502016424899E-2</v>
      </c>
      <c r="Q23" s="244">
        <f>AVERAGE('Load Profiles'!T1462:T1520,'Load Profiles'!T1796:T1826)*$B$41</f>
        <v>5.498354707637277E-2</v>
      </c>
      <c r="R23" s="244">
        <f>AVERAGE('Load Profiles'!U1462:U1520,'Load Profiles'!U1796:U1826)*$B$41</f>
        <v>5.6463351699635983E-2</v>
      </c>
      <c r="S23" s="244">
        <f>AVERAGE('Load Profiles'!V1462:V1520,'Load Profiles'!V1796:V1826)*$B$41</f>
        <v>5.8290710244605304E-2</v>
      </c>
      <c r="T23" s="244">
        <f>AVERAGE('Load Profiles'!W1462:W1520,'Load Profiles'!W1796:W1826)*$B$41</f>
        <v>6.8999626330105646E-2</v>
      </c>
      <c r="U23" s="244">
        <f>AVERAGE('Load Profiles'!X1462:X1520,'Load Profiles'!X1796:X1826)*$B$41</f>
        <v>8.9767444742055405E-2</v>
      </c>
      <c r="V23" s="244">
        <f>AVERAGE('Load Profiles'!Y1462:Y1520,'Load Profiles'!Y1796:Y1826)*$B$41</f>
        <v>9.1458216905719175E-2</v>
      </c>
      <c r="W23" s="244">
        <f>AVERAGE('Load Profiles'!Z1462:Z1520,'Load Profiles'!Z1796:Z1826)*$B$41</f>
        <v>8.5333301180946647E-2</v>
      </c>
      <c r="X23" s="244">
        <f>AVERAGE('Load Profiles'!AA1462:AA1520,'Load Profiles'!AA1796:AA1826)*$B$41</f>
        <v>7.9352944646127382E-2</v>
      </c>
      <c r="Y23" s="244">
        <f>AVERAGE('Load Profiles'!AB1462:AB1520,'Load Profiles'!AB1796:AB1826)*$B$41</f>
        <v>6.651320731783493E-2</v>
      </c>
      <c r="Z23" s="244">
        <f>AVERAGE('Load Profiles'!AC1462:AC1520,'Load Profiles'!AC1796:AC1826)*$B$41</f>
        <v>4.6981076126696796E-2</v>
      </c>
      <c r="AA23" s="244">
        <f>AVERAGE('Load Profiles'!AD1462:AD1520,'Load Profiles'!AD1796:AD1826)*$B$41</f>
        <v>3.2647626882928306E-2</v>
      </c>
      <c r="AC23" s="37" t="s">
        <v>1524</v>
      </c>
      <c r="AD23" s="72">
        <f>SUM(D20:AA20)</f>
        <v>31.230658390488991</v>
      </c>
      <c r="AE23" s="166">
        <f t="shared" si="8"/>
        <v>2.8796011899043665</v>
      </c>
    </row>
    <row r="24" spans="1:31" ht="15.75" customHeight="1">
      <c r="A24" s="37" t="s">
        <v>1512</v>
      </c>
      <c r="B24" s="37"/>
      <c r="C24" s="37" t="s">
        <v>186</v>
      </c>
      <c r="D24" s="244">
        <f>AVERAGE('Load Profiles'!G2:G60,'Load Profiles'!G336:G366)*$B$42</f>
        <v>3.2346734296138106E-3</v>
      </c>
      <c r="E24" s="244">
        <f>AVERAGE('Load Profiles'!H2:H60,'Load Profiles'!H336:H366)*$B$42</f>
        <v>3.6204957690692203E-3</v>
      </c>
      <c r="F24" s="244">
        <f>AVERAGE('Load Profiles'!I2:I60,'Load Profiles'!I336:I366)*$B$42</f>
        <v>3.3768641758544862E-3</v>
      </c>
      <c r="G24" s="244">
        <f>AVERAGE('Load Profiles'!J2:J60,'Load Profiles'!J336:J366)*$B$42</f>
        <v>3.4657293345327122E-3</v>
      </c>
      <c r="H24" s="244">
        <f>AVERAGE('Load Profiles'!K2:K60,'Load Profiles'!K336:K366)*$B$42</f>
        <v>4.370687221229335E-3</v>
      </c>
      <c r="I24" s="244">
        <f>AVERAGE('Load Profiles'!L2:L60,'Load Profiles'!L336:L366)*$B$42</f>
        <v>1.2922491365655951E-2</v>
      </c>
      <c r="J24" s="244">
        <f>AVERAGE('Load Profiles'!M2:M60,'Load Profiles'!M336:M366)*$B$42</f>
        <v>3.1797886895541062E-2</v>
      </c>
      <c r="K24" s="244">
        <f>AVERAGE('Load Profiles'!N2:N60,'Load Profiles'!N336:N366)*$B$42</f>
        <v>3.2587467475930568E-2</v>
      </c>
      <c r="L24" s="244">
        <f>AVERAGE('Load Profiles'!O2:O60,'Load Profiles'!O336:O366)*$B$42</f>
        <v>3.7319965646045387E-2</v>
      </c>
      <c r="M24" s="244">
        <f>AVERAGE('Load Profiles'!P2:P60,'Load Profiles'!P336:P366)*$B$42</f>
        <v>4.0583656121142536E-2</v>
      </c>
      <c r="N24" s="244">
        <f>AVERAGE('Load Profiles'!Q2:Q60,'Load Profiles'!Q336:Q366)*$B$42</f>
        <v>6.044482959289102E-2</v>
      </c>
      <c r="O24" s="244">
        <f>AVERAGE('Load Profiles'!R2:R60,'Load Profiles'!R336:R366)*$B$42</f>
        <v>7.7446711236101085E-2</v>
      </c>
      <c r="P24" s="244">
        <f>AVERAGE('Load Profiles'!S2:S60,'Load Profiles'!S336:S366)*$B$42</f>
        <v>5.1160154140498321E-2</v>
      </c>
      <c r="Q24" s="244">
        <f>AVERAGE('Load Profiles'!T2:T60,'Load Profiles'!T336:T366)*$B$42</f>
        <v>4.7887442646713393E-2</v>
      </c>
      <c r="R24" s="244">
        <f>AVERAGE('Load Profiles'!U2:U60,'Load Profiles'!U336:U366)*$B$42</f>
        <v>5.942623113932826E-2</v>
      </c>
      <c r="S24" s="244">
        <f>AVERAGE('Load Profiles'!V2:V60,'Load Profiles'!V336:V366)*$B$42</f>
        <v>0.15334074124944372</v>
      </c>
      <c r="T24" s="244">
        <f>AVERAGE('Load Profiles'!W2:W60,'Load Profiles'!W336:W366)*$B$42</f>
        <v>0.32500714636523698</v>
      </c>
      <c r="U24" s="244">
        <f>AVERAGE('Load Profiles'!X2:X60,'Load Profiles'!X336:X366)*$B$42</f>
        <v>0.21297560014326136</v>
      </c>
      <c r="V24" s="244">
        <f>AVERAGE('Load Profiles'!Y2:Y60,'Load Profiles'!Y336:Y366)*$B$42</f>
        <v>0.15831717678616603</v>
      </c>
      <c r="W24" s="244">
        <f>AVERAGE('Load Profiles'!Z2:Z60,'Load Profiles'!Z336:Z366)*$B$42</f>
        <v>6.7517384117187065E-2</v>
      </c>
      <c r="X24" s="244">
        <f>AVERAGE('Load Profiles'!AA2:AA60,'Load Profiles'!AA336:AA366)*$B$42</f>
        <v>3.0694919749643605E-2</v>
      </c>
      <c r="Y24" s="244">
        <f>AVERAGE('Load Profiles'!AB2:AB60,'Load Profiles'!AB336:AB366)*$B$42</f>
        <v>1.0342553545731924E-2</v>
      </c>
      <c r="Z24" s="244">
        <f>AVERAGE('Load Profiles'!AC2:AC60,'Load Profiles'!AC336:AC366)*$B$42</f>
        <v>7.4567505573665928E-3</v>
      </c>
      <c r="AA24" s="244">
        <f>AVERAGE('Load Profiles'!AD2:AD60,'Load Profiles'!AD336:AD366)*$B$42</f>
        <v>5.6853203216081071E-3</v>
      </c>
      <c r="AC24" s="37" t="s">
        <v>1525</v>
      </c>
      <c r="AD24" s="72">
        <f t="shared" ref="AD24:AD25" si="9">SUM(D31:AA31)</f>
        <v>24.522180298273323</v>
      </c>
      <c r="AE24" s="166">
        <f t="shared" si="8"/>
        <v>2.26105062157326</v>
      </c>
    </row>
    <row r="25" spans="1:31" ht="12.95">
      <c r="A25" s="37" t="s">
        <v>1512</v>
      </c>
      <c r="B25" s="37"/>
      <c r="C25" s="37" t="s">
        <v>865</v>
      </c>
      <c r="D25" s="244">
        <f>AVERAGE('Load Profiles'!G1827:G1885,'Load Profiles'!G2161:G2191)*$B$43</f>
        <v>0.10354226557398129</v>
      </c>
      <c r="E25" s="244">
        <f>AVERAGE('Load Profiles'!H1827:H1885,'Load Profiles'!H2161:H2191)*$B$43</f>
        <v>9.2977392138814896E-2</v>
      </c>
      <c r="F25" s="244">
        <f>AVERAGE('Load Profiles'!I1827:I1885,'Load Profiles'!I2161:I2191)*$B$43</f>
        <v>8.861721742636948E-2</v>
      </c>
      <c r="G25" s="244">
        <f>AVERAGE('Load Profiles'!J1827:J1885,'Load Profiles'!J2161:J2191)*$B$43</f>
        <v>8.8584569181991785E-2</v>
      </c>
      <c r="H25" s="244">
        <f>AVERAGE('Load Profiles'!K1827:K1885,'Load Profiles'!K2161:K2191)*$B$43</f>
        <v>8.839179433063768E-2</v>
      </c>
      <c r="I25" s="244">
        <f>AVERAGE('Load Profiles'!L1827:L1885,'Load Profiles'!L2161:L2191)*$B$43</f>
        <v>8.9057994825174416E-2</v>
      </c>
      <c r="J25" s="244">
        <f>AVERAGE('Load Profiles'!M1827:M1885,'Load Profiles'!M2161:M2191)*$B$43</f>
        <v>9.7320226190712733E-2</v>
      </c>
      <c r="K25" s="244">
        <f>AVERAGE('Load Profiles'!N1827:N1885,'Load Profiles'!N2161:N2191)*$B$43</f>
        <v>0.11168106692001302</v>
      </c>
      <c r="L25" s="244">
        <f>AVERAGE('Load Profiles'!O1827:O1885,'Load Profiles'!O2161:O2191)*$B$43</f>
        <v>0.12283309013546809</v>
      </c>
      <c r="M25" s="244">
        <f>AVERAGE('Load Profiles'!P1827:P1885,'Load Profiles'!P2161:P2191)*$B$43</f>
        <v>0.12710437335286828</v>
      </c>
      <c r="N25" s="244">
        <f>AVERAGE('Load Profiles'!Q1827:Q1885,'Load Profiles'!Q2161:Q2191)*$B$43</f>
        <v>0.12662800232727819</v>
      </c>
      <c r="O25" s="244">
        <f>AVERAGE('Load Profiles'!R1827:R1885,'Load Profiles'!R2161:R2191)*$B$43</f>
        <v>0.1187192560494975</v>
      </c>
      <c r="P25" s="244">
        <f>AVERAGE('Load Profiles'!S1827:S1885,'Load Profiles'!S2161:S2191)*$B$43</f>
        <v>0.11641589990399022</v>
      </c>
      <c r="Q25" s="244">
        <f>AVERAGE('Load Profiles'!T1827:T1885,'Load Profiles'!T2161:T2191)*$B$43</f>
        <v>0.11321936522167163</v>
      </c>
      <c r="R25" s="244">
        <f>AVERAGE('Load Profiles'!U1827:U1885,'Load Profiles'!U2161:U2191)*$B$43</f>
        <v>0.11112503012890027</v>
      </c>
      <c r="S25" s="244">
        <f>AVERAGE('Load Profiles'!V1827:V1885,'Load Profiles'!V2161:V2191)*$B$43</f>
        <v>0.10973612568307395</v>
      </c>
      <c r="T25" s="244">
        <f>AVERAGE('Load Profiles'!W1827:W1885,'Load Profiles'!W2161:W2191)*$B$43</f>
        <v>0.10780482818443138</v>
      </c>
      <c r="U25" s="244">
        <f>AVERAGE('Load Profiles'!X1827:X1885,'Load Profiles'!X2161:X2191)*$B$43</f>
        <v>0.10855516282088551</v>
      </c>
      <c r="V25" s="244">
        <f>AVERAGE('Load Profiles'!Y1827:Y1885,'Load Profiles'!Y2161:Y2191)*$B$43</f>
        <v>0.11271099825279461</v>
      </c>
      <c r="W25" s="244">
        <f>AVERAGE('Load Profiles'!Z1827:Z1885,'Load Profiles'!Z2161:Z2191)*$B$43</f>
        <v>0.11436069590873184</v>
      </c>
      <c r="X25" s="244">
        <f>AVERAGE('Load Profiles'!AA1827:AA1885,'Load Profiles'!AA2161:AA2191)*$B$43</f>
        <v>0.12556425207438573</v>
      </c>
      <c r="Y25" s="244">
        <f>AVERAGE('Load Profiles'!AB1827:AB1885,'Load Profiles'!AB2161:AB2191)*$B$43</f>
        <v>0.12332650581201372</v>
      </c>
      <c r="Z25" s="244">
        <f>AVERAGE('Load Profiles'!AC1827:AC1885,'Load Profiles'!AC2161:AC2191)*$B$43</f>
        <v>0.11605035183880742</v>
      </c>
      <c r="AA25" s="244">
        <f>AVERAGE('Load Profiles'!AD1827:AD1885,'Load Profiles'!AD2161:AD2191)*$B$43</f>
        <v>0.11373680675576558</v>
      </c>
      <c r="AC25" s="37" t="s">
        <v>1526</v>
      </c>
      <c r="AD25" s="72">
        <f t="shared" si="9"/>
        <v>6.7084780922156728</v>
      </c>
      <c r="AE25" s="393">
        <f t="shared" si="8"/>
        <v>0.61855056833110722</v>
      </c>
    </row>
    <row r="26" spans="1:31" ht="15.75" customHeight="1">
      <c r="A26" s="37" t="s">
        <v>1512</v>
      </c>
      <c r="B26" s="37"/>
      <c r="C26" s="37" t="s">
        <v>61</v>
      </c>
      <c r="D26" s="244">
        <f>AVERAGE('Load Profiles'!G367:G425,'Load Profiles'!G701:G731)*$B$44</f>
        <v>6.653780641755108E-3</v>
      </c>
      <c r="E26" s="244">
        <f>AVERAGE('Load Profiles'!H367:H425,'Load Profiles'!H701:H731)*$B$44</f>
        <v>6.045795446481813E-3</v>
      </c>
      <c r="F26" s="244">
        <f>AVERAGE('Load Profiles'!I367:I425,'Load Profiles'!I701:I731)*$B$44</f>
        <v>6.5431938311937572E-3</v>
      </c>
      <c r="G26" s="244">
        <f>AVERAGE('Load Profiles'!J367:J425,'Load Profiles'!J701:J731)*$B$44</f>
        <v>8.2192332108840492E-3</v>
      </c>
      <c r="H26" s="244">
        <f>AVERAGE('Load Profiles'!K367:K425,'Load Profiles'!K701:K731)*$B$44</f>
        <v>2.1959058264598815E-2</v>
      </c>
      <c r="I26" s="244">
        <f>AVERAGE('Load Profiles'!L367:L425,'Load Profiles'!L701:L731)*$B$44</f>
        <v>4.4783116165073938E-2</v>
      </c>
      <c r="J26" s="244">
        <f>AVERAGE('Load Profiles'!M367:M425,'Load Profiles'!M701:M731)*$B$44</f>
        <v>3.5964045387145177E-2</v>
      </c>
      <c r="K26" s="244">
        <f>AVERAGE('Load Profiles'!N367:N425,'Load Profiles'!N701:N731)*$B$44</f>
        <v>2.6695161345964735E-2</v>
      </c>
      <c r="L26" s="244">
        <f>AVERAGE('Load Profiles'!O367:O425,'Load Profiles'!O701:O731)*$B$44</f>
        <v>2.409546553232739E-2</v>
      </c>
      <c r="M26" s="244">
        <f>AVERAGE('Load Profiles'!P367:P425,'Load Profiles'!P701:P731)*$B$44</f>
        <v>2.3328945527926102E-2</v>
      </c>
      <c r="N26" s="244">
        <f>AVERAGE('Load Profiles'!Q367:Q425,'Load Profiles'!Q701:Q731)*$B$44</f>
        <v>2.3387879043310668E-2</v>
      </c>
      <c r="O26" s="244">
        <f>AVERAGE('Load Profiles'!R367:R425,'Load Profiles'!R701:R731)*$B$44</f>
        <v>2.151986946103469E-2</v>
      </c>
      <c r="P26" s="244">
        <f>AVERAGE('Load Profiles'!S367:S425,'Load Profiles'!S701:S731)*$B$44</f>
        <v>2.016999727002812E-2</v>
      </c>
      <c r="Q26" s="244">
        <f>AVERAGE('Load Profiles'!T367:T425,'Load Profiles'!T701:T731)*$B$44</f>
        <v>1.7017251068836264E-2</v>
      </c>
      <c r="R26" s="244">
        <f>AVERAGE('Load Profiles'!U367:U425,'Load Profiles'!U701:U731)*$B$44</f>
        <v>1.9604880456455916E-2</v>
      </c>
      <c r="S26" s="244">
        <f>AVERAGE('Load Profiles'!V367:V425,'Load Profiles'!V701:V731)*$B$44</f>
        <v>2.0558608273123898E-2</v>
      </c>
      <c r="T26" s="244">
        <f>AVERAGE('Load Profiles'!W367:W425,'Load Profiles'!W701:W731)*$B$44</f>
        <v>2.3251656203111801E-2</v>
      </c>
      <c r="U26" s="244">
        <f>AVERAGE('Load Profiles'!X367:X425,'Load Profiles'!X701:X731)*$B$44</f>
        <v>2.8998411795753569E-2</v>
      </c>
      <c r="V26" s="244">
        <f>AVERAGE('Load Profiles'!Y367:Y425,'Load Profiles'!Y701:Y731)*$B$44</f>
        <v>3.6582094834889597E-2</v>
      </c>
      <c r="W26" s="244">
        <f>AVERAGE('Load Profiles'!Z367:Z425,'Load Profiles'!Z701:Z731)*$B$44</f>
        <v>4.6266296275862581E-2</v>
      </c>
      <c r="X26" s="244">
        <f>AVERAGE('Load Profiles'!AA367:AA425,'Load Profiles'!AA701:AA731)*$B$44</f>
        <v>5.2513581617169028E-2</v>
      </c>
      <c r="Y26" s="244">
        <f>AVERAGE('Load Profiles'!AB367:AB425,'Load Profiles'!AB701:AB731)*$B$44</f>
        <v>3.9061612159224164E-2</v>
      </c>
      <c r="Z26" s="244">
        <f>AVERAGE('Load Profiles'!AC367:AC425,'Load Profiles'!AC701:AC731)*$B$44</f>
        <v>1.6241853151030973E-2</v>
      </c>
      <c r="AA26" s="244">
        <f>AVERAGE('Load Profiles'!AD367:AD425,'Load Profiles'!AD701:AD731)*$B$44</f>
        <v>8.2632109981993895E-3</v>
      </c>
    </row>
    <row r="27" spans="1:31" ht="15.75" customHeight="1">
      <c r="A27" s="37" t="s">
        <v>1512</v>
      </c>
      <c r="B27" s="37"/>
      <c r="C27" s="37" t="s">
        <v>63</v>
      </c>
      <c r="D27" s="244">
        <f>AVERAGE('Load Profiles'!G732:G790,'Load Profiles'!G1066:G1096)*$B$45</f>
        <v>9.2408589877588446E-2</v>
      </c>
      <c r="E27" s="244">
        <f>AVERAGE('Load Profiles'!H732:H790,'Load Profiles'!H1066:H1096)*$B$45</f>
        <v>8.5688437304565199E-2</v>
      </c>
      <c r="F27" s="244">
        <f>AVERAGE('Load Profiles'!I732:I790,'Load Profiles'!I1066:I1096)*$B$45</f>
        <v>8.2760205054274977E-2</v>
      </c>
      <c r="G27" s="244">
        <f>AVERAGE('Load Profiles'!J732:J790,'Load Profiles'!J1066:J1096)*$B$45</f>
        <v>8.0716155587585423E-2</v>
      </c>
      <c r="H27" s="244">
        <f>AVERAGE('Load Profiles'!K732:K790,'Load Profiles'!K1066:K1096)*$B$45</f>
        <v>8.1917832439832305E-2</v>
      </c>
      <c r="I27" s="244">
        <f>AVERAGE('Load Profiles'!L732:L790,'Load Profiles'!L1066:L1096)*$B$45</f>
        <v>8.55032533716749E-2</v>
      </c>
      <c r="J27" s="244">
        <f>AVERAGE('Load Profiles'!M732:M790,'Load Profiles'!M1066:M1096)*$B$45</f>
        <v>0.11514613461141864</v>
      </c>
      <c r="K27" s="244">
        <f>AVERAGE('Load Profiles'!N732:N790,'Load Profiles'!N1066:N1096)*$B$45</f>
        <v>0.13477440855410927</v>
      </c>
      <c r="L27" s="244">
        <f>AVERAGE('Load Profiles'!O732:O790,'Load Profiles'!O1066:O1096)*$B$45</f>
        <v>0.12829864517682443</v>
      </c>
      <c r="M27" s="244">
        <f>AVERAGE('Load Profiles'!P732:P790,'Load Profiles'!P1066:P1096)*$B$45</f>
        <v>0.13156610672979674</v>
      </c>
      <c r="N27" s="244">
        <f>AVERAGE('Load Profiles'!Q732:Q790,'Load Profiles'!Q1066:Q1096)*$B$45</f>
        <v>0.13999322008879633</v>
      </c>
      <c r="O27" s="244">
        <f>AVERAGE('Load Profiles'!R732:R790,'Load Profiles'!R1066:R1096)*$B$45</f>
        <v>0.14537944082156651</v>
      </c>
      <c r="P27" s="244">
        <f>AVERAGE('Load Profiles'!S732:S790,'Load Profiles'!S1066:S1096)*$B$45</f>
        <v>0.14990533813265897</v>
      </c>
      <c r="Q27" s="244">
        <f>AVERAGE('Load Profiles'!T732:T790,'Load Profiles'!T1066:T1096)*$B$45</f>
        <v>0.15476778056377813</v>
      </c>
      <c r="R27" s="244">
        <f>AVERAGE('Load Profiles'!U732:U790,'Load Profiles'!U1066:U1096)*$B$45</f>
        <v>0.15604335010293394</v>
      </c>
      <c r="S27" s="244">
        <f>AVERAGE('Load Profiles'!V732:V790,'Load Profiles'!V1066:V1096)*$B$45</f>
        <v>0.15320824491861898</v>
      </c>
      <c r="T27" s="244">
        <f>AVERAGE('Load Profiles'!W732:W790,'Load Profiles'!W1066:W1096)*$B$45</f>
        <v>0.15239132325695401</v>
      </c>
      <c r="U27" s="244">
        <f>AVERAGE('Load Profiles'!X732:X790,'Load Profiles'!X1066:X1096)*$B$45</f>
        <v>0.16636200281346725</v>
      </c>
      <c r="V27" s="244">
        <f>AVERAGE('Load Profiles'!Y732:Y790,'Load Profiles'!Y1066:Y1096)*$B$45</f>
        <v>0.18554768266996943</v>
      </c>
      <c r="W27" s="244">
        <f>AVERAGE('Load Profiles'!Z732:Z790,'Load Profiles'!Z1066:Z1096)*$B$45</f>
        <v>0.20615263860960953</v>
      </c>
      <c r="X27" s="244">
        <f>AVERAGE('Load Profiles'!AA732:AA790,'Load Profiles'!AA1066:AA1096)*$B$45</f>
        <v>0.20560322980125656</v>
      </c>
      <c r="Y27" s="244">
        <f>AVERAGE('Load Profiles'!AB732:AB790,'Load Profiles'!AB1066:AB1096)*$B$45</f>
        <v>0.17520106768934257</v>
      </c>
      <c r="Z27" s="244">
        <f>AVERAGE('Load Profiles'!AC732:AC790,'Load Profiles'!AC1066:AC1096)*$B$45</f>
        <v>0.13169902831886998</v>
      </c>
      <c r="AA27" s="244">
        <f>AVERAGE('Load Profiles'!AD732:AD790,'Load Profiles'!AD1066:AD1096)*$B$45</f>
        <v>0.1041481326521175</v>
      </c>
    </row>
    <row r="28" spans="1:31" ht="15.75" customHeight="1">
      <c r="A28" s="37" t="s">
        <v>1512</v>
      </c>
      <c r="B28" s="37"/>
      <c r="C28" s="37" t="s">
        <v>914</v>
      </c>
      <c r="D28" s="244">
        <f t="shared" ref="D28:AA28" ca="1" si="10">D46</f>
        <v>0.72238525518105379</v>
      </c>
      <c r="E28" s="244">
        <f t="shared" ca="1" si="10"/>
        <v>1.155816408289686</v>
      </c>
      <c r="F28" s="244">
        <f t="shared" ca="1" si="10"/>
        <v>0.86686230621726446</v>
      </c>
      <c r="G28" s="244">
        <f t="shared" ca="1" si="10"/>
        <v>0.57790820414484301</v>
      </c>
      <c r="H28" s="244">
        <f t="shared" ca="1" si="10"/>
        <v>0.50566967862673773</v>
      </c>
      <c r="I28" s="244">
        <f t="shared" ca="1" si="10"/>
        <v>0.36119262759052689</v>
      </c>
      <c r="J28" s="244">
        <f t="shared" ca="1" si="10"/>
        <v>0.43343115310863223</v>
      </c>
      <c r="K28" s="244">
        <f t="shared" ca="1" si="10"/>
        <v>0.50566967862673773</v>
      </c>
      <c r="L28" s="244">
        <f t="shared" ca="1" si="10"/>
        <v>0.57790820414484301</v>
      </c>
      <c r="M28" s="244">
        <f t="shared" ca="1" si="10"/>
        <v>0.43343115310863223</v>
      </c>
      <c r="N28" s="244">
        <f t="shared" ca="1" si="10"/>
        <v>0.36119262759052689</v>
      </c>
      <c r="O28" s="244">
        <f t="shared" ca="1" si="10"/>
        <v>0.36119262759052689</v>
      </c>
      <c r="P28" s="244">
        <f t="shared" ca="1" si="10"/>
        <v>0.43343115310863223</v>
      </c>
      <c r="Q28" s="244">
        <f t="shared" ca="1" si="10"/>
        <v>0.57790820414484301</v>
      </c>
      <c r="R28" s="244">
        <f t="shared" ca="1" si="10"/>
        <v>0.26005869186517933</v>
      </c>
      <c r="S28" s="244">
        <f t="shared" ca="1" si="10"/>
        <v>0.26005869186517933</v>
      </c>
      <c r="T28" s="244">
        <f t="shared" ca="1" si="10"/>
        <v>0.26005869186517933</v>
      </c>
      <c r="U28" s="244">
        <f t="shared" ca="1" si="10"/>
        <v>0.2889541020724215</v>
      </c>
      <c r="V28" s="244">
        <f t="shared" ca="1" si="10"/>
        <v>0.43343115310863223</v>
      </c>
      <c r="W28" s="244">
        <f t="shared" ca="1" si="10"/>
        <v>0.6501467296629484</v>
      </c>
      <c r="X28" s="244">
        <f t="shared" ca="1" si="10"/>
        <v>0.86686230621726446</v>
      </c>
      <c r="Y28" s="244">
        <f t="shared" ca="1" si="10"/>
        <v>1.3725319848440021</v>
      </c>
      <c r="Z28" s="244">
        <f t="shared" ca="1" si="10"/>
        <v>1.2280549338077915</v>
      </c>
      <c r="AA28" s="244">
        <f t="shared" ca="1" si="10"/>
        <v>0.95354853683899099</v>
      </c>
    </row>
    <row r="29" spans="1:31" ht="15.75" customHeight="1">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row>
    <row r="30" spans="1:31" ht="15.75" customHeight="1">
      <c r="A30" s="37" t="s">
        <v>1512</v>
      </c>
      <c r="B30" s="37"/>
      <c r="C30" s="37" t="s">
        <v>1527</v>
      </c>
      <c r="D30" s="244">
        <f t="shared" ref="D30:AA30" si="11">IF(D21-D20&gt;0,D21-D20,0)</f>
        <v>0.25691067473227619</v>
      </c>
      <c r="E30" s="244">
        <f t="shared" si="11"/>
        <v>0.2366311004889205</v>
      </c>
      <c r="F30" s="244">
        <f t="shared" si="11"/>
        <v>0.23038009785686062</v>
      </c>
      <c r="G30" s="244">
        <f t="shared" si="11"/>
        <v>0.25473278690798473</v>
      </c>
      <c r="H30" s="244">
        <f t="shared" si="11"/>
        <v>0.27634682006623551</v>
      </c>
      <c r="I30" s="244">
        <f t="shared" si="11"/>
        <v>0.25634243998132589</v>
      </c>
      <c r="J30" s="37">
        <f t="shared" si="11"/>
        <v>0</v>
      </c>
      <c r="K30" s="37">
        <f t="shared" si="11"/>
        <v>0</v>
      </c>
      <c r="L30" s="37">
        <f t="shared" si="11"/>
        <v>0</v>
      </c>
      <c r="M30" s="37">
        <f t="shared" si="11"/>
        <v>0</v>
      </c>
      <c r="N30" s="37">
        <f t="shared" si="11"/>
        <v>0</v>
      </c>
      <c r="O30" s="37">
        <f t="shared" si="11"/>
        <v>0</v>
      </c>
      <c r="P30" s="37">
        <f t="shared" si="11"/>
        <v>0</v>
      </c>
      <c r="Q30" s="37">
        <f t="shared" si="11"/>
        <v>0</v>
      </c>
      <c r="R30" s="37">
        <f t="shared" si="11"/>
        <v>0</v>
      </c>
      <c r="S30" s="37">
        <f t="shared" si="11"/>
        <v>0</v>
      </c>
      <c r="T30" s="37">
        <f t="shared" si="11"/>
        <v>0</v>
      </c>
      <c r="U30" s="37">
        <f t="shared" si="11"/>
        <v>0</v>
      </c>
      <c r="V30" s="244">
        <f t="shared" si="11"/>
        <v>0.42445232727578203</v>
      </c>
      <c r="W30" s="244">
        <f t="shared" si="11"/>
        <v>0.55020563508062936</v>
      </c>
      <c r="X30" s="244">
        <f t="shared" si="11"/>
        <v>0.55698179170146211</v>
      </c>
      <c r="Y30" s="244">
        <f t="shared" si="11"/>
        <v>0.45921514508733802</v>
      </c>
      <c r="Z30" s="244">
        <f t="shared" si="11"/>
        <v>0.34556106073517895</v>
      </c>
      <c r="AA30" s="244">
        <f t="shared" si="11"/>
        <v>0.28924247147515925</v>
      </c>
    </row>
    <row r="31" spans="1:31" ht="15.75" customHeight="1">
      <c r="A31" s="37" t="s">
        <v>1512</v>
      </c>
      <c r="B31" s="37"/>
      <c r="C31" s="37" t="s">
        <v>1528</v>
      </c>
      <c r="D31" s="37">
        <f t="shared" ref="D31:AA31" si="12">IF(D21-D20&lt;0,(D21-D20)*-1,0)</f>
        <v>0</v>
      </c>
      <c r="E31" s="37">
        <f t="shared" si="12"/>
        <v>0</v>
      </c>
      <c r="F31" s="37">
        <f t="shared" si="12"/>
        <v>0</v>
      </c>
      <c r="G31" s="37">
        <f t="shared" si="12"/>
        <v>0</v>
      </c>
      <c r="H31" s="37">
        <f t="shared" si="12"/>
        <v>0</v>
      </c>
      <c r="I31" s="37">
        <f t="shared" si="12"/>
        <v>0</v>
      </c>
      <c r="J31" s="37">
        <f t="shared" si="12"/>
        <v>0.12769098638486087</v>
      </c>
      <c r="K31" s="37">
        <f t="shared" si="12"/>
        <v>0.94816143975526046</v>
      </c>
      <c r="L31" s="37">
        <f t="shared" si="12"/>
        <v>1.8404228666331397</v>
      </c>
      <c r="M31" s="37">
        <f t="shared" si="12"/>
        <v>2.5814672456073668</v>
      </c>
      <c r="N31" s="37">
        <f t="shared" si="12"/>
        <v>3.1447585709037216</v>
      </c>
      <c r="O31" s="37">
        <f t="shared" si="12"/>
        <v>3.4911896149329302</v>
      </c>
      <c r="P31" s="37">
        <f t="shared" si="12"/>
        <v>3.5768018467774163</v>
      </c>
      <c r="Q31" s="37">
        <f t="shared" si="12"/>
        <v>3.3191031004632507</v>
      </c>
      <c r="R31" s="37">
        <f t="shared" si="12"/>
        <v>2.7428152815967688</v>
      </c>
      <c r="S31" s="37">
        <f t="shared" si="12"/>
        <v>1.8916351085602576</v>
      </c>
      <c r="T31" s="37">
        <f t="shared" si="12"/>
        <v>0.81784703775015077</v>
      </c>
      <c r="U31" s="37">
        <f t="shared" si="12"/>
        <v>4.0287198908197319E-2</v>
      </c>
      <c r="V31" s="37">
        <f t="shared" si="12"/>
        <v>0</v>
      </c>
      <c r="W31" s="37">
        <f t="shared" si="12"/>
        <v>0</v>
      </c>
      <c r="X31" s="37">
        <f t="shared" si="12"/>
        <v>0</v>
      </c>
      <c r="Y31" s="37">
        <f t="shared" si="12"/>
        <v>0</v>
      </c>
      <c r="Z31" s="37">
        <f t="shared" si="12"/>
        <v>0</v>
      </c>
      <c r="AA31" s="37">
        <f t="shared" si="12"/>
        <v>0</v>
      </c>
    </row>
    <row r="32" spans="1:31" ht="15.75" customHeight="1">
      <c r="A32" s="37" t="s">
        <v>1512</v>
      </c>
      <c r="B32" s="37"/>
      <c r="C32" s="37" t="s">
        <v>1526</v>
      </c>
      <c r="D32" s="244">
        <f t="shared" ref="D32:AA32" si="13">IF(D20&gt;D21,D21,D20)</f>
        <v>0</v>
      </c>
      <c r="E32" s="244">
        <f t="shared" si="13"/>
        <v>0</v>
      </c>
      <c r="F32" s="244">
        <f t="shared" si="13"/>
        <v>0</v>
      </c>
      <c r="G32" s="244">
        <f t="shared" si="13"/>
        <v>0</v>
      </c>
      <c r="H32" s="244">
        <f t="shared" si="13"/>
        <v>2.3439401373828426E-3</v>
      </c>
      <c r="I32" s="244">
        <f t="shared" si="13"/>
        <v>7.7350024533633793E-2</v>
      </c>
      <c r="J32" s="244">
        <f t="shared" si="13"/>
        <v>0.43719858672440415</v>
      </c>
      <c r="K32" s="244">
        <f t="shared" si="13"/>
        <v>0.441795061712765</v>
      </c>
      <c r="L32" s="244">
        <f t="shared" si="13"/>
        <v>0.42147936594130325</v>
      </c>
      <c r="M32" s="244">
        <f t="shared" si="13"/>
        <v>0.44455947175388261</v>
      </c>
      <c r="N32" s="244">
        <f t="shared" si="13"/>
        <v>0.47194106107800421</v>
      </c>
      <c r="O32" s="244">
        <f t="shared" si="13"/>
        <v>0.47241315738145639</v>
      </c>
      <c r="P32" s="244">
        <f t="shared" si="13"/>
        <v>0.44305548883415857</v>
      </c>
      <c r="Q32" s="244">
        <f t="shared" si="13"/>
        <v>0.45464052072312588</v>
      </c>
      <c r="R32" s="244">
        <f t="shared" si="13"/>
        <v>0.51526150936538262</v>
      </c>
      <c r="S32" s="244">
        <f t="shared" si="13"/>
        <v>0.63044447926368108</v>
      </c>
      <c r="T32" s="244">
        <f t="shared" si="13"/>
        <v>0.82291105841783918</v>
      </c>
      <c r="U32" s="244">
        <f t="shared" si="13"/>
        <v>0.73790092670290641</v>
      </c>
      <c r="V32" s="244">
        <f t="shared" si="13"/>
        <v>0.27892887634855829</v>
      </c>
      <c r="W32" s="244">
        <f t="shared" si="13"/>
        <v>5.3910623159805375E-2</v>
      </c>
      <c r="X32" s="244">
        <f t="shared" si="13"/>
        <v>2.3439401373828426E-3</v>
      </c>
      <c r="Y32" s="244">
        <f t="shared" si="13"/>
        <v>0</v>
      </c>
      <c r="Z32" s="244">
        <f t="shared" si="13"/>
        <v>0</v>
      </c>
      <c r="AA32" s="244">
        <f t="shared" si="13"/>
        <v>0</v>
      </c>
      <c r="AC32" s="135"/>
    </row>
    <row r="37" spans="1:31" ht="12.95">
      <c r="A37" s="47"/>
      <c r="B37" s="47"/>
      <c r="C37" s="114" t="s">
        <v>1506</v>
      </c>
      <c r="D37" s="392">
        <v>0</v>
      </c>
      <c r="E37" s="392">
        <v>4.1666666666666664E-2</v>
      </c>
      <c r="F37" s="392">
        <v>8.3333333333333329E-2</v>
      </c>
      <c r="G37" s="392">
        <v>0.125</v>
      </c>
      <c r="H37" s="392">
        <v>0.16666666666666666</v>
      </c>
      <c r="I37" s="392">
        <v>0.20833333333333334</v>
      </c>
      <c r="J37" s="392">
        <v>0.25</v>
      </c>
      <c r="K37" s="392">
        <v>0.29166666666666669</v>
      </c>
      <c r="L37" s="392">
        <v>0.33333333333333331</v>
      </c>
      <c r="M37" s="392">
        <v>0.375</v>
      </c>
      <c r="N37" s="392">
        <v>0.41666666666666669</v>
      </c>
      <c r="O37" s="392">
        <v>0.45833333333333331</v>
      </c>
      <c r="P37" s="392">
        <v>0.5</v>
      </c>
      <c r="Q37" s="392">
        <v>0.54166666666666663</v>
      </c>
      <c r="R37" s="392">
        <v>0.58333333333333337</v>
      </c>
      <c r="S37" s="392">
        <v>0.625</v>
      </c>
      <c r="T37" s="392">
        <v>0.66666666666666663</v>
      </c>
      <c r="U37" s="392">
        <v>0.70833333333333337</v>
      </c>
      <c r="V37" s="392">
        <v>0.75</v>
      </c>
      <c r="W37" s="392">
        <v>0.79166666666666663</v>
      </c>
      <c r="X37" s="392">
        <v>0.83333333333333337</v>
      </c>
      <c r="Y37" s="392">
        <v>0.875</v>
      </c>
      <c r="Z37" s="392">
        <v>0.91666666666666663</v>
      </c>
      <c r="AA37" s="392">
        <v>0.95833333333333337</v>
      </c>
      <c r="AB37" s="47"/>
      <c r="AC37" s="47"/>
      <c r="AD37" s="47"/>
      <c r="AE37" s="47"/>
    </row>
    <row r="38" spans="1:31" ht="15.75" customHeight="1">
      <c r="A38" s="395" t="s">
        <v>286</v>
      </c>
      <c r="B38" s="395"/>
      <c r="C38" s="395" t="s">
        <v>1532</v>
      </c>
      <c r="D38" s="395">
        <f>D56*'Full home'!$E$28</f>
        <v>0</v>
      </c>
      <c r="E38" s="395">
        <f>E56*'Full home'!$E$28</f>
        <v>0</v>
      </c>
      <c r="F38" s="395">
        <f>F56*'Full home'!$E$28</f>
        <v>0</v>
      </c>
      <c r="G38" s="395">
        <f>G56*'Full home'!$E$28</f>
        <v>0</v>
      </c>
      <c r="H38" s="395">
        <f>H56*'Full home'!$E$28</f>
        <v>0</v>
      </c>
      <c r="I38" s="395">
        <f>I56*'Full home'!$E$28</f>
        <v>3.9846982335508319E-2</v>
      </c>
      <c r="J38" s="395">
        <f>J56*'Full home'!$E$28</f>
        <v>0.29299251717285529</v>
      </c>
      <c r="K38" s="395">
        <f>K56*'Full home'!$E$28</f>
        <v>0.87663361138118312</v>
      </c>
      <c r="L38" s="395">
        <f>L56*'Full home'!$E$28</f>
        <v>1.7298278213885379</v>
      </c>
      <c r="M38" s="395">
        <f>M56*'Full home'!$E$28</f>
        <v>2.4517613837024532</v>
      </c>
      <c r="N38" s="395">
        <f>N56*'Full home'!$E$28</f>
        <v>2.9697721540640614</v>
      </c>
      <c r="O38" s="395">
        <f>O56*'Full home'!$E$28</f>
        <v>3.2276055691761738</v>
      </c>
      <c r="P38" s="395">
        <f>P56*'Full home'!$E$28</f>
        <v>3.218229808626643</v>
      </c>
      <c r="Q38" s="395">
        <f>Q56*'Full home'!$E$28</f>
        <v>2.9510206329649988</v>
      </c>
      <c r="R38" s="395">
        <f>R56*'Full home'!$E$28</f>
        <v>2.4752007850762814</v>
      </c>
      <c r="S38" s="395">
        <f>S56*'Full home'!$E$28</f>
        <v>1.7673308635866631</v>
      </c>
      <c r="T38" s="395">
        <f>T56*'Full home'!$E$28</f>
        <v>0.97976697742602803</v>
      </c>
      <c r="U38" s="395">
        <f>U56*'Full home'!$E$28</f>
        <v>0.33987131992051217</v>
      </c>
      <c r="V38" s="395">
        <f>V56*'Full home'!$E$28</f>
        <v>0.10078942590746222</v>
      </c>
      <c r="W38" s="395">
        <f>W56*'Full home'!$E$28</f>
        <v>1.4063640824297053E-2</v>
      </c>
      <c r="X38" s="395">
        <f>X56*'Full home'!$E$28</f>
        <v>0</v>
      </c>
      <c r="Y38" s="395">
        <f>Y56*'Full home'!$E$28</f>
        <v>0</v>
      </c>
      <c r="Z38" s="395">
        <f>Z56*'Full home'!$E$28</f>
        <v>0</v>
      </c>
      <c r="AA38" s="395">
        <f>AA56*'Full home'!$E$28</f>
        <v>0</v>
      </c>
      <c r="AB38" s="230"/>
      <c r="AC38" s="230"/>
      <c r="AD38" s="230"/>
      <c r="AE38" s="230"/>
    </row>
    <row r="39" spans="1:31" ht="12.95">
      <c r="A39" s="9" t="s">
        <v>286</v>
      </c>
      <c r="B39" s="395">
        <f ca="1">SUM(B40:B46)</f>
        <v>27.614129720102309</v>
      </c>
      <c r="C39" s="9" t="s">
        <v>1533</v>
      </c>
      <c r="D39" s="395">
        <f t="shared" ref="D39:AA39" si="14">SUM(D40:D45)</f>
        <v>0.28406572535495228</v>
      </c>
      <c r="E39" s="395">
        <f t="shared" si="14"/>
        <v>0.25944153817600962</v>
      </c>
      <c r="F39" s="395">
        <f t="shared" si="14"/>
        <v>0.24878333539629199</v>
      </c>
      <c r="G39" s="395">
        <f t="shared" si="14"/>
        <v>0.26143646484785449</v>
      </c>
      <c r="H39" s="395">
        <f t="shared" si="14"/>
        <v>0.31052991649236616</v>
      </c>
      <c r="I39" s="395">
        <f t="shared" si="14"/>
        <v>0.41262927420231327</v>
      </c>
      <c r="J39" s="395">
        <f t="shared" si="14"/>
        <v>0.6573420049453147</v>
      </c>
      <c r="K39" s="395">
        <f t="shared" si="14"/>
        <v>0.73221918009234432</v>
      </c>
      <c r="L39" s="395">
        <f t="shared" si="14"/>
        <v>0.57853938014585637</v>
      </c>
      <c r="M39" s="395">
        <f t="shared" si="14"/>
        <v>0.51143151799431741</v>
      </c>
      <c r="N39" s="395">
        <f t="shared" si="14"/>
        <v>0.51242956015546637</v>
      </c>
      <c r="O39" s="395">
        <f t="shared" si="14"/>
        <v>0.51112829454021047</v>
      </c>
      <c r="P39" s="395">
        <f t="shared" si="14"/>
        <v>0.49066031285047851</v>
      </c>
      <c r="Q39" s="395">
        <f t="shared" si="14"/>
        <v>0.47274173102346073</v>
      </c>
      <c r="R39" s="395">
        <f t="shared" si="14"/>
        <v>0.47957853892021562</v>
      </c>
      <c r="S39" s="395">
        <f t="shared" si="14"/>
        <v>0.56981846233695921</v>
      </c>
      <c r="T39" s="395">
        <f t="shared" si="14"/>
        <v>0.80358472232480427</v>
      </c>
      <c r="U39" s="395">
        <f t="shared" si="14"/>
        <v>0.99004975422090591</v>
      </c>
      <c r="V39" s="395">
        <f t="shared" si="14"/>
        <v>0.9886832057081858</v>
      </c>
      <c r="W39" s="395">
        <f t="shared" si="14"/>
        <v>0.89786550089160411</v>
      </c>
      <c r="X39" s="395">
        <f t="shared" si="14"/>
        <v>0.7914266590511867</v>
      </c>
      <c r="Y39" s="395">
        <f t="shared" si="14"/>
        <v>0.62755815707409868</v>
      </c>
      <c r="Z39" s="395">
        <f t="shared" si="14"/>
        <v>0.43910087187362046</v>
      </c>
      <c r="AA39" s="395">
        <f t="shared" si="14"/>
        <v>0.33538050786239415</v>
      </c>
      <c r="AC39" s="114" t="s">
        <v>1534</v>
      </c>
      <c r="AD39" s="114" t="s">
        <v>1219</v>
      </c>
      <c r="AE39" s="114" t="s">
        <v>1522</v>
      </c>
    </row>
    <row r="40" spans="1:31" ht="15.75" customHeight="1">
      <c r="A40" s="9" t="s">
        <v>286</v>
      </c>
      <c r="B40" s="395">
        <f>Machines!I71</f>
        <v>2.6615008940854668</v>
      </c>
      <c r="C40" s="9" t="s">
        <v>56</v>
      </c>
      <c r="D40" s="395">
        <f>AVERAGE('Load Profiles'!G1097:G1461)*$B$40</f>
        <v>3.5171525667308676E-2</v>
      </c>
      <c r="E40" s="395">
        <f>AVERAGE('Load Profiles'!H1097:H1461)*$B$40</f>
        <v>3.3803248251990992E-2</v>
      </c>
      <c r="F40" s="395">
        <f>AVERAGE('Load Profiles'!I1097:I1461)*$B$40</f>
        <v>3.4785540107609252E-2</v>
      </c>
      <c r="G40" s="395">
        <f>AVERAGE('Load Profiles'!J1097:J1461)*$B$40</f>
        <v>3.8288730486621993E-2</v>
      </c>
      <c r="H40" s="395">
        <f>AVERAGE('Load Profiles'!K1097:K1461)*$B$40</f>
        <v>6.02732691742809E-2</v>
      </c>
      <c r="I40" s="395">
        <f>AVERAGE('Load Profiles'!L1097:L1461)*$B$40</f>
        <v>0.10346926450298523</v>
      </c>
      <c r="J40" s="395">
        <f>AVERAGE('Load Profiles'!M1097:M1461)*$B$40</f>
        <v>0.22603575219528912</v>
      </c>
      <c r="K40" s="395">
        <f>AVERAGE('Load Profiles'!N1097:N1461)*$B$40</f>
        <v>0.22956494750781692</v>
      </c>
      <c r="L40" s="395">
        <f>AVERAGE('Load Profiles'!O1097:O1461)*$B$40</f>
        <v>0.12250373256145405</v>
      </c>
      <c r="M40" s="395">
        <f>AVERAGE('Load Profiles'!P1097:P1461)*$B$40</f>
        <v>6.7388035730543791E-2</v>
      </c>
      <c r="N40" s="395">
        <f>AVERAGE('Load Profiles'!Q1097:Q1461)*$B$40</f>
        <v>5.0218937252157293E-2</v>
      </c>
      <c r="O40" s="395">
        <f>AVERAGE('Load Profiles'!R1097:R1461)*$B$40</f>
        <v>4.9786473378830555E-2</v>
      </c>
      <c r="P40" s="395">
        <f>AVERAGE('Load Profiles'!S1097:S1461)*$B$40</f>
        <v>5.3500260882913486E-2</v>
      </c>
      <c r="Q40" s="395">
        <f>AVERAGE('Load Profiles'!T1097:T1461)*$B$40</f>
        <v>6.0359147229766028E-2</v>
      </c>
      <c r="R40" s="395">
        <f>AVERAGE('Load Profiles'!U1097:U1461)*$B$40</f>
        <v>7.3722647105436148E-2</v>
      </c>
      <c r="S40" s="395">
        <f>AVERAGE('Load Profiles'!V1097:V1461)*$B$40</f>
        <v>9.4061772041758737E-2</v>
      </c>
      <c r="T40" s="395">
        <f>AVERAGE('Load Profiles'!W1097:W1461)*$B$40</f>
        <v>0.13918156792041703</v>
      </c>
      <c r="U40" s="395">
        <f>AVERAGE('Load Profiles'!X1097:X1461)*$B$40</f>
        <v>0.21251551379315403</v>
      </c>
      <c r="V40" s="395">
        <f>AVERAGE('Load Profiles'!Y1097:Y1461)*$B$40</f>
        <v>0.24112062389228506</v>
      </c>
      <c r="W40" s="395">
        <f>AVERAGE('Load Profiles'!Z1097:Z1461)*$B$40</f>
        <v>0.24089295773905098</v>
      </c>
      <c r="X40" s="395">
        <f>AVERAGE('Load Profiles'!AA1097:AA1461)*$B$40</f>
        <v>0.21986261838626323</v>
      </c>
      <c r="Y40" s="395">
        <f>AVERAGE('Load Profiles'!AB1097:AB1461)*$B$40</f>
        <v>0.1524417873780988</v>
      </c>
      <c r="Z40" s="395">
        <f>AVERAGE('Load Profiles'!AC1097:AC1461)*$B$40</f>
        <v>7.7626860121823876E-2</v>
      </c>
      <c r="AA40" s="395">
        <f>AVERAGE('Load Profiles'!AD1097:AD1461)*$B$40</f>
        <v>4.4925680777607994E-2</v>
      </c>
      <c r="AC40" s="13" t="s">
        <v>1523</v>
      </c>
      <c r="AD40" s="12">
        <f>SUM(D39:AA39)</f>
        <v>13.16642461648121</v>
      </c>
      <c r="AE40" s="17">
        <f t="shared" ref="AE40:AE43" si="15">AD40/$AD$40</f>
        <v>1</v>
      </c>
    </row>
    <row r="41" spans="1:31" ht="12.6">
      <c r="A41" s="9" t="s">
        <v>286</v>
      </c>
      <c r="B41" s="395">
        <f>Machines!I137</f>
        <v>2.0742936592037466</v>
      </c>
      <c r="C41" s="9" t="s">
        <v>58</v>
      </c>
      <c r="D41" s="395">
        <f>AVERAGE('Load Profiles'!G1462:G1826)*$B$41</f>
        <v>3.5654110620468304E-2</v>
      </c>
      <c r="E41" s="395">
        <f>AVERAGE('Load Profiles'!H1462:H1826)*$B$41</f>
        <v>3.417980826877718E-2</v>
      </c>
      <c r="F41" s="395">
        <f>AVERAGE('Load Profiles'!I1462:I1826)*$B$41</f>
        <v>3.0581240255744602E-2</v>
      </c>
      <c r="G41" s="395">
        <f>AVERAGE('Load Profiles'!J1462:J1826)*$B$41</f>
        <v>3.9872694213552974E-2</v>
      </c>
      <c r="H41" s="395">
        <f>AVERAGE('Load Profiles'!K1462:K1826)*$B$41</f>
        <v>5.5904156517816994E-2</v>
      </c>
      <c r="I41" s="395">
        <f>AVERAGE('Load Profiles'!L1462:L1826)*$B$41</f>
        <v>7.7860681806908347E-2</v>
      </c>
      <c r="J41" s="395">
        <f>AVERAGE('Load Profiles'!M1462:M1826)*$B$41</f>
        <v>0.13834303462048189</v>
      </c>
      <c r="K41" s="395">
        <f>AVERAGE('Load Profiles'!N1462:N1826)*$B$41</f>
        <v>0.17307835680690334</v>
      </c>
      <c r="L41" s="395">
        <f>AVERAGE('Load Profiles'!O1462:O1826)*$B$41</f>
        <v>0.13418071973448045</v>
      </c>
      <c r="M41" s="395">
        <f>AVERAGE('Load Profiles'!P1462:P1826)*$B$41</f>
        <v>0.11867292819219116</v>
      </c>
      <c r="N41" s="395">
        <f>AVERAGE('Load Profiles'!Q1462:Q1826)*$B$41</f>
        <v>0.11744546443600967</v>
      </c>
      <c r="O41" s="395">
        <f>AVERAGE('Load Profiles'!R1462:R1826)*$B$41</f>
        <v>0.105902506800619</v>
      </c>
      <c r="P41" s="395">
        <f>AVERAGE('Load Profiles'!S1462:S1826)*$B$41</f>
        <v>8.5993660736405464E-2</v>
      </c>
      <c r="Q41" s="395">
        <f>AVERAGE('Load Profiles'!T1462:T1826)*$B$41</f>
        <v>7.0646880601822351E-2</v>
      </c>
      <c r="R41" s="395">
        <f>AVERAGE('Load Profiles'!U1462:U1826)*$B$41</f>
        <v>6.1501241001576328E-2</v>
      </c>
      <c r="S41" s="395">
        <f>AVERAGE('Load Profiles'!V1462:V1826)*$B$41</f>
        <v>6.6102877622489398E-2</v>
      </c>
      <c r="T41" s="395">
        <f>AVERAGE('Load Profiles'!W1462:W1826)*$B$41</f>
        <v>8.1361102301622759E-2</v>
      </c>
      <c r="U41" s="395">
        <f>AVERAGE('Load Profiles'!X1462:X1826)*$B$41</f>
        <v>0.10940616187031338</v>
      </c>
      <c r="V41" s="395">
        <f>AVERAGE('Load Profiles'!Y1462:Y1826)*$B$41</f>
        <v>0.12254507971844208</v>
      </c>
      <c r="W41" s="395">
        <f>AVERAGE('Load Profiles'!Z1462:Z1826)*$B$41</f>
        <v>0.11369180013813211</v>
      </c>
      <c r="X41" s="395">
        <f>AVERAGE('Load Profiles'!AA1462:AA1826)*$B$41</f>
        <v>0.10487877853857257</v>
      </c>
      <c r="Y41" s="395">
        <f>AVERAGE('Load Profiles'!AB1462:AB1826)*$B$41</f>
        <v>8.9222614999049737E-2</v>
      </c>
      <c r="Z41" s="395">
        <f>AVERAGE('Load Profiles'!AC1462:AC1826)*$B$41</f>
        <v>6.2886455772866459E-2</v>
      </c>
      <c r="AA41" s="395">
        <f>AVERAGE('Load Profiles'!AD1462:AD1826)*$B$41</f>
        <v>4.4381303628498382E-2</v>
      </c>
      <c r="AC41" s="13" t="s">
        <v>1524</v>
      </c>
      <c r="AD41" s="12">
        <f>SUM(D38:AA38)</f>
        <v>23.434713493553659</v>
      </c>
      <c r="AE41" s="17">
        <f t="shared" si="15"/>
        <v>1.7798843783466478</v>
      </c>
    </row>
    <row r="42" spans="1:31" ht="12.6">
      <c r="A42" s="9" t="s">
        <v>286</v>
      </c>
      <c r="B42" s="395">
        <f>SUM(Machines!F192,Machines!C220:C221)</f>
        <v>1.6267370084562933</v>
      </c>
      <c r="C42" s="9" t="s">
        <v>186</v>
      </c>
      <c r="D42" s="395">
        <f>AVERAGE('Load Profiles'!G2:G366)*$B$42</f>
        <v>5.1621554820005426E-3</v>
      </c>
      <c r="E42" s="395">
        <f>AVERAGE('Load Profiles'!H2:H366)*$B$42</f>
        <v>3.8529296413180652E-3</v>
      </c>
      <c r="F42" s="395">
        <f>AVERAGE('Load Profiles'!I2:I366)*$B$42</f>
        <v>3.5386601542597615E-3</v>
      </c>
      <c r="G42" s="395">
        <f>AVERAGE('Load Profiles'!J2:J366)*$B$42</f>
        <v>3.5334985511323138E-3</v>
      </c>
      <c r="H42" s="395">
        <f>AVERAGE('Load Profiles'!K2:K366)*$B$42</f>
        <v>3.9583305583945306E-3</v>
      </c>
      <c r="I42" s="395">
        <f>AVERAGE('Load Profiles'!L2:L366)*$B$42</f>
        <v>8.8591475827305526E-3</v>
      </c>
      <c r="J42" s="395">
        <f>AVERAGE('Load Profiles'!M2:M366)*$B$42</f>
        <v>2.26641282130048E-2</v>
      </c>
      <c r="K42" s="395">
        <f>AVERAGE('Load Profiles'!N2:N366)*$B$42</f>
        <v>2.922847899867994E-2</v>
      </c>
      <c r="L42" s="395">
        <f>AVERAGE('Load Profiles'!O2:O366)*$B$42</f>
        <v>3.069379901964291E-2</v>
      </c>
      <c r="M42" s="395">
        <f>AVERAGE('Load Profiles'!P2:P366)*$B$42</f>
        <v>3.5700681693465353E-2</v>
      </c>
      <c r="N42" s="395">
        <f>AVERAGE('Load Profiles'!Q2:Q366)*$B$42</f>
        <v>4.7528586488651478E-2</v>
      </c>
      <c r="O42" s="395">
        <f>AVERAGE('Load Profiles'!R2:R366)*$B$42</f>
        <v>6.1213359541305974E-2</v>
      </c>
      <c r="P42" s="395">
        <f>AVERAGE('Load Profiles'!S2:S366)*$B$42</f>
        <v>5.6613163777879019E-2</v>
      </c>
      <c r="Q42" s="395">
        <f>AVERAGE('Load Profiles'!T2:T366)*$B$42</f>
        <v>4.8857453452198753E-2</v>
      </c>
      <c r="R42" s="395">
        <f>AVERAGE('Load Profiles'!U2:U366)*$B$42</f>
        <v>5.3822053562949328E-2</v>
      </c>
      <c r="S42" s="395">
        <f>AVERAGE('Load Profiles'!V2:V366)*$B$42</f>
        <v>0.12292336972822719</v>
      </c>
      <c r="T42" s="395">
        <f>AVERAGE('Load Profiles'!W2:W366)*$B$42</f>
        <v>0.29037802177378164</v>
      </c>
      <c r="U42" s="395">
        <f>AVERAGE('Load Profiles'!X2:X366)*$B$42</f>
        <v>0.33188885997089662</v>
      </c>
      <c r="V42" s="395">
        <f>AVERAGE('Load Profiles'!Y2:Y366)*$B$42</f>
        <v>0.24159367843079538</v>
      </c>
      <c r="W42" s="395">
        <f>AVERAGE('Load Profiles'!Z2:Z366)*$B$42</f>
        <v>0.13455683544566452</v>
      </c>
      <c r="X42" s="395">
        <f>AVERAGE('Load Profiles'!AA2:AA366)*$B$42</f>
        <v>5.2227972936396708E-2</v>
      </c>
      <c r="Y42" s="395">
        <f>AVERAGE('Load Profiles'!AB2:AB366)*$B$42</f>
        <v>2.0319159358183118E-2</v>
      </c>
      <c r="Z42" s="395">
        <f>AVERAGE('Load Profiles'!AC2:AC366)*$B$42</f>
        <v>1.0299226754422505E-2</v>
      </c>
      <c r="AA42" s="395">
        <f>AVERAGE('Load Profiles'!AD2:AD366)*$B$42</f>
        <v>7.3234573403076981E-3</v>
      </c>
      <c r="AC42" s="13" t="s">
        <v>1525</v>
      </c>
      <c r="AD42" s="12">
        <f t="shared" ref="AD42:AD43" si="16">SUM(D49:AA49)</f>
        <v>16.98501790700891</v>
      </c>
      <c r="AE42" s="17">
        <f t="shared" si="15"/>
        <v>1.2900250752772879</v>
      </c>
    </row>
    <row r="43" spans="1:31" ht="12.95">
      <c r="A43" s="9" t="s">
        <v>286</v>
      </c>
      <c r="B43" s="142">
        <f>SUM(Machines!C241:C242,Machines!C222:C223)</f>
        <v>2.7032884185240347</v>
      </c>
      <c r="C43" s="9" t="s">
        <v>865</v>
      </c>
      <c r="D43" s="395">
        <f>AVERAGE('Load Profiles'!G1827:G2191)*$B$43</f>
        <v>0.10598039173758939</v>
      </c>
      <c r="E43" s="395">
        <f>AVERAGE('Load Profiles'!H1827:H2191)*$B$43</f>
        <v>9.3881531365543655E-2</v>
      </c>
      <c r="F43" s="395">
        <f>AVERAGE('Load Profiles'!I1827:I2191)*$B$43</f>
        <v>8.8942950447233909E-2</v>
      </c>
      <c r="G43" s="395">
        <f>AVERAGE('Load Profiles'!J1827:J2191)*$B$43</f>
        <v>8.9013641728615867E-2</v>
      </c>
      <c r="H43" s="395">
        <f>AVERAGE('Load Profiles'!K1827:K2191)*$B$43</f>
        <v>8.8541388078734753E-2</v>
      </c>
      <c r="I43" s="395">
        <f>AVERAGE('Load Profiles'!L1827:L2191)*$B$43</f>
        <v>8.9377357310066158E-2</v>
      </c>
      <c r="J43" s="395">
        <f>AVERAGE('Load Profiles'!M1827:M2191)*$B$43</f>
        <v>9.777574576755195E-2</v>
      </c>
      <c r="K43" s="395">
        <f>AVERAGE('Load Profiles'!N1827:N2191)*$B$43</f>
        <v>0.1140342392253125</v>
      </c>
      <c r="L43" s="395">
        <f>AVERAGE('Load Profiles'!O1827:O2191)*$B$43</f>
        <v>0.12685905383793447</v>
      </c>
      <c r="M43" s="395">
        <f>AVERAGE('Load Profiles'!P1827:P2191)*$B$43</f>
        <v>0.13037293768809327</v>
      </c>
      <c r="N43" s="395">
        <f>AVERAGE('Load Profiles'!Q1827:Q2191)*$B$43</f>
        <v>0.12975338394657771</v>
      </c>
      <c r="O43" s="395">
        <f>AVERAGE('Load Profiles'!R1827:R2191)*$B$43</f>
        <v>0.1223963065712655</v>
      </c>
      <c r="P43" s="395">
        <f>AVERAGE('Load Profiles'!S1827:S2191)*$B$43</f>
        <v>0.11956563372556113</v>
      </c>
      <c r="Q43" s="395">
        <f>AVERAGE('Load Profiles'!T1827:T2191)*$B$43</f>
        <v>0.11719576845611129</v>
      </c>
      <c r="R43" s="395">
        <f>AVERAGE('Load Profiles'!U1827:U2191)*$B$43</f>
        <v>0.11525192897699348</v>
      </c>
      <c r="S43" s="395">
        <f>AVERAGE('Load Profiles'!V1827:V2191)*$B$43</f>
        <v>0.11336114549073811</v>
      </c>
      <c r="T43" s="395">
        <f>AVERAGE('Load Profiles'!W1827:W2191)*$B$43</f>
        <v>0.11238657881301174</v>
      </c>
      <c r="U43" s="395">
        <f>AVERAGE('Load Profiles'!X1827:X2191)*$B$43</f>
        <v>0.11366583288971231</v>
      </c>
      <c r="V43" s="395">
        <f>AVERAGE('Load Profiles'!Y1827:Y2191)*$B$43</f>
        <v>0.11753419940116042</v>
      </c>
      <c r="W43" s="395">
        <f>AVERAGE('Load Profiles'!Z1827:Z2191)*$B$43</f>
        <v>0.11860317319145287</v>
      </c>
      <c r="X43" s="395">
        <f>AVERAGE('Load Profiles'!AA1827:AA2191)*$B$43</f>
        <v>0.13139084141252907</v>
      </c>
      <c r="Y43" s="395">
        <f>AVERAGE('Load Profiles'!AB1827:AB2191)*$B$43</f>
        <v>0.12856962737733729</v>
      </c>
      <c r="Z43" s="395">
        <f>AVERAGE('Load Profiles'!AC1827:AC2191)*$B$43</f>
        <v>0.12093485330442259</v>
      </c>
      <c r="AA43" s="395">
        <f>AVERAGE('Load Profiles'!AD1827:AD2191)*$B$43</f>
        <v>0.1178999077804808</v>
      </c>
      <c r="AC43" s="13" t="s">
        <v>1526</v>
      </c>
      <c r="AD43" s="12">
        <f t="shared" si="16"/>
        <v>6.4496955865447489</v>
      </c>
      <c r="AE43" s="393">
        <f t="shared" si="15"/>
        <v>0.48985930306935982</v>
      </c>
    </row>
    <row r="44" spans="1:31" ht="12.6">
      <c r="A44" s="9" t="s">
        <v>286</v>
      </c>
      <c r="B44" s="142">
        <f>SUM(Machines!C240)</f>
        <v>0.84912266835445693</v>
      </c>
      <c r="C44" s="9" t="s">
        <v>61</v>
      </c>
      <c r="D44" s="395">
        <f>AVERAGE('Load Profiles'!G367:G731)*$B$44</f>
        <v>9.7640584379607865E-3</v>
      </c>
      <c r="E44" s="395">
        <f>AVERAGE('Load Profiles'!H367:H731)*$B$44</f>
        <v>8.2515363423888068E-3</v>
      </c>
      <c r="F44" s="395">
        <f>AVERAGE('Load Profiles'!I367:I731)*$B$44</f>
        <v>8.0582093038681496E-3</v>
      </c>
      <c r="G44" s="395">
        <f>AVERAGE('Load Profiles'!J367:J731)*$B$44</f>
        <v>9.6783835326858889E-3</v>
      </c>
      <c r="H44" s="395">
        <f>AVERAGE('Load Profiles'!K367:K731)*$B$44</f>
        <v>1.9719042483028838E-2</v>
      </c>
      <c r="I44" s="395">
        <f>AVERAGE('Load Profiles'!L367:L731)*$B$44</f>
        <v>4.6116751362433379E-2</v>
      </c>
      <c r="J44" s="395">
        <f>AVERAGE('Load Profiles'!M367:M731)*$B$44</f>
        <v>5.7136525290246751E-2</v>
      </c>
      <c r="K44" s="395">
        <f>AVERAGE('Load Profiles'!N367:N731)*$B$44</f>
        <v>5.1505835856420268E-2</v>
      </c>
      <c r="L44" s="395">
        <f>AVERAGE('Load Profiles'!O367:O731)*$B$44</f>
        <v>3.4351651019105534E-2</v>
      </c>
      <c r="M44" s="395">
        <f>AVERAGE('Load Profiles'!P367:P731)*$B$44</f>
        <v>2.8750459539712288E-2</v>
      </c>
      <c r="N44" s="395">
        <f>AVERAGE('Load Profiles'!Q367:Q731)*$B$44</f>
        <v>2.718878709260248E-2</v>
      </c>
      <c r="O44" s="395">
        <f>AVERAGE('Load Profiles'!R367:R731)*$B$44</f>
        <v>2.5913842317167313E-2</v>
      </c>
      <c r="P44" s="395">
        <f>AVERAGE('Load Profiles'!S367:S731)*$B$44</f>
        <v>2.5014597973454688E-2</v>
      </c>
      <c r="Q44" s="395">
        <f>AVERAGE('Load Profiles'!T367:T731)*$B$44</f>
        <v>2.2896527639447415E-2</v>
      </c>
      <c r="R44" s="395">
        <f>AVERAGE('Load Profiles'!U367:U731)*$B$44</f>
        <v>2.3368487768049152E-2</v>
      </c>
      <c r="S44" s="395">
        <f>AVERAGE('Load Profiles'!V367:V731)*$B$44</f>
        <v>2.5352250082714627E-2</v>
      </c>
      <c r="T44" s="395">
        <f>AVERAGE('Load Profiles'!W367:W731)*$B$44</f>
        <v>3.4081067070069415E-2</v>
      </c>
      <c r="U44" s="395">
        <f>AVERAGE('Load Profiles'!X367:X731)*$B$44</f>
        <v>5.9821757605355005E-2</v>
      </c>
      <c r="V44" s="395">
        <f>AVERAGE('Load Profiles'!Y367:Y731)*$B$44</f>
        <v>7.8784560010849353E-2</v>
      </c>
      <c r="W44" s="395">
        <f>AVERAGE('Load Profiles'!Z367:Z731)*$B$44</f>
        <v>7.9160543021195226E-2</v>
      </c>
      <c r="X44" s="395">
        <f>AVERAGE('Load Profiles'!AA367:AA731)*$B$44</f>
        <v>7.1956072170773475E-2</v>
      </c>
      <c r="Y44" s="395">
        <f>AVERAGE('Load Profiles'!AB367:AB731)*$B$44</f>
        <v>5.5923110749069062E-2</v>
      </c>
      <c r="Z44" s="395">
        <f>AVERAGE('Load Profiles'!AC367:AC731)*$B$44</f>
        <v>3.080587020561527E-2</v>
      </c>
      <c r="AA44" s="395">
        <f>AVERAGE('Load Profiles'!AD367:AD731)*$B$44</f>
        <v>1.5522741480241272E-2</v>
      </c>
    </row>
    <row r="45" spans="1:31" ht="12.6">
      <c r="A45" s="9" t="s">
        <v>286</v>
      </c>
      <c r="B45" s="142">
        <f>SUM(Machines!C243)</f>
        <v>3.2514819678572349</v>
      </c>
      <c r="C45" s="9" t="s">
        <v>63</v>
      </c>
      <c r="D45" s="395">
        <f>AVERAGE('Load Profiles'!G732:G1096)*$B$45</f>
        <v>9.2333483409624592E-2</v>
      </c>
      <c r="E45" s="395">
        <f>AVERAGE('Load Profiles'!H732:H1096)*$B$45</f>
        <v>8.5472484305990942E-2</v>
      </c>
      <c r="F45" s="395">
        <f>AVERAGE('Load Profiles'!I732:I1096)*$B$45</f>
        <v>8.2876735127576304E-2</v>
      </c>
      <c r="G45" s="395">
        <f>AVERAGE('Load Profiles'!J732:J1096)*$B$45</f>
        <v>8.1049516335245472E-2</v>
      </c>
      <c r="H45" s="395">
        <f>AVERAGE('Load Profiles'!K732:K1096)*$B$45</f>
        <v>8.2133729680110179E-2</v>
      </c>
      <c r="I45" s="395">
        <f>AVERAGE('Load Profiles'!L732:L1096)*$B$45</f>
        <v>8.6946071637189593E-2</v>
      </c>
      <c r="J45" s="395">
        <f>AVERAGE('Load Profiles'!M732:M1096)*$B$45</f>
        <v>0.11538681885874028</v>
      </c>
      <c r="K45" s="395">
        <f>AVERAGE('Load Profiles'!N732:N1096)*$B$45</f>
        <v>0.13480732169721144</v>
      </c>
      <c r="L45" s="395">
        <f>AVERAGE('Load Profiles'!O732:O1096)*$B$45</f>
        <v>0.12995042397323897</v>
      </c>
      <c r="M45" s="395">
        <f>AVERAGE('Load Profiles'!P732:P1096)*$B$45</f>
        <v>0.13054647515031159</v>
      </c>
      <c r="N45" s="395">
        <f>AVERAGE('Load Profiles'!Q732:Q1096)*$B$45</f>
        <v>0.14029440093946777</v>
      </c>
      <c r="O45" s="395">
        <f>AVERAGE('Load Profiles'!R732:R1096)*$B$45</f>
        <v>0.14591580593102216</v>
      </c>
      <c r="P45" s="395">
        <f>AVERAGE('Load Profiles'!S732:S1096)*$B$45</f>
        <v>0.14997299575426476</v>
      </c>
      <c r="Q45" s="395">
        <f>AVERAGE('Load Profiles'!T732:T1096)*$B$45</f>
        <v>0.15278595364411493</v>
      </c>
      <c r="R45" s="395">
        <f>AVERAGE('Load Profiles'!U732:U1096)*$B$45</f>
        <v>0.15191218050521116</v>
      </c>
      <c r="S45" s="395">
        <f>AVERAGE('Load Profiles'!V732:V1096)*$B$45</f>
        <v>0.14801704737103111</v>
      </c>
      <c r="T45" s="395">
        <f>AVERAGE('Load Profiles'!W732:W1096)*$B$45</f>
        <v>0.1461963844459018</v>
      </c>
      <c r="U45" s="395">
        <f>AVERAGE('Load Profiles'!X732:X1096)*$B$45</f>
        <v>0.16275162809147453</v>
      </c>
      <c r="V45" s="395">
        <f>AVERAGE('Load Profiles'!Y732:Y1096)*$B$45</f>
        <v>0.18710506425465356</v>
      </c>
      <c r="W45" s="395">
        <f>AVERAGE('Load Profiles'!Z732:Z1096)*$B$45</f>
        <v>0.2109601913561085</v>
      </c>
      <c r="X45" s="395">
        <f>AVERAGE('Load Profiles'!AA732:AA1096)*$B$45</f>
        <v>0.21111037560665169</v>
      </c>
      <c r="Y45" s="395">
        <f>AVERAGE('Load Profiles'!AB732:AB1096)*$B$45</f>
        <v>0.18108185721236061</v>
      </c>
      <c r="Z45" s="395">
        <f>AVERAGE('Load Profiles'!AC732:AC1096)*$B$45</f>
        <v>0.13654760571446975</v>
      </c>
      <c r="AA45" s="395">
        <f>AVERAGE('Load Profiles'!AD732:AD1096)*$B$45</f>
        <v>0.10532741685525802</v>
      </c>
    </row>
    <row r="46" spans="1:31" ht="12.6">
      <c r="A46" s="9" t="s">
        <v>286</v>
      </c>
      <c r="B46" s="260">
        <f ca="1">Machines!F255</f>
        <v>14.447705103621075</v>
      </c>
      <c r="C46" s="9" t="s">
        <v>914</v>
      </c>
      <c r="D46" s="395">
        <f ca="1">'Load pivot'!B10*$B$46</f>
        <v>0.72238525518105379</v>
      </c>
      <c r="E46" s="395">
        <f ca="1">'Load pivot'!C10*$B$46</f>
        <v>1.155816408289686</v>
      </c>
      <c r="F46" s="395">
        <f ca="1">'Load pivot'!D10*$B$46</f>
        <v>0.86686230621726446</v>
      </c>
      <c r="G46" s="395">
        <f ca="1">'Load pivot'!E10*$B$46</f>
        <v>0.57790820414484301</v>
      </c>
      <c r="H46" s="395">
        <f ca="1">'Load pivot'!F10*$B$46</f>
        <v>0.50566967862673773</v>
      </c>
      <c r="I46" s="395">
        <f ca="1">'Load pivot'!G10*$B$46</f>
        <v>0.36119262759052689</v>
      </c>
      <c r="J46" s="395">
        <f ca="1">'Load pivot'!H10*$B$46</f>
        <v>0.43343115310863223</v>
      </c>
      <c r="K46" s="395">
        <f ca="1">'Load pivot'!I10*$B$46</f>
        <v>0.50566967862673773</v>
      </c>
      <c r="L46" s="395">
        <f ca="1">'Load pivot'!J10*$B$46</f>
        <v>0.57790820414484301</v>
      </c>
      <c r="M46" s="395">
        <f ca="1">'Load pivot'!K10*$B$46</f>
        <v>0.43343115310863223</v>
      </c>
      <c r="N46" s="395">
        <f ca="1">'Load pivot'!L10*$B$46</f>
        <v>0.36119262759052689</v>
      </c>
      <c r="O46" s="395">
        <f ca="1">'Load pivot'!M10*$B$46</f>
        <v>0.36119262759052689</v>
      </c>
      <c r="P46" s="395">
        <f ca="1">'Load pivot'!N10*$B$46</f>
        <v>0.43343115310863223</v>
      </c>
      <c r="Q46" s="395">
        <f ca="1">'Load pivot'!O10*$B$46</f>
        <v>0.57790820414484301</v>
      </c>
      <c r="R46" s="395">
        <f ca="1">'Load pivot'!P10*$B$46</f>
        <v>0.26005869186517933</v>
      </c>
      <c r="S46" s="395">
        <f ca="1">'Load pivot'!Q10*$B$46</f>
        <v>0.26005869186517933</v>
      </c>
      <c r="T46" s="395">
        <f ca="1">'Load pivot'!R10*$B$46</f>
        <v>0.26005869186517933</v>
      </c>
      <c r="U46" s="395">
        <f ca="1">'Load pivot'!S10*$B$46</f>
        <v>0.2889541020724215</v>
      </c>
      <c r="V46" s="395">
        <f ca="1">'Load pivot'!T10*$B$46</f>
        <v>0.43343115310863223</v>
      </c>
      <c r="W46" s="395">
        <f ca="1">'Load pivot'!U10*$B$46</f>
        <v>0.6501467296629484</v>
      </c>
      <c r="X46" s="395">
        <f ca="1">'Load pivot'!V10*$B$46</f>
        <v>0.86686230621726446</v>
      </c>
      <c r="Y46" s="395">
        <f ca="1">'Load pivot'!W10*$B$46</f>
        <v>1.3725319848440021</v>
      </c>
      <c r="Z46" s="395">
        <f ca="1">'Load pivot'!X10*$B$46</f>
        <v>1.2280549338077915</v>
      </c>
      <c r="AA46" s="395">
        <f ca="1">'Load pivot'!Y10*$B$46</f>
        <v>0.95354853683899099</v>
      </c>
    </row>
    <row r="47" spans="1:31" ht="12.6">
      <c r="A47" s="9"/>
      <c r="B47" s="9"/>
      <c r="C47" s="9"/>
      <c r="D47" s="9"/>
      <c r="E47" s="9"/>
      <c r="F47" s="9"/>
      <c r="G47" s="9"/>
      <c r="H47" s="9"/>
      <c r="I47" s="9"/>
      <c r="J47" s="9"/>
      <c r="K47" s="9"/>
      <c r="L47" s="9"/>
      <c r="M47" s="9"/>
      <c r="N47" s="9"/>
      <c r="O47" s="9"/>
      <c r="P47" s="9"/>
      <c r="Q47" s="9"/>
      <c r="R47" s="9"/>
      <c r="S47" s="9"/>
      <c r="T47" s="9"/>
      <c r="U47" s="9"/>
      <c r="V47" s="9"/>
      <c r="W47" s="9"/>
      <c r="X47" s="9"/>
      <c r="Y47" s="9"/>
      <c r="Z47" s="9"/>
      <c r="AA47" s="9"/>
    </row>
    <row r="48" spans="1:31" ht="12.6">
      <c r="A48" s="9" t="s">
        <v>286</v>
      </c>
      <c r="B48" s="9"/>
      <c r="C48" s="9" t="s">
        <v>1527</v>
      </c>
      <c r="D48" s="395">
        <f t="shared" ref="D48:AA48" si="17">IF(D39-D38&gt;0,D39-D38,0)</f>
        <v>0.28406572535495228</v>
      </c>
      <c r="E48" s="395">
        <f t="shared" si="17"/>
        <v>0.25944153817600962</v>
      </c>
      <c r="F48" s="395">
        <f t="shared" si="17"/>
        <v>0.24878333539629199</v>
      </c>
      <c r="G48" s="395">
        <f t="shared" si="17"/>
        <v>0.26143646484785449</v>
      </c>
      <c r="H48" s="395">
        <f t="shared" si="17"/>
        <v>0.31052991649236616</v>
      </c>
      <c r="I48" s="395">
        <f t="shared" si="17"/>
        <v>0.37278229186680495</v>
      </c>
      <c r="J48" s="395">
        <f t="shared" si="17"/>
        <v>0.3643494877724594</v>
      </c>
      <c r="K48" s="9">
        <f t="shared" si="17"/>
        <v>0</v>
      </c>
      <c r="L48" s="9">
        <f t="shared" si="17"/>
        <v>0</v>
      </c>
      <c r="M48" s="9">
        <f t="shared" si="17"/>
        <v>0</v>
      </c>
      <c r="N48" s="9">
        <f t="shared" si="17"/>
        <v>0</v>
      </c>
      <c r="O48" s="9">
        <f t="shared" si="17"/>
        <v>0</v>
      </c>
      <c r="P48" s="9">
        <f t="shared" si="17"/>
        <v>0</v>
      </c>
      <c r="Q48" s="9">
        <f t="shared" si="17"/>
        <v>0</v>
      </c>
      <c r="R48" s="9">
        <f t="shared" si="17"/>
        <v>0</v>
      </c>
      <c r="S48" s="9">
        <f t="shared" si="17"/>
        <v>0</v>
      </c>
      <c r="T48" s="9">
        <f t="shared" si="17"/>
        <v>0</v>
      </c>
      <c r="U48" s="395">
        <f t="shared" si="17"/>
        <v>0.65017843430039379</v>
      </c>
      <c r="V48" s="395">
        <f t="shared" si="17"/>
        <v>0.88789377980072359</v>
      </c>
      <c r="W48" s="395">
        <f t="shared" si="17"/>
        <v>0.8838018600673071</v>
      </c>
      <c r="X48" s="395">
        <f t="shared" si="17"/>
        <v>0.7914266590511867</v>
      </c>
      <c r="Y48" s="395">
        <f t="shared" si="17"/>
        <v>0.62755815707409868</v>
      </c>
      <c r="Z48" s="395">
        <f t="shared" si="17"/>
        <v>0.43910087187362046</v>
      </c>
      <c r="AA48" s="395">
        <f t="shared" si="17"/>
        <v>0.33538050786239415</v>
      </c>
    </row>
    <row r="49" spans="1:31" ht="12.6">
      <c r="A49" s="9" t="s">
        <v>286</v>
      </c>
      <c r="B49" s="9"/>
      <c r="C49" s="9" t="s">
        <v>1528</v>
      </c>
      <c r="D49" s="9">
        <f t="shared" ref="D49:AA49" si="18">IF(D39-D38&lt;0,(D39-D38)*-1,0)</f>
        <v>0</v>
      </c>
      <c r="E49" s="9">
        <f t="shared" si="18"/>
        <v>0</v>
      </c>
      <c r="F49" s="9">
        <f t="shared" si="18"/>
        <v>0</v>
      </c>
      <c r="G49" s="9">
        <f t="shared" si="18"/>
        <v>0</v>
      </c>
      <c r="H49" s="9">
        <f t="shared" si="18"/>
        <v>0</v>
      </c>
      <c r="I49" s="9">
        <f t="shared" si="18"/>
        <v>0</v>
      </c>
      <c r="J49" s="9">
        <f t="shared" si="18"/>
        <v>0</v>
      </c>
      <c r="K49" s="9">
        <f t="shared" si="18"/>
        <v>0.1444144312888388</v>
      </c>
      <c r="L49" s="9">
        <f t="shared" si="18"/>
        <v>1.1512884412426816</v>
      </c>
      <c r="M49" s="9">
        <f t="shared" si="18"/>
        <v>1.9403298657081358</v>
      </c>
      <c r="N49" s="9">
        <f t="shared" si="18"/>
        <v>2.4573425939085949</v>
      </c>
      <c r="O49" s="9">
        <f t="shared" si="18"/>
        <v>2.7164772746359631</v>
      </c>
      <c r="P49" s="9">
        <f t="shared" si="18"/>
        <v>2.7275694957761645</v>
      </c>
      <c r="Q49" s="9">
        <f t="shared" si="18"/>
        <v>2.4782789019415379</v>
      </c>
      <c r="R49" s="9">
        <f t="shared" si="18"/>
        <v>1.9956222461560658</v>
      </c>
      <c r="S49" s="9">
        <f t="shared" si="18"/>
        <v>1.1975124012497038</v>
      </c>
      <c r="T49" s="9">
        <f t="shared" si="18"/>
        <v>0.17618225510122376</v>
      </c>
      <c r="U49" s="9">
        <f t="shared" si="18"/>
        <v>0</v>
      </c>
      <c r="V49" s="9">
        <f t="shared" si="18"/>
        <v>0</v>
      </c>
      <c r="W49" s="9">
        <f t="shared" si="18"/>
        <v>0</v>
      </c>
      <c r="X49" s="9">
        <f t="shared" si="18"/>
        <v>0</v>
      </c>
      <c r="Y49" s="9">
        <f t="shared" si="18"/>
        <v>0</v>
      </c>
      <c r="Z49" s="9">
        <f t="shared" si="18"/>
        <v>0</v>
      </c>
      <c r="AA49" s="9">
        <f t="shared" si="18"/>
        <v>0</v>
      </c>
    </row>
    <row r="50" spans="1:31" ht="12.6">
      <c r="A50" s="9" t="s">
        <v>286</v>
      </c>
      <c r="B50" s="9"/>
      <c r="C50" s="9" t="s">
        <v>1526</v>
      </c>
      <c r="D50" s="395">
        <f t="shared" ref="D50:AA50" si="19">IF(D38&gt;D39,D39,D38)</f>
        <v>0</v>
      </c>
      <c r="E50" s="395">
        <f t="shared" si="19"/>
        <v>0</v>
      </c>
      <c r="F50" s="395">
        <f t="shared" si="19"/>
        <v>0</v>
      </c>
      <c r="G50" s="395">
        <f t="shared" si="19"/>
        <v>0</v>
      </c>
      <c r="H50" s="395">
        <f t="shared" si="19"/>
        <v>0</v>
      </c>
      <c r="I50" s="395">
        <f t="shared" si="19"/>
        <v>3.9846982335508319E-2</v>
      </c>
      <c r="J50" s="395">
        <f t="shared" si="19"/>
        <v>0.29299251717285529</v>
      </c>
      <c r="K50" s="395">
        <f t="shared" si="19"/>
        <v>0.73221918009234432</v>
      </c>
      <c r="L50" s="395">
        <f t="shared" si="19"/>
        <v>0.57853938014585637</v>
      </c>
      <c r="M50" s="395">
        <f t="shared" si="19"/>
        <v>0.51143151799431741</v>
      </c>
      <c r="N50" s="395">
        <f t="shared" si="19"/>
        <v>0.51242956015546637</v>
      </c>
      <c r="O50" s="395">
        <f t="shared" si="19"/>
        <v>0.51112829454021047</v>
      </c>
      <c r="P50" s="395">
        <f t="shared" si="19"/>
        <v>0.49066031285047851</v>
      </c>
      <c r="Q50" s="395">
        <f t="shared" si="19"/>
        <v>0.47274173102346073</v>
      </c>
      <c r="R50" s="395">
        <f t="shared" si="19"/>
        <v>0.47957853892021562</v>
      </c>
      <c r="S50" s="395">
        <f t="shared" si="19"/>
        <v>0.56981846233695921</v>
      </c>
      <c r="T50" s="395">
        <f t="shared" si="19"/>
        <v>0.80358472232480427</v>
      </c>
      <c r="U50" s="395">
        <f t="shared" si="19"/>
        <v>0.33987131992051217</v>
      </c>
      <c r="V50" s="395">
        <f t="shared" si="19"/>
        <v>0.10078942590746222</v>
      </c>
      <c r="W50" s="395">
        <f t="shared" si="19"/>
        <v>1.4063640824297053E-2</v>
      </c>
      <c r="X50" s="395">
        <f t="shared" si="19"/>
        <v>0</v>
      </c>
      <c r="Y50" s="395">
        <f t="shared" si="19"/>
        <v>0</v>
      </c>
      <c r="Z50" s="395">
        <f t="shared" si="19"/>
        <v>0</v>
      </c>
      <c r="AA50" s="395">
        <f t="shared" si="19"/>
        <v>0</v>
      </c>
      <c r="AC50" s="135"/>
    </row>
    <row r="51" spans="1:31" ht="12.6">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row>
    <row r="52" spans="1:31" ht="12.6">
      <c r="D52" s="390"/>
      <c r="E52" s="390"/>
      <c r="F52" s="390"/>
      <c r="G52" s="390"/>
      <c r="H52" s="390"/>
      <c r="I52" s="390"/>
      <c r="J52" s="390"/>
      <c r="K52" s="390"/>
      <c r="L52" s="390"/>
      <c r="M52" s="390"/>
      <c r="N52" s="390"/>
      <c r="O52" s="390"/>
      <c r="P52" s="390"/>
      <c r="Q52" s="390"/>
      <c r="R52" s="390"/>
      <c r="S52" s="390"/>
      <c r="T52" s="390"/>
      <c r="U52" s="390"/>
      <c r="V52" s="390"/>
      <c r="W52" s="390"/>
      <c r="X52" s="390"/>
      <c r="Y52" s="390"/>
      <c r="Z52" s="390"/>
      <c r="AA52" s="390"/>
    </row>
    <row r="53" spans="1:31" ht="12.6">
      <c r="D53" s="390"/>
      <c r="E53" s="390"/>
      <c r="F53" s="390"/>
      <c r="G53" s="390"/>
      <c r="H53" s="390"/>
      <c r="I53" s="390"/>
      <c r="J53" s="390"/>
      <c r="K53" s="390"/>
      <c r="L53" s="390"/>
      <c r="M53" s="390"/>
      <c r="N53" s="390"/>
      <c r="O53" s="390"/>
      <c r="P53" s="390"/>
      <c r="Q53" s="390"/>
      <c r="R53" s="390"/>
      <c r="S53" s="390"/>
      <c r="T53" s="390"/>
      <c r="U53" s="390"/>
      <c r="V53" s="390"/>
      <c r="W53" s="390"/>
      <c r="X53" s="390"/>
      <c r="Y53" s="390"/>
      <c r="Z53" s="390"/>
      <c r="AA53" s="390"/>
    </row>
    <row r="54" spans="1:31" ht="12.6">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row>
    <row r="55" spans="1:31" ht="12.95">
      <c r="A55" s="129"/>
      <c r="B55" s="338" t="s">
        <v>1535</v>
      </c>
      <c r="C55" s="129"/>
      <c r="D55" s="396">
        <v>0</v>
      </c>
      <c r="E55" s="396">
        <v>4.1666666666666664E-2</v>
      </c>
      <c r="F55" s="396">
        <v>8.3333333333333329E-2</v>
      </c>
      <c r="G55" s="396">
        <v>0.125</v>
      </c>
      <c r="H55" s="396">
        <v>0.16666666666666666</v>
      </c>
      <c r="I55" s="396">
        <v>0.20833333333333334</v>
      </c>
      <c r="J55" s="396">
        <v>0.25</v>
      </c>
      <c r="K55" s="396">
        <v>0.29166666666666669</v>
      </c>
      <c r="L55" s="396">
        <v>0.33333333333333331</v>
      </c>
      <c r="M55" s="396">
        <v>0.375</v>
      </c>
      <c r="N55" s="396">
        <v>0.41666666666666669</v>
      </c>
      <c r="O55" s="396">
        <v>0.45833333333333331</v>
      </c>
      <c r="P55" s="396">
        <v>0.5</v>
      </c>
      <c r="Q55" s="396">
        <v>0.54166666666666663</v>
      </c>
      <c r="R55" s="396">
        <v>0.58333333333333337</v>
      </c>
      <c r="S55" s="396">
        <v>0.625</v>
      </c>
      <c r="T55" s="396">
        <v>0.66666666666666663</v>
      </c>
      <c r="U55" s="396">
        <v>0.70833333333333337</v>
      </c>
      <c r="V55" s="396">
        <v>0.75</v>
      </c>
      <c r="W55" s="396">
        <v>0.79166666666666663</v>
      </c>
      <c r="X55" s="396">
        <v>0.83333333333333337</v>
      </c>
      <c r="Y55" s="396">
        <v>0.875</v>
      </c>
      <c r="Z55" s="396">
        <v>0.91666666666666663</v>
      </c>
      <c r="AA55" s="396">
        <v>0.95833333333333337</v>
      </c>
    </row>
    <row r="56" spans="1:31" ht="12.6">
      <c r="A56" s="129"/>
      <c r="B56" s="129" t="s">
        <v>1524</v>
      </c>
      <c r="C56" s="129" t="s">
        <v>286</v>
      </c>
      <c r="D56" s="397">
        <v>0</v>
      </c>
      <c r="E56" s="397">
        <v>0</v>
      </c>
      <c r="F56" s="397">
        <v>0</v>
      </c>
      <c r="G56" s="397">
        <v>0</v>
      </c>
      <c r="H56" s="397">
        <v>0</v>
      </c>
      <c r="I56" s="397">
        <v>1.6999999999999999E-3</v>
      </c>
      <c r="J56" s="397">
        <v>1.2500000000000001E-2</v>
      </c>
      <c r="K56" s="397">
        <v>3.7400000000000003E-2</v>
      </c>
      <c r="L56" s="397">
        <v>7.3800000000000004E-2</v>
      </c>
      <c r="M56" s="397">
        <v>0.1046</v>
      </c>
      <c r="N56" s="397">
        <v>0.12670000000000001</v>
      </c>
      <c r="O56" s="397">
        <v>0.13769999999999999</v>
      </c>
      <c r="P56" s="397">
        <v>0.13730000000000001</v>
      </c>
      <c r="Q56" s="397">
        <v>0.12590000000000001</v>
      </c>
      <c r="R56" s="397">
        <v>0.1056</v>
      </c>
      <c r="S56" s="397">
        <v>7.5399999999999995E-2</v>
      </c>
      <c r="T56" s="397">
        <v>4.1799999999999997E-2</v>
      </c>
      <c r="U56" s="397">
        <v>1.4500000000000001E-2</v>
      </c>
      <c r="V56" s="397">
        <v>4.3E-3</v>
      </c>
      <c r="W56" s="397">
        <v>5.9999999999999995E-4</v>
      </c>
      <c r="X56" s="397">
        <v>0</v>
      </c>
      <c r="Y56" s="397">
        <v>0</v>
      </c>
      <c r="Z56" s="397">
        <v>0</v>
      </c>
      <c r="AA56" s="397">
        <v>0</v>
      </c>
    </row>
    <row r="57" spans="1:31" ht="12.6">
      <c r="A57" s="129"/>
      <c r="B57" s="129" t="s">
        <v>1524</v>
      </c>
      <c r="C57" s="129" t="s">
        <v>1512</v>
      </c>
      <c r="D57" s="397">
        <v>0</v>
      </c>
      <c r="E57" s="397">
        <v>0</v>
      </c>
      <c r="F57" s="397">
        <v>0</v>
      </c>
      <c r="G57" s="397">
        <v>0</v>
      </c>
      <c r="H57" s="397">
        <v>1E-4</v>
      </c>
      <c r="I57" s="397">
        <v>3.3E-3</v>
      </c>
      <c r="J57" s="397">
        <v>2.41E-2</v>
      </c>
      <c r="K57" s="397">
        <v>5.9299999999999999E-2</v>
      </c>
      <c r="L57" s="397">
        <v>9.6500000000000002E-2</v>
      </c>
      <c r="M57" s="397">
        <v>0.12909999999999999</v>
      </c>
      <c r="N57" s="397">
        <v>0.15429999999999999</v>
      </c>
      <c r="O57" s="397">
        <v>0.1691</v>
      </c>
      <c r="P57" s="397">
        <v>0.17150000000000001</v>
      </c>
      <c r="Q57" s="397">
        <v>0.161</v>
      </c>
      <c r="R57" s="397">
        <v>0.13900000000000001</v>
      </c>
      <c r="S57" s="397">
        <v>0.1076</v>
      </c>
      <c r="T57" s="397">
        <v>7.0000000000000007E-2</v>
      </c>
      <c r="U57" s="397">
        <v>3.32E-2</v>
      </c>
      <c r="V57" s="397">
        <v>1.1900000000000001E-2</v>
      </c>
      <c r="W57" s="397">
        <v>2.3E-3</v>
      </c>
      <c r="X57" s="397">
        <v>1E-4</v>
      </c>
      <c r="Y57" s="397">
        <v>0</v>
      </c>
      <c r="Z57" s="397">
        <v>0</v>
      </c>
      <c r="AA57" s="397">
        <v>0</v>
      </c>
    </row>
    <row r="58" spans="1:31" ht="12.6">
      <c r="A58" s="129"/>
      <c r="B58" s="129" t="s">
        <v>1524</v>
      </c>
      <c r="C58" s="129" t="s">
        <v>1514</v>
      </c>
      <c r="D58" s="397">
        <v>0</v>
      </c>
      <c r="E58" s="397">
        <v>0</v>
      </c>
      <c r="F58" s="397">
        <v>0</v>
      </c>
      <c r="G58" s="397">
        <v>0</v>
      </c>
      <c r="H58" s="397">
        <v>0</v>
      </c>
      <c r="I58" s="397">
        <v>0</v>
      </c>
      <c r="J58" s="397">
        <v>1E-4</v>
      </c>
      <c r="K58" s="397">
        <v>7.3000000000000001E-3</v>
      </c>
      <c r="L58" s="397">
        <v>4.1300000000000003E-2</v>
      </c>
      <c r="M58" s="397">
        <v>7.2700000000000001E-2</v>
      </c>
      <c r="N58" s="397">
        <v>9.4E-2</v>
      </c>
      <c r="O58" s="397">
        <v>0.10299999999999999</v>
      </c>
      <c r="P58" s="397">
        <v>0.1013</v>
      </c>
      <c r="Q58" s="397">
        <v>9.1600000000000001E-2</v>
      </c>
      <c r="R58" s="397">
        <v>7.4399999999999994E-2</v>
      </c>
      <c r="S58" s="397">
        <v>4.8099999999999997E-2</v>
      </c>
      <c r="T58" s="397">
        <v>1.9300000000000001E-2</v>
      </c>
      <c r="U58" s="397">
        <v>1.8E-3</v>
      </c>
      <c r="V58" s="397">
        <v>0</v>
      </c>
      <c r="W58" s="397">
        <v>0</v>
      </c>
      <c r="X58" s="397">
        <v>0</v>
      </c>
      <c r="Y58" s="397">
        <v>0</v>
      </c>
      <c r="Z58" s="397">
        <v>0</v>
      </c>
      <c r="AA58" s="397">
        <v>0</v>
      </c>
    </row>
    <row r="60" spans="1:31" ht="12.6">
      <c r="A60" s="398"/>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c r="AC60" s="398"/>
      <c r="AD60" s="398"/>
      <c r="AE60" s="398"/>
    </row>
    <row r="62" spans="1:31" ht="12.95">
      <c r="A62" s="114" t="s">
        <v>1536</v>
      </c>
      <c r="B62" s="114" t="s">
        <v>1518</v>
      </c>
      <c r="C62" s="114" t="s">
        <v>1506</v>
      </c>
      <c r="D62" s="392">
        <v>0</v>
      </c>
      <c r="E62" s="392">
        <v>4.1666666666666664E-2</v>
      </c>
      <c r="F62" s="392">
        <v>8.3333333333333329E-2</v>
      </c>
      <c r="G62" s="392">
        <v>0.125</v>
      </c>
      <c r="H62" s="392">
        <v>0.16666666666666666</v>
      </c>
      <c r="I62" s="392">
        <v>0.20833333333333334</v>
      </c>
      <c r="J62" s="392">
        <v>0.25</v>
      </c>
      <c r="K62" s="392">
        <v>0.29166666666666669</v>
      </c>
      <c r="L62" s="392">
        <v>0.33333333333333331</v>
      </c>
      <c r="M62" s="392">
        <v>0.375</v>
      </c>
      <c r="N62" s="392">
        <v>0.41666666666666669</v>
      </c>
      <c r="O62" s="392">
        <v>0.45833333333333331</v>
      </c>
      <c r="P62" s="392">
        <v>0.5</v>
      </c>
      <c r="Q62" s="392">
        <v>0.54166666666666663</v>
      </c>
      <c r="R62" s="392">
        <v>0.58333333333333337</v>
      </c>
      <c r="S62" s="392">
        <v>0.625</v>
      </c>
      <c r="T62" s="392">
        <v>0.66666666666666663</v>
      </c>
      <c r="U62" s="392">
        <v>0.70833333333333337</v>
      </c>
      <c r="V62" s="392">
        <v>0.75</v>
      </c>
      <c r="W62" s="392">
        <v>0.79166666666666663</v>
      </c>
      <c r="X62" s="392">
        <v>0.83333333333333337</v>
      </c>
      <c r="Y62" s="392">
        <v>0.875</v>
      </c>
      <c r="Z62" s="392">
        <v>0.91666666666666663</v>
      </c>
      <c r="AA62" s="392">
        <v>0.95833333333333337</v>
      </c>
      <c r="AB62" s="47"/>
      <c r="AC62" s="47"/>
      <c r="AD62" s="47"/>
      <c r="AE62" s="47"/>
    </row>
    <row r="63" spans="1:31" ht="12.6">
      <c r="A63" s="71" t="s">
        <v>1514</v>
      </c>
      <c r="B63" s="71"/>
      <c r="C63" s="71" t="s">
        <v>1519</v>
      </c>
      <c r="D63" s="71">
        <f t="shared" ref="D63:AA63" si="20">D2</f>
        <v>0</v>
      </c>
      <c r="E63" s="71">
        <f t="shared" si="20"/>
        <v>0</v>
      </c>
      <c r="F63" s="71">
        <f t="shared" si="20"/>
        <v>0</v>
      </c>
      <c r="G63" s="71">
        <f t="shared" si="20"/>
        <v>0</v>
      </c>
      <c r="H63" s="71">
        <f t="shared" si="20"/>
        <v>0</v>
      </c>
      <c r="I63" s="71">
        <f t="shared" si="20"/>
        <v>0</v>
      </c>
      <c r="J63" s="71">
        <f t="shared" si="20"/>
        <v>2.3439401373828426E-3</v>
      </c>
      <c r="K63" s="71">
        <f t="shared" si="20"/>
        <v>0.17110763002894749</v>
      </c>
      <c r="L63" s="71">
        <f t="shared" si="20"/>
        <v>0.96804727673911406</v>
      </c>
      <c r="M63" s="71">
        <f t="shared" si="20"/>
        <v>1.7040444798773264</v>
      </c>
      <c r="N63" s="71">
        <f t="shared" si="20"/>
        <v>2.203303729139872</v>
      </c>
      <c r="O63" s="71">
        <f t="shared" si="20"/>
        <v>2.4142583415043277</v>
      </c>
      <c r="P63" s="71">
        <f t="shared" si="20"/>
        <v>2.3744113591688194</v>
      </c>
      <c r="Q63" s="71">
        <f t="shared" si="20"/>
        <v>2.1470491658426836</v>
      </c>
      <c r="R63" s="71">
        <f t="shared" si="20"/>
        <v>1.7438914622128345</v>
      </c>
      <c r="S63" s="71">
        <f t="shared" si="20"/>
        <v>1.1274352060811472</v>
      </c>
      <c r="T63" s="71">
        <f t="shared" si="20"/>
        <v>0.45238044651488862</v>
      </c>
      <c r="U63" s="71">
        <f t="shared" si="20"/>
        <v>4.2190922472891162E-2</v>
      </c>
      <c r="V63" s="71">
        <f t="shared" si="20"/>
        <v>0</v>
      </c>
      <c r="W63" s="71">
        <f t="shared" si="20"/>
        <v>0</v>
      </c>
      <c r="X63" s="71">
        <f t="shared" si="20"/>
        <v>0</v>
      </c>
      <c r="Y63" s="71">
        <f t="shared" si="20"/>
        <v>0</v>
      </c>
      <c r="Z63" s="71">
        <f t="shared" si="20"/>
        <v>0</v>
      </c>
      <c r="AA63" s="71">
        <f t="shared" si="20"/>
        <v>0</v>
      </c>
      <c r="AB63" s="230"/>
      <c r="AC63" s="230"/>
    </row>
    <row r="64" spans="1:31" ht="12.95">
      <c r="A64" s="96" t="s">
        <v>1514</v>
      </c>
      <c r="B64" s="96"/>
      <c r="C64" s="96" t="s">
        <v>1520</v>
      </c>
      <c r="D64" s="71">
        <f t="shared" ref="D64:AA64" si="21">SUM(D65:D70)</f>
        <v>0.28893929695679849</v>
      </c>
      <c r="E64" s="71">
        <f t="shared" si="21"/>
        <v>0.27726437528560788</v>
      </c>
      <c r="F64" s="71">
        <f t="shared" si="21"/>
        <v>0.275750720414768</v>
      </c>
      <c r="G64" s="71">
        <f t="shared" si="21"/>
        <v>0.27932378265655916</v>
      </c>
      <c r="H64" s="71">
        <f t="shared" si="21"/>
        <v>0.32629369679086684</v>
      </c>
      <c r="I64" s="71">
        <f t="shared" si="21"/>
        <v>0.44661294564861359</v>
      </c>
      <c r="J64" s="71">
        <f t="shared" si="21"/>
        <v>0.84274777808937074</v>
      </c>
      <c r="K64" s="71">
        <f t="shared" si="21"/>
        <v>0.93866160138252575</v>
      </c>
      <c r="L64" s="71">
        <f t="shared" si="21"/>
        <v>0.73758265006701185</v>
      </c>
      <c r="M64" s="71">
        <f t="shared" si="21"/>
        <v>0.64033942665756394</v>
      </c>
      <c r="N64" s="71">
        <f t="shared" si="21"/>
        <v>1.0598574522738273</v>
      </c>
      <c r="O64" s="71">
        <f t="shared" si="21"/>
        <v>1.3036220535841752</v>
      </c>
      <c r="P64" s="71">
        <f t="shared" si="21"/>
        <v>1.4759180437465296</v>
      </c>
      <c r="Q64" s="71">
        <f t="shared" si="21"/>
        <v>1.0263833323306908</v>
      </c>
      <c r="R64" s="71">
        <f t="shared" si="21"/>
        <v>0.71767372658905781</v>
      </c>
      <c r="S64" s="71">
        <f t="shared" si="21"/>
        <v>0.4296579007469391</v>
      </c>
      <c r="T64" s="71">
        <f t="shared" si="21"/>
        <v>0.72012554791648886</v>
      </c>
      <c r="U64" s="71">
        <f t="shared" si="21"/>
        <v>1.2082002749999712</v>
      </c>
      <c r="V64" s="71">
        <f t="shared" si="21"/>
        <v>1.190851101167945</v>
      </c>
      <c r="W64" s="71">
        <f t="shared" si="21"/>
        <v>1.0771152794032046</v>
      </c>
      <c r="X64" s="71">
        <f t="shared" si="21"/>
        <v>0.91598086964813985</v>
      </c>
      <c r="Y64" s="71">
        <f t="shared" si="21"/>
        <v>0.69373741092168328</v>
      </c>
      <c r="Z64" s="71">
        <f t="shared" si="21"/>
        <v>0.45463189227994766</v>
      </c>
      <c r="AA64" s="71">
        <f t="shared" si="21"/>
        <v>0.39020835122263653</v>
      </c>
      <c r="AC64" s="62" t="s">
        <v>1521</v>
      </c>
      <c r="AD64" s="62" t="s">
        <v>1219</v>
      </c>
      <c r="AE64" s="62" t="s">
        <v>1522</v>
      </c>
    </row>
    <row r="65" spans="1:31" ht="12.6">
      <c r="A65" s="96" t="s">
        <v>1514</v>
      </c>
      <c r="B65" s="96"/>
      <c r="C65" s="96" t="s">
        <v>56</v>
      </c>
      <c r="D65" s="71">
        <f t="shared" ref="D65:AA65" si="22">(D4/D40)*D101</f>
        <v>7.1743732182666109E-2</v>
      </c>
      <c r="E65" s="71">
        <f t="shared" si="22"/>
        <v>6.620893829898962E-2</v>
      </c>
      <c r="F65" s="71">
        <f t="shared" si="22"/>
        <v>6.7609600839694639E-2</v>
      </c>
      <c r="G65" s="71">
        <f t="shared" si="22"/>
        <v>7.3697015431523655E-2</v>
      </c>
      <c r="H65" s="71">
        <f t="shared" si="22"/>
        <v>0.11355058360458012</v>
      </c>
      <c r="I65" s="71">
        <f t="shared" si="22"/>
        <v>0.20264805658501811</v>
      </c>
      <c r="J65" s="71">
        <f t="shared" si="22"/>
        <v>0.56321149059696185</v>
      </c>
      <c r="K65" s="71">
        <f t="shared" si="22"/>
        <v>0.63154405090582566</v>
      </c>
      <c r="L65" s="71">
        <f t="shared" si="22"/>
        <v>0.34883698902690258</v>
      </c>
      <c r="M65" s="71">
        <f t="shared" si="22"/>
        <v>0.18140016096619149</v>
      </c>
      <c r="N65" s="71">
        <f t="shared" si="22"/>
        <v>0.12730098151182831</v>
      </c>
      <c r="O65" s="71">
        <f t="shared" si="22"/>
        <v>0.10922438164149045</v>
      </c>
      <c r="P65" s="71">
        <f t="shared" si="22"/>
        <v>0.10718555236697978</v>
      </c>
      <c r="Q65" s="71">
        <f t="shared" si="22"/>
        <v>0.10506197877195086</v>
      </c>
      <c r="R65" s="71">
        <f t="shared" si="22"/>
        <v>0.10579122376140339</v>
      </c>
      <c r="S65" s="71">
        <f t="shared" si="22"/>
        <v>0.14379981824296489</v>
      </c>
      <c r="T65" s="71">
        <f t="shared" si="22"/>
        <v>0.2712692270124305</v>
      </c>
      <c r="U65" s="71">
        <f t="shared" si="22"/>
        <v>0.48884578538820272</v>
      </c>
      <c r="V65" s="71">
        <f t="shared" si="22"/>
        <v>0.56403290477019041</v>
      </c>
      <c r="W65" s="71">
        <f t="shared" si="22"/>
        <v>0.57734580900457599</v>
      </c>
      <c r="X65" s="71">
        <f t="shared" si="22"/>
        <v>0.54322377218254392</v>
      </c>
      <c r="Y65" s="71">
        <f t="shared" si="22"/>
        <v>0.38416342794528446</v>
      </c>
      <c r="Z65" s="71">
        <f t="shared" si="22"/>
        <v>0.18776883058409191</v>
      </c>
      <c r="AA65" s="71">
        <f t="shared" si="22"/>
        <v>9.3591572148143856E-2</v>
      </c>
      <c r="AC65" s="95" t="s">
        <v>1523</v>
      </c>
      <c r="AD65" s="70">
        <f>SUM(D64:AA64)</f>
        <v>17.717479510780926</v>
      </c>
      <c r="AE65" s="226">
        <f t="shared" ref="AE65:AE68" si="23">AD65/$AD$65</f>
        <v>1</v>
      </c>
    </row>
    <row r="66" spans="1:31" ht="12.6">
      <c r="A66" s="96" t="s">
        <v>1514</v>
      </c>
      <c r="B66" s="96"/>
      <c r="C66" s="96" t="s">
        <v>58</v>
      </c>
      <c r="D66" s="71">
        <f t="shared" ref="D66:AA66" si="24">(D5/D41)*D102</f>
        <v>1.2164437085799748E-2</v>
      </c>
      <c r="E66" s="71">
        <f t="shared" si="24"/>
        <v>1.2713086911452365E-2</v>
      </c>
      <c r="F66" s="71">
        <f t="shared" si="24"/>
        <v>1.1763052178866744E-2</v>
      </c>
      <c r="G66" s="71">
        <f t="shared" si="24"/>
        <v>7.6369010821278407E-3</v>
      </c>
      <c r="H66" s="71">
        <f t="shared" si="24"/>
        <v>9.3299627365757073E-3</v>
      </c>
      <c r="I66" s="71">
        <f t="shared" si="24"/>
        <v>8.2848372157176119E-3</v>
      </c>
      <c r="J66" s="71">
        <f t="shared" si="24"/>
        <v>8.5926281106654106E-3</v>
      </c>
      <c r="K66" s="71">
        <f t="shared" si="24"/>
        <v>1.3354055551558603E-2</v>
      </c>
      <c r="L66" s="71">
        <f t="shared" si="24"/>
        <v>6.6666766210505407E-2</v>
      </c>
      <c r="M66" s="71">
        <f t="shared" si="24"/>
        <v>0.14306438357685419</v>
      </c>
      <c r="N66" s="71">
        <f t="shared" si="24"/>
        <v>0.42959436503617887</v>
      </c>
      <c r="O66" s="71">
        <f t="shared" si="24"/>
        <v>0.61521079152522451</v>
      </c>
      <c r="P66" s="71">
        <f t="shared" si="24"/>
        <v>0.66406761096290945</v>
      </c>
      <c r="Q66" s="71">
        <f t="shared" si="24"/>
        <v>0.35226112924286873</v>
      </c>
      <c r="R66" s="71">
        <f t="shared" si="24"/>
        <v>0.11560755624313361</v>
      </c>
      <c r="S66" s="71">
        <f t="shared" si="24"/>
        <v>1.1604153952198801E-2</v>
      </c>
      <c r="T66" s="71">
        <f t="shared" si="24"/>
        <v>1.1708820419363592E-2</v>
      </c>
      <c r="U66" s="71">
        <f t="shared" si="24"/>
        <v>1.1530231585887897E-2</v>
      </c>
      <c r="V66" s="71">
        <f t="shared" si="24"/>
        <v>1.2269082471795176E-2</v>
      </c>
      <c r="W66" s="71">
        <f t="shared" si="24"/>
        <v>1.2251770897280776E-2</v>
      </c>
      <c r="X66" s="71">
        <f t="shared" si="24"/>
        <v>1.3172087507593445E-2</v>
      </c>
      <c r="Y66" s="71">
        <f t="shared" si="24"/>
        <v>1.3463584695658689E-2</v>
      </c>
      <c r="Z66" s="71">
        <f t="shared" si="24"/>
        <v>1.4037632053904521E-2</v>
      </c>
      <c r="AA66" s="71">
        <f t="shared" si="24"/>
        <v>1.4195092247504435E-2</v>
      </c>
      <c r="AC66" s="95" t="s">
        <v>1524</v>
      </c>
      <c r="AD66" s="70">
        <f>SUM(D63:AA63)</f>
        <v>15.350463959720235</v>
      </c>
      <c r="AE66" s="226">
        <f t="shared" si="23"/>
        <v>0.86640224137861244</v>
      </c>
    </row>
    <row r="67" spans="1:31" ht="12.6">
      <c r="A67" s="96" t="s">
        <v>1514</v>
      </c>
      <c r="B67" s="96"/>
      <c r="C67" s="96" t="s">
        <v>186</v>
      </c>
      <c r="D67" s="71">
        <f t="shared" ref="D67:AA67" si="25">(D6/D42)*D103</f>
        <v>7.5021851732343615E-3</v>
      </c>
      <c r="E67" s="71">
        <f t="shared" si="25"/>
        <v>4.5307492453065968E-3</v>
      </c>
      <c r="F67" s="71">
        <f t="shared" si="25"/>
        <v>3.7855896329655869E-3</v>
      </c>
      <c r="G67" s="71">
        <f t="shared" si="25"/>
        <v>3.7472838295269941E-3</v>
      </c>
      <c r="H67" s="71">
        <f t="shared" si="25"/>
        <v>3.6282458477929977E-3</v>
      </c>
      <c r="I67" s="71">
        <f t="shared" si="25"/>
        <v>4.7142114506701725E-3</v>
      </c>
      <c r="J67" s="71">
        <f t="shared" si="25"/>
        <v>1.2817347858254519E-2</v>
      </c>
      <c r="K67" s="71">
        <f t="shared" si="25"/>
        <v>2.8007524324207726E-2</v>
      </c>
      <c r="L67" s="71">
        <f t="shared" si="25"/>
        <v>2.5569604554455772E-2</v>
      </c>
      <c r="M67" s="71">
        <f t="shared" si="25"/>
        <v>3.4250205386260738E-2</v>
      </c>
      <c r="N67" s="71">
        <f t="shared" si="25"/>
        <v>4.0259591845219524E-2</v>
      </c>
      <c r="O67" s="71">
        <f t="shared" si="25"/>
        <v>5.5275786195151798E-2</v>
      </c>
      <c r="P67" s="71">
        <f t="shared" si="25"/>
        <v>6.1687941031451587E-2</v>
      </c>
      <c r="Q67" s="71">
        <f t="shared" si="25"/>
        <v>5.1812008382560823E-2</v>
      </c>
      <c r="R67" s="71">
        <f t="shared" si="25"/>
        <v>4.5035868896050643E-2</v>
      </c>
      <c r="S67" s="71">
        <f t="shared" si="25"/>
        <v>6.2980778714799623E-2</v>
      </c>
      <c r="T67" s="71">
        <f t="shared" si="25"/>
        <v>0.20761039102326456</v>
      </c>
      <c r="U67" s="71">
        <f t="shared" si="25"/>
        <v>0.4229632332000311</v>
      </c>
      <c r="V67" s="71">
        <f t="shared" si="25"/>
        <v>0.30691301803348342</v>
      </c>
      <c r="W67" s="71">
        <f t="shared" si="25"/>
        <v>0.19560766760765286</v>
      </c>
      <c r="X67" s="71">
        <f t="shared" si="25"/>
        <v>8.1315634800944961E-2</v>
      </c>
      <c r="Y67" s="71">
        <f t="shared" si="25"/>
        <v>2.9997866988386652E-2</v>
      </c>
      <c r="Z67" s="71">
        <f t="shared" si="25"/>
        <v>1.3547805356559695E-2</v>
      </c>
      <c r="AA67" s="71">
        <f t="shared" si="25"/>
        <v>9.1011230775753169E-3</v>
      </c>
      <c r="AC67" s="95" t="s">
        <v>1525</v>
      </c>
      <c r="AD67" s="70">
        <f t="shared" ref="AD67:AD68" si="26">SUM(D74:AA74)</f>
        <v>7.2914064345703293</v>
      </c>
      <c r="AE67" s="226">
        <f t="shared" si="23"/>
        <v>0.41153745543397269</v>
      </c>
    </row>
    <row r="68" spans="1:31" ht="12.95">
      <c r="A68" s="96" t="s">
        <v>1514</v>
      </c>
      <c r="B68" s="96"/>
      <c r="C68" s="96" t="s">
        <v>865</v>
      </c>
      <c r="D68" s="71">
        <f t="shared" ref="D68:AA68" si="27">(D7/D43)*D104</f>
        <v>8.2866122494319461E-2</v>
      </c>
      <c r="E68" s="71">
        <f t="shared" si="27"/>
        <v>8.1877811115455279E-2</v>
      </c>
      <c r="F68" s="71">
        <f t="shared" si="27"/>
        <v>8.1419860019329215E-2</v>
      </c>
      <c r="G68" s="71">
        <f t="shared" si="27"/>
        <v>8.1528849515735233E-2</v>
      </c>
      <c r="H68" s="71">
        <f t="shared" si="27"/>
        <v>8.125645198769732E-2</v>
      </c>
      <c r="I68" s="71">
        <f t="shared" si="27"/>
        <v>8.1404961897466585E-2</v>
      </c>
      <c r="J68" s="71">
        <f t="shared" si="27"/>
        <v>8.1460906658073609E-2</v>
      </c>
      <c r="K68" s="71">
        <f t="shared" si="27"/>
        <v>8.2768414777376786E-2</v>
      </c>
      <c r="L68" s="71">
        <f t="shared" si="27"/>
        <v>0.11175977038798456</v>
      </c>
      <c r="M68" s="71">
        <f t="shared" si="27"/>
        <v>0.11115484164329542</v>
      </c>
      <c r="N68" s="71">
        <f t="shared" si="27"/>
        <v>0.19461442075433769</v>
      </c>
      <c r="O68" s="71">
        <f t="shared" si="27"/>
        <v>0.22395772527415012</v>
      </c>
      <c r="P68" s="71">
        <f t="shared" si="27"/>
        <v>0.27881185619982674</v>
      </c>
      <c r="Q68" s="71">
        <f t="shared" si="27"/>
        <v>0.22489070692515276</v>
      </c>
      <c r="R68" s="71">
        <f t="shared" si="27"/>
        <v>0.19690832812651701</v>
      </c>
      <c r="S68" s="71">
        <f t="shared" si="27"/>
        <v>8.4023082681166941E-2</v>
      </c>
      <c r="T68" s="71">
        <f t="shared" si="27"/>
        <v>8.4869736784274702E-2</v>
      </c>
      <c r="U68" s="71">
        <f t="shared" si="27"/>
        <v>8.5198215289953388E-2</v>
      </c>
      <c r="V68" s="71">
        <f t="shared" si="27"/>
        <v>8.4727610760587907E-2</v>
      </c>
      <c r="W68" s="71">
        <f t="shared" si="27"/>
        <v>8.4208590412772899E-2</v>
      </c>
      <c r="X68" s="71">
        <f t="shared" si="27"/>
        <v>8.4705706910322948E-2</v>
      </c>
      <c r="Y68" s="71">
        <f t="shared" si="27"/>
        <v>8.4368613392749328E-2</v>
      </c>
      <c r="Z68" s="71">
        <f t="shared" si="27"/>
        <v>8.4342871825490162E-2</v>
      </c>
      <c r="AA68" s="71">
        <f t="shared" si="27"/>
        <v>0.11178642364083301</v>
      </c>
      <c r="AC68" s="95" t="s">
        <v>1526</v>
      </c>
      <c r="AD68" s="70">
        <f t="shared" si="26"/>
        <v>8.059057525149905</v>
      </c>
      <c r="AE68" s="393">
        <f t="shared" si="23"/>
        <v>0.45486478594463969</v>
      </c>
    </row>
    <row r="69" spans="1:31" ht="12.6">
      <c r="A69" s="96" t="s">
        <v>1514</v>
      </c>
      <c r="B69" s="96"/>
      <c r="C69" s="96" t="s">
        <v>61</v>
      </c>
      <c r="D69" s="71">
        <f t="shared" ref="D69:AA69" si="28">(D8/D44)*D105</f>
        <v>1.3516576286238565E-2</v>
      </c>
      <c r="E69" s="71">
        <f t="shared" si="28"/>
        <v>1.0771288472313777E-2</v>
      </c>
      <c r="F69" s="71">
        <f t="shared" si="28"/>
        <v>9.4871207995697194E-3</v>
      </c>
      <c r="G69" s="71">
        <f t="shared" si="28"/>
        <v>1.0790133066586022E-2</v>
      </c>
      <c r="H69" s="71">
        <f t="shared" si="28"/>
        <v>1.7369734116272469E-2</v>
      </c>
      <c r="I69" s="71">
        <f t="shared" si="28"/>
        <v>4.7306490653250821E-2</v>
      </c>
      <c r="J69" s="71">
        <f t="shared" si="28"/>
        <v>7.7446230817982145E-2</v>
      </c>
      <c r="K69" s="71">
        <f t="shared" si="28"/>
        <v>8.4399245359382147E-2</v>
      </c>
      <c r="L69" s="71">
        <f t="shared" si="28"/>
        <v>5.0056327350468881E-2</v>
      </c>
      <c r="M69" s="71">
        <f t="shared" si="28"/>
        <v>3.8457956994538675E-2</v>
      </c>
      <c r="N69" s="71">
        <f t="shared" si="28"/>
        <v>3.4455402781129761E-2</v>
      </c>
      <c r="O69" s="71">
        <f t="shared" si="28"/>
        <v>3.3353666067161877E-2</v>
      </c>
      <c r="P69" s="71">
        <f t="shared" si="28"/>
        <v>3.2245803575141015E-2</v>
      </c>
      <c r="Q69" s="71">
        <f t="shared" si="28"/>
        <v>3.0683087127143887E-2</v>
      </c>
      <c r="R69" s="71">
        <f t="shared" si="28"/>
        <v>2.8943205116126199E-2</v>
      </c>
      <c r="S69" s="71">
        <f t="shared" si="28"/>
        <v>3.0674266241768312E-2</v>
      </c>
      <c r="T69" s="71">
        <f t="shared" si="28"/>
        <v>4.7361501007085811E-2</v>
      </c>
      <c r="U69" s="71">
        <f t="shared" si="28"/>
        <v>9.9450221246457512E-2</v>
      </c>
      <c r="V69" s="71">
        <f t="shared" si="28"/>
        <v>0.12070733027103389</v>
      </c>
      <c r="W69" s="71">
        <f t="shared" si="28"/>
        <v>0.10556735550146214</v>
      </c>
      <c r="X69" s="71">
        <f t="shared" si="28"/>
        <v>9.094725598993135E-2</v>
      </c>
      <c r="Y69" s="71">
        <f t="shared" si="28"/>
        <v>7.7195133706521535E-2</v>
      </c>
      <c r="Z69" s="71">
        <f t="shared" si="28"/>
        <v>4.9929801790924565E-2</v>
      </c>
      <c r="AA69" s="71">
        <f t="shared" si="28"/>
        <v>2.5303855874977476E-2</v>
      </c>
    </row>
    <row r="70" spans="1:31" ht="12.6">
      <c r="A70" s="96" t="s">
        <v>1514</v>
      </c>
      <c r="B70" s="96"/>
      <c r="C70" s="96" t="s">
        <v>63</v>
      </c>
      <c r="D70" s="71">
        <f t="shared" ref="D70:AA70" si="29">(D9/D45)*D106</f>
        <v>0.10114624373454027</v>
      </c>
      <c r="E70" s="71">
        <f t="shared" si="29"/>
        <v>0.10116250124209022</v>
      </c>
      <c r="F70" s="71">
        <f t="shared" si="29"/>
        <v>0.10168549694434206</v>
      </c>
      <c r="G70" s="71">
        <f t="shared" si="29"/>
        <v>0.10192359973105944</v>
      </c>
      <c r="H70" s="71">
        <f t="shared" si="29"/>
        <v>0.10115871849794822</v>
      </c>
      <c r="I70" s="71">
        <f t="shared" si="29"/>
        <v>0.10225438784649034</v>
      </c>
      <c r="J70" s="71">
        <f t="shared" si="29"/>
        <v>9.9219174047433176E-2</v>
      </c>
      <c r="K70" s="71">
        <f t="shared" si="29"/>
        <v>9.858831046417485E-2</v>
      </c>
      <c r="L70" s="71">
        <f t="shared" si="29"/>
        <v>0.13469319253669465</v>
      </c>
      <c r="M70" s="71">
        <f t="shared" si="29"/>
        <v>0.1320118780904235</v>
      </c>
      <c r="N70" s="71">
        <f t="shared" si="29"/>
        <v>0.23363269034513301</v>
      </c>
      <c r="O70" s="71">
        <f t="shared" si="29"/>
        <v>0.26659970288099649</v>
      </c>
      <c r="P70" s="71">
        <f t="shared" si="29"/>
        <v>0.33191927961022105</v>
      </c>
      <c r="Q70" s="71">
        <f t="shared" si="29"/>
        <v>0.26167442188101375</v>
      </c>
      <c r="R70" s="71">
        <f t="shared" si="29"/>
        <v>0.22538754444582695</v>
      </c>
      <c r="S70" s="71">
        <f t="shared" si="29"/>
        <v>9.6575800914040513E-2</v>
      </c>
      <c r="T70" s="71">
        <f t="shared" si="29"/>
        <v>9.7305871670069682E-2</v>
      </c>
      <c r="U70" s="71">
        <f t="shared" si="29"/>
        <v>0.10021258828943878</v>
      </c>
      <c r="V70" s="71">
        <f t="shared" si="29"/>
        <v>0.10220115486085414</v>
      </c>
      <c r="W70" s="71">
        <f t="shared" si="29"/>
        <v>0.10213408597945993</v>
      </c>
      <c r="X70" s="71">
        <f t="shared" si="29"/>
        <v>0.10261641225680314</v>
      </c>
      <c r="Y70" s="71">
        <f t="shared" si="29"/>
        <v>0.10454878419308269</v>
      </c>
      <c r="Z70" s="71">
        <f t="shared" si="29"/>
        <v>0.10500495066897682</v>
      </c>
      <c r="AA70" s="71">
        <f t="shared" si="29"/>
        <v>0.13623028423360245</v>
      </c>
    </row>
    <row r="71" spans="1:31" ht="12.6">
      <c r="A71" s="96" t="s">
        <v>1514</v>
      </c>
      <c r="B71" s="96"/>
      <c r="C71" s="96" t="s">
        <v>914</v>
      </c>
      <c r="D71" s="71">
        <f t="shared" ref="D71:AA71" ca="1" si="30">(D10/D46)*D107</f>
        <v>0</v>
      </c>
      <c r="E71" s="71">
        <f t="shared" ca="1" si="30"/>
        <v>0</v>
      </c>
      <c r="F71" s="71">
        <f t="shared" ca="1" si="30"/>
        <v>0</v>
      </c>
      <c r="G71" s="71">
        <f t="shared" ca="1" si="30"/>
        <v>0</v>
      </c>
      <c r="H71" s="71">
        <f t="shared" ca="1" si="30"/>
        <v>0</v>
      </c>
      <c r="I71" s="71">
        <f t="shared" ca="1" si="30"/>
        <v>0</v>
      </c>
      <c r="J71" s="71">
        <f t="shared" ca="1" si="30"/>
        <v>0</v>
      </c>
      <c r="K71" s="71">
        <f t="shared" ca="1" si="30"/>
        <v>0</v>
      </c>
      <c r="L71" s="71">
        <f t="shared" ca="1" si="30"/>
        <v>0</v>
      </c>
      <c r="M71" s="71">
        <f t="shared" ca="1" si="30"/>
        <v>0.72238525518105379</v>
      </c>
      <c r="N71" s="71">
        <f t="shared" ca="1" si="30"/>
        <v>1.155816408289686</v>
      </c>
      <c r="O71" s="71">
        <f t="shared" ca="1" si="30"/>
        <v>2.311632816579372</v>
      </c>
      <c r="P71" s="71">
        <f t="shared" ca="1" si="30"/>
        <v>2.7450639696880041</v>
      </c>
      <c r="Q71" s="71">
        <f t="shared" ca="1" si="30"/>
        <v>3.0340180717604257</v>
      </c>
      <c r="R71" s="71">
        <f t="shared" ca="1" si="30"/>
        <v>3.0340180717604257</v>
      </c>
      <c r="S71" s="71">
        <f t="shared" ca="1" si="30"/>
        <v>1.155816408289686</v>
      </c>
      <c r="T71" s="71">
        <f t="shared" ca="1" si="30"/>
        <v>0.14447705103621075</v>
      </c>
      <c r="U71" s="71">
        <f t="shared" ca="1" si="30"/>
        <v>0.14447705103621075</v>
      </c>
      <c r="V71" s="71">
        <f t="shared" ca="1" si="30"/>
        <v>0</v>
      </c>
      <c r="W71" s="71">
        <f t="shared" ca="1" si="30"/>
        <v>0</v>
      </c>
      <c r="X71" s="71">
        <f t="shared" ca="1" si="30"/>
        <v>0</v>
      </c>
      <c r="Y71" s="71">
        <f t="shared" ca="1" si="30"/>
        <v>0</v>
      </c>
      <c r="Z71" s="71">
        <f t="shared" ca="1" si="30"/>
        <v>0</v>
      </c>
      <c r="AA71" s="71">
        <f t="shared" ca="1" si="30"/>
        <v>0</v>
      </c>
    </row>
    <row r="72" spans="1:31" ht="12.6">
      <c r="A72" s="96"/>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row>
    <row r="73" spans="1:31" ht="12.6">
      <c r="A73" s="96" t="s">
        <v>1514</v>
      </c>
      <c r="B73" s="96"/>
      <c r="C73" s="96" t="s">
        <v>1527</v>
      </c>
      <c r="D73" s="71">
        <f t="shared" ref="D73:AA73" si="31">IF(D64-D63&gt;0,D64-D63,0)</f>
        <v>0.28893929695679849</v>
      </c>
      <c r="E73" s="71">
        <f t="shared" si="31"/>
        <v>0.27726437528560788</v>
      </c>
      <c r="F73" s="71">
        <f t="shared" si="31"/>
        <v>0.275750720414768</v>
      </c>
      <c r="G73" s="71">
        <f t="shared" si="31"/>
        <v>0.27932378265655916</v>
      </c>
      <c r="H73" s="71">
        <f t="shared" si="31"/>
        <v>0.32629369679086684</v>
      </c>
      <c r="I73" s="71">
        <f t="shared" si="31"/>
        <v>0.44661294564861359</v>
      </c>
      <c r="J73" s="71">
        <f t="shared" si="31"/>
        <v>0.84040383795198792</v>
      </c>
      <c r="K73" s="71">
        <f t="shared" si="31"/>
        <v>0.76755397135357828</v>
      </c>
      <c r="L73" s="96">
        <f t="shared" si="31"/>
        <v>0</v>
      </c>
      <c r="M73" s="96">
        <f t="shared" si="31"/>
        <v>0</v>
      </c>
      <c r="N73" s="96">
        <f t="shared" si="31"/>
        <v>0</v>
      </c>
      <c r="O73" s="96">
        <f t="shared" si="31"/>
        <v>0</v>
      </c>
      <c r="P73" s="96">
        <f t="shared" si="31"/>
        <v>0</v>
      </c>
      <c r="Q73" s="96">
        <f t="shared" si="31"/>
        <v>0</v>
      </c>
      <c r="R73" s="96">
        <f t="shared" si="31"/>
        <v>0</v>
      </c>
      <c r="S73" s="96">
        <f t="shared" si="31"/>
        <v>0</v>
      </c>
      <c r="T73" s="71">
        <f t="shared" si="31"/>
        <v>0.26774510140160024</v>
      </c>
      <c r="U73" s="71">
        <f t="shared" si="31"/>
        <v>1.16600935252708</v>
      </c>
      <c r="V73" s="71">
        <f t="shared" si="31"/>
        <v>1.190851101167945</v>
      </c>
      <c r="W73" s="71">
        <f t="shared" si="31"/>
        <v>1.0771152794032046</v>
      </c>
      <c r="X73" s="71">
        <f t="shared" si="31"/>
        <v>0.91598086964813985</v>
      </c>
      <c r="Y73" s="71">
        <f t="shared" si="31"/>
        <v>0.69373741092168328</v>
      </c>
      <c r="Z73" s="71">
        <f t="shared" si="31"/>
        <v>0.45463189227994766</v>
      </c>
      <c r="AA73" s="71">
        <f t="shared" si="31"/>
        <v>0.39020835122263653</v>
      </c>
    </row>
    <row r="74" spans="1:31" ht="12.6">
      <c r="A74" s="96" t="s">
        <v>1514</v>
      </c>
      <c r="B74" s="96"/>
      <c r="C74" s="96" t="s">
        <v>1528</v>
      </c>
      <c r="D74" s="96">
        <f t="shared" ref="D74:AA74" si="32">IF(D64-D63&lt;0,(D64-D63)*-1,0)</f>
        <v>0</v>
      </c>
      <c r="E74" s="96">
        <f t="shared" si="32"/>
        <v>0</v>
      </c>
      <c r="F74" s="96">
        <f t="shared" si="32"/>
        <v>0</v>
      </c>
      <c r="G74" s="96">
        <f t="shared" si="32"/>
        <v>0</v>
      </c>
      <c r="H74" s="96">
        <f t="shared" si="32"/>
        <v>0</v>
      </c>
      <c r="I74" s="96">
        <f t="shared" si="32"/>
        <v>0</v>
      </c>
      <c r="J74" s="96">
        <f t="shared" si="32"/>
        <v>0</v>
      </c>
      <c r="K74" s="96">
        <f t="shared" si="32"/>
        <v>0</v>
      </c>
      <c r="L74" s="96">
        <f t="shared" si="32"/>
        <v>0.23046462667210221</v>
      </c>
      <c r="M74" s="96">
        <f t="shared" si="32"/>
        <v>1.0637050532197625</v>
      </c>
      <c r="N74" s="96">
        <f t="shared" si="32"/>
        <v>1.1434462768660447</v>
      </c>
      <c r="O74" s="96">
        <f t="shared" si="32"/>
        <v>1.1106362879201526</v>
      </c>
      <c r="P74" s="96">
        <f t="shared" si="32"/>
        <v>0.89849331542228983</v>
      </c>
      <c r="Q74" s="96">
        <f t="shared" si="32"/>
        <v>1.1206658335119928</v>
      </c>
      <c r="R74" s="96">
        <f t="shared" si="32"/>
        <v>1.0262177356237767</v>
      </c>
      <c r="S74" s="96">
        <f t="shared" si="32"/>
        <v>0.69777730533420812</v>
      </c>
      <c r="T74" s="96">
        <f t="shared" si="32"/>
        <v>0</v>
      </c>
      <c r="U74" s="96">
        <f t="shared" si="32"/>
        <v>0</v>
      </c>
      <c r="V74" s="96">
        <f t="shared" si="32"/>
        <v>0</v>
      </c>
      <c r="W74" s="96">
        <f t="shared" si="32"/>
        <v>0</v>
      </c>
      <c r="X74" s="96">
        <f t="shared" si="32"/>
        <v>0</v>
      </c>
      <c r="Y74" s="96">
        <f t="shared" si="32"/>
        <v>0</v>
      </c>
      <c r="Z74" s="96">
        <f t="shared" si="32"/>
        <v>0</v>
      </c>
      <c r="AA74" s="96">
        <f t="shared" si="32"/>
        <v>0</v>
      </c>
    </row>
    <row r="75" spans="1:31" ht="12.6">
      <c r="A75" s="96" t="s">
        <v>1514</v>
      </c>
      <c r="B75" s="96"/>
      <c r="C75" s="96" t="s">
        <v>1526</v>
      </c>
      <c r="D75" s="71">
        <f t="shared" ref="D75:AA75" si="33">IF(D63&gt;D64,D64,D63)</f>
        <v>0</v>
      </c>
      <c r="E75" s="71">
        <f t="shared" si="33"/>
        <v>0</v>
      </c>
      <c r="F75" s="71">
        <f t="shared" si="33"/>
        <v>0</v>
      </c>
      <c r="G75" s="71">
        <f t="shared" si="33"/>
        <v>0</v>
      </c>
      <c r="H75" s="71">
        <f t="shared" si="33"/>
        <v>0</v>
      </c>
      <c r="I75" s="71">
        <f t="shared" si="33"/>
        <v>0</v>
      </c>
      <c r="J75" s="71">
        <f t="shared" si="33"/>
        <v>2.3439401373828426E-3</v>
      </c>
      <c r="K75" s="71">
        <f t="shared" si="33"/>
        <v>0.17110763002894749</v>
      </c>
      <c r="L75" s="71">
        <f t="shared" si="33"/>
        <v>0.73758265006701185</v>
      </c>
      <c r="M75" s="71">
        <f t="shared" si="33"/>
        <v>0.64033942665756394</v>
      </c>
      <c r="N75" s="71">
        <f t="shared" si="33"/>
        <v>1.0598574522738273</v>
      </c>
      <c r="O75" s="71">
        <f t="shared" si="33"/>
        <v>1.3036220535841752</v>
      </c>
      <c r="P75" s="71">
        <f t="shared" si="33"/>
        <v>1.4759180437465296</v>
      </c>
      <c r="Q75" s="71">
        <f t="shared" si="33"/>
        <v>1.0263833323306908</v>
      </c>
      <c r="R75" s="71">
        <f t="shared" si="33"/>
        <v>0.71767372658905781</v>
      </c>
      <c r="S75" s="71">
        <f t="shared" si="33"/>
        <v>0.4296579007469391</v>
      </c>
      <c r="T75" s="71">
        <f t="shared" si="33"/>
        <v>0.45238044651488862</v>
      </c>
      <c r="U75" s="71">
        <f t="shared" si="33"/>
        <v>4.2190922472891162E-2</v>
      </c>
      <c r="V75" s="71">
        <f t="shared" si="33"/>
        <v>0</v>
      </c>
      <c r="W75" s="71">
        <f t="shared" si="33"/>
        <v>0</v>
      </c>
      <c r="X75" s="71">
        <f t="shared" si="33"/>
        <v>0</v>
      </c>
      <c r="Y75" s="71">
        <f t="shared" si="33"/>
        <v>0</v>
      </c>
      <c r="Z75" s="71">
        <f t="shared" si="33"/>
        <v>0</v>
      </c>
      <c r="AA75" s="71">
        <f t="shared" si="33"/>
        <v>0</v>
      </c>
      <c r="AC75" s="135"/>
    </row>
    <row r="80" spans="1:31" ht="12.95">
      <c r="A80" s="47"/>
      <c r="B80" s="47"/>
      <c r="C80" s="114" t="s">
        <v>1506</v>
      </c>
      <c r="D80" s="392">
        <v>0</v>
      </c>
      <c r="E80" s="392">
        <v>4.1666666666666664E-2</v>
      </c>
      <c r="F80" s="392">
        <v>8.3333333333333329E-2</v>
      </c>
      <c r="G80" s="392">
        <v>0.125</v>
      </c>
      <c r="H80" s="392">
        <v>0.16666666666666666</v>
      </c>
      <c r="I80" s="392">
        <v>0.20833333333333334</v>
      </c>
      <c r="J80" s="392">
        <v>0.25</v>
      </c>
      <c r="K80" s="392">
        <v>0.29166666666666669</v>
      </c>
      <c r="L80" s="392">
        <v>0.33333333333333331</v>
      </c>
      <c r="M80" s="392">
        <v>0.375</v>
      </c>
      <c r="N80" s="392">
        <v>0.41666666666666669</v>
      </c>
      <c r="O80" s="392">
        <v>0.45833333333333331</v>
      </c>
      <c r="P80" s="392">
        <v>0.5</v>
      </c>
      <c r="Q80" s="392">
        <v>0.54166666666666663</v>
      </c>
      <c r="R80" s="392">
        <v>0.58333333333333337</v>
      </c>
      <c r="S80" s="392">
        <v>0.625</v>
      </c>
      <c r="T80" s="392">
        <v>0.66666666666666663</v>
      </c>
      <c r="U80" s="392">
        <v>0.70833333333333337</v>
      </c>
      <c r="V80" s="392">
        <v>0.75</v>
      </c>
      <c r="W80" s="392">
        <v>0.79166666666666663</v>
      </c>
      <c r="X80" s="392">
        <v>0.83333333333333337</v>
      </c>
      <c r="Y80" s="392">
        <v>0.875</v>
      </c>
      <c r="Z80" s="392">
        <v>0.91666666666666663</v>
      </c>
      <c r="AA80" s="392">
        <v>0.95833333333333337</v>
      </c>
      <c r="AB80" s="47"/>
      <c r="AC80" s="47"/>
      <c r="AD80" s="47"/>
      <c r="AE80" s="47"/>
    </row>
    <row r="81" spans="1:31" ht="12.6">
      <c r="A81" s="244" t="s">
        <v>1512</v>
      </c>
      <c r="B81" s="244"/>
      <c r="C81" s="244" t="s">
        <v>1529</v>
      </c>
      <c r="D81" s="244">
        <f t="shared" ref="D81:AA81" si="34">D20</f>
        <v>0</v>
      </c>
      <c r="E81" s="244">
        <f t="shared" si="34"/>
        <v>0</v>
      </c>
      <c r="F81" s="244">
        <f t="shared" si="34"/>
        <v>0</v>
      </c>
      <c r="G81" s="244">
        <f t="shared" si="34"/>
        <v>0</v>
      </c>
      <c r="H81" s="244">
        <f t="shared" si="34"/>
        <v>2.3439401373828426E-3</v>
      </c>
      <c r="I81" s="244">
        <f t="shared" si="34"/>
        <v>7.7350024533633793E-2</v>
      </c>
      <c r="J81" s="244">
        <f t="shared" si="34"/>
        <v>0.56488957310926502</v>
      </c>
      <c r="K81" s="244">
        <f t="shared" si="34"/>
        <v>1.3899565014680255</v>
      </c>
      <c r="L81" s="244">
        <f t="shared" si="34"/>
        <v>2.2619022325744429</v>
      </c>
      <c r="M81" s="244">
        <f t="shared" si="34"/>
        <v>3.0260267173612494</v>
      </c>
      <c r="N81" s="244">
        <f t="shared" si="34"/>
        <v>3.6166996319817257</v>
      </c>
      <c r="O81" s="244">
        <f t="shared" si="34"/>
        <v>3.9636027723143865</v>
      </c>
      <c r="P81" s="244">
        <f t="shared" si="34"/>
        <v>4.019857335611575</v>
      </c>
      <c r="Q81" s="244">
        <f t="shared" si="34"/>
        <v>3.7737436211863766</v>
      </c>
      <c r="R81" s="244">
        <f t="shared" si="34"/>
        <v>3.2580767909621513</v>
      </c>
      <c r="S81" s="244">
        <f t="shared" si="34"/>
        <v>2.5220795878239386</v>
      </c>
      <c r="T81" s="244">
        <f t="shared" si="34"/>
        <v>1.64075809616799</v>
      </c>
      <c r="U81" s="244">
        <f t="shared" si="34"/>
        <v>0.77818812561110373</v>
      </c>
      <c r="V81" s="244">
        <f t="shared" si="34"/>
        <v>0.27892887634855829</v>
      </c>
      <c r="W81" s="244">
        <f t="shared" si="34"/>
        <v>5.3910623159805375E-2</v>
      </c>
      <c r="X81" s="244">
        <f t="shared" si="34"/>
        <v>2.3439401373828426E-3</v>
      </c>
      <c r="Y81" s="244">
        <f t="shared" si="34"/>
        <v>0</v>
      </c>
      <c r="Z81" s="244">
        <f t="shared" si="34"/>
        <v>0</v>
      </c>
      <c r="AA81" s="244">
        <f t="shared" si="34"/>
        <v>0</v>
      </c>
      <c r="AB81" s="230"/>
      <c r="AC81" s="230"/>
    </row>
    <row r="82" spans="1:31" ht="12.95">
      <c r="A82" s="37" t="s">
        <v>1512</v>
      </c>
      <c r="B82" s="37"/>
      <c r="C82" s="37" t="s">
        <v>1530</v>
      </c>
      <c r="D82" s="111">
        <f t="shared" ref="D82:AA82" si="35">SUM(D83:D88)</f>
        <v>0.21629968681164732</v>
      </c>
      <c r="E82" s="111">
        <f t="shared" si="35"/>
        <v>0.21702638114374156</v>
      </c>
      <c r="F82" s="111">
        <f t="shared" si="35"/>
        <v>0.21899215139334893</v>
      </c>
      <c r="G82" s="111">
        <f t="shared" si="35"/>
        <v>0.22589333377371246</v>
      </c>
      <c r="H82" s="111">
        <f t="shared" si="35"/>
        <v>0.23944260548921459</v>
      </c>
      <c r="I82" s="111">
        <f t="shared" si="35"/>
        <v>0.27025134854367455</v>
      </c>
      <c r="J82" s="111">
        <f t="shared" si="35"/>
        <v>0.27665562623920514</v>
      </c>
      <c r="K82" s="111">
        <f t="shared" si="35"/>
        <v>0.25871414839698259</v>
      </c>
      <c r="L82" s="111">
        <f t="shared" si="35"/>
        <v>0.34635140083735955</v>
      </c>
      <c r="M82" s="111">
        <f t="shared" si="35"/>
        <v>0.42745859134314346</v>
      </c>
      <c r="N82" s="111">
        <f t="shared" si="35"/>
        <v>0.84016747710320439</v>
      </c>
      <c r="O82" s="111">
        <f t="shared" si="35"/>
        <v>0.95442311399384727</v>
      </c>
      <c r="P82" s="111">
        <f t="shared" si="35"/>
        <v>1.0726918962530845</v>
      </c>
      <c r="Q82" s="111">
        <f t="shared" si="35"/>
        <v>0.81395925605363018</v>
      </c>
      <c r="R82" s="111">
        <f t="shared" si="35"/>
        <v>0.70309624891952549</v>
      </c>
      <c r="S82" s="111">
        <f t="shared" si="35"/>
        <v>0.49782595801603347</v>
      </c>
      <c r="T82" s="111">
        <f t="shared" si="35"/>
        <v>0.68198123338991778</v>
      </c>
      <c r="U82" s="111">
        <f t="shared" si="35"/>
        <v>0.55888667327591246</v>
      </c>
      <c r="V82" s="111">
        <f t="shared" si="35"/>
        <v>0.49590795426277279</v>
      </c>
      <c r="W82" s="111">
        <f t="shared" si="35"/>
        <v>0.37957335563133904</v>
      </c>
      <c r="X82" s="111">
        <f t="shared" si="35"/>
        <v>0.32915467529085435</v>
      </c>
      <c r="Y82" s="111">
        <f t="shared" si="35"/>
        <v>0.27407406727003103</v>
      </c>
      <c r="Z82" s="111">
        <f t="shared" si="35"/>
        <v>0.23048283295574085</v>
      </c>
      <c r="AA82" s="111">
        <f t="shared" si="35"/>
        <v>0.27925577921466405</v>
      </c>
      <c r="AC82" s="394" t="s">
        <v>1531</v>
      </c>
      <c r="AD82" s="394" t="s">
        <v>1219</v>
      </c>
      <c r="AE82" s="394" t="s">
        <v>1522</v>
      </c>
    </row>
    <row r="83" spans="1:31" ht="12.6">
      <c r="A83" s="37" t="s">
        <v>1512</v>
      </c>
      <c r="B83" s="37"/>
      <c r="C83" s="37" t="s">
        <v>56</v>
      </c>
      <c r="D83" s="111">
        <f t="shared" ref="D83:AA83" si="36">(D22/D40)*D101</f>
        <v>2.0727813281626969E-2</v>
      </c>
      <c r="E83" s="111">
        <f t="shared" si="36"/>
        <v>2.0954054501734834E-2</v>
      </c>
      <c r="F83" s="111">
        <f t="shared" si="36"/>
        <v>2.1513073611139685E-2</v>
      </c>
      <c r="G83" s="111">
        <f t="shared" si="36"/>
        <v>2.3212634768877329E-2</v>
      </c>
      <c r="H83" s="111">
        <f t="shared" si="36"/>
        <v>2.4114608109670078E-2</v>
      </c>
      <c r="I83" s="111">
        <f t="shared" si="36"/>
        <v>2.5727731820960512E-2</v>
      </c>
      <c r="J83" s="111">
        <f t="shared" si="36"/>
        <v>2.0608972623718896E-2</v>
      </c>
      <c r="K83" s="111">
        <f t="shared" si="36"/>
        <v>1.5246348317417084E-2</v>
      </c>
      <c r="L83" s="111">
        <f t="shared" si="36"/>
        <v>1.5859961419358377E-2</v>
      </c>
      <c r="M83" s="111">
        <f t="shared" si="36"/>
        <v>1.7885125021444764E-2</v>
      </c>
      <c r="N83" s="111">
        <f t="shared" si="36"/>
        <v>1.9124410198147573E-2</v>
      </c>
      <c r="O83" s="111">
        <f t="shared" si="36"/>
        <v>3.0265819870593066E-2</v>
      </c>
      <c r="P83" s="111">
        <f t="shared" si="36"/>
        <v>4.1144597370558089E-2</v>
      </c>
      <c r="Q83" s="111">
        <f t="shared" si="36"/>
        <v>6.6765134145753705E-2</v>
      </c>
      <c r="R83" s="111">
        <f t="shared" si="36"/>
        <v>0.11259866583812828</v>
      </c>
      <c r="S83" s="111">
        <f t="shared" si="36"/>
        <v>0.13531004889481524</v>
      </c>
      <c r="T83" s="111">
        <f t="shared" si="36"/>
        <v>0.14545647807799938</v>
      </c>
      <c r="U83" s="111">
        <f t="shared" si="36"/>
        <v>0.13124230438748333</v>
      </c>
      <c r="V83" s="111">
        <f t="shared" si="36"/>
        <v>0.1187650341748014</v>
      </c>
      <c r="W83" s="111">
        <f t="shared" si="36"/>
        <v>8.4485942148097029E-2</v>
      </c>
      <c r="X83" s="111">
        <f t="shared" si="36"/>
        <v>6.5596803950262614E-2</v>
      </c>
      <c r="Y83" s="111">
        <f t="shared" si="36"/>
        <v>4.4770198563190727E-2</v>
      </c>
      <c r="Z83" s="111">
        <f t="shared" si="36"/>
        <v>2.7132000742407195E-2</v>
      </c>
      <c r="AA83" s="111">
        <f t="shared" si="36"/>
        <v>2.4761373864540394E-2</v>
      </c>
      <c r="AC83" s="37" t="s">
        <v>1523</v>
      </c>
      <c r="AD83" s="72">
        <f>SUM(D82:AA82)</f>
        <v>10.808565795602588</v>
      </c>
      <c r="AE83" s="166">
        <f t="shared" ref="AE83:AE86" si="37">AD83/$AD$83</f>
        <v>1</v>
      </c>
    </row>
    <row r="84" spans="1:31" ht="12.6">
      <c r="A84" s="37" t="s">
        <v>1512</v>
      </c>
      <c r="B84" s="37"/>
      <c r="C84" s="37" t="s">
        <v>58</v>
      </c>
      <c r="D84" s="111">
        <f t="shared" ref="D84:AA84" si="38">(D23/D41)*D102</f>
        <v>8.8266733156479593E-3</v>
      </c>
      <c r="E84" s="111">
        <f t="shared" si="38"/>
        <v>8.2975019598943468E-3</v>
      </c>
      <c r="F84" s="111">
        <f t="shared" si="38"/>
        <v>9.3500671205896738E-3</v>
      </c>
      <c r="G84" s="111">
        <f t="shared" si="38"/>
        <v>1.3144750063099973E-2</v>
      </c>
      <c r="H84" s="111">
        <f t="shared" si="38"/>
        <v>1.0748565271136835E-2</v>
      </c>
      <c r="I84" s="111">
        <f t="shared" si="38"/>
        <v>1.0083370872350776E-2</v>
      </c>
      <c r="J84" s="111">
        <f t="shared" si="38"/>
        <v>1.0222900788601901E-2</v>
      </c>
      <c r="K84" s="111">
        <f t="shared" si="38"/>
        <v>7.2393996870118273E-3</v>
      </c>
      <c r="L84" s="111">
        <f t="shared" si="38"/>
        <v>3.5969987636490244E-2</v>
      </c>
      <c r="M84" s="111">
        <f t="shared" si="38"/>
        <v>0.10916517571039346</v>
      </c>
      <c r="N84" s="111">
        <f t="shared" si="38"/>
        <v>0.32542305065105243</v>
      </c>
      <c r="O84" s="111">
        <f t="shared" si="38"/>
        <v>0.35626225198875205</v>
      </c>
      <c r="P84" s="111">
        <f t="shared" si="38"/>
        <v>0.37200810320614019</v>
      </c>
      <c r="Q84" s="111">
        <f t="shared" si="38"/>
        <v>0.20987144615064771</v>
      </c>
      <c r="R84" s="111">
        <f t="shared" si="38"/>
        <v>9.5218869164724732E-2</v>
      </c>
      <c r="S84" s="111">
        <f t="shared" si="38"/>
        <v>9.1457478856965223E-3</v>
      </c>
      <c r="T84" s="111">
        <f t="shared" si="38"/>
        <v>8.7956949534293231E-3</v>
      </c>
      <c r="U84" s="111">
        <f t="shared" si="38"/>
        <v>8.5097602478774754E-3</v>
      </c>
      <c r="V84" s="111">
        <f t="shared" si="38"/>
        <v>7.7404657879978573E-3</v>
      </c>
      <c r="W84" s="111">
        <f t="shared" si="38"/>
        <v>7.7844807340328804E-3</v>
      </c>
      <c r="X84" s="111">
        <f t="shared" si="38"/>
        <v>7.847217149753059E-3</v>
      </c>
      <c r="Y84" s="111">
        <f t="shared" si="38"/>
        <v>7.7316678172993838E-3</v>
      </c>
      <c r="Z84" s="111">
        <f t="shared" si="38"/>
        <v>7.7482938984632212E-3</v>
      </c>
      <c r="AA84" s="111">
        <f t="shared" si="38"/>
        <v>7.6294249937064402E-3</v>
      </c>
      <c r="AC84" s="37" t="s">
        <v>1524</v>
      </c>
      <c r="AD84" s="72">
        <f>SUM(D81:AA81)</f>
        <v>31.230658390488991</v>
      </c>
      <c r="AE84" s="166">
        <f t="shared" si="37"/>
        <v>2.8894359326743451</v>
      </c>
    </row>
    <row r="85" spans="1:31" ht="12.6">
      <c r="A85" s="37" t="s">
        <v>1512</v>
      </c>
      <c r="B85" s="37"/>
      <c r="C85" s="37" t="s">
        <v>186</v>
      </c>
      <c r="D85" s="111">
        <f t="shared" ref="D85:AA85" si="39">(D24/D42)*D103</f>
        <v>3.2346734296138106E-3</v>
      </c>
      <c r="E85" s="111">
        <f t="shared" si="39"/>
        <v>3.6204957690692203E-3</v>
      </c>
      <c r="F85" s="111">
        <f t="shared" si="39"/>
        <v>3.3768641758544862E-3</v>
      </c>
      <c r="G85" s="111">
        <f t="shared" si="39"/>
        <v>3.4657293345327122E-3</v>
      </c>
      <c r="H85" s="111">
        <f t="shared" si="39"/>
        <v>4.370687221229335E-3</v>
      </c>
      <c r="I85" s="111">
        <f t="shared" si="39"/>
        <v>1.2922491365655951E-2</v>
      </c>
      <c r="J85" s="111">
        <f t="shared" si="39"/>
        <v>3.1797886895541062E-2</v>
      </c>
      <c r="K85" s="111">
        <f t="shared" si="39"/>
        <v>3.2587467475930568E-2</v>
      </c>
      <c r="L85" s="111">
        <f t="shared" si="39"/>
        <v>3.7319965646045387E-2</v>
      </c>
      <c r="M85" s="111">
        <f t="shared" si="39"/>
        <v>4.0583656121142536E-2</v>
      </c>
      <c r="N85" s="111">
        <f t="shared" si="39"/>
        <v>6.044482959289102E-2</v>
      </c>
      <c r="O85" s="111">
        <f t="shared" si="39"/>
        <v>7.7446711236101085E-2</v>
      </c>
      <c r="P85" s="111">
        <f t="shared" si="39"/>
        <v>5.1160154140498321E-2</v>
      </c>
      <c r="Q85" s="111">
        <f t="shared" si="39"/>
        <v>4.7887442646713393E-2</v>
      </c>
      <c r="R85" s="111">
        <f t="shared" si="39"/>
        <v>5.942623113932826E-2</v>
      </c>
      <c r="S85" s="111">
        <f t="shared" si="39"/>
        <v>0.15334074124944372</v>
      </c>
      <c r="T85" s="111">
        <f t="shared" si="39"/>
        <v>0.32500714636523692</v>
      </c>
      <c r="U85" s="111">
        <f t="shared" si="39"/>
        <v>0.21297560014326136</v>
      </c>
      <c r="V85" s="111">
        <f t="shared" si="39"/>
        <v>0.15831717678616603</v>
      </c>
      <c r="W85" s="111">
        <f t="shared" si="39"/>
        <v>6.7517384117187065E-2</v>
      </c>
      <c r="X85" s="111">
        <f t="shared" si="39"/>
        <v>3.0694919749643609E-2</v>
      </c>
      <c r="Y85" s="111">
        <f t="shared" si="39"/>
        <v>1.0342553545731924E-2</v>
      </c>
      <c r="Z85" s="111">
        <f t="shared" si="39"/>
        <v>7.4567505573665928E-3</v>
      </c>
      <c r="AA85" s="111">
        <f t="shared" si="39"/>
        <v>5.6853203216081071E-3</v>
      </c>
      <c r="AC85" s="37" t="s">
        <v>1525</v>
      </c>
      <c r="AD85" s="72">
        <f t="shared" ref="AD85:AD86" si="40">SUM(D92:AA92)</f>
        <v>23.383569362350382</v>
      </c>
      <c r="AE85" s="166">
        <f t="shared" si="37"/>
        <v>2.1634294322253069</v>
      </c>
    </row>
    <row r="86" spans="1:31" ht="12.95">
      <c r="A86" s="37" t="s">
        <v>1512</v>
      </c>
      <c r="B86" s="37"/>
      <c r="C86" s="37" t="s">
        <v>865</v>
      </c>
      <c r="D86" s="111">
        <f t="shared" ref="D86:AA86" si="41">(D25/D43)*D104</f>
        <v>7.9232941895592046E-2</v>
      </c>
      <c r="E86" s="111">
        <f t="shared" si="41"/>
        <v>8.0317620632360379E-2</v>
      </c>
      <c r="F86" s="111">
        <f t="shared" si="41"/>
        <v>8.0801647464792764E-2</v>
      </c>
      <c r="G86" s="111">
        <f t="shared" si="41"/>
        <v>8.0707732639356364E-2</v>
      </c>
      <c r="H86" s="111">
        <f t="shared" si="41"/>
        <v>8.0961633567599403E-2</v>
      </c>
      <c r="I86" s="111">
        <f t="shared" si="41"/>
        <v>8.080887147490752E-2</v>
      </c>
      <c r="J86" s="111">
        <f t="shared" si="41"/>
        <v>8.0720828550346152E-2</v>
      </c>
      <c r="K86" s="111">
        <f t="shared" si="41"/>
        <v>7.9425127967950843E-2</v>
      </c>
      <c r="L86" s="111">
        <f t="shared" si="41"/>
        <v>0.10469990432025006</v>
      </c>
      <c r="M86" s="111">
        <f t="shared" si="41"/>
        <v>0.10542058391001313</v>
      </c>
      <c r="N86" s="111">
        <f t="shared" si="41"/>
        <v>0.18467218443040537</v>
      </c>
      <c r="O86" s="111">
        <f t="shared" si="41"/>
        <v>0.20976606168914583</v>
      </c>
      <c r="P86" s="111">
        <f t="shared" si="41"/>
        <v>0.26320753224530535</v>
      </c>
      <c r="Q86" s="111">
        <f t="shared" si="41"/>
        <v>0.20892535816837524</v>
      </c>
      <c r="R86" s="111">
        <f t="shared" si="41"/>
        <v>0.18245430400639087</v>
      </c>
      <c r="S86" s="111">
        <f t="shared" si="41"/>
        <v>7.8505310537018674E-2</v>
      </c>
      <c r="T86" s="111">
        <f t="shared" si="41"/>
        <v>7.7792441028965528E-2</v>
      </c>
      <c r="U86" s="111">
        <f t="shared" si="41"/>
        <v>7.7452275753636113E-2</v>
      </c>
      <c r="V86" s="111">
        <f t="shared" si="41"/>
        <v>7.7770641507612329E-2</v>
      </c>
      <c r="W86" s="111">
        <f t="shared" si="41"/>
        <v>7.8197725187011069E-2</v>
      </c>
      <c r="X86" s="111">
        <f t="shared" si="41"/>
        <v>7.7502294246123538E-2</v>
      </c>
      <c r="Y86" s="111">
        <f t="shared" si="41"/>
        <v>7.7791416602663158E-2</v>
      </c>
      <c r="Z86" s="111">
        <f t="shared" si="41"/>
        <v>7.782311637699274E-2</v>
      </c>
      <c r="AA86" s="111">
        <f t="shared" si="41"/>
        <v>0.10431336147785185</v>
      </c>
      <c r="AC86" s="37" t="s">
        <v>1526</v>
      </c>
      <c r="AD86" s="72">
        <f t="shared" si="40"/>
        <v>7.8470890281386092</v>
      </c>
      <c r="AE86" s="393">
        <f t="shared" si="37"/>
        <v>0.72600650044903825</v>
      </c>
    </row>
    <row r="87" spans="1:31" ht="12.6">
      <c r="A87" s="37" t="s">
        <v>1512</v>
      </c>
      <c r="B87" s="37"/>
      <c r="C87" s="37" t="s">
        <v>61</v>
      </c>
      <c r="D87" s="111">
        <f t="shared" ref="D87:AA87" si="42">(D26/D44)*D105</f>
        <v>6.6537806417551089E-3</v>
      </c>
      <c r="E87" s="111">
        <f t="shared" si="42"/>
        <v>6.0457954464818121E-3</v>
      </c>
      <c r="F87" s="111">
        <f t="shared" si="42"/>
        <v>6.543193831193758E-3</v>
      </c>
      <c r="G87" s="111">
        <f t="shared" si="42"/>
        <v>8.2192332108840492E-3</v>
      </c>
      <c r="H87" s="111">
        <f t="shared" si="42"/>
        <v>2.1959058264598819E-2</v>
      </c>
      <c r="I87" s="111">
        <f t="shared" si="42"/>
        <v>4.4783116165073938E-2</v>
      </c>
      <c r="J87" s="111">
        <f t="shared" si="42"/>
        <v>3.5964045387145177E-2</v>
      </c>
      <c r="K87" s="111">
        <f t="shared" si="42"/>
        <v>2.6695161345964735E-2</v>
      </c>
      <c r="L87" s="111">
        <f t="shared" si="42"/>
        <v>2.409546553232739E-2</v>
      </c>
      <c r="M87" s="111">
        <f t="shared" si="42"/>
        <v>2.3328945527926102E-2</v>
      </c>
      <c r="N87" s="111">
        <f t="shared" si="42"/>
        <v>2.3387879043310668E-2</v>
      </c>
      <c r="O87" s="111">
        <f t="shared" si="42"/>
        <v>2.151986946103469E-2</v>
      </c>
      <c r="P87" s="111">
        <f t="shared" si="42"/>
        <v>2.016999727002812E-2</v>
      </c>
      <c r="Q87" s="111">
        <f t="shared" si="42"/>
        <v>1.7017251068836264E-2</v>
      </c>
      <c r="R87" s="111">
        <f t="shared" si="42"/>
        <v>1.9604880456455916E-2</v>
      </c>
      <c r="S87" s="111">
        <f t="shared" si="42"/>
        <v>2.0558608273123898E-2</v>
      </c>
      <c r="T87" s="111">
        <f t="shared" si="42"/>
        <v>2.3251656203111801E-2</v>
      </c>
      <c r="U87" s="111">
        <f t="shared" si="42"/>
        <v>2.8998411795753569E-2</v>
      </c>
      <c r="V87" s="111">
        <f t="shared" si="42"/>
        <v>3.6582094834889597E-2</v>
      </c>
      <c r="W87" s="111">
        <f t="shared" si="42"/>
        <v>4.6266296275862581E-2</v>
      </c>
      <c r="X87" s="111">
        <f t="shared" si="42"/>
        <v>5.2513581617169028E-2</v>
      </c>
      <c r="Y87" s="111">
        <f t="shared" si="42"/>
        <v>3.9061612159224164E-2</v>
      </c>
      <c r="Z87" s="111">
        <f t="shared" si="42"/>
        <v>1.6241853151030973E-2</v>
      </c>
      <c r="AA87" s="111">
        <f t="shared" si="42"/>
        <v>8.2632109981993895E-3</v>
      </c>
    </row>
    <row r="88" spans="1:31" ht="12.6">
      <c r="A88" s="37" t="s">
        <v>1512</v>
      </c>
      <c r="B88" s="37"/>
      <c r="C88" s="37" t="s">
        <v>63</v>
      </c>
      <c r="D88" s="111">
        <f t="shared" ref="D88:AA88" si="43">(D27/D45)*D106</f>
        <v>9.7623804247411433E-2</v>
      </c>
      <c r="E88" s="111">
        <f t="shared" si="43"/>
        <v>9.7790912834200952E-2</v>
      </c>
      <c r="F88" s="111">
        <f t="shared" si="43"/>
        <v>9.7407305189778581E-2</v>
      </c>
      <c r="G88" s="111">
        <f t="shared" si="43"/>
        <v>9.714325375696202E-2</v>
      </c>
      <c r="H88" s="111">
        <f t="shared" si="43"/>
        <v>9.7288053054980131E-2</v>
      </c>
      <c r="I88" s="111">
        <f t="shared" si="43"/>
        <v>9.5925766844725827E-2</v>
      </c>
      <c r="J88" s="111">
        <f t="shared" si="43"/>
        <v>9.7340991993851975E-2</v>
      </c>
      <c r="K88" s="111">
        <f t="shared" si="43"/>
        <v>9.7520643602707568E-2</v>
      </c>
      <c r="L88" s="111">
        <f t="shared" si="43"/>
        <v>0.12840611628288809</v>
      </c>
      <c r="M88" s="111">
        <f t="shared" si="43"/>
        <v>0.13107510505222356</v>
      </c>
      <c r="N88" s="111">
        <f t="shared" si="43"/>
        <v>0.22711512318739738</v>
      </c>
      <c r="O88" s="111">
        <f t="shared" si="43"/>
        <v>0.25916239974822047</v>
      </c>
      <c r="P88" s="111">
        <f t="shared" si="43"/>
        <v>0.32500151202055427</v>
      </c>
      <c r="Q88" s="111">
        <f t="shared" si="43"/>
        <v>0.2634926238733038</v>
      </c>
      <c r="R88" s="111">
        <f t="shared" si="43"/>
        <v>0.23379329831449749</v>
      </c>
      <c r="S88" s="111">
        <f t="shared" si="43"/>
        <v>0.10096550117593543</v>
      </c>
      <c r="T88" s="111">
        <f t="shared" si="43"/>
        <v>0.10167781676117477</v>
      </c>
      <c r="U88" s="111">
        <f t="shared" si="43"/>
        <v>9.9708320947900608E-2</v>
      </c>
      <c r="V88" s="111">
        <f t="shared" si="43"/>
        <v>9.6732541171305614E-2</v>
      </c>
      <c r="W88" s="111">
        <f t="shared" si="43"/>
        <v>9.5321527169148365E-2</v>
      </c>
      <c r="X88" s="111">
        <f t="shared" si="43"/>
        <v>9.4999858577902496E-2</v>
      </c>
      <c r="Y88" s="111">
        <f t="shared" si="43"/>
        <v>9.4376618581921701E-2</v>
      </c>
      <c r="Z88" s="111">
        <f t="shared" si="43"/>
        <v>9.4080818229480126E-2</v>
      </c>
      <c r="AA88" s="111">
        <f t="shared" si="43"/>
        <v>0.12860308755875785</v>
      </c>
    </row>
    <row r="89" spans="1:31" ht="12.6">
      <c r="A89" s="37" t="s">
        <v>1512</v>
      </c>
      <c r="B89" s="37"/>
      <c r="C89" s="37" t="s">
        <v>914</v>
      </c>
      <c r="D89" s="111">
        <f t="shared" ref="D89:AA89" ca="1" si="44">(D28/D46)*D107</f>
        <v>0</v>
      </c>
      <c r="E89" s="111">
        <f t="shared" ca="1" si="44"/>
        <v>0</v>
      </c>
      <c r="F89" s="111">
        <f t="shared" ca="1" si="44"/>
        <v>0</v>
      </c>
      <c r="G89" s="111">
        <f t="shared" ca="1" si="44"/>
        <v>0</v>
      </c>
      <c r="H89" s="111">
        <f t="shared" ca="1" si="44"/>
        <v>0</v>
      </c>
      <c r="I89" s="111">
        <f t="shared" ca="1" si="44"/>
        <v>0</v>
      </c>
      <c r="J89" s="111">
        <f t="shared" ca="1" si="44"/>
        <v>0</v>
      </c>
      <c r="K89" s="111">
        <f t="shared" ca="1" si="44"/>
        <v>0</v>
      </c>
      <c r="L89" s="111">
        <f t="shared" ca="1" si="44"/>
        <v>0</v>
      </c>
      <c r="M89" s="111">
        <f t="shared" ca="1" si="44"/>
        <v>0.72238525518105379</v>
      </c>
      <c r="N89" s="111">
        <f t="shared" ca="1" si="44"/>
        <v>1.155816408289686</v>
      </c>
      <c r="O89" s="111">
        <f t="shared" ca="1" si="44"/>
        <v>2.311632816579372</v>
      </c>
      <c r="P89" s="111">
        <f t="shared" ca="1" si="44"/>
        <v>2.7450639696880041</v>
      </c>
      <c r="Q89" s="111">
        <f t="shared" ca="1" si="44"/>
        <v>3.0340180717604257</v>
      </c>
      <c r="R89" s="111">
        <f t="shared" ca="1" si="44"/>
        <v>3.0340180717604257</v>
      </c>
      <c r="S89" s="111">
        <f t="shared" ca="1" si="44"/>
        <v>1.155816408289686</v>
      </c>
      <c r="T89" s="111">
        <f t="shared" ca="1" si="44"/>
        <v>0.14447705103621075</v>
      </c>
      <c r="U89" s="111">
        <f t="shared" ca="1" si="44"/>
        <v>0.14447705103621075</v>
      </c>
      <c r="V89" s="111">
        <f t="shared" ca="1" si="44"/>
        <v>0</v>
      </c>
      <c r="W89" s="111">
        <f t="shared" ca="1" si="44"/>
        <v>0</v>
      </c>
      <c r="X89" s="111">
        <f t="shared" ca="1" si="44"/>
        <v>0</v>
      </c>
      <c r="Y89" s="111">
        <f t="shared" ca="1" si="44"/>
        <v>0</v>
      </c>
      <c r="Z89" s="111">
        <f t="shared" ca="1" si="44"/>
        <v>0</v>
      </c>
      <c r="AA89" s="111">
        <f t="shared" ca="1" si="44"/>
        <v>0</v>
      </c>
    </row>
    <row r="90" spans="1:31" ht="12.6">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row>
    <row r="91" spans="1:31" ht="12.6">
      <c r="A91" s="37" t="s">
        <v>1512</v>
      </c>
      <c r="B91" s="37"/>
      <c r="C91" s="37" t="s">
        <v>1527</v>
      </c>
      <c r="D91" s="111">
        <f t="shared" ref="D91:AA91" si="45">IF(D82-D81&gt;0,D82-D81,0)</f>
        <v>0.21629968681164732</v>
      </c>
      <c r="E91" s="111">
        <f t="shared" si="45"/>
        <v>0.21702638114374156</v>
      </c>
      <c r="F91" s="111">
        <f t="shared" si="45"/>
        <v>0.21899215139334893</v>
      </c>
      <c r="G91" s="111">
        <f t="shared" si="45"/>
        <v>0.22589333377371246</v>
      </c>
      <c r="H91" s="111">
        <f t="shared" si="45"/>
        <v>0.23709866535183174</v>
      </c>
      <c r="I91" s="111">
        <f t="shared" si="45"/>
        <v>0.19290132401004076</v>
      </c>
      <c r="J91" s="37">
        <f t="shared" si="45"/>
        <v>0</v>
      </c>
      <c r="K91" s="37">
        <f t="shared" si="45"/>
        <v>0</v>
      </c>
      <c r="L91" s="37">
        <f t="shared" si="45"/>
        <v>0</v>
      </c>
      <c r="M91" s="37">
        <f t="shared" si="45"/>
        <v>0</v>
      </c>
      <c r="N91" s="37">
        <f t="shared" si="45"/>
        <v>0</v>
      </c>
      <c r="O91" s="37">
        <f t="shared" si="45"/>
        <v>0</v>
      </c>
      <c r="P91" s="37">
        <f t="shared" si="45"/>
        <v>0</v>
      </c>
      <c r="Q91" s="37">
        <f t="shared" si="45"/>
        <v>0</v>
      </c>
      <c r="R91" s="37">
        <f t="shared" si="45"/>
        <v>0</v>
      </c>
      <c r="S91" s="37">
        <f t="shared" si="45"/>
        <v>0</v>
      </c>
      <c r="T91" s="37">
        <f t="shared" si="45"/>
        <v>0</v>
      </c>
      <c r="U91" s="37">
        <f t="shared" si="45"/>
        <v>0</v>
      </c>
      <c r="V91" s="111">
        <f t="shared" si="45"/>
        <v>0.2169790779142145</v>
      </c>
      <c r="W91" s="111">
        <f t="shared" si="45"/>
        <v>0.32566273247153366</v>
      </c>
      <c r="X91" s="111">
        <f t="shared" si="45"/>
        <v>0.32681073515347153</v>
      </c>
      <c r="Y91" s="111">
        <f t="shared" si="45"/>
        <v>0.27407406727003103</v>
      </c>
      <c r="Z91" s="111">
        <f t="shared" si="45"/>
        <v>0.23048283295574085</v>
      </c>
      <c r="AA91" s="111">
        <f t="shared" si="45"/>
        <v>0.27925577921466405</v>
      </c>
    </row>
    <row r="92" spans="1:31" ht="12.6">
      <c r="A92" s="37" t="s">
        <v>1512</v>
      </c>
      <c r="B92" s="37"/>
      <c r="C92" s="37" t="s">
        <v>1528</v>
      </c>
      <c r="D92" s="37">
        <f t="shared" ref="D92:AA92" si="46">IF(D82-D81&lt;0,(D82-D81)*-1,0)</f>
        <v>0</v>
      </c>
      <c r="E92" s="37">
        <f t="shared" si="46"/>
        <v>0</v>
      </c>
      <c r="F92" s="37">
        <f t="shared" si="46"/>
        <v>0</v>
      </c>
      <c r="G92" s="37">
        <f t="shared" si="46"/>
        <v>0</v>
      </c>
      <c r="H92" s="37">
        <f t="shared" si="46"/>
        <v>0</v>
      </c>
      <c r="I92" s="37">
        <f t="shared" si="46"/>
        <v>0</v>
      </c>
      <c r="J92" s="37">
        <f t="shared" si="46"/>
        <v>0.28823394687005988</v>
      </c>
      <c r="K92" s="37">
        <f t="shared" si="46"/>
        <v>1.1312423530710429</v>
      </c>
      <c r="L92" s="37">
        <f t="shared" si="46"/>
        <v>1.9155508317370833</v>
      </c>
      <c r="M92" s="37">
        <f t="shared" si="46"/>
        <v>2.5985681260181059</v>
      </c>
      <c r="N92" s="37">
        <f t="shared" si="46"/>
        <v>2.7765321548785211</v>
      </c>
      <c r="O92" s="37">
        <f t="shared" si="46"/>
        <v>3.009179658320539</v>
      </c>
      <c r="P92" s="37">
        <f t="shared" si="46"/>
        <v>2.9471654393584905</v>
      </c>
      <c r="Q92" s="37">
        <f t="shared" si="46"/>
        <v>2.9597843651327462</v>
      </c>
      <c r="R92" s="37">
        <f t="shared" si="46"/>
        <v>2.5549805420426259</v>
      </c>
      <c r="S92" s="37">
        <f t="shared" si="46"/>
        <v>2.0242536298079052</v>
      </c>
      <c r="T92" s="37">
        <f t="shared" si="46"/>
        <v>0.95877686277807217</v>
      </c>
      <c r="U92" s="37">
        <f t="shared" si="46"/>
        <v>0.21930145233519127</v>
      </c>
      <c r="V92" s="37">
        <f t="shared" si="46"/>
        <v>0</v>
      </c>
      <c r="W92" s="37">
        <f t="shared" si="46"/>
        <v>0</v>
      </c>
      <c r="X92" s="37">
        <f t="shared" si="46"/>
        <v>0</v>
      </c>
      <c r="Y92" s="37">
        <f t="shared" si="46"/>
        <v>0</v>
      </c>
      <c r="Z92" s="37">
        <f t="shared" si="46"/>
        <v>0</v>
      </c>
      <c r="AA92" s="37">
        <f t="shared" si="46"/>
        <v>0</v>
      </c>
    </row>
    <row r="93" spans="1:31" ht="12.6">
      <c r="A93" s="37" t="s">
        <v>1512</v>
      </c>
      <c r="B93" s="37"/>
      <c r="C93" s="37" t="s">
        <v>1526</v>
      </c>
      <c r="D93" s="244">
        <f t="shared" ref="D93:AA93" si="47">IF(D81&gt;D82,D82,D81)</f>
        <v>0</v>
      </c>
      <c r="E93" s="244">
        <f t="shared" si="47"/>
        <v>0</v>
      </c>
      <c r="F93" s="244">
        <f t="shared" si="47"/>
        <v>0</v>
      </c>
      <c r="G93" s="244">
        <f t="shared" si="47"/>
        <v>0</v>
      </c>
      <c r="H93" s="244">
        <f t="shared" si="47"/>
        <v>2.3439401373828426E-3</v>
      </c>
      <c r="I93" s="244">
        <f t="shared" si="47"/>
        <v>7.7350024533633793E-2</v>
      </c>
      <c r="J93" s="111">
        <f t="shared" si="47"/>
        <v>0.27665562623920514</v>
      </c>
      <c r="K93" s="111">
        <f t="shared" si="47"/>
        <v>0.25871414839698259</v>
      </c>
      <c r="L93" s="111">
        <f t="shared" si="47"/>
        <v>0.34635140083735955</v>
      </c>
      <c r="M93" s="111">
        <f t="shared" si="47"/>
        <v>0.42745859134314346</v>
      </c>
      <c r="N93" s="111">
        <f t="shared" si="47"/>
        <v>0.84016747710320439</v>
      </c>
      <c r="O93" s="111">
        <f t="shared" si="47"/>
        <v>0.95442311399384727</v>
      </c>
      <c r="P93" s="111">
        <f t="shared" si="47"/>
        <v>1.0726918962530845</v>
      </c>
      <c r="Q93" s="111">
        <f t="shared" si="47"/>
        <v>0.81395925605363018</v>
      </c>
      <c r="R93" s="111">
        <f t="shared" si="47"/>
        <v>0.70309624891952549</v>
      </c>
      <c r="S93" s="111">
        <f t="shared" si="47"/>
        <v>0.49782595801603347</v>
      </c>
      <c r="T93" s="111">
        <f t="shared" si="47"/>
        <v>0.68198123338991778</v>
      </c>
      <c r="U93" s="111">
        <f t="shared" si="47"/>
        <v>0.55888667327591246</v>
      </c>
      <c r="V93" s="244">
        <f t="shared" si="47"/>
        <v>0.27892887634855829</v>
      </c>
      <c r="W93" s="244">
        <f t="shared" si="47"/>
        <v>5.3910623159805375E-2</v>
      </c>
      <c r="X93" s="244">
        <f t="shared" si="47"/>
        <v>2.3439401373828426E-3</v>
      </c>
      <c r="Y93" s="244">
        <f t="shared" si="47"/>
        <v>0</v>
      </c>
      <c r="Z93" s="244">
        <f t="shared" si="47"/>
        <v>0</v>
      </c>
      <c r="AA93" s="244">
        <f t="shared" si="47"/>
        <v>0</v>
      </c>
      <c r="AC93" s="135"/>
    </row>
    <row r="98" spans="1:31" ht="12.95">
      <c r="A98" s="47"/>
      <c r="B98" s="47"/>
      <c r="C98" s="114" t="s">
        <v>1506</v>
      </c>
      <c r="D98" s="392">
        <v>0</v>
      </c>
      <c r="E98" s="392">
        <v>4.1666666666666664E-2</v>
      </c>
      <c r="F98" s="392">
        <v>8.3333333333333329E-2</v>
      </c>
      <c r="G98" s="392">
        <v>0.125</v>
      </c>
      <c r="H98" s="392">
        <v>0.16666666666666666</v>
      </c>
      <c r="I98" s="392">
        <v>0.20833333333333334</v>
      </c>
      <c r="J98" s="392">
        <v>0.25</v>
      </c>
      <c r="K98" s="392">
        <v>0.29166666666666669</v>
      </c>
      <c r="L98" s="392">
        <v>0.33333333333333331</v>
      </c>
      <c r="M98" s="392">
        <v>0.375</v>
      </c>
      <c r="N98" s="392">
        <v>0.41666666666666669</v>
      </c>
      <c r="O98" s="392">
        <v>0.45833333333333331</v>
      </c>
      <c r="P98" s="392">
        <v>0.5</v>
      </c>
      <c r="Q98" s="392">
        <v>0.54166666666666663</v>
      </c>
      <c r="R98" s="392">
        <v>0.58333333333333337</v>
      </c>
      <c r="S98" s="392">
        <v>0.625</v>
      </c>
      <c r="T98" s="392">
        <v>0.66666666666666663</v>
      </c>
      <c r="U98" s="392">
        <v>0.70833333333333337</v>
      </c>
      <c r="V98" s="392">
        <v>0.75</v>
      </c>
      <c r="W98" s="392">
        <v>0.79166666666666663</v>
      </c>
      <c r="X98" s="392">
        <v>0.83333333333333337</v>
      </c>
      <c r="Y98" s="392">
        <v>0.875</v>
      </c>
      <c r="Z98" s="392">
        <v>0.91666666666666663</v>
      </c>
      <c r="AA98" s="392">
        <v>0.95833333333333337</v>
      </c>
      <c r="AB98" s="47"/>
      <c r="AC98" s="47"/>
      <c r="AD98" s="47"/>
      <c r="AE98" s="47"/>
    </row>
    <row r="99" spans="1:31" ht="12.6">
      <c r="A99" s="395" t="s">
        <v>286</v>
      </c>
      <c r="B99" s="395"/>
      <c r="C99" s="395" t="s">
        <v>1532</v>
      </c>
      <c r="D99" s="395">
        <f t="shared" ref="D99:AA99" si="48">D38</f>
        <v>0</v>
      </c>
      <c r="E99" s="395">
        <f t="shared" si="48"/>
        <v>0</v>
      </c>
      <c r="F99" s="395">
        <f t="shared" si="48"/>
        <v>0</v>
      </c>
      <c r="G99" s="395">
        <f t="shared" si="48"/>
        <v>0</v>
      </c>
      <c r="H99" s="395">
        <f t="shared" si="48"/>
        <v>0</v>
      </c>
      <c r="I99" s="395">
        <f t="shared" si="48"/>
        <v>3.9846982335508319E-2</v>
      </c>
      <c r="J99" s="395">
        <f t="shared" si="48"/>
        <v>0.29299251717285529</v>
      </c>
      <c r="K99" s="395">
        <f t="shared" si="48"/>
        <v>0.87663361138118312</v>
      </c>
      <c r="L99" s="395">
        <f t="shared" si="48"/>
        <v>1.7298278213885379</v>
      </c>
      <c r="M99" s="395">
        <f t="shared" si="48"/>
        <v>2.4517613837024532</v>
      </c>
      <c r="N99" s="395">
        <f t="shared" si="48"/>
        <v>2.9697721540640614</v>
      </c>
      <c r="O99" s="395">
        <f t="shared" si="48"/>
        <v>3.2276055691761738</v>
      </c>
      <c r="P99" s="395">
        <f t="shared" si="48"/>
        <v>3.218229808626643</v>
      </c>
      <c r="Q99" s="395">
        <f t="shared" si="48"/>
        <v>2.9510206329649988</v>
      </c>
      <c r="R99" s="395">
        <f t="shared" si="48"/>
        <v>2.4752007850762814</v>
      </c>
      <c r="S99" s="395">
        <f t="shared" si="48"/>
        <v>1.7673308635866631</v>
      </c>
      <c r="T99" s="395">
        <f t="shared" si="48"/>
        <v>0.97976697742602803</v>
      </c>
      <c r="U99" s="395">
        <f t="shared" si="48"/>
        <v>0.33987131992051217</v>
      </c>
      <c r="V99" s="395">
        <f t="shared" si="48"/>
        <v>0.10078942590746222</v>
      </c>
      <c r="W99" s="395">
        <f t="shared" si="48"/>
        <v>1.4063640824297053E-2</v>
      </c>
      <c r="X99" s="395">
        <f t="shared" si="48"/>
        <v>0</v>
      </c>
      <c r="Y99" s="395">
        <f t="shared" si="48"/>
        <v>0</v>
      </c>
      <c r="Z99" s="395">
        <f t="shared" si="48"/>
        <v>0</v>
      </c>
      <c r="AA99" s="395">
        <f t="shared" si="48"/>
        <v>0</v>
      </c>
      <c r="AB99" s="230"/>
      <c r="AC99" s="230"/>
    </row>
    <row r="100" spans="1:31" ht="12.95">
      <c r="A100" s="9" t="s">
        <v>286</v>
      </c>
      <c r="B100" s="395">
        <f t="shared" ref="B100:B107" ca="1" si="49">B39</f>
        <v>27.614129720102309</v>
      </c>
      <c r="C100" s="9" t="s">
        <v>1533</v>
      </c>
      <c r="D100" s="395">
        <f t="shared" ref="D100:AA100" si="50">SUM(D101:D106)</f>
        <v>0.23911231947472683</v>
      </c>
      <c r="E100" s="395">
        <f t="shared" si="50"/>
        <v>0.23492229412315468</v>
      </c>
      <c r="F100" s="395">
        <f t="shared" si="50"/>
        <v>0.23539698945319396</v>
      </c>
      <c r="G100" s="395">
        <f t="shared" si="50"/>
        <v>0.24051519245789699</v>
      </c>
      <c r="H100" s="395">
        <f t="shared" si="50"/>
        <v>0.2729652221031611</v>
      </c>
      <c r="I100" s="395">
        <f t="shared" si="50"/>
        <v>0.34745974333560592</v>
      </c>
      <c r="J100" s="395">
        <f t="shared" si="50"/>
        <v>0.49485098558599749</v>
      </c>
      <c r="K100" s="395">
        <f t="shared" si="50"/>
        <v>0.4993138422503739</v>
      </c>
      <c r="L100" s="395">
        <f t="shared" si="50"/>
        <v>0.47759733953554695</v>
      </c>
      <c r="M100" s="395">
        <f t="shared" si="50"/>
        <v>0.49448761197119701</v>
      </c>
      <c r="N100" s="395">
        <f t="shared" si="50"/>
        <v>0.91514309653677461</v>
      </c>
      <c r="O100" s="395">
        <f t="shared" si="50"/>
        <v>1.0903828477646673</v>
      </c>
      <c r="P100" s="395">
        <f t="shared" si="50"/>
        <v>1.2284355394812736</v>
      </c>
      <c r="Q100" s="395">
        <f t="shared" si="50"/>
        <v>0.87815293492840085</v>
      </c>
      <c r="R100" s="395">
        <f t="shared" si="50"/>
        <v>0.67146179844331089</v>
      </c>
      <c r="S100" s="395">
        <f t="shared" si="50"/>
        <v>0.43135197174015738</v>
      </c>
      <c r="T100" s="395">
        <f t="shared" si="50"/>
        <v>0.65265523665172487</v>
      </c>
      <c r="U100" s="395">
        <f t="shared" si="50"/>
        <v>0.79324071125686246</v>
      </c>
      <c r="V100" s="395">
        <f t="shared" si="50"/>
        <v>0.75051344222138661</v>
      </c>
      <c r="W100" s="395">
        <f t="shared" si="50"/>
        <v>0.64362491609336758</v>
      </c>
      <c r="X100" s="395">
        <f t="shared" si="50"/>
        <v>0.53306124338089023</v>
      </c>
      <c r="Y100" s="395">
        <f t="shared" si="50"/>
        <v>0.41769863737280777</v>
      </c>
      <c r="Z100" s="395">
        <f t="shared" si="50"/>
        <v>0.30774653696931842</v>
      </c>
      <c r="AA100" s="395">
        <f t="shared" si="50"/>
        <v>0.31633416334942649</v>
      </c>
      <c r="AC100" s="114" t="s">
        <v>1534</v>
      </c>
      <c r="AD100" s="114" t="s">
        <v>1219</v>
      </c>
      <c r="AE100" s="114" t="s">
        <v>1522</v>
      </c>
    </row>
    <row r="101" spans="1:31" ht="12.6">
      <c r="A101" s="9" t="s">
        <v>286</v>
      </c>
      <c r="B101" s="395">
        <f t="shared" si="49"/>
        <v>2.6615008940854668</v>
      </c>
      <c r="C101" s="9" t="s">
        <v>56</v>
      </c>
      <c r="D101" s="395">
        <f t="shared" ref="D101:AA101" si="51">D117*$B101</f>
        <v>3.5171525667308676E-2</v>
      </c>
      <c r="E101" s="395">
        <f t="shared" si="51"/>
        <v>3.3803248251990992E-2</v>
      </c>
      <c r="F101" s="395">
        <f t="shared" si="51"/>
        <v>3.4785540107609252E-2</v>
      </c>
      <c r="G101" s="395">
        <f t="shared" si="51"/>
        <v>3.8288730486621993E-2</v>
      </c>
      <c r="H101" s="395">
        <f t="shared" si="51"/>
        <v>6.02732691742809E-2</v>
      </c>
      <c r="I101" s="395">
        <f t="shared" si="51"/>
        <v>0.10346926450298523</v>
      </c>
      <c r="J101" s="395">
        <f t="shared" si="51"/>
        <v>0.22603575219528912</v>
      </c>
      <c r="K101" s="395">
        <f t="shared" si="51"/>
        <v>0.22956494750781692</v>
      </c>
      <c r="L101" s="395">
        <f t="shared" si="51"/>
        <v>0.12250373256145405</v>
      </c>
      <c r="M101" s="395">
        <f t="shared" si="51"/>
        <v>6.7388035730543791E-2</v>
      </c>
      <c r="N101" s="395">
        <f t="shared" si="51"/>
        <v>5.0218937252157293E-2</v>
      </c>
      <c r="O101" s="395">
        <f t="shared" si="51"/>
        <v>4.9786473378830555E-2</v>
      </c>
      <c r="P101" s="395">
        <f t="shared" si="51"/>
        <v>5.3500260882913486E-2</v>
      </c>
      <c r="Q101" s="395">
        <f t="shared" si="51"/>
        <v>6.0359147229766028E-2</v>
      </c>
      <c r="R101" s="395">
        <f t="shared" si="51"/>
        <v>7.3722647105436148E-2</v>
      </c>
      <c r="S101" s="395">
        <f t="shared" si="51"/>
        <v>9.4061772041758737E-2</v>
      </c>
      <c r="T101" s="395">
        <f t="shared" si="51"/>
        <v>0.13918156792041703</v>
      </c>
      <c r="U101" s="395">
        <f t="shared" si="51"/>
        <v>0.21251551379315403</v>
      </c>
      <c r="V101" s="395">
        <f t="shared" si="51"/>
        <v>0.24112062389228506</v>
      </c>
      <c r="W101" s="395">
        <f t="shared" si="51"/>
        <v>0.24089295773905098</v>
      </c>
      <c r="X101" s="395">
        <f t="shared" si="51"/>
        <v>0.21986261838626323</v>
      </c>
      <c r="Y101" s="395">
        <f t="shared" si="51"/>
        <v>0.1524417873780988</v>
      </c>
      <c r="Z101" s="395">
        <f t="shared" si="51"/>
        <v>7.7626860121823876E-2</v>
      </c>
      <c r="AA101" s="395">
        <f t="shared" si="51"/>
        <v>4.4925680777607994E-2</v>
      </c>
      <c r="AC101" s="13" t="s">
        <v>1523</v>
      </c>
      <c r="AD101" s="12">
        <f>SUM(D100:AA100)</f>
        <v>13.166424616481224</v>
      </c>
      <c r="AE101" s="17">
        <f t="shared" ref="AE101:AE104" si="52">AD101/$AD$101</f>
        <v>1</v>
      </c>
    </row>
    <row r="102" spans="1:31" ht="12.6">
      <c r="A102" s="9" t="s">
        <v>286</v>
      </c>
      <c r="B102" s="395">
        <f t="shared" si="49"/>
        <v>2.0742936592037466</v>
      </c>
      <c r="C102" s="9" t="s">
        <v>58</v>
      </c>
      <c r="D102" s="395">
        <f t="shared" ref="D102:AA102" si="53">D118*$B102</f>
        <v>1.0371468296018734E-2</v>
      </c>
      <c r="E102" s="395">
        <f t="shared" si="53"/>
        <v>1.0371468296018734E-2</v>
      </c>
      <c r="F102" s="395">
        <f t="shared" si="53"/>
        <v>1.0371468296018734E-2</v>
      </c>
      <c r="G102" s="395">
        <f t="shared" si="53"/>
        <v>1.0371468296018734E-2</v>
      </c>
      <c r="H102" s="395">
        <f t="shared" si="53"/>
        <v>1.0371468296018734E-2</v>
      </c>
      <c r="I102" s="395">
        <f t="shared" si="53"/>
        <v>1.0371468296018734E-2</v>
      </c>
      <c r="J102" s="395">
        <f t="shared" si="53"/>
        <v>1.0371468296018734E-2</v>
      </c>
      <c r="K102" s="395">
        <f t="shared" si="53"/>
        <v>1.0371468296018734E-2</v>
      </c>
      <c r="L102" s="395">
        <f t="shared" si="53"/>
        <v>5.1857341480093667E-2</v>
      </c>
      <c r="M102" s="395">
        <f t="shared" si="53"/>
        <v>0.1244576195522248</v>
      </c>
      <c r="N102" s="395">
        <f t="shared" si="53"/>
        <v>0.37337285865667436</v>
      </c>
      <c r="O102" s="395">
        <f t="shared" si="53"/>
        <v>0.47708754161686173</v>
      </c>
      <c r="P102" s="395">
        <f t="shared" si="53"/>
        <v>0.4978304782088992</v>
      </c>
      <c r="Q102" s="395">
        <f t="shared" si="53"/>
        <v>0.26965817569648709</v>
      </c>
      <c r="R102" s="395">
        <f t="shared" si="53"/>
        <v>0.10371468296018733</v>
      </c>
      <c r="S102" s="395">
        <f t="shared" si="53"/>
        <v>1.0371468296018734E-2</v>
      </c>
      <c r="T102" s="395">
        <f t="shared" si="53"/>
        <v>1.0371468296018734E-2</v>
      </c>
      <c r="U102" s="395">
        <f t="shared" si="53"/>
        <v>1.0371468296018734E-2</v>
      </c>
      <c r="V102" s="395">
        <f t="shared" si="53"/>
        <v>1.0371468296018734E-2</v>
      </c>
      <c r="W102" s="395">
        <f t="shared" si="53"/>
        <v>1.0371468296018734E-2</v>
      </c>
      <c r="X102" s="395">
        <f t="shared" si="53"/>
        <v>1.0371468296018734E-2</v>
      </c>
      <c r="Y102" s="395">
        <f t="shared" si="53"/>
        <v>1.0371468296018734E-2</v>
      </c>
      <c r="Z102" s="395">
        <f t="shared" si="53"/>
        <v>1.0371468296018734E-2</v>
      </c>
      <c r="AA102" s="395">
        <f t="shared" si="53"/>
        <v>1.0371468296018734E-2</v>
      </c>
      <c r="AC102" s="13" t="s">
        <v>1524</v>
      </c>
      <c r="AD102" s="12">
        <f>SUM(D99:AA99)</f>
        <v>23.434713493553659</v>
      </c>
      <c r="AE102" s="17">
        <f t="shared" si="52"/>
        <v>1.7798843783466458</v>
      </c>
    </row>
    <row r="103" spans="1:31" ht="12.6">
      <c r="A103" s="9" t="s">
        <v>286</v>
      </c>
      <c r="B103" s="395">
        <f t="shared" si="49"/>
        <v>1.6267370084562933</v>
      </c>
      <c r="C103" s="9" t="s">
        <v>186</v>
      </c>
      <c r="D103" s="395">
        <f t="shared" ref="D103:AA103" si="54">D119*$B103</f>
        <v>5.1621554820005426E-3</v>
      </c>
      <c r="E103" s="395">
        <f t="shared" si="54"/>
        <v>3.8529296413180652E-3</v>
      </c>
      <c r="F103" s="395">
        <f t="shared" si="54"/>
        <v>3.5386601542597615E-3</v>
      </c>
      <c r="G103" s="395">
        <f t="shared" si="54"/>
        <v>3.5334985511323138E-3</v>
      </c>
      <c r="H103" s="395">
        <f t="shared" si="54"/>
        <v>3.9583305583945306E-3</v>
      </c>
      <c r="I103" s="395">
        <f t="shared" si="54"/>
        <v>8.8591475827305526E-3</v>
      </c>
      <c r="J103" s="395">
        <f t="shared" si="54"/>
        <v>2.26641282130048E-2</v>
      </c>
      <c r="K103" s="395">
        <f t="shared" si="54"/>
        <v>2.922847899867994E-2</v>
      </c>
      <c r="L103" s="395">
        <f t="shared" si="54"/>
        <v>3.069379901964291E-2</v>
      </c>
      <c r="M103" s="395">
        <f t="shared" si="54"/>
        <v>3.5700681693465353E-2</v>
      </c>
      <c r="N103" s="395">
        <f t="shared" si="54"/>
        <v>4.7528586488651478E-2</v>
      </c>
      <c r="O103" s="395">
        <f t="shared" si="54"/>
        <v>6.1213359541305974E-2</v>
      </c>
      <c r="P103" s="395">
        <f t="shared" si="54"/>
        <v>5.6613163777879019E-2</v>
      </c>
      <c r="Q103" s="395">
        <f t="shared" si="54"/>
        <v>4.8857453452198753E-2</v>
      </c>
      <c r="R103" s="395">
        <f t="shared" si="54"/>
        <v>5.3822053562949328E-2</v>
      </c>
      <c r="S103" s="395">
        <f t="shared" si="54"/>
        <v>0.12292336972822719</v>
      </c>
      <c r="T103" s="395">
        <f t="shared" si="54"/>
        <v>0.29037802177378164</v>
      </c>
      <c r="U103" s="395">
        <f t="shared" si="54"/>
        <v>0.33188885997089662</v>
      </c>
      <c r="V103" s="395">
        <f t="shared" si="54"/>
        <v>0.24159367843079538</v>
      </c>
      <c r="W103" s="395">
        <f t="shared" si="54"/>
        <v>0.13455683544566452</v>
      </c>
      <c r="X103" s="395">
        <f t="shared" si="54"/>
        <v>5.2227972936396708E-2</v>
      </c>
      <c r="Y103" s="395">
        <f t="shared" si="54"/>
        <v>2.0319159358183118E-2</v>
      </c>
      <c r="Z103" s="395">
        <f t="shared" si="54"/>
        <v>1.0299226754422505E-2</v>
      </c>
      <c r="AA103" s="395">
        <f t="shared" si="54"/>
        <v>7.3234573403076981E-3</v>
      </c>
      <c r="AC103" s="13" t="s">
        <v>1525</v>
      </c>
      <c r="AD103" s="12">
        <f t="shared" ref="AD103:AD104" si="55">SUM(D110:AA110)</f>
        <v>15.308167388089593</v>
      </c>
      <c r="AE103" s="17">
        <f t="shared" si="52"/>
        <v>1.1626669983685183</v>
      </c>
    </row>
    <row r="104" spans="1:31" ht="12.95">
      <c r="A104" s="9" t="s">
        <v>286</v>
      </c>
      <c r="B104" s="142">
        <f t="shared" si="49"/>
        <v>2.7032884185240347</v>
      </c>
      <c r="C104" s="9" t="s">
        <v>865</v>
      </c>
      <c r="D104" s="395">
        <f t="shared" ref="D104:AA104" si="56">D120*$B104</f>
        <v>8.1098652555721032E-2</v>
      </c>
      <c r="E104" s="395">
        <f t="shared" si="56"/>
        <v>8.1098652555721032E-2</v>
      </c>
      <c r="F104" s="395">
        <f t="shared" si="56"/>
        <v>8.1098652555721032E-2</v>
      </c>
      <c r="G104" s="395">
        <f t="shared" si="56"/>
        <v>8.1098652555721032E-2</v>
      </c>
      <c r="H104" s="395">
        <f t="shared" si="56"/>
        <v>8.1098652555721032E-2</v>
      </c>
      <c r="I104" s="395">
        <f t="shared" si="56"/>
        <v>8.1098652555721032E-2</v>
      </c>
      <c r="J104" s="395">
        <f t="shared" si="56"/>
        <v>8.1098652555721032E-2</v>
      </c>
      <c r="K104" s="395">
        <f t="shared" si="56"/>
        <v>8.1098652555721032E-2</v>
      </c>
      <c r="L104" s="395">
        <f t="shared" si="56"/>
        <v>0.10813153674096139</v>
      </c>
      <c r="M104" s="395">
        <f t="shared" si="56"/>
        <v>0.10813153674096139</v>
      </c>
      <c r="N104" s="395">
        <f t="shared" si="56"/>
        <v>0.18923018929668245</v>
      </c>
      <c r="O104" s="395">
        <f t="shared" si="56"/>
        <v>0.21626307348192278</v>
      </c>
      <c r="P104" s="395">
        <f t="shared" si="56"/>
        <v>0.27032884185240347</v>
      </c>
      <c r="Q104" s="395">
        <f t="shared" si="56"/>
        <v>0.21626307348192278</v>
      </c>
      <c r="R104" s="395">
        <f t="shared" si="56"/>
        <v>0.18923018929668245</v>
      </c>
      <c r="S104" s="395">
        <f t="shared" si="56"/>
        <v>8.1098652555721032E-2</v>
      </c>
      <c r="T104" s="395">
        <f t="shared" si="56"/>
        <v>8.1098652555721032E-2</v>
      </c>
      <c r="U104" s="395">
        <f t="shared" si="56"/>
        <v>8.1098652555721032E-2</v>
      </c>
      <c r="V104" s="395">
        <f t="shared" si="56"/>
        <v>8.1098652555721032E-2</v>
      </c>
      <c r="W104" s="395">
        <f t="shared" si="56"/>
        <v>8.1098652555721032E-2</v>
      </c>
      <c r="X104" s="395">
        <f t="shared" si="56"/>
        <v>8.1098652555721032E-2</v>
      </c>
      <c r="Y104" s="395">
        <f t="shared" si="56"/>
        <v>8.1098652555721032E-2</v>
      </c>
      <c r="Z104" s="395">
        <f t="shared" si="56"/>
        <v>8.1098652555721032E-2</v>
      </c>
      <c r="AA104" s="395">
        <f t="shared" si="56"/>
        <v>0.10813153674096139</v>
      </c>
      <c r="AC104" s="13" t="s">
        <v>1526</v>
      </c>
      <c r="AD104" s="12">
        <f t="shared" si="55"/>
        <v>8.1265461054640635</v>
      </c>
      <c r="AE104" s="393">
        <f t="shared" si="52"/>
        <v>0.61721737997812753</v>
      </c>
    </row>
    <row r="105" spans="1:31" ht="12.6">
      <c r="A105" s="9" t="s">
        <v>286</v>
      </c>
      <c r="B105" s="142">
        <f t="shared" si="49"/>
        <v>0.84912266835445693</v>
      </c>
      <c r="C105" s="9" t="s">
        <v>61</v>
      </c>
      <c r="D105" s="395">
        <f t="shared" ref="D105:AA105" si="57">D121*$B105</f>
        <v>9.7640584379607865E-3</v>
      </c>
      <c r="E105" s="395">
        <f t="shared" si="57"/>
        <v>8.2515363423888068E-3</v>
      </c>
      <c r="F105" s="395">
        <f t="shared" si="57"/>
        <v>8.0582093038681496E-3</v>
      </c>
      <c r="G105" s="395">
        <f t="shared" si="57"/>
        <v>9.6783835326858889E-3</v>
      </c>
      <c r="H105" s="395">
        <f t="shared" si="57"/>
        <v>1.9719042483028838E-2</v>
      </c>
      <c r="I105" s="395">
        <f t="shared" si="57"/>
        <v>4.6116751362433379E-2</v>
      </c>
      <c r="J105" s="395">
        <f t="shared" si="57"/>
        <v>5.7136525290246751E-2</v>
      </c>
      <c r="K105" s="395">
        <f t="shared" si="57"/>
        <v>5.1505835856420268E-2</v>
      </c>
      <c r="L105" s="395">
        <f t="shared" si="57"/>
        <v>3.4351651019105534E-2</v>
      </c>
      <c r="M105" s="395">
        <f t="shared" si="57"/>
        <v>2.8750459539712288E-2</v>
      </c>
      <c r="N105" s="395">
        <f t="shared" si="57"/>
        <v>2.718878709260248E-2</v>
      </c>
      <c r="O105" s="395">
        <f t="shared" si="57"/>
        <v>2.5913842317167313E-2</v>
      </c>
      <c r="P105" s="395">
        <f t="shared" si="57"/>
        <v>2.5014597973454688E-2</v>
      </c>
      <c r="Q105" s="395">
        <f t="shared" si="57"/>
        <v>2.2896527639447415E-2</v>
      </c>
      <c r="R105" s="395">
        <f t="shared" si="57"/>
        <v>2.3368487768049152E-2</v>
      </c>
      <c r="S105" s="395">
        <f t="shared" si="57"/>
        <v>2.5352250082714627E-2</v>
      </c>
      <c r="T105" s="395">
        <f t="shared" si="57"/>
        <v>3.4081067070069415E-2</v>
      </c>
      <c r="U105" s="395">
        <f t="shared" si="57"/>
        <v>5.9821757605355005E-2</v>
      </c>
      <c r="V105" s="395">
        <f t="shared" si="57"/>
        <v>7.8784560010849353E-2</v>
      </c>
      <c r="W105" s="395">
        <f t="shared" si="57"/>
        <v>7.9160543021195226E-2</v>
      </c>
      <c r="X105" s="395">
        <f t="shared" si="57"/>
        <v>7.1956072170773475E-2</v>
      </c>
      <c r="Y105" s="395">
        <f t="shared" si="57"/>
        <v>5.5923110749069062E-2</v>
      </c>
      <c r="Z105" s="395">
        <f t="shared" si="57"/>
        <v>3.080587020561527E-2</v>
      </c>
      <c r="AA105" s="395">
        <f t="shared" si="57"/>
        <v>1.5522741480241272E-2</v>
      </c>
    </row>
    <row r="106" spans="1:31" ht="12.6">
      <c r="A106" s="9" t="s">
        <v>286</v>
      </c>
      <c r="B106" s="142">
        <f t="shared" si="49"/>
        <v>3.2514819678572349</v>
      </c>
      <c r="C106" s="9" t="s">
        <v>63</v>
      </c>
      <c r="D106" s="395">
        <f t="shared" ref="D106:AA106" si="58">D122*$B106</f>
        <v>9.754445903571704E-2</v>
      </c>
      <c r="E106" s="395">
        <f t="shared" si="58"/>
        <v>9.754445903571704E-2</v>
      </c>
      <c r="F106" s="395">
        <f t="shared" si="58"/>
        <v>9.754445903571704E-2</v>
      </c>
      <c r="G106" s="395">
        <f t="shared" si="58"/>
        <v>9.754445903571704E-2</v>
      </c>
      <c r="H106" s="395">
        <f t="shared" si="58"/>
        <v>9.754445903571704E-2</v>
      </c>
      <c r="I106" s="395">
        <f t="shared" si="58"/>
        <v>9.754445903571704E-2</v>
      </c>
      <c r="J106" s="395">
        <f t="shared" si="58"/>
        <v>9.754445903571704E-2</v>
      </c>
      <c r="K106" s="395">
        <f t="shared" si="58"/>
        <v>9.754445903571704E-2</v>
      </c>
      <c r="L106" s="395">
        <f t="shared" si="58"/>
        <v>0.13005927871428941</v>
      </c>
      <c r="M106" s="395">
        <f t="shared" si="58"/>
        <v>0.13005927871428941</v>
      </c>
      <c r="N106" s="395">
        <f t="shared" si="58"/>
        <v>0.22760373775000647</v>
      </c>
      <c r="O106" s="395">
        <f t="shared" si="58"/>
        <v>0.26011855742857881</v>
      </c>
      <c r="P106" s="395">
        <f t="shared" si="58"/>
        <v>0.32514819678572349</v>
      </c>
      <c r="Q106" s="395">
        <f t="shared" si="58"/>
        <v>0.26011855742857881</v>
      </c>
      <c r="R106" s="395">
        <f t="shared" si="58"/>
        <v>0.22760373775000647</v>
      </c>
      <c r="S106" s="395">
        <f t="shared" si="58"/>
        <v>9.754445903571704E-2</v>
      </c>
      <c r="T106" s="395">
        <f t="shared" si="58"/>
        <v>9.754445903571704E-2</v>
      </c>
      <c r="U106" s="395">
        <f t="shared" si="58"/>
        <v>9.754445903571704E-2</v>
      </c>
      <c r="V106" s="395">
        <f t="shared" si="58"/>
        <v>9.754445903571704E-2</v>
      </c>
      <c r="W106" s="395">
        <f t="shared" si="58"/>
        <v>9.754445903571704E-2</v>
      </c>
      <c r="X106" s="395">
        <f t="shared" si="58"/>
        <v>9.754445903571704E-2</v>
      </c>
      <c r="Y106" s="395">
        <f t="shared" si="58"/>
        <v>9.754445903571704E-2</v>
      </c>
      <c r="Z106" s="395">
        <f t="shared" si="58"/>
        <v>9.754445903571704E-2</v>
      </c>
      <c r="AA106" s="395">
        <f t="shared" si="58"/>
        <v>0.13005927871428941</v>
      </c>
    </row>
    <row r="107" spans="1:31" ht="12.6">
      <c r="A107" s="9" t="s">
        <v>286</v>
      </c>
      <c r="B107" s="260">
        <f t="shared" ca="1" si="49"/>
        <v>14.447705103621075</v>
      </c>
      <c r="C107" s="9" t="s">
        <v>914</v>
      </c>
      <c r="D107" s="395">
        <f t="shared" ref="D107:AA107" ca="1" si="59">D123*$B107</f>
        <v>0</v>
      </c>
      <c r="E107" s="395">
        <f t="shared" ca="1" si="59"/>
        <v>0</v>
      </c>
      <c r="F107" s="395">
        <f t="shared" ca="1" si="59"/>
        <v>0</v>
      </c>
      <c r="G107" s="395">
        <f t="shared" ca="1" si="59"/>
        <v>0</v>
      </c>
      <c r="H107" s="395">
        <f t="shared" ca="1" si="59"/>
        <v>0</v>
      </c>
      <c r="I107" s="395">
        <f t="shared" ca="1" si="59"/>
        <v>0</v>
      </c>
      <c r="J107" s="395">
        <f t="shared" ca="1" si="59"/>
        <v>0</v>
      </c>
      <c r="K107" s="395">
        <f t="shared" ca="1" si="59"/>
        <v>0</v>
      </c>
      <c r="L107" s="395">
        <f t="shared" ca="1" si="59"/>
        <v>0</v>
      </c>
      <c r="M107" s="395">
        <f t="shared" ca="1" si="59"/>
        <v>0.72238525518105379</v>
      </c>
      <c r="N107" s="395">
        <f t="shared" ca="1" si="59"/>
        <v>1.155816408289686</v>
      </c>
      <c r="O107" s="395">
        <f t="shared" ca="1" si="59"/>
        <v>2.311632816579372</v>
      </c>
      <c r="P107" s="395">
        <f t="shared" ca="1" si="59"/>
        <v>2.7450639696880041</v>
      </c>
      <c r="Q107" s="395">
        <f t="shared" ca="1" si="59"/>
        <v>3.0340180717604257</v>
      </c>
      <c r="R107" s="395">
        <f t="shared" ca="1" si="59"/>
        <v>3.0340180717604257</v>
      </c>
      <c r="S107" s="395">
        <f t="shared" ca="1" si="59"/>
        <v>1.155816408289686</v>
      </c>
      <c r="T107" s="395">
        <f t="shared" ca="1" si="59"/>
        <v>0.14447705103621075</v>
      </c>
      <c r="U107" s="395">
        <f t="shared" ca="1" si="59"/>
        <v>0.14447705103621075</v>
      </c>
      <c r="V107" s="395">
        <f t="shared" ca="1" si="59"/>
        <v>0</v>
      </c>
      <c r="W107" s="395">
        <f t="shared" ca="1" si="59"/>
        <v>0</v>
      </c>
      <c r="X107" s="395">
        <f t="shared" ca="1" si="59"/>
        <v>0</v>
      </c>
      <c r="Y107" s="395">
        <f t="shared" ca="1" si="59"/>
        <v>0</v>
      </c>
      <c r="Z107" s="395">
        <f t="shared" ca="1" si="59"/>
        <v>0</v>
      </c>
      <c r="AA107" s="395">
        <f t="shared" ca="1" si="59"/>
        <v>0</v>
      </c>
    </row>
    <row r="108" spans="1:31" ht="12.6">
      <c r="A108" s="9"/>
      <c r="B108" s="9"/>
      <c r="C108" s="9"/>
      <c r="D108" s="395"/>
      <c r="E108" s="395"/>
      <c r="F108" s="395"/>
      <c r="G108" s="395"/>
      <c r="H108" s="395"/>
      <c r="I108" s="395"/>
      <c r="J108" s="395"/>
      <c r="K108" s="395"/>
      <c r="L108" s="395"/>
      <c r="M108" s="395"/>
      <c r="N108" s="395"/>
      <c r="O108" s="395"/>
      <c r="P108" s="395"/>
      <c r="Q108" s="395"/>
      <c r="R108" s="395"/>
      <c r="S108" s="395"/>
      <c r="T108" s="395"/>
      <c r="U108" s="395"/>
      <c r="V108" s="395"/>
      <c r="W108" s="395"/>
      <c r="X108" s="395"/>
      <c r="Y108" s="395"/>
      <c r="Z108" s="395"/>
      <c r="AA108" s="395"/>
    </row>
    <row r="109" spans="1:31" ht="12.6">
      <c r="A109" s="9" t="s">
        <v>286</v>
      </c>
      <c r="B109" s="9"/>
      <c r="C109" s="9" t="s">
        <v>1527</v>
      </c>
      <c r="D109" s="395">
        <f t="shared" ref="D109:AA109" si="60">IF(D100-D99&gt;0,D100-D99,0)</f>
        <v>0.23911231947472683</v>
      </c>
      <c r="E109" s="395">
        <f t="shared" si="60"/>
        <v>0.23492229412315468</v>
      </c>
      <c r="F109" s="395">
        <f t="shared" si="60"/>
        <v>0.23539698945319396</v>
      </c>
      <c r="G109" s="395">
        <f t="shared" si="60"/>
        <v>0.24051519245789699</v>
      </c>
      <c r="H109" s="395">
        <f t="shared" si="60"/>
        <v>0.2729652221031611</v>
      </c>
      <c r="I109" s="395">
        <f t="shared" si="60"/>
        <v>0.3076127610000976</v>
      </c>
      <c r="J109" s="395">
        <f t="shared" si="60"/>
        <v>0.2018584684131422</v>
      </c>
      <c r="K109" s="9">
        <f t="shared" si="60"/>
        <v>0</v>
      </c>
      <c r="L109" s="9">
        <f t="shared" si="60"/>
        <v>0</v>
      </c>
      <c r="M109" s="9">
        <f t="shared" si="60"/>
        <v>0</v>
      </c>
      <c r="N109" s="9">
        <f t="shared" si="60"/>
        <v>0</v>
      </c>
      <c r="O109" s="9">
        <f t="shared" si="60"/>
        <v>0</v>
      </c>
      <c r="P109" s="9">
        <f t="shared" si="60"/>
        <v>0</v>
      </c>
      <c r="Q109" s="9">
        <f t="shared" si="60"/>
        <v>0</v>
      </c>
      <c r="R109" s="9">
        <f t="shared" si="60"/>
        <v>0</v>
      </c>
      <c r="S109" s="9">
        <f t="shared" si="60"/>
        <v>0</v>
      </c>
      <c r="T109" s="9">
        <f t="shared" si="60"/>
        <v>0</v>
      </c>
      <c r="U109" s="395">
        <f t="shared" si="60"/>
        <v>0.45336939133635029</v>
      </c>
      <c r="V109" s="395">
        <f t="shared" si="60"/>
        <v>0.6497240163139244</v>
      </c>
      <c r="W109" s="395">
        <f t="shared" si="60"/>
        <v>0.62956127526907057</v>
      </c>
      <c r="X109" s="395">
        <f t="shared" si="60"/>
        <v>0.53306124338089023</v>
      </c>
      <c r="Y109" s="395">
        <f t="shared" si="60"/>
        <v>0.41769863737280777</v>
      </c>
      <c r="Z109" s="395">
        <f t="shared" si="60"/>
        <v>0.30774653696931842</v>
      </c>
      <c r="AA109" s="395">
        <f t="shared" si="60"/>
        <v>0.31633416334942649</v>
      </c>
    </row>
    <row r="110" spans="1:31" ht="12.6">
      <c r="A110" s="9" t="s">
        <v>286</v>
      </c>
      <c r="B110" s="9"/>
      <c r="C110" s="9" t="s">
        <v>1528</v>
      </c>
      <c r="D110" s="9">
        <f t="shared" ref="D110:AA110" si="61">IF(D100-D99&lt;0,(D100-D99)*-1,0)</f>
        <v>0</v>
      </c>
      <c r="E110" s="9">
        <f t="shared" si="61"/>
        <v>0</v>
      </c>
      <c r="F110" s="9">
        <f t="shared" si="61"/>
        <v>0</v>
      </c>
      <c r="G110" s="9">
        <f t="shared" si="61"/>
        <v>0</v>
      </c>
      <c r="H110" s="9">
        <f t="shared" si="61"/>
        <v>0</v>
      </c>
      <c r="I110" s="9">
        <f t="shared" si="61"/>
        <v>0</v>
      </c>
      <c r="J110" s="9">
        <f t="shared" si="61"/>
        <v>0</v>
      </c>
      <c r="K110" s="9">
        <f t="shared" si="61"/>
        <v>0.37731976913080922</v>
      </c>
      <c r="L110" s="9">
        <f t="shared" si="61"/>
        <v>1.2522304818529908</v>
      </c>
      <c r="M110" s="9">
        <f t="shared" si="61"/>
        <v>1.9572737717312563</v>
      </c>
      <c r="N110" s="9">
        <f t="shared" si="61"/>
        <v>2.0546290575272868</v>
      </c>
      <c r="O110" s="9">
        <f t="shared" si="61"/>
        <v>2.1372227214115065</v>
      </c>
      <c r="P110" s="9">
        <f t="shared" si="61"/>
        <v>1.9897942691453694</v>
      </c>
      <c r="Q110" s="9">
        <f t="shared" si="61"/>
        <v>2.0728676980365979</v>
      </c>
      <c r="R110" s="9">
        <f t="shared" si="61"/>
        <v>1.8037389866329705</v>
      </c>
      <c r="S110" s="9">
        <f t="shared" si="61"/>
        <v>1.3359788918465059</v>
      </c>
      <c r="T110" s="9">
        <f t="shared" si="61"/>
        <v>0.32711174077430316</v>
      </c>
      <c r="U110" s="9">
        <f t="shared" si="61"/>
        <v>0</v>
      </c>
      <c r="V110" s="9">
        <f t="shared" si="61"/>
        <v>0</v>
      </c>
      <c r="W110" s="9">
        <f t="shared" si="61"/>
        <v>0</v>
      </c>
      <c r="X110" s="9">
        <f t="shared" si="61"/>
        <v>0</v>
      </c>
      <c r="Y110" s="9">
        <f t="shared" si="61"/>
        <v>0</v>
      </c>
      <c r="Z110" s="9">
        <f t="shared" si="61"/>
        <v>0</v>
      </c>
      <c r="AA110" s="9">
        <f t="shared" si="61"/>
        <v>0</v>
      </c>
    </row>
    <row r="111" spans="1:31" ht="12.6">
      <c r="A111" s="9" t="s">
        <v>286</v>
      </c>
      <c r="B111" s="9"/>
      <c r="C111" s="9" t="s">
        <v>1526</v>
      </c>
      <c r="D111" s="395">
        <f t="shared" ref="D111:AA111" si="62">IF(D99&gt;D100,D100,D99)</f>
        <v>0</v>
      </c>
      <c r="E111" s="395">
        <f t="shared" si="62"/>
        <v>0</v>
      </c>
      <c r="F111" s="395">
        <f t="shared" si="62"/>
        <v>0</v>
      </c>
      <c r="G111" s="395">
        <f t="shared" si="62"/>
        <v>0</v>
      </c>
      <c r="H111" s="395">
        <f t="shared" si="62"/>
        <v>0</v>
      </c>
      <c r="I111" s="395">
        <f t="shared" si="62"/>
        <v>3.9846982335508319E-2</v>
      </c>
      <c r="J111" s="395">
        <f t="shared" si="62"/>
        <v>0.29299251717285529</v>
      </c>
      <c r="K111" s="395">
        <f t="shared" si="62"/>
        <v>0.4993138422503739</v>
      </c>
      <c r="L111" s="395">
        <f t="shared" si="62"/>
        <v>0.47759733953554695</v>
      </c>
      <c r="M111" s="395">
        <f t="shared" si="62"/>
        <v>0.49448761197119701</v>
      </c>
      <c r="N111" s="395">
        <f t="shared" si="62"/>
        <v>0.91514309653677461</v>
      </c>
      <c r="O111" s="395">
        <f t="shared" si="62"/>
        <v>1.0903828477646673</v>
      </c>
      <c r="P111" s="395">
        <f t="shared" si="62"/>
        <v>1.2284355394812736</v>
      </c>
      <c r="Q111" s="395">
        <f t="shared" si="62"/>
        <v>0.87815293492840085</v>
      </c>
      <c r="R111" s="395">
        <f t="shared" si="62"/>
        <v>0.67146179844331089</v>
      </c>
      <c r="S111" s="395">
        <f t="shared" si="62"/>
        <v>0.43135197174015738</v>
      </c>
      <c r="T111" s="395">
        <f t="shared" si="62"/>
        <v>0.65265523665172487</v>
      </c>
      <c r="U111" s="395">
        <f t="shared" si="62"/>
        <v>0.33987131992051217</v>
      </c>
      <c r="V111" s="395">
        <f t="shared" si="62"/>
        <v>0.10078942590746222</v>
      </c>
      <c r="W111" s="395">
        <f t="shared" si="62"/>
        <v>1.4063640824297053E-2</v>
      </c>
      <c r="X111" s="395">
        <f t="shared" si="62"/>
        <v>0</v>
      </c>
      <c r="Y111" s="395">
        <f t="shared" si="62"/>
        <v>0</v>
      </c>
      <c r="Z111" s="395">
        <f t="shared" si="62"/>
        <v>0</v>
      </c>
      <c r="AA111" s="395">
        <f t="shared" si="62"/>
        <v>0</v>
      </c>
      <c r="AC111" s="135"/>
    </row>
    <row r="116" spans="1:27" ht="12.6">
      <c r="A116" s="98" t="s">
        <v>83</v>
      </c>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row>
    <row r="117" spans="1:27" ht="12.6">
      <c r="A117" s="98" t="s">
        <v>286</v>
      </c>
      <c r="B117" s="66">
        <f t="shared" ref="B117:B123" si="63">B40</f>
        <v>2.6615008940854668</v>
      </c>
      <c r="C117" s="98" t="s">
        <v>56</v>
      </c>
      <c r="D117" s="399">
        <f>'Load pivot'!B17</f>
        <v>1.3214921605124675E-2</v>
      </c>
      <c r="E117" s="399">
        <f>'Load pivot'!C17</f>
        <v>1.2700821678140489E-2</v>
      </c>
      <c r="F117" s="399">
        <f>'Load pivot'!D17</f>
        <v>1.306989608191062E-2</v>
      </c>
      <c r="G117" s="399">
        <f>'Load pivot'!E17</f>
        <v>1.4386142259696141E-2</v>
      </c>
      <c r="H117" s="399">
        <f>'Load pivot'!F17</f>
        <v>2.2646345642123759E-2</v>
      </c>
      <c r="I117" s="399">
        <f>'Load pivot'!G17</f>
        <v>3.8876283954260661E-2</v>
      </c>
      <c r="J117" s="399">
        <f>'Load pivot'!H17</f>
        <v>8.4927926455932501E-2</v>
      </c>
      <c r="K117" s="399">
        <f>'Load pivot'!I17</f>
        <v>8.6253943411391948E-2</v>
      </c>
      <c r="L117" s="399">
        <f>'Load pivot'!J17</f>
        <v>4.6028063651486484E-2</v>
      </c>
      <c r="M117" s="399">
        <f>'Load pivot'!K17</f>
        <v>2.5319561560282464E-2</v>
      </c>
      <c r="N117" s="399">
        <f>'Load pivot'!L17</f>
        <v>1.8868653158733317E-2</v>
      </c>
      <c r="O117" s="399">
        <f>'Load pivot'!M17</f>
        <v>1.8706164438820512E-2</v>
      </c>
      <c r="P117" s="399">
        <f>'Load pivot'!N17</f>
        <v>2.0101537820935812E-2</v>
      </c>
      <c r="Q117" s="399">
        <f>'Load pivot'!O17</f>
        <v>2.2678612418992394E-2</v>
      </c>
      <c r="R117" s="399">
        <f>'Load pivot'!P17</f>
        <v>2.7699651452030943E-2</v>
      </c>
      <c r="S117" s="399">
        <f>'Load pivot'!Q17</f>
        <v>3.5341627068691941E-2</v>
      </c>
      <c r="T117" s="399">
        <f>'Load pivot'!R17</f>
        <v>5.229439081899763E-2</v>
      </c>
      <c r="U117" s="399">
        <f>'Load pivot'!S17</f>
        <v>7.9847996393845919E-2</v>
      </c>
      <c r="V117" s="399">
        <f>'Load pivot'!T17</f>
        <v>9.059573281681646E-2</v>
      </c>
      <c r="W117" s="399">
        <f>'Load pivot'!U17</f>
        <v>9.0510192303288911E-2</v>
      </c>
      <c r="X117" s="399">
        <f>'Load pivot'!V17</f>
        <v>8.2608508182301948E-2</v>
      </c>
      <c r="Y117" s="399">
        <f>'Load pivot'!W17</f>
        <v>5.7276624522976223E-2</v>
      </c>
      <c r="Z117" s="399">
        <f>'Load pivot'!X17</f>
        <v>2.9166573001846646E-2</v>
      </c>
      <c r="AA117" s="399">
        <f>'Load pivot'!Y17</f>
        <v>1.6879829301370632E-2</v>
      </c>
    </row>
    <row r="118" spans="1:27" ht="12.6">
      <c r="A118" s="98" t="s">
        <v>286</v>
      </c>
      <c r="B118" s="66">
        <f t="shared" si="63"/>
        <v>2.0742936592037466</v>
      </c>
      <c r="C118" s="98" t="s">
        <v>58</v>
      </c>
      <c r="D118" s="400">
        <v>5.0000000000000001E-3</v>
      </c>
      <c r="E118" s="400">
        <v>5.0000000000000001E-3</v>
      </c>
      <c r="F118" s="400">
        <v>5.0000000000000001E-3</v>
      </c>
      <c r="G118" s="400">
        <v>5.0000000000000001E-3</v>
      </c>
      <c r="H118" s="400">
        <v>5.0000000000000001E-3</v>
      </c>
      <c r="I118" s="400">
        <v>5.0000000000000001E-3</v>
      </c>
      <c r="J118" s="400">
        <v>5.0000000000000001E-3</v>
      </c>
      <c r="K118" s="400">
        <v>5.0000000000000001E-3</v>
      </c>
      <c r="L118" s="400">
        <v>2.5000000000000001E-2</v>
      </c>
      <c r="M118" s="400">
        <v>0.06</v>
      </c>
      <c r="N118" s="399">
        <v>0.18</v>
      </c>
      <c r="O118" s="399">
        <v>0.23</v>
      </c>
      <c r="P118" s="399">
        <v>0.24</v>
      </c>
      <c r="Q118" s="399">
        <v>0.13</v>
      </c>
      <c r="R118" s="399">
        <v>0.05</v>
      </c>
      <c r="S118" s="400">
        <v>5.0000000000000001E-3</v>
      </c>
      <c r="T118" s="400">
        <v>5.0000000000000001E-3</v>
      </c>
      <c r="U118" s="400">
        <v>5.0000000000000001E-3</v>
      </c>
      <c r="V118" s="400">
        <v>5.0000000000000001E-3</v>
      </c>
      <c r="W118" s="400">
        <v>5.0000000000000001E-3</v>
      </c>
      <c r="X118" s="400">
        <v>5.0000000000000001E-3</v>
      </c>
      <c r="Y118" s="400">
        <v>5.0000000000000001E-3</v>
      </c>
      <c r="Z118" s="400">
        <v>5.0000000000000001E-3</v>
      </c>
      <c r="AA118" s="400">
        <v>5.0000000000000001E-3</v>
      </c>
    </row>
    <row r="119" spans="1:27" ht="12.6">
      <c r="A119" s="98" t="s">
        <v>286</v>
      </c>
      <c r="B119" s="66">
        <f t="shared" si="63"/>
        <v>1.6267370084562933</v>
      </c>
      <c r="C119" s="98" t="s">
        <v>186</v>
      </c>
      <c r="D119" s="400">
        <v>3.1733190154069318E-3</v>
      </c>
      <c r="E119" s="400">
        <v>2.3685018667979636E-3</v>
      </c>
      <c r="F119" s="400">
        <v>2.1753117657400596E-3</v>
      </c>
      <c r="G119" s="400">
        <v>2.1721387862721946E-3</v>
      </c>
      <c r="H119" s="400">
        <v>2.4332947107109978E-3</v>
      </c>
      <c r="I119" s="400">
        <v>5.4459617852657821E-3</v>
      </c>
      <c r="J119" s="400">
        <v>1.3932263233202107E-2</v>
      </c>
      <c r="K119" s="400">
        <v>1.7967550284244512E-2</v>
      </c>
      <c r="L119" s="400">
        <v>1.8868322820521595E-2</v>
      </c>
      <c r="M119" s="400">
        <v>2.1946191368292428E-2</v>
      </c>
      <c r="N119" s="400">
        <v>2.9217129899659782E-2</v>
      </c>
      <c r="O119" s="400">
        <v>3.7629536442030626E-2</v>
      </c>
      <c r="P119" s="400">
        <v>3.4801669528378522E-2</v>
      </c>
      <c r="Q119" s="400">
        <v>3.0034020986934126E-2</v>
      </c>
      <c r="R119" s="400">
        <v>3.3085897279747908E-2</v>
      </c>
      <c r="S119" s="400">
        <v>7.5564377701639943E-2</v>
      </c>
      <c r="T119" s="400">
        <v>0.17850335995573033</v>
      </c>
      <c r="U119" s="400">
        <v>0.20402121439767668</v>
      </c>
      <c r="V119" s="400">
        <v>0.14851428176460918</v>
      </c>
      <c r="W119" s="400">
        <v>8.2715789181776495E-2</v>
      </c>
      <c r="X119" s="400">
        <v>3.2105972056269201E-2</v>
      </c>
      <c r="Y119" s="400">
        <v>1.2490746354547604E-2</v>
      </c>
      <c r="Z119" s="400">
        <v>6.3312180769748696E-3</v>
      </c>
      <c r="AA119" s="400">
        <v>4.5019307375673209E-3</v>
      </c>
    </row>
    <row r="120" spans="1:27" ht="12.6">
      <c r="A120" s="98" t="s">
        <v>286</v>
      </c>
      <c r="B120" s="153">
        <f t="shared" si="63"/>
        <v>2.7032884185240347</v>
      </c>
      <c r="C120" s="98" t="s">
        <v>865</v>
      </c>
      <c r="D120" s="399">
        <v>0.03</v>
      </c>
      <c r="E120" s="399">
        <v>0.03</v>
      </c>
      <c r="F120" s="399">
        <v>0.03</v>
      </c>
      <c r="G120" s="399">
        <v>0.03</v>
      </c>
      <c r="H120" s="399">
        <v>0.03</v>
      </c>
      <c r="I120" s="399">
        <v>0.03</v>
      </c>
      <c r="J120" s="399">
        <v>0.03</v>
      </c>
      <c r="K120" s="399">
        <v>0.03</v>
      </c>
      <c r="L120" s="399">
        <v>0.04</v>
      </c>
      <c r="M120" s="399">
        <v>0.04</v>
      </c>
      <c r="N120" s="399">
        <v>7.0000000000000007E-2</v>
      </c>
      <c r="O120" s="399">
        <v>0.08</v>
      </c>
      <c r="P120" s="399">
        <v>0.1</v>
      </c>
      <c r="Q120" s="399">
        <v>0.08</v>
      </c>
      <c r="R120" s="399">
        <v>7.0000000000000007E-2</v>
      </c>
      <c r="S120" s="399">
        <v>0.03</v>
      </c>
      <c r="T120" s="399">
        <v>0.03</v>
      </c>
      <c r="U120" s="399">
        <v>0.03</v>
      </c>
      <c r="V120" s="399">
        <v>0.03</v>
      </c>
      <c r="W120" s="399">
        <v>0.03</v>
      </c>
      <c r="X120" s="399">
        <v>0.03</v>
      </c>
      <c r="Y120" s="399">
        <v>0.03</v>
      </c>
      <c r="Z120" s="399">
        <v>0.03</v>
      </c>
      <c r="AA120" s="399">
        <v>0.04</v>
      </c>
    </row>
    <row r="121" spans="1:27" ht="12.6">
      <c r="A121" s="98" t="s">
        <v>286</v>
      </c>
      <c r="B121" s="153">
        <f t="shared" si="63"/>
        <v>0.84912266835445693</v>
      </c>
      <c r="C121" s="98" t="s">
        <v>61</v>
      </c>
      <c r="D121" s="400">
        <v>1.1498996319204244E-2</v>
      </c>
      <c r="E121" s="400">
        <v>9.7177200066743408E-3</v>
      </c>
      <c r="F121" s="400">
        <v>9.4900414323932977E-3</v>
      </c>
      <c r="G121" s="400">
        <v>1.1398098170482188E-2</v>
      </c>
      <c r="H121" s="400">
        <v>2.322284308019126E-2</v>
      </c>
      <c r="I121" s="400">
        <v>5.431105902731883E-2</v>
      </c>
      <c r="J121" s="400">
        <v>6.7288894078135403E-2</v>
      </c>
      <c r="K121" s="400">
        <v>6.0657709157894868E-2</v>
      </c>
      <c r="L121" s="400">
        <v>4.045546338513932E-2</v>
      </c>
      <c r="M121" s="400">
        <v>3.3859017797073725E-2</v>
      </c>
      <c r="N121" s="400">
        <v>3.2019857796627353E-2</v>
      </c>
      <c r="O121" s="400">
        <v>3.0518373001849793E-2</v>
      </c>
      <c r="P121" s="400">
        <v>2.9459345399330004E-2</v>
      </c>
      <c r="Q121" s="400">
        <v>2.6964923317639555E-2</v>
      </c>
      <c r="R121" s="400">
        <v>2.7520744221015466E-2</v>
      </c>
      <c r="S121" s="400">
        <v>2.98569936094694E-2</v>
      </c>
      <c r="T121" s="400">
        <v>4.0136800417913995E-2</v>
      </c>
      <c r="U121" s="400">
        <v>7.0451254965652466E-2</v>
      </c>
      <c r="V121" s="400">
        <v>9.2783484585953369E-2</v>
      </c>
      <c r="W121" s="400">
        <v>9.3226274567140083E-2</v>
      </c>
      <c r="X121" s="400">
        <v>8.4741669080887386E-2</v>
      </c>
      <c r="Y121" s="400">
        <v>6.5859872587601884E-2</v>
      </c>
      <c r="Z121" s="400">
        <v>3.6279646455929612E-2</v>
      </c>
      <c r="AA121" s="400">
        <v>1.8280917538479227E-2</v>
      </c>
    </row>
    <row r="122" spans="1:27" ht="12.6">
      <c r="A122" s="98" t="s">
        <v>286</v>
      </c>
      <c r="B122" s="153">
        <f t="shared" si="63"/>
        <v>3.2514819678572349</v>
      </c>
      <c r="C122" s="98" t="s">
        <v>63</v>
      </c>
      <c r="D122" s="399">
        <v>0.03</v>
      </c>
      <c r="E122" s="399">
        <v>0.03</v>
      </c>
      <c r="F122" s="399">
        <v>0.03</v>
      </c>
      <c r="G122" s="399">
        <v>0.03</v>
      </c>
      <c r="H122" s="399">
        <v>0.03</v>
      </c>
      <c r="I122" s="399">
        <v>0.03</v>
      </c>
      <c r="J122" s="399">
        <v>0.03</v>
      </c>
      <c r="K122" s="399">
        <v>0.03</v>
      </c>
      <c r="L122" s="399">
        <v>0.04</v>
      </c>
      <c r="M122" s="399">
        <v>0.04</v>
      </c>
      <c r="N122" s="399">
        <v>7.0000000000000007E-2</v>
      </c>
      <c r="O122" s="399">
        <v>0.08</v>
      </c>
      <c r="P122" s="399">
        <v>0.1</v>
      </c>
      <c r="Q122" s="399">
        <v>0.08</v>
      </c>
      <c r="R122" s="399">
        <v>7.0000000000000007E-2</v>
      </c>
      <c r="S122" s="399">
        <v>0.03</v>
      </c>
      <c r="T122" s="399">
        <v>0.03</v>
      </c>
      <c r="U122" s="399">
        <v>0.03</v>
      </c>
      <c r="V122" s="399">
        <v>0.03</v>
      </c>
      <c r="W122" s="399">
        <v>0.03</v>
      </c>
      <c r="X122" s="399">
        <v>0.03</v>
      </c>
      <c r="Y122" s="399">
        <v>0.03</v>
      </c>
      <c r="Z122" s="399">
        <v>0.03</v>
      </c>
      <c r="AA122" s="399">
        <v>0.04</v>
      </c>
    </row>
    <row r="123" spans="1:27" ht="12.6">
      <c r="A123" s="98" t="s">
        <v>286</v>
      </c>
      <c r="B123" s="152">
        <f t="shared" ca="1" si="63"/>
        <v>14.447705103621075</v>
      </c>
      <c r="C123" s="98" t="s">
        <v>914</v>
      </c>
      <c r="D123" s="399">
        <v>0</v>
      </c>
      <c r="E123" s="399">
        <v>0</v>
      </c>
      <c r="F123" s="399">
        <v>0</v>
      </c>
      <c r="G123" s="399">
        <v>0</v>
      </c>
      <c r="H123" s="399">
        <v>0</v>
      </c>
      <c r="I123" s="399">
        <v>0</v>
      </c>
      <c r="J123" s="399">
        <v>0</v>
      </c>
      <c r="K123" s="399">
        <v>0</v>
      </c>
      <c r="L123" s="399">
        <v>0</v>
      </c>
      <c r="M123" s="399">
        <v>0.05</v>
      </c>
      <c r="N123" s="399">
        <v>0.08</v>
      </c>
      <c r="O123" s="399">
        <v>0.16</v>
      </c>
      <c r="P123" s="399">
        <v>0.19</v>
      </c>
      <c r="Q123" s="399">
        <v>0.21</v>
      </c>
      <c r="R123" s="399">
        <v>0.21</v>
      </c>
      <c r="S123" s="399">
        <v>0.08</v>
      </c>
      <c r="T123" s="399">
        <v>0.01</v>
      </c>
      <c r="U123" s="399">
        <v>0.01</v>
      </c>
      <c r="V123" s="399">
        <v>0</v>
      </c>
      <c r="W123" s="399">
        <v>0</v>
      </c>
      <c r="X123" s="399">
        <v>0</v>
      </c>
      <c r="Y123" s="399">
        <v>0</v>
      </c>
      <c r="Z123" s="399">
        <v>0</v>
      </c>
      <c r="AA123" s="399">
        <v>0</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E06666"/>
    <outlinePr summaryBelow="0" summaryRight="0"/>
  </sheetPr>
  <dimension ref="A2:Z45"/>
  <sheetViews>
    <sheetView showGridLines="0" zoomScaleNormal="100" workbookViewId="0">
      <selection activeCell="K103" sqref="K103"/>
    </sheetView>
  </sheetViews>
  <sheetFormatPr defaultColWidth="12.5703125" defaultRowHeight="15.75" customHeight="1"/>
  <sheetData>
    <row r="2" spans="1:26" ht="15.75" customHeight="1">
      <c r="A2" s="10" t="s">
        <v>1517</v>
      </c>
      <c r="B2" s="10" t="s">
        <v>1537</v>
      </c>
      <c r="C2" s="10" t="s">
        <v>1538</v>
      </c>
      <c r="D2" s="10" t="s">
        <v>1539</v>
      </c>
      <c r="E2" s="10" t="s">
        <v>1540</v>
      </c>
      <c r="F2" s="10" t="s">
        <v>1541</v>
      </c>
      <c r="G2" s="10" t="s">
        <v>1542</v>
      </c>
      <c r="H2" s="10" t="s">
        <v>1543</v>
      </c>
      <c r="I2" s="10" t="s">
        <v>1544</v>
      </c>
      <c r="J2" s="10" t="s">
        <v>1545</v>
      </c>
      <c r="K2" s="10" t="s">
        <v>1546</v>
      </c>
      <c r="L2" s="10" t="s">
        <v>1547</v>
      </c>
      <c r="M2" s="10" t="s">
        <v>1548</v>
      </c>
      <c r="N2" s="10" t="s">
        <v>1549</v>
      </c>
      <c r="O2" s="10" t="s">
        <v>1550</v>
      </c>
      <c r="P2" s="10" t="s">
        <v>1551</v>
      </c>
      <c r="Q2" s="10" t="s">
        <v>1552</v>
      </c>
      <c r="R2" s="10" t="s">
        <v>1553</v>
      </c>
      <c r="S2" s="10" t="s">
        <v>1554</v>
      </c>
      <c r="T2" s="10" t="s">
        <v>1555</v>
      </c>
      <c r="U2" s="10" t="s">
        <v>1556</v>
      </c>
      <c r="V2" s="10" t="s">
        <v>1557</v>
      </c>
      <c r="W2" s="10" t="s">
        <v>1558</v>
      </c>
      <c r="X2" s="10" t="s">
        <v>1559</v>
      </c>
      <c r="Y2" s="10" t="s">
        <v>1560</v>
      </c>
    </row>
    <row r="3" spans="1:26" ht="15.75" customHeight="1">
      <c r="A3" s="390" t="s">
        <v>186</v>
      </c>
      <c r="B3" s="135">
        <v>3.1733190154069318E-3</v>
      </c>
      <c r="C3" s="135">
        <v>2.3685018667979636E-3</v>
      </c>
      <c r="D3" s="135">
        <v>2.1753117657400596E-3</v>
      </c>
      <c r="E3" s="135">
        <v>2.1721387862721946E-3</v>
      </c>
      <c r="F3" s="135">
        <v>2.4332947107109978E-3</v>
      </c>
      <c r="G3" s="135">
        <v>5.4459617852657821E-3</v>
      </c>
      <c r="H3" s="135">
        <v>1.3932263233202107E-2</v>
      </c>
      <c r="I3" s="135">
        <v>1.7967550284244512E-2</v>
      </c>
      <c r="J3" s="135">
        <v>1.8868322820521595E-2</v>
      </c>
      <c r="K3" s="135">
        <v>2.1946191368292428E-2</v>
      </c>
      <c r="L3" s="135">
        <v>2.9217129899659782E-2</v>
      </c>
      <c r="M3" s="135">
        <v>3.7629536442030626E-2</v>
      </c>
      <c r="N3" s="135">
        <v>3.4801669528378522E-2</v>
      </c>
      <c r="O3" s="135">
        <v>3.0034020986934126E-2</v>
      </c>
      <c r="P3" s="135">
        <v>3.3085897279747908E-2</v>
      </c>
      <c r="Q3" s="135">
        <v>7.5564377701639943E-2</v>
      </c>
      <c r="R3" s="135">
        <v>0.17850335995573033</v>
      </c>
      <c r="S3" s="135">
        <v>0.20402121439767668</v>
      </c>
      <c r="T3" s="135">
        <v>0.14851428176460918</v>
      </c>
      <c r="U3" s="135">
        <v>8.2715789181776495E-2</v>
      </c>
      <c r="V3" s="135">
        <v>3.2105972056269201E-2</v>
      </c>
      <c r="W3" s="135">
        <v>1.2490746354547604E-2</v>
      </c>
      <c r="X3" s="135">
        <v>6.3312180769748696E-3</v>
      </c>
      <c r="Y3" s="135">
        <v>4.5019307375673209E-3</v>
      </c>
    </row>
    <row r="4" spans="1:26" ht="15.75" customHeight="1">
      <c r="A4" s="390" t="s">
        <v>61</v>
      </c>
      <c r="B4" s="135">
        <v>1.1498996319204244E-2</v>
      </c>
      <c r="C4" s="135">
        <v>9.7177200066743408E-3</v>
      </c>
      <c r="D4" s="135">
        <v>9.4900414323932977E-3</v>
      </c>
      <c r="E4" s="135">
        <v>1.1398098170482188E-2</v>
      </c>
      <c r="F4" s="135">
        <v>2.322284308019126E-2</v>
      </c>
      <c r="G4" s="135">
        <v>5.431105902731883E-2</v>
      </c>
      <c r="H4" s="135">
        <v>6.7288894078135403E-2</v>
      </c>
      <c r="I4" s="135">
        <v>6.0657709157894868E-2</v>
      </c>
      <c r="J4" s="135">
        <v>4.045546338513932E-2</v>
      </c>
      <c r="K4" s="135">
        <v>3.3859017797073725E-2</v>
      </c>
      <c r="L4" s="135">
        <v>3.2019857796627353E-2</v>
      </c>
      <c r="M4" s="135">
        <v>3.0518373001849793E-2</v>
      </c>
      <c r="N4" s="135">
        <v>2.9459345399330004E-2</v>
      </c>
      <c r="O4" s="135">
        <v>2.6964923317639555E-2</v>
      </c>
      <c r="P4" s="135">
        <v>2.7520744221015466E-2</v>
      </c>
      <c r="Q4" s="135">
        <v>2.98569936094694E-2</v>
      </c>
      <c r="R4" s="135">
        <v>4.0136800417913995E-2</v>
      </c>
      <c r="S4" s="135">
        <v>7.0451254965652466E-2</v>
      </c>
      <c r="T4" s="135">
        <v>9.2783484585953369E-2</v>
      </c>
      <c r="U4" s="135">
        <v>9.3226274567140083E-2</v>
      </c>
      <c r="V4" s="135">
        <v>8.4741669080887386E-2</v>
      </c>
      <c r="W4" s="135">
        <v>6.5859872587601884E-2</v>
      </c>
      <c r="X4" s="135">
        <v>3.6279646455929612E-2</v>
      </c>
      <c r="Y4" s="135">
        <v>1.8280917538479227E-2</v>
      </c>
    </row>
    <row r="5" spans="1:26" ht="15.75" customHeight="1">
      <c r="A5" s="390" t="s">
        <v>63</v>
      </c>
      <c r="B5" s="135">
        <v>2.8397353675153073E-2</v>
      </c>
      <c r="C5" s="135">
        <v>2.6287239219203888E-2</v>
      </c>
      <c r="D5" s="135">
        <v>2.5488911193991045E-2</v>
      </c>
      <c r="E5" s="135">
        <v>2.4926946277564033E-2</v>
      </c>
      <c r="F5" s="135">
        <v>2.5260398332836911E-2</v>
      </c>
      <c r="G5" s="135">
        <v>2.6740444048806485E-2</v>
      </c>
      <c r="H5" s="135">
        <v>3.5487454643576437E-2</v>
      </c>
      <c r="I5" s="135">
        <v>4.1460270433562041E-2</v>
      </c>
      <c r="J5" s="135">
        <v>3.9966521499388119E-2</v>
      </c>
      <c r="K5" s="135">
        <v>4.0149838270929508E-2</v>
      </c>
      <c r="L5" s="135">
        <v>4.3147832996263992E-2</v>
      </c>
      <c r="M5" s="135">
        <v>4.4876707720812738E-2</v>
      </c>
      <c r="N5" s="135">
        <v>4.6124504837127774E-2</v>
      </c>
      <c r="O5" s="135">
        <v>4.698963585051117E-2</v>
      </c>
      <c r="P5" s="135">
        <v>4.6720905115559687E-2</v>
      </c>
      <c r="Q5" s="135">
        <v>4.5522948868935632E-2</v>
      </c>
      <c r="R5" s="135">
        <v>4.4963000223017364E-2</v>
      </c>
      <c r="S5" s="135">
        <v>5.0054599625760733E-2</v>
      </c>
      <c r="T5" s="135">
        <v>5.7544549256091371E-2</v>
      </c>
      <c r="U5" s="135">
        <v>6.4881242904488184E-2</v>
      </c>
      <c r="V5" s="135">
        <v>6.4927432381172309E-2</v>
      </c>
      <c r="W5" s="135">
        <v>5.5692099480316573E-2</v>
      </c>
      <c r="X5" s="135">
        <v>4.1995498380222061E-2</v>
      </c>
      <c r="Y5" s="135">
        <v>3.2393664764707286E-2</v>
      </c>
    </row>
    <row r="6" spans="1:26" ht="15.75" customHeight="1">
      <c r="A6" s="390" t="s">
        <v>1516</v>
      </c>
      <c r="B6" s="135">
        <v>1.3214921605124675E-2</v>
      </c>
      <c r="C6" s="135">
        <v>1.2700821678140489E-2</v>
      </c>
      <c r="D6" s="135">
        <v>1.306989608191062E-2</v>
      </c>
      <c r="E6" s="135">
        <v>1.4386142259696141E-2</v>
      </c>
      <c r="F6" s="135">
        <v>2.2646345642123759E-2</v>
      </c>
      <c r="G6" s="135">
        <v>3.8876283954260661E-2</v>
      </c>
      <c r="H6" s="135">
        <v>8.4927926455932501E-2</v>
      </c>
      <c r="I6" s="135">
        <v>8.6253943411391948E-2</v>
      </c>
      <c r="J6" s="135">
        <v>4.6028063651486484E-2</v>
      </c>
      <c r="K6" s="135">
        <v>2.5319561560282464E-2</v>
      </c>
      <c r="L6" s="135">
        <v>1.8868653158733317E-2</v>
      </c>
      <c r="M6" s="135">
        <v>1.8706164438820512E-2</v>
      </c>
      <c r="N6" s="135">
        <v>2.0101537820935812E-2</v>
      </c>
      <c r="O6" s="135">
        <v>2.2678612418992394E-2</v>
      </c>
      <c r="P6" s="135">
        <v>2.7699651452030943E-2</v>
      </c>
      <c r="Q6" s="135">
        <v>3.5341627068691941E-2</v>
      </c>
      <c r="R6" s="135">
        <v>5.229439081899763E-2</v>
      </c>
      <c r="S6" s="135">
        <v>7.9847996393845919E-2</v>
      </c>
      <c r="T6" s="135">
        <v>9.059573281681646E-2</v>
      </c>
      <c r="U6" s="135">
        <v>9.0510192303288911E-2</v>
      </c>
      <c r="V6" s="135">
        <v>8.2608508182301948E-2</v>
      </c>
      <c r="W6" s="135">
        <v>5.7276624522976223E-2</v>
      </c>
      <c r="X6" s="135">
        <v>2.9166573001846646E-2</v>
      </c>
      <c r="Y6" s="135">
        <v>1.6879829301370632E-2</v>
      </c>
    </row>
    <row r="7" spans="1:26" ht="15.75" customHeight="1">
      <c r="A7" s="390" t="s">
        <v>58</v>
      </c>
      <c r="B7" s="135">
        <v>1.7188554987028572E-2</v>
      </c>
      <c r="C7" s="135">
        <v>1.6477805886895344E-2</v>
      </c>
      <c r="D7" s="135">
        <v>1.4742965693432114E-2</v>
      </c>
      <c r="E7" s="135">
        <v>1.9222299618299365E-2</v>
      </c>
      <c r="F7" s="135">
        <v>2.6950936416243382E-2</v>
      </c>
      <c r="G7" s="135">
        <v>3.753599759678989E-2</v>
      </c>
      <c r="H7" s="135">
        <v>6.6694044985697559E-2</v>
      </c>
      <c r="I7" s="135">
        <v>8.3439659586744555E-2</v>
      </c>
      <c r="J7" s="135">
        <v>6.4687427037687636E-2</v>
      </c>
      <c r="K7" s="135">
        <v>5.7211247629106579E-2</v>
      </c>
      <c r="L7" s="135">
        <v>5.6619497396088625E-2</v>
      </c>
      <c r="M7" s="135">
        <v>5.1054731971398641E-2</v>
      </c>
      <c r="N7" s="135">
        <v>4.1456840189838702E-2</v>
      </c>
      <c r="O7" s="135">
        <v>3.4058283063421874E-2</v>
      </c>
      <c r="P7" s="135">
        <v>2.9649245047195794E-2</v>
      </c>
      <c r="Q7" s="135">
        <v>3.1867656408815385E-2</v>
      </c>
      <c r="R7" s="135">
        <v>3.9223521674773193E-2</v>
      </c>
      <c r="S7" s="135">
        <v>5.2743815411512573E-2</v>
      </c>
      <c r="T7" s="135">
        <v>5.9077980195669656E-2</v>
      </c>
      <c r="U7" s="135">
        <v>5.4809886552791502E-2</v>
      </c>
      <c r="V7" s="135">
        <v>5.0561200953018436E-2</v>
      </c>
      <c r="W7" s="135">
        <v>4.3013492618638856E-2</v>
      </c>
      <c r="X7" s="135">
        <v>3.0317045753785177E-2</v>
      </c>
      <c r="Y7" s="135">
        <v>2.1395863325125775E-2</v>
      </c>
    </row>
    <row r="8" spans="1:26" ht="15.75" customHeight="1">
      <c r="A8" s="390" t="s">
        <v>865</v>
      </c>
      <c r="B8" s="135">
        <v>3.9204248799857434E-2</v>
      </c>
      <c r="C8" s="135">
        <v>3.4728640393022481E-2</v>
      </c>
      <c r="D8" s="135">
        <v>3.2901761365069497E-2</v>
      </c>
      <c r="E8" s="135">
        <v>3.2927911472064204E-2</v>
      </c>
      <c r="F8" s="135">
        <v>3.275321548082441E-2</v>
      </c>
      <c r="G8" s="135">
        <v>3.306245707916923E-2</v>
      </c>
      <c r="H8" s="135">
        <v>3.616918753380241E-2</v>
      </c>
      <c r="I8" s="135">
        <v>4.2183526716536565E-2</v>
      </c>
      <c r="J8" s="135">
        <v>4.6927679994722166E-2</v>
      </c>
      <c r="K8" s="135">
        <v>4.822753532132374E-2</v>
      </c>
      <c r="L8" s="135">
        <v>4.7998350104803689E-2</v>
      </c>
      <c r="M8" s="135">
        <v>4.5276821271661619E-2</v>
      </c>
      <c r="N8" s="135">
        <v>4.4229699245647874E-2</v>
      </c>
      <c r="O8" s="135">
        <v>4.3353039081230879E-2</v>
      </c>
      <c r="P8" s="135">
        <v>4.2633974305974993E-2</v>
      </c>
      <c r="Q8" s="135">
        <v>4.1934535994731938E-2</v>
      </c>
      <c r="R8" s="135">
        <v>4.1574024452179455E-2</v>
      </c>
      <c r="S8" s="135">
        <v>4.2047245906440343E-2</v>
      </c>
      <c r="T8" s="135">
        <v>4.3478231399864016E-2</v>
      </c>
      <c r="U8" s="135">
        <v>4.3873666005719389E-2</v>
      </c>
      <c r="V8" s="135">
        <v>4.8604078096952379E-2</v>
      </c>
      <c r="W8" s="135">
        <v>4.7560455072542675E-2</v>
      </c>
      <c r="X8" s="135">
        <v>4.4736200723432859E-2</v>
      </c>
      <c r="Y8" s="135">
        <v>4.3613514182424103E-2</v>
      </c>
    </row>
    <row r="9" spans="1:26" ht="15.75" customHeight="1">
      <c r="A9" s="10" t="s">
        <v>1561</v>
      </c>
      <c r="B9" s="135">
        <v>1.8779565733629364E-2</v>
      </c>
      <c r="C9" s="135">
        <v>1.7046788175122594E-2</v>
      </c>
      <c r="D9" s="135">
        <v>1.6311481255422599E-2</v>
      </c>
      <c r="E9" s="135">
        <v>1.7505589430729621E-2</v>
      </c>
      <c r="F9" s="135">
        <v>2.2211172277155029E-2</v>
      </c>
      <c r="G9" s="135">
        <v>3.26620339152685E-2</v>
      </c>
      <c r="H9" s="135">
        <v>5.0749961821723893E-2</v>
      </c>
      <c r="I9" s="135">
        <v>5.5327109931728916E-2</v>
      </c>
      <c r="J9" s="135">
        <v>4.2822246398157245E-2</v>
      </c>
      <c r="K9" s="135">
        <v>3.778556532450153E-2</v>
      </c>
      <c r="L9" s="135">
        <v>3.7978553558696788E-2</v>
      </c>
      <c r="M9" s="135">
        <v>3.8010389141095072E-2</v>
      </c>
      <c r="N9" s="135">
        <v>3.6028932836876332E-2</v>
      </c>
      <c r="O9" s="135">
        <v>3.4013085786455108E-2</v>
      </c>
      <c r="P9" s="135">
        <v>3.4551736236920996E-2</v>
      </c>
      <c r="Q9" s="135">
        <v>4.334802327538121E-2</v>
      </c>
      <c r="R9" s="135">
        <v>6.6115849590434886E-2</v>
      </c>
      <c r="S9" s="135">
        <v>8.3194354450146751E-2</v>
      </c>
      <c r="T9" s="135">
        <v>8.1999043336500502E-2</v>
      </c>
      <c r="U9" s="135">
        <v>7.1669508585866917E-2</v>
      </c>
      <c r="V9" s="135">
        <v>6.0591476791767691E-2</v>
      </c>
      <c r="W9" s="135">
        <v>4.698221510610405E-2</v>
      </c>
      <c r="X9" s="135">
        <v>3.1471030398698335E-2</v>
      </c>
      <c r="Y9" s="135">
        <v>2.2844286641612688E-2</v>
      </c>
    </row>
    <row r="10" spans="1:26" ht="12.95">
      <c r="A10" s="401" t="s">
        <v>827</v>
      </c>
      <c r="B10" s="402">
        <v>0.05</v>
      </c>
      <c r="C10" s="403">
        <v>0.08</v>
      </c>
      <c r="D10" s="404">
        <v>0.06</v>
      </c>
      <c r="E10" s="405">
        <v>0.04</v>
      </c>
      <c r="F10" s="406">
        <v>3.5000000000000003E-2</v>
      </c>
      <c r="G10" s="407">
        <v>2.5000000000000001E-2</v>
      </c>
      <c r="H10" s="408">
        <v>0.03</v>
      </c>
      <c r="I10" s="406">
        <v>3.5000000000000003E-2</v>
      </c>
      <c r="J10" s="405">
        <v>0.04</v>
      </c>
      <c r="K10" s="408">
        <v>0.03</v>
      </c>
      <c r="L10" s="407">
        <v>2.5000000000000001E-2</v>
      </c>
      <c r="M10" s="407">
        <v>2.5000000000000001E-2</v>
      </c>
      <c r="N10" s="408">
        <v>0.03</v>
      </c>
      <c r="O10" s="405">
        <v>0.04</v>
      </c>
      <c r="P10" s="409">
        <v>1.7999999999999999E-2</v>
      </c>
      <c r="Q10" s="409">
        <v>1.7999999999999999E-2</v>
      </c>
      <c r="R10" s="409">
        <v>1.7999999999999999E-2</v>
      </c>
      <c r="S10" s="410">
        <v>0.02</v>
      </c>
      <c r="T10" s="408">
        <v>0.03</v>
      </c>
      <c r="U10" s="411">
        <v>4.4999999999999998E-2</v>
      </c>
      <c r="V10" s="404">
        <v>0.06</v>
      </c>
      <c r="W10" s="412">
        <v>9.5000000000000001E-2</v>
      </c>
      <c r="X10" s="413">
        <v>8.5000000000000006E-2</v>
      </c>
      <c r="Y10" s="414">
        <v>6.6000000000000003E-2</v>
      </c>
    </row>
    <row r="13" spans="1:26" ht="15.75" customHeight="1">
      <c r="A13" s="9" t="s">
        <v>1536</v>
      </c>
      <c r="B13" s="9" t="str">
        <f t="shared" ref="B13:Y13" si="0">B2</f>
        <v>00:00</v>
      </c>
      <c r="C13" s="9" t="str">
        <f t="shared" si="0"/>
        <v>01:00</v>
      </c>
      <c r="D13" s="9" t="str">
        <f t="shared" si="0"/>
        <v>02:00</v>
      </c>
      <c r="E13" s="9" t="str">
        <f t="shared" si="0"/>
        <v>03:00</v>
      </c>
      <c r="F13" s="9" t="str">
        <f t="shared" si="0"/>
        <v>04:00</v>
      </c>
      <c r="G13" s="9" t="str">
        <f t="shared" si="0"/>
        <v>05:00</v>
      </c>
      <c r="H13" s="9" t="str">
        <f t="shared" si="0"/>
        <v>06:00</v>
      </c>
      <c r="I13" s="9" t="str">
        <f t="shared" si="0"/>
        <v>07:00</v>
      </c>
      <c r="J13" s="9" t="str">
        <f t="shared" si="0"/>
        <v>08:00</v>
      </c>
      <c r="K13" s="9" t="str">
        <f t="shared" si="0"/>
        <v>09:00</v>
      </c>
      <c r="L13" s="9" t="str">
        <f t="shared" si="0"/>
        <v>10:00</v>
      </c>
      <c r="M13" s="9" t="str">
        <f t="shared" si="0"/>
        <v>11:00</v>
      </c>
      <c r="N13" s="9" t="str">
        <f t="shared" si="0"/>
        <v>12:00</v>
      </c>
      <c r="O13" s="9" t="str">
        <f t="shared" si="0"/>
        <v>13:00</v>
      </c>
      <c r="P13" s="9" t="str">
        <f t="shared" si="0"/>
        <v>14:00</v>
      </c>
      <c r="Q13" s="9" t="str">
        <f t="shared" si="0"/>
        <v>15:00</v>
      </c>
      <c r="R13" s="9" t="str">
        <f t="shared" si="0"/>
        <v>16:00</v>
      </c>
      <c r="S13" s="9" t="str">
        <f t="shared" si="0"/>
        <v>17:00</v>
      </c>
      <c r="T13" s="9" t="str">
        <f t="shared" si="0"/>
        <v>18:00</v>
      </c>
      <c r="U13" s="9" t="str">
        <f t="shared" si="0"/>
        <v>19:00</v>
      </c>
      <c r="V13" s="9" t="str">
        <f t="shared" si="0"/>
        <v>20:00</v>
      </c>
      <c r="W13" s="9" t="str">
        <f t="shared" si="0"/>
        <v>21:00</v>
      </c>
      <c r="X13" s="9" t="str">
        <f t="shared" si="0"/>
        <v>22:00</v>
      </c>
      <c r="Y13" s="9" t="str">
        <f t="shared" si="0"/>
        <v>23:00</v>
      </c>
      <c r="Z13" s="9"/>
    </row>
    <row r="14" spans="1:26" ht="15.75" customHeight="1">
      <c r="A14" s="415" t="s">
        <v>186</v>
      </c>
      <c r="B14" s="55">
        <f t="shared" ref="B14:Y14" si="1">B3</f>
        <v>3.1733190154069318E-3</v>
      </c>
      <c r="C14" s="55">
        <f t="shared" si="1"/>
        <v>2.3685018667979636E-3</v>
      </c>
      <c r="D14" s="55">
        <f t="shared" si="1"/>
        <v>2.1753117657400596E-3</v>
      </c>
      <c r="E14" s="55">
        <f t="shared" si="1"/>
        <v>2.1721387862721946E-3</v>
      </c>
      <c r="F14" s="55">
        <f t="shared" si="1"/>
        <v>2.4332947107109978E-3</v>
      </c>
      <c r="G14" s="55">
        <f t="shared" si="1"/>
        <v>5.4459617852657821E-3</v>
      </c>
      <c r="H14" s="55">
        <f t="shared" si="1"/>
        <v>1.3932263233202107E-2</v>
      </c>
      <c r="I14" s="55">
        <f t="shared" si="1"/>
        <v>1.7967550284244512E-2</v>
      </c>
      <c r="J14" s="55">
        <f t="shared" si="1"/>
        <v>1.8868322820521595E-2</v>
      </c>
      <c r="K14" s="55">
        <f t="shared" si="1"/>
        <v>2.1946191368292428E-2</v>
      </c>
      <c r="L14" s="55">
        <f t="shared" si="1"/>
        <v>2.9217129899659782E-2</v>
      </c>
      <c r="M14" s="55">
        <f t="shared" si="1"/>
        <v>3.7629536442030626E-2</v>
      </c>
      <c r="N14" s="55">
        <f t="shared" si="1"/>
        <v>3.4801669528378522E-2</v>
      </c>
      <c r="O14" s="55">
        <f t="shared" si="1"/>
        <v>3.0034020986934126E-2</v>
      </c>
      <c r="P14" s="55">
        <f t="shared" si="1"/>
        <v>3.3085897279747908E-2</v>
      </c>
      <c r="Q14" s="55">
        <f t="shared" si="1"/>
        <v>7.5564377701639943E-2</v>
      </c>
      <c r="R14" s="55">
        <f t="shared" si="1"/>
        <v>0.17850335995573033</v>
      </c>
      <c r="S14" s="55">
        <f t="shared" si="1"/>
        <v>0.20402121439767668</v>
      </c>
      <c r="T14" s="55">
        <f t="shared" si="1"/>
        <v>0.14851428176460918</v>
      </c>
      <c r="U14" s="55">
        <f t="shared" si="1"/>
        <v>8.2715789181776495E-2</v>
      </c>
      <c r="V14" s="55">
        <f t="shared" si="1"/>
        <v>3.2105972056269201E-2</v>
      </c>
      <c r="W14" s="55">
        <f t="shared" si="1"/>
        <v>1.2490746354547604E-2</v>
      </c>
      <c r="X14" s="55">
        <f t="shared" si="1"/>
        <v>6.3312180769748696E-3</v>
      </c>
      <c r="Y14" s="55">
        <f t="shared" si="1"/>
        <v>4.5019307375673209E-3</v>
      </c>
      <c r="Z14" s="55">
        <f t="shared" ref="Z14:Z20" si="2">SUM(B14:Y14)</f>
        <v>0.99999999999999711</v>
      </c>
    </row>
    <row r="15" spans="1:26" ht="15.75" customHeight="1">
      <c r="A15" s="415" t="s">
        <v>61</v>
      </c>
      <c r="B15" s="55">
        <f t="shared" ref="B15:Y15" si="3">B4</f>
        <v>1.1498996319204244E-2</v>
      </c>
      <c r="C15" s="55">
        <f t="shared" si="3"/>
        <v>9.7177200066743408E-3</v>
      </c>
      <c r="D15" s="55">
        <f t="shared" si="3"/>
        <v>9.4900414323932977E-3</v>
      </c>
      <c r="E15" s="55">
        <f t="shared" si="3"/>
        <v>1.1398098170482188E-2</v>
      </c>
      <c r="F15" s="55">
        <f t="shared" si="3"/>
        <v>2.322284308019126E-2</v>
      </c>
      <c r="G15" s="55">
        <f t="shared" si="3"/>
        <v>5.431105902731883E-2</v>
      </c>
      <c r="H15" s="55">
        <f t="shared" si="3"/>
        <v>6.7288894078135403E-2</v>
      </c>
      <c r="I15" s="55">
        <f t="shared" si="3"/>
        <v>6.0657709157894868E-2</v>
      </c>
      <c r="J15" s="55">
        <f t="shared" si="3"/>
        <v>4.045546338513932E-2</v>
      </c>
      <c r="K15" s="55">
        <f t="shared" si="3"/>
        <v>3.3859017797073725E-2</v>
      </c>
      <c r="L15" s="55">
        <f t="shared" si="3"/>
        <v>3.2019857796627353E-2</v>
      </c>
      <c r="M15" s="55">
        <f t="shared" si="3"/>
        <v>3.0518373001849793E-2</v>
      </c>
      <c r="N15" s="55">
        <f t="shared" si="3"/>
        <v>2.9459345399330004E-2</v>
      </c>
      <c r="O15" s="55">
        <f t="shared" si="3"/>
        <v>2.6964923317639555E-2</v>
      </c>
      <c r="P15" s="55">
        <f t="shared" si="3"/>
        <v>2.7520744221015466E-2</v>
      </c>
      <c r="Q15" s="55">
        <f t="shared" si="3"/>
        <v>2.98569936094694E-2</v>
      </c>
      <c r="R15" s="55">
        <f t="shared" si="3"/>
        <v>4.0136800417913995E-2</v>
      </c>
      <c r="S15" s="55">
        <f t="shared" si="3"/>
        <v>7.0451254965652466E-2</v>
      </c>
      <c r="T15" s="55">
        <f t="shared" si="3"/>
        <v>9.2783484585953369E-2</v>
      </c>
      <c r="U15" s="55">
        <f t="shared" si="3"/>
        <v>9.3226274567140083E-2</v>
      </c>
      <c r="V15" s="55">
        <f t="shared" si="3"/>
        <v>8.4741669080887386E-2</v>
      </c>
      <c r="W15" s="55">
        <f t="shared" si="3"/>
        <v>6.5859872587601884E-2</v>
      </c>
      <c r="X15" s="55">
        <f t="shared" si="3"/>
        <v>3.6279646455929612E-2</v>
      </c>
      <c r="Y15" s="55">
        <f t="shared" si="3"/>
        <v>1.8280917538479227E-2</v>
      </c>
      <c r="Z15" s="55">
        <f t="shared" si="2"/>
        <v>0.99999999999999711</v>
      </c>
    </row>
    <row r="16" spans="1:26" ht="15.75" customHeight="1">
      <c r="A16" s="415" t="s">
        <v>63</v>
      </c>
      <c r="B16" s="56">
        <v>0.03</v>
      </c>
      <c r="C16" s="56">
        <v>0.03</v>
      </c>
      <c r="D16" s="56">
        <v>0.03</v>
      </c>
      <c r="E16" s="56">
        <v>0.03</v>
      </c>
      <c r="F16" s="56">
        <v>0.03</v>
      </c>
      <c r="G16" s="56">
        <v>0.03</v>
      </c>
      <c r="H16" s="56">
        <v>0.03</v>
      </c>
      <c r="I16" s="56">
        <v>0.03</v>
      </c>
      <c r="J16" s="56">
        <v>0.04</v>
      </c>
      <c r="K16" s="56">
        <v>0.04</v>
      </c>
      <c r="L16" s="56">
        <v>7.0000000000000007E-2</v>
      </c>
      <c r="M16" s="56">
        <v>0.08</v>
      </c>
      <c r="N16" s="56">
        <v>0.1</v>
      </c>
      <c r="O16" s="56">
        <v>0.08</v>
      </c>
      <c r="P16" s="56">
        <v>7.0000000000000007E-2</v>
      </c>
      <c r="Q16" s="56">
        <v>0.03</v>
      </c>
      <c r="R16" s="56">
        <v>0.03</v>
      </c>
      <c r="S16" s="56">
        <v>0.03</v>
      </c>
      <c r="T16" s="56">
        <v>0.03</v>
      </c>
      <c r="U16" s="56">
        <v>0.03</v>
      </c>
      <c r="V16" s="56">
        <v>0.03</v>
      </c>
      <c r="W16" s="56">
        <v>0.03</v>
      </c>
      <c r="X16" s="56">
        <v>0.03</v>
      </c>
      <c r="Y16" s="56">
        <v>0.04</v>
      </c>
      <c r="Z16" s="56">
        <f t="shared" si="2"/>
        <v>1.0000000000000002</v>
      </c>
    </row>
    <row r="17" spans="1:26" ht="15.75" customHeight="1">
      <c r="A17" s="415" t="s">
        <v>1516</v>
      </c>
      <c r="B17" s="56">
        <f t="shared" ref="B17:Y17" si="4">B6</f>
        <v>1.3214921605124675E-2</v>
      </c>
      <c r="C17" s="56">
        <f t="shared" si="4"/>
        <v>1.2700821678140489E-2</v>
      </c>
      <c r="D17" s="56">
        <f t="shared" si="4"/>
        <v>1.306989608191062E-2</v>
      </c>
      <c r="E17" s="56">
        <f t="shared" si="4"/>
        <v>1.4386142259696141E-2</v>
      </c>
      <c r="F17" s="56">
        <f t="shared" si="4"/>
        <v>2.2646345642123759E-2</v>
      </c>
      <c r="G17" s="56">
        <f t="shared" si="4"/>
        <v>3.8876283954260661E-2</v>
      </c>
      <c r="H17" s="56">
        <f t="shared" si="4"/>
        <v>8.4927926455932501E-2</v>
      </c>
      <c r="I17" s="56">
        <f t="shared" si="4"/>
        <v>8.6253943411391948E-2</v>
      </c>
      <c r="J17" s="56">
        <f t="shared" si="4"/>
        <v>4.6028063651486484E-2</v>
      </c>
      <c r="K17" s="56">
        <f t="shared" si="4"/>
        <v>2.5319561560282464E-2</v>
      </c>
      <c r="L17" s="56">
        <f t="shared" si="4"/>
        <v>1.8868653158733317E-2</v>
      </c>
      <c r="M17" s="56">
        <f t="shared" si="4"/>
        <v>1.8706164438820512E-2</v>
      </c>
      <c r="N17" s="56">
        <f t="shared" si="4"/>
        <v>2.0101537820935812E-2</v>
      </c>
      <c r="O17" s="56">
        <f t="shared" si="4"/>
        <v>2.2678612418992394E-2</v>
      </c>
      <c r="P17" s="56">
        <f t="shared" si="4"/>
        <v>2.7699651452030943E-2</v>
      </c>
      <c r="Q17" s="56">
        <f t="shared" si="4"/>
        <v>3.5341627068691941E-2</v>
      </c>
      <c r="R17" s="56">
        <f t="shared" si="4"/>
        <v>5.229439081899763E-2</v>
      </c>
      <c r="S17" s="56">
        <f t="shared" si="4"/>
        <v>7.9847996393845919E-2</v>
      </c>
      <c r="T17" s="56">
        <f t="shared" si="4"/>
        <v>9.059573281681646E-2</v>
      </c>
      <c r="U17" s="56">
        <f t="shared" si="4"/>
        <v>9.0510192303288911E-2</v>
      </c>
      <c r="V17" s="56">
        <f t="shared" si="4"/>
        <v>8.2608508182301948E-2</v>
      </c>
      <c r="W17" s="56">
        <f t="shared" si="4"/>
        <v>5.7276624522976223E-2</v>
      </c>
      <c r="X17" s="56">
        <f t="shared" si="4"/>
        <v>2.9166573001846646E-2</v>
      </c>
      <c r="Y17" s="56">
        <f t="shared" si="4"/>
        <v>1.6879829301370632E-2</v>
      </c>
      <c r="Z17" s="56">
        <f t="shared" si="2"/>
        <v>0.99999999999999911</v>
      </c>
    </row>
    <row r="18" spans="1:26" ht="15.75" customHeight="1">
      <c r="A18" s="415" t="s">
        <v>58</v>
      </c>
      <c r="B18" s="55">
        <v>5.0000000000000001E-3</v>
      </c>
      <c r="C18" s="55">
        <v>5.0000000000000001E-3</v>
      </c>
      <c r="D18" s="55">
        <v>5.0000000000000001E-3</v>
      </c>
      <c r="E18" s="55">
        <v>5.0000000000000001E-3</v>
      </c>
      <c r="F18" s="55">
        <v>5.0000000000000001E-3</v>
      </c>
      <c r="G18" s="55">
        <v>5.0000000000000001E-3</v>
      </c>
      <c r="H18" s="55">
        <v>5.0000000000000001E-3</v>
      </c>
      <c r="I18" s="55">
        <v>5.0000000000000001E-3</v>
      </c>
      <c r="J18" s="55">
        <v>2.5000000000000001E-2</v>
      </c>
      <c r="K18" s="55">
        <v>0.06</v>
      </c>
      <c r="L18" s="56">
        <v>0.18</v>
      </c>
      <c r="M18" s="56">
        <v>0.23</v>
      </c>
      <c r="N18" s="56">
        <v>0.24</v>
      </c>
      <c r="O18" s="56">
        <v>0.13</v>
      </c>
      <c r="P18" s="56">
        <v>0.05</v>
      </c>
      <c r="Q18" s="55">
        <v>5.0000000000000001E-3</v>
      </c>
      <c r="R18" s="55">
        <v>5.0000000000000001E-3</v>
      </c>
      <c r="S18" s="55">
        <v>5.0000000000000001E-3</v>
      </c>
      <c r="T18" s="55">
        <v>5.0000000000000001E-3</v>
      </c>
      <c r="U18" s="55">
        <v>5.0000000000000001E-3</v>
      </c>
      <c r="V18" s="55">
        <v>5.0000000000000001E-3</v>
      </c>
      <c r="W18" s="55">
        <v>5.0000000000000001E-3</v>
      </c>
      <c r="X18" s="55">
        <v>5.0000000000000001E-3</v>
      </c>
      <c r="Y18" s="55">
        <v>5.0000000000000001E-3</v>
      </c>
      <c r="Z18" s="55">
        <f t="shared" si="2"/>
        <v>1</v>
      </c>
    </row>
    <row r="19" spans="1:26" ht="15.75" customHeight="1">
      <c r="A19" s="415" t="s">
        <v>865</v>
      </c>
      <c r="B19" s="56">
        <v>0.03</v>
      </c>
      <c r="C19" s="56">
        <v>0.03</v>
      </c>
      <c r="D19" s="56">
        <v>0.03</v>
      </c>
      <c r="E19" s="56">
        <v>0.03</v>
      </c>
      <c r="F19" s="56">
        <v>0.03</v>
      </c>
      <c r="G19" s="56">
        <v>0.03</v>
      </c>
      <c r="H19" s="56">
        <v>0.03</v>
      </c>
      <c r="I19" s="56">
        <v>0.03</v>
      </c>
      <c r="J19" s="56">
        <v>0.04</v>
      </c>
      <c r="K19" s="56">
        <v>0.04</v>
      </c>
      <c r="L19" s="56">
        <v>7.0000000000000007E-2</v>
      </c>
      <c r="M19" s="56">
        <v>0.08</v>
      </c>
      <c r="N19" s="56">
        <v>0.1</v>
      </c>
      <c r="O19" s="56">
        <v>0.08</v>
      </c>
      <c r="P19" s="56">
        <v>7.0000000000000007E-2</v>
      </c>
      <c r="Q19" s="56">
        <v>0.03</v>
      </c>
      <c r="R19" s="56">
        <v>0.03</v>
      </c>
      <c r="S19" s="56">
        <v>0.03</v>
      </c>
      <c r="T19" s="56">
        <v>0.03</v>
      </c>
      <c r="U19" s="56">
        <v>0.03</v>
      </c>
      <c r="V19" s="56">
        <v>0.03</v>
      </c>
      <c r="W19" s="56">
        <v>0.03</v>
      </c>
      <c r="X19" s="56">
        <v>0.03</v>
      </c>
      <c r="Y19" s="56">
        <v>0.04</v>
      </c>
      <c r="Z19" s="56">
        <f t="shared" si="2"/>
        <v>1.0000000000000002</v>
      </c>
    </row>
    <row r="20" spans="1:26" ht="15.75" customHeight="1">
      <c r="A20" s="9" t="s">
        <v>131</v>
      </c>
      <c r="B20" s="416">
        <f>'Solar usage'!D56</f>
        <v>0</v>
      </c>
      <c r="C20" s="416">
        <f>'Solar usage'!E56</f>
        <v>0</v>
      </c>
      <c r="D20" s="416">
        <f>'Solar usage'!F56</f>
        <v>0</v>
      </c>
      <c r="E20" s="416">
        <f>'Solar usage'!G56</f>
        <v>0</v>
      </c>
      <c r="F20" s="416">
        <f>'Solar usage'!H56</f>
        <v>0</v>
      </c>
      <c r="G20" s="416">
        <f>'Solar usage'!I56</f>
        <v>1.6999999999999999E-3</v>
      </c>
      <c r="H20" s="416">
        <f>'Solar usage'!J56</f>
        <v>1.2500000000000001E-2</v>
      </c>
      <c r="I20" s="416">
        <f>'Solar usage'!K56</f>
        <v>3.7400000000000003E-2</v>
      </c>
      <c r="J20" s="416">
        <f>'Solar usage'!L56</f>
        <v>7.3800000000000004E-2</v>
      </c>
      <c r="K20" s="416">
        <f>'Solar usage'!M56</f>
        <v>0.1046</v>
      </c>
      <c r="L20" s="416">
        <f>'Solar usage'!N56</f>
        <v>0.12670000000000001</v>
      </c>
      <c r="M20" s="416">
        <f>'Solar usage'!O56</f>
        <v>0.13769999999999999</v>
      </c>
      <c r="N20" s="416">
        <f>'Solar usage'!P56</f>
        <v>0.13730000000000001</v>
      </c>
      <c r="O20" s="416">
        <f>'Solar usage'!Q56</f>
        <v>0.12590000000000001</v>
      </c>
      <c r="P20" s="416">
        <f>'Solar usage'!R56</f>
        <v>0.1056</v>
      </c>
      <c r="Q20" s="416">
        <f>'Solar usage'!S56</f>
        <v>7.5399999999999995E-2</v>
      </c>
      <c r="R20" s="416">
        <f>'Solar usage'!T56</f>
        <v>4.1799999999999997E-2</v>
      </c>
      <c r="S20" s="416">
        <f>'Solar usage'!U56</f>
        <v>1.4500000000000001E-2</v>
      </c>
      <c r="T20" s="416">
        <f>'Solar usage'!V56</f>
        <v>4.3E-3</v>
      </c>
      <c r="U20" s="416">
        <f>'Solar usage'!W56</f>
        <v>5.9999999999999995E-4</v>
      </c>
      <c r="V20" s="416">
        <f>'Solar usage'!X56</f>
        <v>0</v>
      </c>
      <c r="W20" s="416">
        <f>'Solar usage'!Y56</f>
        <v>0</v>
      </c>
      <c r="X20" s="416">
        <f>'Solar usage'!Z56</f>
        <v>0</v>
      </c>
      <c r="Y20" s="416">
        <f>'Solar usage'!AA56</f>
        <v>0</v>
      </c>
      <c r="Z20" s="56">
        <f t="shared" si="2"/>
        <v>0.99980000000000002</v>
      </c>
    </row>
    <row r="21" spans="1:26" ht="15.75" customHeight="1">
      <c r="A21" s="417">
        <v>9</v>
      </c>
      <c r="B21" s="9"/>
      <c r="C21" s="9"/>
      <c r="D21" s="9"/>
      <c r="E21" s="9"/>
      <c r="F21" s="9"/>
      <c r="G21" s="9"/>
      <c r="H21" s="9"/>
      <c r="I21" s="9"/>
      <c r="J21" s="9"/>
      <c r="K21" s="9"/>
      <c r="L21" s="9"/>
      <c r="M21" s="9"/>
      <c r="N21" s="9"/>
      <c r="O21" s="9"/>
      <c r="P21" s="9"/>
      <c r="Q21" s="9"/>
      <c r="R21" s="9"/>
      <c r="S21" s="9"/>
      <c r="T21" s="9"/>
      <c r="U21" s="9"/>
      <c r="V21" s="9"/>
      <c r="W21" s="9"/>
      <c r="X21" s="9"/>
      <c r="Y21" s="9"/>
      <c r="Z21" s="9"/>
    </row>
    <row r="22" spans="1:26" ht="15.75" customHeight="1">
      <c r="A22" s="9">
        <f>A21*24*'Energy prices'!F62</f>
        <v>32.4</v>
      </c>
      <c r="B22" s="9"/>
      <c r="C22" s="9"/>
      <c r="D22" s="9"/>
      <c r="E22" s="9"/>
      <c r="F22" s="9"/>
      <c r="G22" s="9"/>
      <c r="H22" s="9"/>
      <c r="I22" s="9"/>
      <c r="J22" s="9"/>
      <c r="K22" s="9"/>
      <c r="L22" s="9"/>
      <c r="M22" s="9"/>
      <c r="N22" s="9"/>
      <c r="O22" s="9"/>
      <c r="P22" s="9"/>
      <c r="Q22" s="9"/>
      <c r="R22" s="9"/>
      <c r="S22" s="9"/>
      <c r="T22" s="9"/>
      <c r="U22" s="9"/>
      <c r="V22" s="9"/>
      <c r="W22" s="9"/>
      <c r="X22" s="9"/>
      <c r="Y22" s="9"/>
      <c r="Z22" s="9"/>
    </row>
    <row r="23" spans="1:26" ht="12.95">
      <c r="A23" s="401" t="s">
        <v>827</v>
      </c>
      <c r="B23" s="416">
        <v>0</v>
      </c>
      <c r="C23" s="416">
        <v>0</v>
      </c>
      <c r="D23" s="416">
        <v>0</v>
      </c>
      <c r="E23" s="416">
        <v>0</v>
      </c>
      <c r="F23" s="416">
        <v>0</v>
      </c>
      <c r="G23" s="416">
        <v>0</v>
      </c>
      <c r="H23" s="416">
        <v>0</v>
      </c>
      <c r="I23" s="416">
        <v>0</v>
      </c>
      <c r="J23" s="416">
        <v>0</v>
      </c>
      <c r="K23" s="416">
        <v>0.05</v>
      </c>
      <c r="L23" s="416">
        <v>0.08</v>
      </c>
      <c r="M23" s="416">
        <v>0.16</v>
      </c>
      <c r="N23" s="416">
        <v>0.19</v>
      </c>
      <c r="O23" s="416">
        <v>0.21</v>
      </c>
      <c r="P23" s="416">
        <v>0.21</v>
      </c>
      <c r="Q23" s="416">
        <v>0.08</v>
      </c>
      <c r="R23" s="416">
        <v>0.01</v>
      </c>
      <c r="S23" s="416">
        <v>0.01</v>
      </c>
      <c r="T23" s="416">
        <v>0</v>
      </c>
      <c r="U23" s="416">
        <v>0</v>
      </c>
      <c r="V23" s="416">
        <v>0</v>
      </c>
      <c r="W23" s="416">
        <v>0</v>
      </c>
      <c r="X23" s="416">
        <v>0</v>
      </c>
      <c r="Y23" s="416">
        <v>0</v>
      </c>
      <c r="Z23" s="56">
        <f>SUM(B23:Y23)</f>
        <v>1</v>
      </c>
    </row>
    <row r="24" spans="1:26" ht="15.75" customHeight="1">
      <c r="A24" s="9"/>
      <c r="B24" s="9"/>
      <c r="C24" s="9"/>
      <c r="D24" s="9"/>
      <c r="E24" s="9"/>
      <c r="F24" s="9"/>
      <c r="G24" s="9"/>
      <c r="H24" s="9"/>
      <c r="I24" s="9"/>
      <c r="J24" s="9"/>
      <c r="K24" s="9"/>
      <c r="L24" s="9"/>
      <c r="M24" s="9"/>
      <c r="N24" s="9"/>
      <c r="O24" s="9"/>
      <c r="P24" s="9"/>
      <c r="Q24" s="9"/>
      <c r="R24" s="9"/>
      <c r="S24" s="9"/>
      <c r="T24" s="9"/>
      <c r="U24" s="9"/>
      <c r="V24" s="9"/>
      <c r="W24" s="9"/>
      <c r="X24" s="9"/>
      <c r="Y24" s="9"/>
      <c r="Z24" s="9"/>
    </row>
    <row r="27" spans="1:26" ht="12.95">
      <c r="A27" s="114" t="s">
        <v>1562</v>
      </c>
      <c r="B27" s="114" t="str">
        <f t="shared" ref="B27:Y27" si="5">B13</f>
        <v>00:00</v>
      </c>
      <c r="C27" s="114" t="str">
        <f t="shared" si="5"/>
        <v>01:00</v>
      </c>
      <c r="D27" s="114" t="str">
        <f t="shared" si="5"/>
        <v>02:00</v>
      </c>
      <c r="E27" s="114" t="str">
        <f t="shared" si="5"/>
        <v>03:00</v>
      </c>
      <c r="F27" s="114" t="str">
        <f t="shared" si="5"/>
        <v>04:00</v>
      </c>
      <c r="G27" s="114" t="str">
        <f t="shared" si="5"/>
        <v>05:00</v>
      </c>
      <c r="H27" s="114" t="str">
        <f t="shared" si="5"/>
        <v>06:00</v>
      </c>
      <c r="I27" s="114" t="str">
        <f t="shared" si="5"/>
        <v>07:00</v>
      </c>
      <c r="J27" s="114" t="str">
        <f t="shared" si="5"/>
        <v>08:00</v>
      </c>
      <c r="K27" s="114" t="str">
        <f t="shared" si="5"/>
        <v>09:00</v>
      </c>
      <c r="L27" s="114" t="str">
        <f t="shared" si="5"/>
        <v>10:00</v>
      </c>
      <c r="M27" s="114" t="str">
        <f t="shared" si="5"/>
        <v>11:00</v>
      </c>
      <c r="N27" s="114" t="str">
        <f t="shared" si="5"/>
        <v>12:00</v>
      </c>
      <c r="O27" s="114" t="str">
        <f t="shared" si="5"/>
        <v>13:00</v>
      </c>
      <c r="P27" s="114" t="str">
        <f t="shared" si="5"/>
        <v>14:00</v>
      </c>
      <c r="Q27" s="114" t="str">
        <f t="shared" si="5"/>
        <v>15:00</v>
      </c>
      <c r="R27" s="114" t="str">
        <f t="shared" si="5"/>
        <v>16:00</v>
      </c>
      <c r="S27" s="114" t="str">
        <f t="shared" si="5"/>
        <v>17:00</v>
      </c>
      <c r="T27" s="114" t="str">
        <f t="shared" si="5"/>
        <v>18:00</v>
      </c>
      <c r="U27" s="114" t="str">
        <f t="shared" si="5"/>
        <v>19:00</v>
      </c>
      <c r="V27" s="114" t="str">
        <f t="shared" si="5"/>
        <v>20:00</v>
      </c>
      <c r="W27" s="114" t="str">
        <f t="shared" si="5"/>
        <v>21:00</v>
      </c>
      <c r="X27" s="114" t="str">
        <f t="shared" si="5"/>
        <v>22:00</v>
      </c>
      <c r="Y27" s="114" t="str">
        <f t="shared" si="5"/>
        <v>23:00</v>
      </c>
      <c r="Z27" s="115"/>
    </row>
    <row r="28" spans="1:26" ht="12.95">
      <c r="A28" s="387" t="str">
        <f t="shared" ref="A28:A29" si="6">A3</f>
        <v>Cooking</v>
      </c>
      <c r="B28" s="418">
        <f>B3*Machines!$L$186</f>
        <v>3.9725325441312426E-3</v>
      </c>
      <c r="C28" s="418">
        <f>C3*Machines!$L$186</f>
        <v>2.9650188654240773E-3</v>
      </c>
      <c r="D28" s="418">
        <f>D3*Machines!$L$186</f>
        <v>2.7231730377810246E-3</v>
      </c>
      <c r="E28" s="418">
        <f>E3*Machines!$L$186</f>
        <v>2.719200930300889E-3</v>
      </c>
      <c r="F28" s="418">
        <f>F3*Machines!$L$186</f>
        <v>3.0461300552608603E-3</v>
      </c>
      <c r="G28" s="418">
        <f>G3*Machines!$L$186</f>
        <v>6.817549802281421E-3</v>
      </c>
      <c r="H28" s="418">
        <f>H3*Machines!$L$186</f>
        <v>1.7441161395555807E-2</v>
      </c>
      <c r="I28" s="418">
        <f>I3*Machines!$L$186</f>
        <v>2.2492752192871748E-2</v>
      </c>
      <c r="J28" s="418">
        <f>J3*Machines!$L$186</f>
        <v>2.3620388020800468E-2</v>
      </c>
      <c r="K28" s="418">
        <f>K3*Machines!$L$186</f>
        <v>2.7473430501942151E-2</v>
      </c>
      <c r="L28" s="418">
        <f>L3*Machines!$L$186</f>
        <v>3.6575584997597443E-2</v>
      </c>
      <c r="M28" s="418">
        <f>M3*Machines!$L$186</f>
        <v>4.7106690947481059E-2</v>
      </c>
      <c r="N28" s="418">
        <f>N3*Machines!$L$186</f>
        <v>4.3566614046793413E-2</v>
      </c>
      <c r="O28" s="418">
        <f>O3*Machines!$L$186</f>
        <v>3.7598213486398135E-2</v>
      </c>
      <c r="P28" s="418">
        <f>P3*Machines!$L$186</f>
        <v>4.1418717455587215E-2</v>
      </c>
      <c r="Q28" s="418">
        <f>Q3*Machines!$L$186</f>
        <v>9.4595578994536078E-2</v>
      </c>
      <c r="R28" s="418">
        <f>R3*Machines!$L$186</f>
        <v>0.2234601700043635</v>
      </c>
      <c r="S28" s="418">
        <f>S3*Machines!$L$186</f>
        <v>0.25540480170854046</v>
      </c>
      <c r="T28" s="418">
        <f>T3*Machines!$L$186</f>
        <v>0.18591821834292668</v>
      </c>
      <c r="U28" s="418">
        <f>U3*Machines!$L$186</f>
        <v>0.10354810305637333</v>
      </c>
      <c r="V28" s="418">
        <f>V3*Machines!$L$186</f>
        <v>4.0191994008564019E-2</v>
      </c>
      <c r="W28" s="418">
        <f>W3*Machines!$L$186</f>
        <v>1.5636592524425411E-2</v>
      </c>
      <c r="X28" s="418">
        <f>X3*Machines!$L$186</f>
        <v>7.9257615552243647E-3</v>
      </c>
      <c r="Y28" s="418">
        <f>Y3*Machines!$L$186</f>
        <v>5.6357606277784144E-3</v>
      </c>
    </row>
    <row r="29" spans="1:26" ht="12.95">
      <c r="A29" s="387" t="str">
        <f t="shared" si="6"/>
        <v>Lighting</v>
      </c>
      <c r="B29" s="418">
        <f>B4*Machines!$C$240</f>
        <v>9.7640584379607865E-3</v>
      </c>
      <c r="C29" s="418">
        <f>C4*Machines!$C$240</f>
        <v>8.2515363423888068E-3</v>
      </c>
      <c r="D29" s="418">
        <f>D4*Machines!$C$240</f>
        <v>8.0582093038681496E-3</v>
      </c>
      <c r="E29" s="418">
        <f>E4*Machines!$C$240</f>
        <v>9.6783835326858889E-3</v>
      </c>
      <c r="F29" s="418">
        <f>F4*Machines!$C$240</f>
        <v>1.9719042483028838E-2</v>
      </c>
      <c r="G29" s="418">
        <f>G4*Machines!$C$240</f>
        <v>4.6116751362433379E-2</v>
      </c>
      <c r="H29" s="418">
        <f>H4*Machines!$C$240</f>
        <v>5.7136525290246751E-2</v>
      </c>
      <c r="I29" s="418">
        <f>I4*Machines!$C$240</f>
        <v>5.1505835856420268E-2</v>
      </c>
      <c r="J29" s="418">
        <f>J4*Machines!$C$240</f>
        <v>3.4351651019105534E-2</v>
      </c>
      <c r="K29" s="418">
        <f>K4*Machines!$C$240</f>
        <v>2.8750459539712288E-2</v>
      </c>
      <c r="L29" s="418">
        <f>L4*Machines!$C$240</f>
        <v>2.718878709260248E-2</v>
      </c>
      <c r="M29" s="418">
        <f>M4*Machines!$C$240</f>
        <v>2.5913842317167313E-2</v>
      </c>
      <c r="N29" s="418">
        <f>N4*Machines!$C$240</f>
        <v>2.5014597973454688E-2</v>
      </c>
      <c r="O29" s="418">
        <f>O4*Machines!$C$240</f>
        <v>2.2896527639447415E-2</v>
      </c>
      <c r="P29" s="418">
        <f>P4*Machines!$C$240</f>
        <v>2.3368487768049152E-2</v>
      </c>
      <c r="Q29" s="418">
        <f>Q4*Machines!$C$240</f>
        <v>2.5352250082714627E-2</v>
      </c>
      <c r="R29" s="418">
        <f>R4*Machines!$C$240</f>
        <v>3.4081067070069415E-2</v>
      </c>
      <c r="S29" s="418">
        <f>S4*Machines!$C$240</f>
        <v>5.9821757605355005E-2</v>
      </c>
      <c r="T29" s="418">
        <f>T4*Machines!$C$240</f>
        <v>7.8784560010849353E-2</v>
      </c>
      <c r="U29" s="418">
        <f>U4*Machines!$C$240</f>
        <v>7.9160543021195226E-2</v>
      </c>
      <c r="V29" s="418">
        <f>V4*Machines!$C$240</f>
        <v>7.1956072170773475E-2</v>
      </c>
      <c r="W29" s="418">
        <f>W4*Machines!$C$240</f>
        <v>5.5923110749069062E-2</v>
      </c>
      <c r="X29" s="418">
        <f>X4*Machines!$C$240</f>
        <v>3.080587020561527E-2</v>
      </c>
      <c r="Y29" s="418">
        <f>Y4*Machines!$C$240</f>
        <v>1.5522741480241272E-2</v>
      </c>
    </row>
    <row r="30" spans="1:26" ht="12.95">
      <c r="A30" s="387" t="str">
        <f>A8</f>
        <v>Whitegoods</v>
      </c>
      <c r="B30" s="418">
        <f>B8*SUM(Machines!$C$222,Machines!$C$241:$C$242)</f>
        <v>9.5713624661819804E-2</v>
      </c>
      <c r="C30" s="418">
        <f>C8*SUM(Machines!$C$222,Machines!$C$241:$C$242)</f>
        <v>8.4786831870252682E-2</v>
      </c>
      <c r="D30" s="418">
        <f>D8*SUM(Machines!$C$222,Machines!$C$241:$C$242)</f>
        <v>8.0326672093267534E-2</v>
      </c>
      <c r="E30" s="418">
        <f>E8*SUM(Machines!$C$222,Machines!$C$241:$C$242)</f>
        <v>8.0390515212377806E-2</v>
      </c>
      <c r="F30" s="418">
        <f>F8*SUM(Machines!$C$222,Machines!$C$241:$C$242)</f>
        <v>7.9964010763311277E-2</v>
      </c>
      <c r="G30" s="418">
        <f>G8*SUM(Machines!$C$222,Machines!$C$241:$C$242)</f>
        <v>8.0718996133006843E-2</v>
      </c>
      <c r="H30" s="418">
        <f>H8*SUM(Machines!$C$222,Machines!$C$241:$C$242)</f>
        <v>8.8303797315609445E-2</v>
      </c>
      <c r="I30" s="418">
        <f>I8*SUM(Machines!$C$222,Machines!$C$241:$C$242)</f>
        <v>0.10298726201005823</v>
      </c>
      <c r="J30" s="418">
        <f>J8*SUM(Machines!$C$222,Machines!$C$241:$C$242)</f>
        <v>0.11456968279624735</v>
      </c>
      <c r="K30" s="418">
        <f>K8*SUM(Machines!$C$222,Machines!$C$241:$C$242)</f>
        <v>0.11774316191276246</v>
      </c>
      <c r="L30" s="418">
        <f>L8*SUM(Machines!$C$222,Machines!$C$241:$C$242)</f>
        <v>0.11718362695255892</v>
      </c>
      <c r="M30" s="418">
        <f>M8*SUM(Machines!$C$222,Machines!$C$241:$C$242)</f>
        <v>0.1105392606602343</v>
      </c>
      <c r="N30" s="418">
        <f>N8*SUM(Machines!$C$222,Machines!$C$241:$C$242)</f>
        <v>0.10798280701959298</v>
      </c>
      <c r="O30" s="418">
        <f>O8*SUM(Machines!$C$222,Machines!$C$241:$C$242)</f>
        <v>0.10584252058376965</v>
      </c>
      <c r="P30" s="418">
        <f>P8*SUM(Machines!$C$222,Machines!$C$241:$C$242)</f>
        <v>0.10408698902499056</v>
      </c>
      <c r="Q30" s="418">
        <f>Q8*SUM(Machines!$C$222,Machines!$C$241:$C$242)</f>
        <v>0.10237937370150402</v>
      </c>
      <c r="R30" s="418">
        <f>R8*SUM(Machines!$C$222,Machines!$C$241:$C$242)</f>
        <v>0.10149921740399967</v>
      </c>
      <c r="S30" s="418">
        <f>S8*SUM(Machines!$C$222,Machines!$C$241:$C$242)</f>
        <v>0.1026545447483974</v>
      </c>
      <c r="T30" s="418">
        <f>T8*SUM(Machines!$C$222,Machines!$C$241:$C$242)</f>
        <v>0.10614816629725769</v>
      </c>
      <c r="U30" s="418">
        <f>U8*SUM(Machines!$C$222,Machines!$C$241:$C$242)</f>
        <v>0.10711358409256751</v>
      </c>
      <c r="V30" s="418">
        <f>V8*SUM(Machines!$C$222,Machines!$C$241:$C$242)</f>
        <v>0.11866245701466913</v>
      </c>
      <c r="W30" s="418">
        <f>W8*SUM(Machines!$C$222,Machines!$C$241:$C$242)</f>
        <v>0.11611454586971316</v>
      </c>
      <c r="X30" s="418">
        <f>X8*SUM(Machines!$C$222,Machines!$C$241:$C$242)</f>
        <v>0.10921938452890481</v>
      </c>
      <c r="Y30" s="418">
        <f>Y8*SUM(Machines!$C$222,Machines!$C$241:$C$242)</f>
        <v>0.10647844696503088</v>
      </c>
    </row>
    <row r="31" spans="1:26" ht="12.95">
      <c r="A31" s="387" t="str">
        <f t="shared" ref="A31:A33" si="7">A5</f>
        <v>Other</v>
      </c>
      <c r="B31" s="418">
        <f>B5*Machines!$C$243</f>
        <v>9.2333483409624592E-2</v>
      </c>
      <c r="C31" s="418">
        <f>C5*Machines!$C$243</f>
        <v>8.5472484305990942E-2</v>
      </c>
      <c r="D31" s="418">
        <f>D5*Machines!$C$243</f>
        <v>8.2876735127576304E-2</v>
      </c>
      <c r="E31" s="418">
        <f>E5*Machines!$C$243</f>
        <v>8.1049516335245472E-2</v>
      </c>
      <c r="F31" s="418">
        <f>F5*Machines!$C$243</f>
        <v>8.2133729680110179E-2</v>
      </c>
      <c r="G31" s="418">
        <f>G5*Machines!$C$243</f>
        <v>8.6946071637189593E-2</v>
      </c>
      <c r="H31" s="418">
        <f>H5*Machines!$C$243</f>
        <v>0.11538681885874028</v>
      </c>
      <c r="I31" s="418">
        <f>I5*Machines!$C$243</f>
        <v>0.13480732169721144</v>
      </c>
      <c r="J31" s="418">
        <f>J5*Machines!$C$243</f>
        <v>0.12995042397323897</v>
      </c>
      <c r="K31" s="418">
        <f>K5*Machines!$C$243</f>
        <v>0.13054647515031159</v>
      </c>
      <c r="L31" s="418">
        <f>L5*Machines!$C$243</f>
        <v>0.14029440093946777</v>
      </c>
      <c r="M31" s="418">
        <f>M5*Machines!$C$243</f>
        <v>0.14591580593102216</v>
      </c>
      <c r="N31" s="418">
        <f>N5*Machines!$C$243</f>
        <v>0.14997299575426476</v>
      </c>
      <c r="O31" s="418">
        <f>O5*Machines!$C$243</f>
        <v>0.15278595364411493</v>
      </c>
      <c r="P31" s="418">
        <f>P5*Machines!$C$243</f>
        <v>0.15191218050521116</v>
      </c>
      <c r="Q31" s="418">
        <f>Q5*Machines!$C$243</f>
        <v>0.14801704737103111</v>
      </c>
      <c r="R31" s="418">
        <f>R5*Machines!$C$243</f>
        <v>0.1461963844459018</v>
      </c>
      <c r="S31" s="418">
        <f>S5*Machines!$C$243</f>
        <v>0.16275162809147453</v>
      </c>
      <c r="T31" s="418">
        <f>T5*Machines!$C$243</f>
        <v>0.18710506425465356</v>
      </c>
      <c r="U31" s="418">
        <f>U5*Machines!$C$243</f>
        <v>0.2109601913561085</v>
      </c>
      <c r="V31" s="418">
        <f>V5*Machines!$C$243</f>
        <v>0.21111037560665169</v>
      </c>
      <c r="W31" s="418">
        <f>W5*Machines!$C$243</f>
        <v>0.18108185721236061</v>
      </c>
      <c r="X31" s="418">
        <f>X5*Machines!$C$243</f>
        <v>0.13654760571446975</v>
      </c>
      <c r="Y31" s="418">
        <f>Y5*Machines!$C$243</f>
        <v>0.10532741685525802</v>
      </c>
    </row>
    <row r="32" spans="1:26" ht="12.95">
      <c r="A32" s="387" t="str">
        <f t="shared" si="7"/>
        <v>Space heating &amp; cooling</v>
      </c>
      <c r="B32" s="418">
        <f>B6*Machines!$K$64</f>
        <v>0.12310033983558036</v>
      </c>
      <c r="C32" s="418">
        <f>C6*Machines!$K$64</f>
        <v>0.11831136888196846</v>
      </c>
      <c r="D32" s="418">
        <f>D6*Machines!$K$64</f>
        <v>0.12174939037663239</v>
      </c>
      <c r="E32" s="418">
        <f>E6*Machines!$K$64</f>
        <v>0.13401055670317699</v>
      </c>
      <c r="F32" s="418">
        <f>F6*Machines!$K$64</f>
        <v>0.21095644210998313</v>
      </c>
      <c r="G32" s="418">
        <f>G6*Machines!$K$64</f>
        <v>0.36214242576044831</v>
      </c>
      <c r="H32" s="418">
        <f>H6*Machines!$K$64</f>
        <v>0.79112513268351192</v>
      </c>
      <c r="I32" s="418">
        <f>I6*Machines!$K$64</f>
        <v>0.80347731627735919</v>
      </c>
      <c r="J32" s="418">
        <f>J6*Machines!$K$64</f>
        <v>0.42876306396508918</v>
      </c>
      <c r="K32" s="418">
        <f>K6*Machines!$K$64</f>
        <v>0.23585812505690326</v>
      </c>
      <c r="L32" s="418">
        <f>L6*Machines!$K$64</f>
        <v>0.17576628038255052</v>
      </c>
      <c r="M32" s="418">
        <f>M6*Machines!$K$64</f>
        <v>0.17425265682590693</v>
      </c>
      <c r="N32" s="418">
        <f>N6*Machines!$K$64</f>
        <v>0.1872509130901972</v>
      </c>
      <c r="O32" s="418">
        <f>O6*Machines!$K$64</f>
        <v>0.21125701530418109</v>
      </c>
      <c r="P32" s="418">
        <f>P6*Machines!$K$64</f>
        <v>0.2580292648690265</v>
      </c>
      <c r="Q32" s="418">
        <f>Q6*Machines!$K$64</f>
        <v>0.32921620214615555</v>
      </c>
      <c r="R32" s="418">
        <f>R6*Machines!$K$64</f>
        <v>0.48713548772145954</v>
      </c>
      <c r="S32" s="418">
        <f>S6*Machines!$K$64</f>
        <v>0.74380429827603911</v>
      </c>
      <c r="T32" s="418">
        <f>T6*Machines!$K$64</f>
        <v>0.84392218362299776</v>
      </c>
      <c r="U32" s="418">
        <f>U6*Machines!$K$64</f>
        <v>0.84312535208667838</v>
      </c>
      <c r="V32" s="418">
        <f>V6*Machines!$K$64</f>
        <v>0.76951916435192125</v>
      </c>
      <c r="W32" s="418">
        <f>W6*Machines!$K$64</f>
        <v>0.53354625582334569</v>
      </c>
      <c r="X32" s="418">
        <f>X6*Machines!$K$64</f>
        <v>0.27169401042638358</v>
      </c>
      <c r="Y32" s="418">
        <f>Y6*Machines!$K$64</f>
        <v>0.15723988272162798</v>
      </c>
    </row>
    <row r="33" spans="1:25" ht="12.95">
      <c r="A33" s="387" t="str">
        <f t="shared" si="7"/>
        <v>Water heating</v>
      </c>
      <c r="B33" s="418">
        <f>B7*Machines!$K$130</f>
        <v>0.11231044845447516</v>
      </c>
      <c r="C33" s="418">
        <f>C7*Machines!$K$130</f>
        <v>0.10766639604664813</v>
      </c>
      <c r="D33" s="418">
        <f>D7*Machines!$K$130</f>
        <v>9.6330906805595501E-2</v>
      </c>
      <c r="E33" s="418">
        <f>E7*Machines!$K$130</f>
        <v>0.12559898677269188</v>
      </c>
      <c r="F33" s="418">
        <f>F7*Machines!$K$130</f>
        <v>0.17609809303112353</v>
      </c>
      <c r="G33" s="418">
        <f>G7*Machines!$K$130</f>
        <v>0.2452611476917613</v>
      </c>
      <c r="H33" s="418">
        <f>H7*Machines!$K$130</f>
        <v>0.43578055905451796</v>
      </c>
      <c r="I33" s="418">
        <f>I7*Machines!$K$130</f>
        <v>0.54519682394174551</v>
      </c>
      <c r="J33" s="418">
        <f>J7*Machines!$K$130</f>
        <v>0.42266926716361347</v>
      </c>
      <c r="K33" s="418">
        <f>K7*Machines!$K$130</f>
        <v>0.37381972380540218</v>
      </c>
      <c r="L33" s="418">
        <f>L7*Machines!$K$130</f>
        <v>0.36995321297343053</v>
      </c>
      <c r="M33" s="418">
        <f>M7*Machines!$K$130</f>
        <v>0.33359289642194989</v>
      </c>
      <c r="N33" s="418">
        <f>N7*Machines!$K$130</f>
        <v>0.27088003131967725</v>
      </c>
      <c r="O33" s="418">
        <f>O7*Machines!$K$130</f>
        <v>0.22253767389574042</v>
      </c>
      <c r="P33" s="418">
        <f>P7*Machines!$K$130</f>
        <v>0.19372890915496543</v>
      </c>
      <c r="Q33" s="418">
        <f>Q7*Machines!$K$130</f>
        <v>0.20822406451084161</v>
      </c>
      <c r="R33" s="418">
        <f>R7*Machines!$K$130</f>
        <v>0.25628747225011167</v>
      </c>
      <c r="S33" s="418">
        <f>S7*Machines!$K$130</f>
        <v>0.34462940989148716</v>
      </c>
      <c r="T33" s="418">
        <f>T7*Machines!$K$130</f>
        <v>0.38601700111309262</v>
      </c>
      <c r="U33" s="418">
        <f>U7*Machines!$K$130</f>
        <v>0.35812917043511616</v>
      </c>
      <c r="V33" s="418">
        <f>V7*Machines!$K$130</f>
        <v>0.33036815239650363</v>
      </c>
      <c r="W33" s="418">
        <f>W7*Machines!$K$130</f>
        <v>0.2810512372470067</v>
      </c>
      <c r="X33" s="418">
        <f>X7*Machines!$K$130</f>
        <v>0.19809233568452939</v>
      </c>
      <c r="Y33" s="418">
        <f>Y7*Machines!$K$130</f>
        <v>0.13980110642976992</v>
      </c>
    </row>
    <row r="34" spans="1:25" ht="12.95">
      <c r="A34" s="54" t="s">
        <v>131</v>
      </c>
      <c r="B34" s="9">
        <f t="shared" ref="B34:Y34" si="8">$A$22*B20</f>
        <v>0</v>
      </c>
      <c r="C34" s="9">
        <f t="shared" si="8"/>
        <v>0</v>
      </c>
      <c r="D34" s="9">
        <f t="shared" si="8"/>
        <v>0</v>
      </c>
      <c r="E34" s="9">
        <f t="shared" si="8"/>
        <v>0</v>
      </c>
      <c r="F34" s="9">
        <f t="shared" si="8"/>
        <v>0</v>
      </c>
      <c r="G34" s="9">
        <f t="shared" si="8"/>
        <v>5.5079999999999997E-2</v>
      </c>
      <c r="H34" s="9">
        <f t="shared" si="8"/>
        <v>0.40500000000000003</v>
      </c>
      <c r="I34" s="9">
        <f t="shared" si="8"/>
        <v>1.2117599999999999</v>
      </c>
      <c r="J34" s="9">
        <f t="shared" si="8"/>
        <v>2.3911199999999999</v>
      </c>
      <c r="K34" s="9">
        <f t="shared" si="8"/>
        <v>3.3890399999999996</v>
      </c>
      <c r="L34" s="9">
        <f t="shared" si="8"/>
        <v>4.1050800000000001</v>
      </c>
      <c r="M34" s="9">
        <f t="shared" si="8"/>
        <v>4.4614799999999999</v>
      </c>
      <c r="N34" s="9">
        <f t="shared" si="8"/>
        <v>4.4485200000000003</v>
      </c>
      <c r="O34" s="9">
        <f t="shared" si="8"/>
        <v>4.0791599999999999</v>
      </c>
      <c r="P34" s="9">
        <f t="shared" si="8"/>
        <v>3.42144</v>
      </c>
      <c r="Q34" s="9">
        <f t="shared" si="8"/>
        <v>2.4429599999999998</v>
      </c>
      <c r="R34" s="9">
        <f t="shared" si="8"/>
        <v>1.3543199999999997</v>
      </c>
      <c r="S34" s="9">
        <f t="shared" si="8"/>
        <v>0.4698</v>
      </c>
      <c r="T34" s="9">
        <f t="shared" si="8"/>
        <v>0.13932</v>
      </c>
      <c r="U34" s="9">
        <f t="shared" si="8"/>
        <v>1.9439999999999999E-2</v>
      </c>
      <c r="V34" s="9">
        <f t="shared" si="8"/>
        <v>0</v>
      </c>
      <c r="W34" s="9">
        <f t="shared" si="8"/>
        <v>0</v>
      </c>
      <c r="X34" s="9">
        <f t="shared" si="8"/>
        <v>0</v>
      </c>
      <c r="Y34" s="9">
        <f t="shared" si="8"/>
        <v>0</v>
      </c>
    </row>
    <row r="35" spans="1:25" ht="12.95">
      <c r="A35" s="401" t="s">
        <v>827</v>
      </c>
      <c r="B35" s="419">
        <f ca="1">B10*Machines!$F$255</f>
        <v>0.72238525518105379</v>
      </c>
      <c r="C35" s="419">
        <f ca="1">C10*Machines!$F$255</f>
        <v>1.155816408289686</v>
      </c>
      <c r="D35" s="419">
        <f ca="1">D10*Machines!$F$255</f>
        <v>0.86686230621726446</v>
      </c>
      <c r="E35" s="419">
        <f ca="1">E10*Machines!$F$255</f>
        <v>0.57790820414484301</v>
      </c>
      <c r="F35" s="419">
        <f ca="1">F10*Machines!$F$255</f>
        <v>0.50566967862673773</v>
      </c>
      <c r="G35" s="419">
        <f ca="1">G10*Machines!$F$255</f>
        <v>0.36119262759052689</v>
      </c>
      <c r="H35" s="419">
        <f ca="1">H10*Machines!$F$255</f>
        <v>0.43343115310863223</v>
      </c>
      <c r="I35" s="419">
        <f ca="1">I10*Machines!$F$255</f>
        <v>0.50566967862673773</v>
      </c>
      <c r="J35" s="419">
        <f ca="1">J10*Machines!$F$255</f>
        <v>0.57790820414484301</v>
      </c>
      <c r="K35" s="419">
        <f ca="1">K10*Machines!$F$255</f>
        <v>0.43343115310863223</v>
      </c>
      <c r="L35" s="419">
        <f ca="1">L10*Machines!$F$255</f>
        <v>0.36119262759052689</v>
      </c>
      <c r="M35" s="419">
        <f ca="1">M10*Machines!$F$255</f>
        <v>0.36119262759052689</v>
      </c>
      <c r="N35" s="419">
        <f ca="1">N10*Machines!$F$255</f>
        <v>0.43343115310863223</v>
      </c>
      <c r="O35" s="419">
        <f ca="1">O10*Machines!$F$255</f>
        <v>0.57790820414484301</v>
      </c>
      <c r="P35" s="419">
        <f ca="1">P10*Machines!$F$255</f>
        <v>0.26005869186517933</v>
      </c>
      <c r="Q35" s="419">
        <f ca="1">Q10*Machines!$F$255</f>
        <v>0.26005869186517933</v>
      </c>
      <c r="R35" s="419">
        <f ca="1">R10*Machines!$F$255</f>
        <v>0.26005869186517933</v>
      </c>
      <c r="S35" s="419">
        <f ca="1">S10*Machines!$F$255</f>
        <v>0.2889541020724215</v>
      </c>
      <c r="T35" s="419">
        <f ca="1">T10*Machines!$F$255</f>
        <v>0.43343115310863223</v>
      </c>
      <c r="U35" s="419">
        <f ca="1">U10*Machines!$F$255</f>
        <v>0.6501467296629484</v>
      </c>
      <c r="V35" s="419">
        <f ca="1">V10*Machines!$F$255</f>
        <v>0.86686230621726446</v>
      </c>
      <c r="W35" s="419">
        <f ca="1">W10*Machines!$F$255</f>
        <v>1.3725319848440021</v>
      </c>
      <c r="X35" s="419">
        <f ca="1">X10*Machines!$F$255</f>
        <v>1.2280549338077915</v>
      </c>
      <c r="Y35" s="419">
        <f ca="1">Y10*Machines!$F$255</f>
        <v>0.95354853683899099</v>
      </c>
    </row>
    <row r="36" spans="1:25" ht="12.95">
      <c r="A36" s="114" t="s">
        <v>1536</v>
      </c>
      <c r="B36" s="114" t="str">
        <f t="shared" ref="B36:Y36" si="9">B27</f>
        <v>00:00</v>
      </c>
      <c r="C36" s="114" t="str">
        <f t="shared" si="9"/>
        <v>01:00</v>
      </c>
      <c r="D36" s="114" t="str">
        <f t="shared" si="9"/>
        <v>02:00</v>
      </c>
      <c r="E36" s="114" t="str">
        <f t="shared" si="9"/>
        <v>03:00</v>
      </c>
      <c r="F36" s="114" t="str">
        <f t="shared" si="9"/>
        <v>04:00</v>
      </c>
      <c r="G36" s="114" t="str">
        <f t="shared" si="9"/>
        <v>05:00</v>
      </c>
      <c r="H36" s="114" t="str">
        <f t="shared" si="9"/>
        <v>06:00</v>
      </c>
      <c r="I36" s="114" t="str">
        <f t="shared" si="9"/>
        <v>07:00</v>
      </c>
      <c r="J36" s="114" t="str">
        <f t="shared" si="9"/>
        <v>08:00</v>
      </c>
      <c r="K36" s="114" t="str">
        <f t="shared" si="9"/>
        <v>09:00</v>
      </c>
      <c r="L36" s="114" t="str">
        <f t="shared" si="9"/>
        <v>10:00</v>
      </c>
      <c r="M36" s="114" t="str">
        <f t="shared" si="9"/>
        <v>11:00</v>
      </c>
      <c r="N36" s="114" t="str">
        <f t="shared" si="9"/>
        <v>12:00</v>
      </c>
      <c r="O36" s="114" t="str">
        <f t="shared" si="9"/>
        <v>13:00</v>
      </c>
      <c r="P36" s="114" t="str">
        <f t="shared" si="9"/>
        <v>14:00</v>
      </c>
      <c r="Q36" s="114" t="str">
        <f t="shared" si="9"/>
        <v>15:00</v>
      </c>
      <c r="R36" s="114" t="str">
        <f t="shared" si="9"/>
        <v>16:00</v>
      </c>
      <c r="S36" s="114" t="str">
        <f t="shared" si="9"/>
        <v>17:00</v>
      </c>
      <c r="T36" s="114" t="str">
        <f t="shared" si="9"/>
        <v>18:00</v>
      </c>
      <c r="U36" s="114" t="str">
        <f t="shared" si="9"/>
        <v>19:00</v>
      </c>
      <c r="V36" s="114" t="str">
        <f t="shared" si="9"/>
        <v>20:00</v>
      </c>
      <c r="W36" s="114" t="str">
        <f t="shared" si="9"/>
        <v>21:00</v>
      </c>
      <c r="X36" s="114" t="str">
        <f t="shared" si="9"/>
        <v>22:00</v>
      </c>
      <c r="Y36" s="114" t="str">
        <f t="shared" si="9"/>
        <v>23:00</v>
      </c>
    </row>
    <row r="37" spans="1:25" ht="12.95">
      <c r="A37" s="387" t="str">
        <f t="shared" ref="A37:A42" si="10">A28</f>
        <v>Cooking</v>
      </c>
      <c r="B37" s="418">
        <f>B14*Machines!$L$186</f>
        <v>3.9725325441312426E-3</v>
      </c>
      <c r="C37" s="418">
        <f>C14*Machines!$L$186</f>
        <v>2.9650188654240773E-3</v>
      </c>
      <c r="D37" s="418">
        <f>D14*Machines!$L$186</f>
        <v>2.7231730377810246E-3</v>
      </c>
      <c r="E37" s="418">
        <f>E14*Machines!$L$186</f>
        <v>2.719200930300889E-3</v>
      </c>
      <c r="F37" s="418">
        <f>F14*Machines!$L$186</f>
        <v>3.0461300552608603E-3</v>
      </c>
      <c r="G37" s="418">
        <f>G14*Machines!$L$186</f>
        <v>6.817549802281421E-3</v>
      </c>
      <c r="H37" s="418">
        <f>H14*Machines!$L$186</f>
        <v>1.7441161395555807E-2</v>
      </c>
      <c r="I37" s="418">
        <f>I14*Machines!$L$186</f>
        <v>2.2492752192871748E-2</v>
      </c>
      <c r="J37" s="418">
        <f>J14*Machines!$L$186</f>
        <v>2.3620388020800468E-2</v>
      </c>
      <c r="K37" s="418">
        <f>K14*Machines!$L$186</f>
        <v>2.7473430501942151E-2</v>
      </c>
      <c r="L37" s="418">
        <f>L14*Machines!$L$186</f>
        <v>3.6575584997597443E-2</v>
      </c>
      <c r="M37" s="418">
        <f>M14*Machines!$L$186</f>
        <v>4.7106690947481059E-2</v>
      </c>
      <c r="N37" s="418">
        <f>N14*Machines!$L$186</f>
        <v>4.3566614046793413E-2</v>
      </c>
      <c r="O37" s="418">
        <f>O14*Machines!$L$186</f>
        <v>3.7598213486398135E-2</v>
      </c>
      <c r="P37" s="418">
        <f>P14*Machines!$L$186</f>
        <v>4.1418717455587215E-2</v>
      </c>
      <c r="Q37" s="418">
        <f>Q14*Machines!$L$186</f>
        <v>9.4595578994536078E-2</v>
      </c>
      <c r="R37" s="418">
        <f>R14*Machines!$L$186</f>
        <v>0.2234601700043635</v>
      </c>
      <c r="S37" s="418">
        <f>S14*Machines!$L$186</f>
        <v>0.25540480170854046</v>
      </c>
      <c r="T37" s="418">
        <f>T14*Machines!$L$186</f>
        <v>0.18591821834292668</v>
      </c>
      <c r="U37" s="418">
        <f>U14*Machines!$L$186</f>
        <v>0.10354810305637333</v>
      </c>
      <c r="V37" s="418">
        <f>V14*Machines!$L$186</f>
        <v>4.0191994008564019E-2</v>
      </c>
      <c r="W37" s="418">
        <f>W14*Machines!$L$186</f>
        <v>1.5636592524425411E-2</v>
      </c>
      <c r="X37" s="418">
        <f>X14*Machines!$L$186</f>
        <v>7.9257615552243647E-3</v>
      </c>
      <c r="Y37" s="418">
        <f>Y14*Machines!$L$186</f>
        <v>5.6357606277784144E-3</v>
      </c>
    </row>
    <row r="38" spans="1:25" ht="12.95">
      <c r="A38" s="387" t="str">
        <f t="shared" si="10"/>
        <v>Lighting</v>
      </c>
      <c r="B38" s="418">
        <f>B15*Machines!$C$240</f>
        <v>9.7640584379607865E-3</v>
      </c>
      <c r="C38" s="418">
        <f>C15*Machines!$C$240</f>
        <v>8.2515363423888068E-3</v>
      </c>
      <c r="D38" s="418">
        <f>D15*Machines!$C$240</f>
        <v>8.0582093038681496E-3</v>
      </c>
      <c r="E38" s="418">
        <f>E15*Machines!$C$240</f>
        <v>9.6783835326858889E-3</v>
      </c>
      <c r="F38" s="418">
        <f>F15*Machines!$C$240</f>
        <v>1.9719042483028838E-2</v>
      </c>
      <c r="G38" s="418">
        <f>G15*Machines!$C$240</f>
        <v>4.6116751362433379E-2</v>
      </c>
      <c r="H38" s="418">
        <f>H15*Machines!$C$240</f>
        <v>5.7136525290246751E-2</v>
      </c>
      <c r="I38" s="418">
        <f>I15*Machines!$C$240</f>
        <v>5.1505835856420268E-2</v>
      </c>
      <c r="J38" s="418">
        <f>J15*Machines!$C$240</f>
        <v>3.4351651019105534E-2</v>
      </c>
      <c r="K38" s="418">
        <f>K15*Machines!$C$240</f>
        <v>2.8750459539712288E-2</v>
      </c>
      <c r="L38" s="418">
        <f>L15*Machines!$C$240</f>
        <v>2.718878709260248E-2</v>
      </c>
      <c r="M38" s="418">
        <f>M15*Machines!$C$240</f>
        <v>2.5913842317167313E-2</v>
      </c>
      <c r="N38" s="418">
        <f>N15*Machines!$C$240</f>
        <v>2.5014597973454688E-2</v>
      </c>
      <c r="O38" s="418">
        <f>O15*Machines!$C$240</f>
        <v>2.2896527639447415E-2</v>
      </c>
      <c r="P38" s="418">
        <f>P15*Machines!$C$240</f>
        <v>2.3368487768049152E-2</v>
      </c>
      <c r="Q38" s="418">
        <f>Q15*Machines!$C$240</f>
        <v>2.5352250082714627E-2</v>
      </c>
      <c r="R38" s="418">
        <f>R15*Machines!$C$240</f>
        <v>3.4081067070069415E-2</v>
      </c>
      <c r="S38" s="418">
        <f>S15*Machines!$C$240</f>
        <v>5.9821757605355005E-2</v>
      </c>
      <c r="T38" s="418">
        <f>T15*Machines!$C$240</f>
        <v>7.8784560010849353E-2</v>
      </c>
      <c r="U38" s="418">
        <f>U15*Machines!$C$240</f>
        <v>7.9160543021195226E-2</v>
      </c>
      <c r="V38" s="418">
        <f>V15*Machines!$C$240</f>
        <v>7.1956072170773475E-2</v>
      </c>
      <c r="W38" s="418">
        <f>W15*Machines!$C$240</f>
        <v>5.5923110749069062E-2</v>
      </c>
      <c r="X38" s="418">
        <f>X15*Machines!$C$240</f>
        <v>3.080587020561527E-2</v>
      </c>
      <c r="Y38" s="418">
        <f>Y15*Machines!$C$240</f>
        <v>1.5522741480241272E-2</v>
      </c>
    </row>
    <row r="39" spans="1:25" ht="12.95">
      <c r="A39" s="387" t="str">
        <f t="shared" si="10"/>
        <v>Whitegoods</v>
      </c>
      <c r="B39" s="418">
        <f>B19*SUM(Machines!$C$222,Machines!$C$241:$C$242)</f>
        <v>7.3242284388957246E-2</v>
      </c>
      <c r="C39" s="418">
        <f>C19*SUM(Machines!$C$222,Machines!$C$241:$C$242)</f>
        <v>7.3242284388957246E-2</v>
      </c>
      <c r="D39" s="418">
        <f>D19*SUM(Machines!$C$222,Machines!$C$241:$C$242)</f>
        <v>7.3242284388957246E-2</v>
      </c>
      <c r="E39" s="418">
        <f>E19*SUM(Machines!$C$222,Machines!$C$241:$C$242)</f>
        <v>7.3242284388957246E-2</v>
      </c>
      <c r="F39" s="418">
        <f>F19*SUM(Machines!$C$222,Machines!$C$241:$C$242)</f>
        <v>7.3242284388957246E-2</v>
      </c>
      <c r="G39" s="418">
        <f>G19*SUM(Machines!$C$222,Machines!$C$241:$C$242)</f>
        <v>7.3242284388957246E-2</v>
      </c>
      <c r="H39" s="418">
        <f>H19*SUM(Machines!$C$222,Machines!$C$241:$C$242)</f>
        <v>7.3242284388957246E-2</v>
      </c>
      <c r="I39" s="418">
        <f>I19*SUM(Machines!$C$222,Machines!$C$241:$C$242)</f>
        <v>7.3242284388957246E-2</v>
      </c>
      <c r="J39" s="418">
        <f>J19*SUM(Machines!$C$222,Machines!$C$241:$C$242)</f>
        <v>9.7656379185276324E-2</v>
      </c>
      <c r="K39" s="418">
        <f>K19*SUM(Machines!$C$222,Machines!$C$241:$C$242)</f>
        <v>9.7656379185276324E-2</v>
      </c>
      <c r="L39" s="418">
        <f>L19*SUM(Machines!$C$222,Machines!$C$241:$C$242)</f>
        <v>0.17089866357423358</v>
      </c>
      <c r="M39" s="418">
        <f>M19*SUM(Machines!$C$222,Machines!$C$241:$C$242)</f>
        <v>0.19531275837055265</v>
      </c>
      <c r="N39" s="418">
        <f>N19*SUM(Machines!$C$222,Machines!$C$241:$C$242)</f>
        <v>0.24414094796319083</v>
      </c>
      <c r="O39" s="418">
        <f>O19*SUM(Machines!$C$222,Machines!$C$241:$C$242)</f>
        <v>0.19531275837055265</v>
      </c>
      <c r="P39" s="418">
        <f>P19*SUM(Machines!$C$222,Machines!$C$241:$C$242)</f>
        <v>0.17089866357423358</v>
      </c>
      <c r="Q39" s="418">
        <f>Q19*SUM(Machines!$C$222,Machines!$C$241:$C$242)</f>
        <v>7.3242284388957246E-2</v>
      </c>
      <c r="R39" s="418">
        <f>R19*SUM(Machines!$C$222,Machines!$C$241:$C$242)</f>
        <v>7.3242284388957246E-2</v>
      </c>
      <c r="S39" s="418">
        <f>S19*SUM(Machines!$C$222,Machines!$C$241:$C$242)</f>
        <v>7.3242284388957246E-2</v>
      </c>
      <c r="T39" s="418">
        <f>T19*SUM(Machines!$C$222,Machines!$C$241:$C$242)</f>
        <v>7.3242284388957246E-2</v>
      </c>
      <c r="U39" s="418">
        <f>U19*SUM(Machines!$C$222,Machines!$C$241:$C$242)</f>
        <v>7.3242284388957246E-2</v>
      </c>
      <c r="V39" s="418">
        <f>V19*SUM(Machines!$C$222,Machines!$C$241:$C$242)</f>
        <v>7.3242284388957246E-2</v>
      </c>
      <c r="W39" s="418">
        <f>W19*SUM(Machines!$C$222,Machines!$C$241:$C$242)</f>
        <v>7.3242284388957246E-2</v>
      </c>
      <c r="X39" s="418">
        <f>X19*SUM(Machines!$C$222,Machines!$C$241:$C$242)</f>
        <v>7.3242284388957246E-2</v>
      </c>
      <c r="Y39" s="418">
        <f>Y19*SUM(Machines!$C$222,Machines!$C$241:$C$242)</f>
        <v>9.7656379185276324E-2</v>
      </c>
    </row>
    <row r="40" spans="1:25" ht="12.95">
      <c r="A40" s="387" t="str">
        <f t="shared" si="10"/>
        <v>Other</v>
      </c>
      <c r="B40" s="418">
        <f>B16*Machines!$C$243</f>
        <v>9.754445903571704E-2</v>
      </c>
      <c r="C40" s="418">
        <f>C16*Machines!$C$243</f>
        <v>9.754445903571704E-2</v>
      </c>
      <c r="D40" s="418">
        <f>D16*Machines!$C$243</f>
        <v>9.754445903571704E-2</v>
      </c>
      <c r="E40" s="418">
        <f>E16*Machines!$C$243</f>
        <v>9.754445903571704E-2</v>
      </c>
      <c r="F40" s="418">
        <f>F16*Machines!$C$243</f>
        <v>9.754445903571704E-2</v>
      </c>
      <c r="G40" s="418">
        <f>G16*Machines!$C$243</f>
        <v>9.754445903571704E-2</v>
      </c>
      <c r="H40" s="418">
        <f>H16*Machines!$C$243</f>
        <v>9.754445903571704E-2</v>
      </c>
      <c r="I40" s="418">
        <f>I16*Machines!$C$243</f>
        <v>9.754445903571704E-2</v>
      </c>
      <c r="J40" s="418">
        <f>J16*Machines!$C$243</f>
        <v>0.13005927871428941</v>
      </c>
      <c r="K40" s="418">
        <f>K16*Machines!$C$243</f>
        <v>0.13005927871428941</v>
      </c>
      <c r="L40" s="418">
        <f>L16*Machines!$C$243</f>
        <v>0.22760373775000647</v>
      </c>
      <c r="M40" s="418">
        <f>M16*Machines!$C$243</f>
        <v>0.26011855742857881</v>
      </c>
      <c r="N40" s="418">
        <f>N16*Machines!$C$243</f>
        <v>0.32514819678572349</v>
      </c>
      <c r="O40" s="418">
        <f>O16*Machines!$C$243</f>
        <v>0.26011855742857881</v>
      </c>
      <c r="P40" s="418">
        <f>P16*Machines!$C$243</f>
        <v>0.22760373775000647</v>
      </c>
      <c r="Q40" s="418">
        <f>Q16*Machines!$C$243</f>
        <v>9.754445903571704E-2</v>
      </c>
      <c r="R40" s="418">
        <f>R16*Machines!$C$243</f>
        <v>9.754445903571704E-2</v>
      </c>
      <c r="S40" s="418">
        <f>S16*Machines!$C$243</f>
        <v>9.754445903571704E-2</v>
      </c>
      <c r="T40" s="418">
        <f>T16*Machines!$C$243</f>
        <v>9.754445903571704E-2</v>
      </c>
      <c r="U40" s="418">
        <f>U16*Machines!$C$243</f>
        <v>9.754445903571704E-2</v>
      </c>
      <c r="V40" s="418">
        <f>V16*Machines!$C$243</f>
        <v>9.754445903571704E-2</v>
      </c>
      <c r="W40" s="418">
        <f>W16*Machines!$C$243</f>
        <v>9.754445903571704E-2</v>
      </c>
      <c r="X40" s="418">
        <f>X16*Machines!$C$243</f>
        <v>9.754445903571704E-2</v>
      </c>
      <c r="Y40" s="418">
        <f>Y16*Machines!$C$243</f>
        <v>0.13005927871428941</v>
      </c>
    </row>
    <row r="41" spans="1:25" ht="12.95">
      <c r="A41" s="387" t="str">
        <f t="shared" si="10"/>
        <v>Space heating &amp; cooling</v>
      </c>
      <c r="B41" s="418">
        <f>B17*Machines!$K$64</f>
        <v>0.12310033983558036</v>
      </c>
      <c r="C41" s="418">
        <f>C17*Machines!$K$64</f>
        <v>0.11831136888196846</v>
      </c>
      <c r="D41" s="418">
        <f>D17*Machines!$K$64</f>
        <v>0.12174939037663239</v>
      </c>
      <c r="E41" s="418">
        <f>E17*Machines!$K$64</f>
        <v>0.13401055670317699</v>
      </c>
      <c r="F41" s="418">
        <f>F17*Machines!$K$64</f>
        <v>0.21095644210998313</v>
      </c>
      <c r="G41" s="418">
        <f>G17*Machines!$K$64</f>
        <v>0.36214242576044831</v>
      </c>
      <c r="H41" s="418">
        <f>H17*Machines!$K$64</f>
        <v>0.79112513268351192</v>
      </c>
      <c r="I41" s="418">
        <f>I17*Machines!$K$64</f>
        <v>0.80347731627735919</v>
      </c>
      <c r="J41" s="418">
        <f>J17*Machines!$K$64</f>
        <v>0.42876306396508918</v>
      </c>
      <c r="K41" s="418">
        <f>K17*Machines!$K$64</f>
        <v>0.23585812505690326</v>
      </c>
      <c r="L41" s="418">
        <f>L17*Machines!$K$64</f>
        <v>0.17576628038255052</v>
      </c>
      <c r="M41" s="418">
        <f>M17*Machines!$K$64</f>
        <v>0.17425265682590693</v>
      </c>
      <c r="N41" s="418">
        <f>N17*Machines!$K$64</f>
        <v>0.1872509130901972</v>
      </c>
      <c r="O41" s="418">
        <f>O17*Machines!$K$64</f>
        <v>0.21125701530418109</v>
      </c>
      <c r="P41" s="418">
        <f>P17*Machines!$K$64</f>
        <v>0.2580292648690265</v>
      </c>
      <c r="Q41" s="418">
        <f>Q17*Machines!$K$64</f>
        <v>0.32921620214615555</v>
      </c>
      <c r="R41" s="418">
        <f>R17*Machines!$K$64</f>
        <v>0.48713548772145954</v>
      </c>
      <c r="S41" s="418">
        <f>S17*Machines!$K$64</f>
        <v>0.74380429827603911</v>
      </c>
      <c r="T41" s="418">
        <f>T17*Machines!$K$64</f>
        <v>0.84392218362299776</v>
      </c>
      <c r="U41" s="418">
        <f>U17*Machines!$K$64</f>
        <v>0.84312535208667838</v>
      </c>
      <c r="V41" s="418">
        <f>V17*Machines!$K$64</f>
        <v>0.76951916435192125</v>
      </c>
      <c r="W41" s="418">
        <f>W17*Machines!$K$64</f>
        <v>0.53354625582334569</v>
      </c>
      <c r="X41" s="418">
        <f>X17*Machines!$K$64</f>
        <v>0.27169401042638358</v>
      </c>
      <c r="Y41" s="418">
        <f>Y17*Machines!$K$64</f>
        <v>0.15723988272162798</v>
      </c>
    </row>
    <row r="42" spans="1:25" ht="12.95">
      <c r="A42" s="387" t="str">
        <f t="shared" si="10"/>
        <v>Water heating</v>
      </c>
      <c r="B42" s="418">
        <f>B18*Machines!$K$130</f>
        <v>3.267012513245901E-2</v>
      </c>
      <c r="C42" s="418">
        <f>C18*Machines!$K$130</f>
        <v>3.267012513245901E-2</v>
      </c>
      <c r="D42" s="418">
        <f>D18*Machines!$K$130</f>
        <v>3.267012513245901E-2</v>
      </c>
      <c r="E42" s="418">
        <f>E18*Machines!$K$130</f>
        <v>3.267012513245901E-2</v>
      </c>
      <c r="F42" s="418">
        <f>F18*Machines!$K$130</f>
        <v>3.267012513245901E-2</v>
      </c>
      <c r="G42" s="418">
        <f>G18*Machines!$K$130</f>
        <v>3.267012513245901E-2</v>
      </c>
      <c r="H42" s="418">
        <f>H18*Machines!$K$130</f>
        <v>3.267012513245901E-2</v>
      </c>
      <c r="I42" s="418">
        <f>I18*Machines!$K$130</f>
        <v>3.267012513245901E-2</v>
      </c>
      <c r="J42" s="418">
        <f>J18*Machines!$K$130</f>
        <v>0.16335062566229508</v>
      </c>
      <c r="K42" s="418">
        <f>K18*Machines!$K$130</f>
        <v>0.39204150158950812</v>
      </c>
      <c r="L42" s="418">
        <f>L18*Machines!$K$130</f>
        <v>1.1761245047685243</v>
      </c>
      <c r="M42" s="418">
        <f>M18*Machines!$K$130</f>
        <v>1.5028257560931146</v>
      </c>
      <c r="N42" s="418">
        <f>N18*Machines!$K$130</f>
        <v>1.5681660063580325</v>
      </c>
      <c r="O42" s="418">
        <f>O18*Machines!$K$130</f>
        <v>0.84942325344393432</v>
      </c>
      <c r="P42" s="418">
        <f>P18*Machines!$K$130</f>
        <v>0.32670125132459016</v>
      </c>
      <c r="Q42" s="418">
        <f>Q18*Machines!$K$130</f>
        <v>3.267012513245901E-2</v>
      </c>
      <c r="R42" s="418">
        <f>R18*Machines!$K$130</f>
        <v>3.267012513245901E-2</v>
      </c>
      <c r="S42" s="418">
        <f>S18*Machines!$K$130</f>
        <v>3.267012513245901E-2</v>
      </c>
      <c r="T42" s="418">
        <f>T18*Machines!$K$130</f>
        <v>3.267012513245901E-2</v>
      </c>
      <c r="U42" s="418">
        <f>U18*Machines!$K$130</f>
        <v>3.267012513245901E-2</v>
      </c>
      <c r="V42" s="418">
        <f>V18*Machines!$K$130</f>
        <v>3.267012513245901E-2</v>
      </c>
      <c r="W42" s="418">
        <f>W18*Machines!$K$130</f>
        <v>3.267012513245901E-2</v>
      </c>
      <c r="X42" s="418">
        <f>X18*Machines!$K$130</f>
        <v>3.267012513245901E-2</v>
      </c>
      <c r="Y42" s="418">
        <f>Y18*Machines!$K$130</f>
        <v>3.267012513245901E-2</v>
      </c>
    </row>
    <row r="43" spans="1:25" ht="12.95">
      <c r="A43" s="54" t="s">
        <v>131</v>
      </c>
      <c r="B43" s="9">
        <f t="shared" ref="B43:Y43" si="11">$A$22*B20</f>
        <v>0</v>
      </c>
      <c r="C43" s="9">
        <f t="shared" si="11"/>
        <v>0</v>
      </c>
      <c r="D43" s="9">
        <f t="shared" si="11"/>
        <v>0</v>
      </c>
      <c r="E43" s="9">
        <f t="shared" si="11"/>
        <v>0</v>
      </c>
      <c r="F43" s="9">
        <f t="shared" si="11"/>
        <v>0</v>
      </c>
      <c r="G43" s="9">
        <f t="shared" si="11"/>
        <v>5.5079999999999997E-2</v>
      </c>
      <c r="H43" s="9">
        <f t="shared" si="11"/>
        <v>0.40500000000000003</v>
      </c>
      <c r="I43" s="9">
        <f t="shared" si="11"/>
        <v>1.2117599999999999</v>
      </c>
      <c r="J43" s="9">
        <f t="shared" si="11"/>
        <v>2.3911199999999999</v>
      </c>
      <c r="K43" s="9">
        <f t="shared" si="11"/>
        <v>3.3890399999999996</v>
      </c>
      <c r="L43" s="9">
        <f t="shared" si="11"/>
        <v>4.1050800000000001</v>
      </c>
      <c r="M43" s="9">
        <f t="shared" si="11"/>
        <v>4.4614799999999999</v>
      </c>
      <c r="N43" s="9">
        <f t="shared" si="11"/>
        <v>4.4485200000000003</v>
      </c>
      <c r="O43" s="9">
        <f t="shared" si="11"/>
        <v>4.0791599999999999</v>
      </c>
      <c r="P43" s="9">
        <f t="shared" si="11"/>
        <v>3.42144</v>
      </c>
      <c r="Q43" s="9">
        <f t="shared" si="11"/>
        <v>2.4429599999999998</v>
      </c>
      <c r="R43" s="9">
        <f t="shared" si="11"/>
        <v>1.3543199999999997</v>
      </c>
      <c r="S43" s="9">
        <f t="shared" si="11"/>
        <v>0.4698</v>
      </c>
      <c r="T43" s="9">
        <f t="shared" si="11"/>
        <v>0.13932</v>
      </c>
      <c r="U43" s="9">
        <f t="shared" si="11"/>
        <v>1.9439999999999999E-2</v>
      </c>
      <c r="V43" s="9">
        <f t="shared" si="11"/>
        <v>0</v>
      </c>
      <c r="W43" s="9">
        <f t="shared" si="11"/>
        <v>0</v>
      </c>
      <c r="X43" s="9">
        <f t="shared" si="11"/>
        <v>0</v>
      </c>
      <c r="Y43" s="9">
        <f t="shared" si="11"/>
        <v>0</v>
      </c>
    </row>
    <row r="44" spans="1:25" ht="12.95">
      <c r="A44" s="401" t="s">
        <v>827</v>
      </c>
      <c r="B44" s="419">
        <f ca="1">B23*Machines!$F$255</f>
        <v>0</v>
      </c>
      <c r="C44" s="419">
        <f ca="1">C23*Machines!$F$255</f>
        <v>0</v>
      </c>
      <c r="D44" s="419">
        <f ca="1">D23*Machines!$F$255</f>
        <v>0</v>
      </c>
      <c r="E44" s="419">
        <f ca="1">E23*Machines!$F$255</f>
        <v>0</v>
      </c>
      <c r="F44" s="419">
        <f ca="1">F23*Machines!$F$255</f>
        <v>0</v>
      </c>
      <c r="G44" s="419">
        <f ca="1">G23*Machines!$F$255</f>
        <v>0</v>
      </c>
      <c r="H44" s="419">
        <f ca="1">H23*Machines!$F$255</f>
        <v>0</v>
      </c>
      <c r="I44" s="419">
        <f ca="1">I23*Machines!$F$255</f>
        <v>0</v>
      </c>
      <c r="J44" s="419">
        <f ca="1">J23*Machines!$F$255</f>
        <v>0</v>
      </c>
      <c r="K44" s="419">
        <f ca="1">K23*Machines!$F$255</f>
        <v>0.72238525518105379</v>
      </c>
      <c r="L44" s="419">
        <f ca="1">L23*Machines!$F$255</f>
        <v>1.155816408289686</v>
      </c>
      <c r="M44" s="419">
        <f ca="1">M23*Machines!$F$255</f>
        <v>2.311632816579372</v>
      </c>
      <c r="N44" s="419">
        <f ca="1">N23*Machines!$F$255</f>
        <v>2.7450639696880041</v>
      </c>
      <c r="O44" s="419">
        <f ca="1">O23*Machines!$F$255</f>
        <v>3.0340180717604257</v>
      </c>
      <c r="P44" s="419">
        <f ca="1">P23*Machines!$F$255</f>
        <v>3.0340180717604257</v>
      </c>
      <c r="Q44" s="419">
        <f ca="1">Q23*Machines!$F$255</f>
        <v>1.155816408289686</v>
      </c>
      <c r="R44" s="419">
        <f ca="1">R23*Machines!$F$255</f>
        <v>0.14447705103621075</v>
      </c>
      <c r="S44" s="419">
        <f ca="1">S23*Machines!$F$255</f>
        <v>0.14447705103621075</v>
      </c>
      <c r="T44" s="419">
        <f ca="1">T23*Machines!$F$255</f>
        <v>0</v>
      </c>
      <c r="U44" s="419">
        <f ca="1">U23*Machines!$F$255</f>
        <v>0</v>
      </c>
      <c r="V44" s="419">
        <f ca="1">V23*Machines!$F$255</f>
        <v>0</v>
      </c>
      <c r="W44" s="419">
        <f ca="1">W23*Machines!$F$255</f>
        <v>0</v>
      </c>
      <c r="X44" s="419">
        <f ca="1">X23*Machines!$F$255</f>
        <v>0</v>
      </c>
      <c r="Y44" s="419">
        <f ca="1">Y23*Machines!$F$255</f>
        <v>0</v>
      </c>
    </row>
    <row r="45" spans="1:25" ht="12.95">
      <c r="A45" s="54" t="s">
        <v>47</v>
      </c>
      <c r="B45" s="9"/>
      <c r="C45" s="9"/>
      <c r="D45" s="9"/>
      <c r="E45" s="9"/>
      <c r="F45" s="9"/>
      <c r="G45" s="9"/>
      <c r="H45" s="9"/>
      <c r="I45" s="9" t="s">
        <v>1563</v>
      </c>
      <c r="J45" s="9"/>
      <c r="K45" s="9"/>
      <c r="L45" s="9"/>
      <c r="M45" s="9" t="s">
        <v>1564</v>
      </c>
      <c r="N45" s="9"/>
      <c r="O45" s="9"/>
      <c r="P45" s="9"/>
      <c r="Q45" s="9"/>
      <c r="R45" s="9"/>
      <c r="S45" s="9" t="s">
        <v>1563</v>
      </c>
      <c r="T45" s="9"/>
      <c r="U45" s="9"/>
      <c r="V45" s="9"/>
      <c r="W45" s="9" t="s">
        <v>1564</v>
      </c>
      <c r="X45" s="9"/>
      <c r="Y45" s="9"/>
    </row>
  </sheetData>
  <conditionalFormatting sqref="B14:Y19">
    <cfRule type="colorScale" priority="1">
      <colorScale>
        <cfvo type="min"/>
        <cfvo type="max"/>
        <color rgb="FFFFFFFF"/>
        <color rgb="FFCC4125"/>
      </colorScale>
    </cfRule>
  </conditionalFormatting>
  <dataValidations count="1">
    <dataValidation type="list" allowBlank="1" sqref="A21" xr:uid="{00000000-0002-0000-0E00-000000000000}">
      <formula1>"3,5,6,9,12,15"</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1C232"/>
    <outlinePr summaryBelow="0" summaryRight="0"/>
  </sheetPr>
  <dimension ref="A1:Z45"/>
  <sheetViews>
    <sheetView workbookViewId="0"/>
  </sheetViews>
  <sheetFormatPr defaultColWidth="12.5703125" defaultRowHeight="15.75" customHeight="1"/>
  <sheetData>
    <row r="1" spans="1:13" ht="15.75" customHeight="1">
      <c r="A1" s="369" t="s">
        <v>1565</v>
      </c>
      <c r="B1" s="369"/>
      <c r="C1" s="369"/>
      <c r="D1" s="369"/>
      <c r="E1" s="369"/>
      <c r="F1" s="369"/>
      <c r="G1" s="369"/>
      <c r="H1" s="369"/>
      <c r="I1" s="369"/>
      <c r="J1" s="369"/>
      <c r="K1" s="369"/>
      <c r="L1" s="369"/>
      <c r="M1" s="369"/>
    </row>
    <row r="2" spans="1:13" ht="15.75" customHeight="1">
      <c r="A2" s="369" t="s">
        <v>1566</v>
      </c>
      <c r="B2" s="369" t="s">
        <v>1567</v>
      </c>
      <c r="C2" s="369" t="s">
        <v>1568</v>
      </c>
      <c r="D2" s="369" t="s">
        <v>1569</v>
      </c>
      <c r="E2" s="369" t="s">
        <v>1570</v>
      </c>
      <c r="F2" s="369" t="s">
        <v>1571</v>
      </c>
      <c r="G2" s="369" t="s">
        <v>1572</v>
      </c>
      <c r="H2" s="369" t="s">
        <v>1573</v>
      </c>
      <c r="I2" s="369" t="s">
        <v>1574</v>
      </c>
      <c r="J2" s="369" t="s">
        <v>1575</v>
      </c>
      <c r="K2" s="369" t="s">
        <v>1576</v>
      </c>
      <c r="L2" s="369" t="s">
        <v>1577</v>
      </c>
      <c r="M2" s="369" t="s">
        <v>1578</v>
      </c>
    </row>
    <row r="3" spans="1:13" ht="15.75" customHeight="1">
      <c r="A3" s="420">
        <v>0</v>
      </c>
      <c r="B3" s="421">
        <v>0</v>
      </c>
      <c r="C3" s="421">
        <v>0</v>
      </c>
      <c r="D3" s="421">
        <v>0</v>
      </c>
      <c r="E3" s="421">
        <v>0</v>
      </c>
      <c r="F3" s="421">
        <v>0</v>
      </c>
      <c r="G3" s="421">
        <v>0</v>
      </c>
      <c r="H3" s="421">
        <v>0</v>
      </c>
      <c r="I3" s="421">
        <v>0</v>
      </c>
      <c r="J3" s="421">
        <v>0</v>
      </c>
      <c r="K3" s="421">
        <v>0</v>
      </c>
      <c r="L3" s="421">
        <v>0</v>
      </c>
      <c r="M3" s="421">
        <v>0</v>
      </c>
    </row>
    <row r="4" spans="1:13" ht="15.75" customHeight="1">
      <c r="A4" s="420">
        <v>4.1666666666666664E-2</v>
      </c>
      <c r="B4" s="421">
        <v>0</v>
      </c>
      <c r="C4" s="421">
        <v>0</v>
      </c>
      <c r="D4" s="421">
        <v>0</v>
      </c>
      <c r="E4" s="421">
        <v>0</v>
      </c>
      <c r="F4" s="421">
        <v>0</v>
      </c>
      <c r="G4" s="421">
        <v>0</v>
      </c>
      <c r="H4" s="421">
        <v>0</v>
      </c>
      <c r="I4" s="421">
        <v>0</v>
      </c>
      <c r="J4" s="421">
        <v>0</v>
      </c>
      <c r="K4" s="421">
        <v>0</v>
      </c>
      <c r="L4" s="421">
        <v>0</v>
      </c>
      <c r="M4" s="421">
        <v>0</v>
      </c>
    </row>
    <row r="5" spans="1:13" ht="15.75" customHeight="1">
      <c r="A5" s="420">
        <v>8.3333333333333329E-2</v>
      </c>
      <c r="B5" s="421">
        <v>0</v>
      </c>
      <c r="C5" s="421">
        <v>0</v>
      </c>
      <c r="D5" s="421">
        <v>0</v>
      </c>
      <c r="E5" s="421">
        <v>0</v>
      </c>
      <c r="F5" s="421">
        <v>0</v>
      </c>
      <c r="G5" s="421">
        <v>0</v>
      </c>
      <c r="H5" s="421">
        <v>0</v>
      </c>
      <c r="I5" s="421">
        <v>0</v>
      </c>
      <c r="J5" s="421">
        <v>0</v>
      </c>
      <c r="K5" s="421">
        <v>0</v>
      </c>
      <c r="L5" s="421">
        <v>0</v>
      </c>
      <c r="M5" s="421">
        <v>0</v>
      </c>
    </row>
    <row r="6" spans="1:13" ht="15.75" customHeight="1">
      <c r="A6" s="420">
        <v>0.125</v>
      </c>
      <c r="B6" s="421">
        <v>0</v>
      </c>
      <c r="C6" s="421">
        <v>0</v>
      </c>
      <c r="D6" s="421">
        <v>0</v>
      </c>
      <c r="E6" s="421">
        <v>0</v>
      </c>
      <c r="F6" s="421">
        <v>0</v>
      </c>
      <c r="G6" s="421">
        <v>0</v>
      </c>
      <c r="H6" s="421">
        <v>0</v>
      </c>
      <c r="I6" s="421">
        <v>0</v>
      </c>
      <c r="J6" s="421">
        <v>0</v>
      </c>
      <c r="K6" s="421">
        <v>0</v>
      </c>
      <c r="L6" s="421">
        <v>0</v>
      </c>
      <c r="M6" s="421">
        <v>0</v>
      </c>
    </row>
    <row r="7" spans="1:13" ht="15.75" customHeight="1">
      <c r="A7" s="420">
        <v>0.16666666666666666</v>
      </c>
      <c r="B7" s="421">
        <v>2.3851</v>
      </c>
      <c r="C7" s="421">
        <v>0</v>
      </c>
      <c r="D7" s="421">
        <v>0</v>
      </c>
      <c r="E7" s="421">
        <v>0</v>
      </c>
      <c r="F7" s="421">
        <v>0</v>
      </c>
      <c r="G7" s="421">
        <v>0</v>
      </c>
      <c r="H7" s="421">
        <v>0</v>
      </c>
      <c r="I7" s="421">
        <v>0</v>
      </c>
      <c r="J7" s="421">
        <v>0</v>
      </c>
      <c r="K7" s="421">
        <v>1.1924999999999999</v>
      </c>
      <c r="L7" s="421">
        <v>3.1785999999999999</v>
      </c>
      <c r="M7" s="421">
        <v>5.2438000000000002</v>
      </c>
    </row>
    <row r="8" spans="1:13" ht="15.75" customHeight="1">
      <c r="A8" s="420">
        <v>0.20833333333333334</v>
      </c>
      <c r="B8" s="421">
        <v>1.5496000000000001</v>
      </c>
      <c r="C8" s="421">
        <v>0.14419999999999999</v>
      </c>
      <c r="D8" s="421">
        <v>0</v>
      </c>
      <c r="E8" s="421">
        <v>6.3E-3</v>
      </c>
      <c r="F8" s="421">
        <v>0</v>
      </c>
      <c r="G8" s="421">
        <v>0</v>
      </c>
      <c r="H8" s="421">
        <v>0</v>
      </c>
      <c r="I8" s="421">
        <v>0</v>
      </c>
      <c r="J8" s="421">
        <v>1.6199999999999999E-2</v>
      </c>
      <c r="K8" s="421">
        <v>1.2754000000000001</v>
      </c>
      <c r="L8" s="421">
        <v>4.7793999999999999</v>
      </c>
      <c r="M8" s="421">
        <v>4.2289000000000003</v>
      </c>
    </row>
    <row r="9" spans="1:13" ht="15.75" customHeight="1">
      <c r="A9" s="420">
        <v>0.25</v>
      </c>
      <c r="B9" s="421">
        <v>2.0369999999999999</v>
      </c>
      <c r="C9" s="421">
        <v>1.0606</v>
      </c>
      <c r="D9" s="421">
        <v>0.29520000000000002</v>
      </c>
      <c r="E9" s="421">
        <v>0.1191</v>
      </c>
      <c r="F9" s="421">
        <v>0</v>
      </c>
      <c r="G9" s="421">
        <v>0</v>
      </c>
      <c r="H9" s="421">
        <v>0</v>
      </c>
      <c r="I9" s="421">
        <v>2.1999999999999999E-2</v>
      </c>
      <c r="J9" s="421">
        <v>0.65600000000000003</v>
      </c>
      <c r="K9" s="421">
        <v>2.1795</v>
      </c>
      <c r="L9" s="421">
        <v>2.9573999999999998</v>
      </c>
      <c r="M9" s="421">
        <v>2.6732</v>
      </c>
    </row>
    <row r="10" spans="1:13" ht="15.75" customHeight="1">
      <c r="A10" s="420">
        <v>0.29166666666666669</v>
      </c>
      <c r="B10" s="421">
        <v>1.6294</v>
      </c>
      <c r="C10" s="421">
        <v>1.3378000000000001</v>
      </c>
      <c r="D10" s="421">
        <v>1.0552999999999999</v>
      </c>
      <c r="E10" s="421">
        <v>0.65169999999999995</v>
      </c>
      <c r="F10" s="421">
        <v>0.17460000000000001</v>
      </c>
      <c r="G10" s="421">
        <v>2.46E-2</v>
      </c>
      <c r="H10" s="421">
        <v>5.3199999999999997E-2</v>
      </c>
      <c r="I10" s="421">
        <v>0.50839999999999996</v>
      </c>
      <c r="J10" s="421">
        <v>1.1278999999999999</v>
      </c>
      <c r="K10" s="421">
        <v>1.6903999999999999</v>
      </c>
      <c r="L10" s="421">
        <v>1.9527000000000001</v>
      </c>
      <c r="M10" s="421">
        <v>1.7943</v>
      </c>
    </row>
    <row r="11" spans="1:13" ht="15.75" customHeight="1">
      <c r="A11" s="420">
        <v>0.33333333333333331</v>
      </c>
      <c r="B11" s="421">
        <v>1.3247</v>
      </c>
      <c r="C11" s="421">
        <v>1.2182999999999999</v>
      </c>
      <c r="D11" s="421">
        <v>1.0804</v>
      </c>
      <c r="E11" s="421">
        <v>0.86990000000000001</v>
      </c>
      <c r="F11" s="421">
        <v>0.59109999999999996</v>
      </c>
      <c r="G11" s="421">
        <v>0.3962</v>
      </c>
      <c r="H11" s="421">
        <v>0.49430000000000002</v>
      </c>
      <c r="I11" s="421">
        <v>0.78610000000000002</v>
      </c>
      <c r="J11" s="421">
        <v>1.0646</v>
      </c>
      <c r="K11" s="421">
        <v>1.3387</v>
      </c>
      <c r="L11" s="421">
        <v>1.4548000000000001</v>
      </c>
      <c r="M11" s="421">
        <v>1.381</v>
      </c>
    </row>
    <row r="12" spans="1:13" ht="15.75" customHeight="1">
      <c r="A12" s="420">
        <v>0.375</v>
      </c>
      <c r="B12" s="421">
        <v>1.2588999999999999</v>
      </c>
      <c r="C12" s="421">
        <v>1.1863999999999999</v>
      </c>
      <c r="D12" s="421">
        <v>1.0731999999999999</v>
      </c>
      <c r="E12" s="421">
        <v>0.90620000000000001</v>
      </c>
      <c r="F12" s="421">
        <v>0.71050000000000002</v>
      </c>
      <c r="G12" s="421">
        <v>0.57540000000000002</v>
      </c>
      <c r="H12" s="421">
        <v>0.65900000000000003</v>
      </c>
      <c r="I12" s="421">
        <v>0.84970000000000001</v>
      </c>
      <c r="J12" s="421">
        <v>1.0369999999999999</v>
      </c>
      <c r="K12" s="421">
        <v>1.2110000000000001</v>
      </c>
      <c r="L12" s="421">
        <v>1.2750999999999999</v>
      </c>
      <c r="M12" s="421">
        <v>1.2574000000000001</v>
      </c>
    </row>
    <row r="13" spans="1:13" ht="15.75" customHeight="1">
      <c r="A13" s="420">
        <v>0.41666666666666669</v>
      </c>
      <c r="B13" s="421">
        <v>1.2455000000000001</v>
      </c>
      <c r="C13" s="421">
        <v>1.1876</v>
      </c>
      <c r="D13" s="421">
        <v>1.0900000000000001</v>
      </c>
      <c r="E13" s="421">
        <v>0.91600000000000004</v>
      </c>
      <c r="F13" s="421">
        <v>0.75029999999999997</v>
      </c>
      <c r="G13" s="421">
        <v>0.64370000000000005</v>
      </c>
      <c r="H13" s="421">
        <v>0.71840000000000004</v>
      </c>
      <c r="I13" s="421">
        <v>0.86419999999999997</v>
      </c>
      <c r="J13" s="421">
        <v>1.0095000000000001</v>
      </c>
      <c r="K13" s="421">
        <v>1.1604000000000001</v>
      </c>
      <c r="L13" s="421">
        <v>1.1942999999999999</v>
      </c>
      <c r="M13" s="421">
        <v>1.2201</v>
      </c>
    </row>
    <row r="14" spans="1:13" ht="15.75" customHeight="1">
      <c r="A14" s="420">
        <v>0.45833333333333331</v>
      </c>
      <c r="B14" s="421">
        <v>1.2639</v>
      </c>
      <c r="C14" s="421">
        <v>1.1952</v>
      </c>
      <c r="D14" s="421">
        <v>1.0994999999999999</v>
      </c>
      <c r="E14" s="421">
        <v>0.9173</v>
      </c>
      <c r="F14" s="421">
        <v>0.74150000000000005</v>
      </c>
      <c r="G14" s="421">
        <v>0.66410000000000002</v>
      </c>
      <c r="H14" s="421">
        <v>0.7248</v>
      </c>
      <c r="I14" s="421">
        <v>0.85419999999999996</v>
      </c>
      <c r="J14" s="421">
        <v>1.0088999999999999</v>
      </c>
      <c r="K14" s="421">
        <v>1.1281000000000001</v>
      </c>
      <c r="L14" s="421">
        <v>1.1773</v>
      </c>
      <c r="M14" s="421">
        <v>1.2252000000000001</v>
      </c>
    </row>
    <row r="15" spans="1:13" ht="15.75" customHeight="1">
      <c r="A15" s="420">
        <v>0.5</v>
      </c>
      <c r="B15" s="421">
        <v>1.3004</v>
      </c>
      <c r="C15" s="421">
        <v>1.2181</v>
      </c>
      <c r="D15" s="421">
        <v>1.1122000000000001</v>
      </c>
      <c r="E15" s="421">
        <v>0.90280000000000005</v>
      </c>
      <c r="F15" s="421">
        <v>0.72260000000000002</v>
      </c>
      <c r="G15" s="421">
        <v>0.6522</v>
      </c>
      <c r="H15" s="421">
        <v>0.71130000000000004</v>
      </c>
      <c r="I15" s="421">
        <v>0.8498</v>
      </c>
      <c r="J15" s="421">
        <v>1.0141</v>
      </c>
      <c r="K15" s="421">
        <v>1.1151</v>
      </c>
      <c r="L15" s="421">
        <v>1.1718</v>
      </c>
      <c r="M15" s="421">
        <v>1.2295</v>
      </c>
    </row>
    <row r="16" spans="1:13" ht="15.75" customHeight="1">
      <c r="A16" s="420">
        <v>0.54166666666666663</v>
      </c>
      <c r="B16" s="421">
        <v>1.3307</v>
      </c>
      <c r="C16" s="421">
        <v>1.2661</v>
      </c>
      <c r="D16" s="421">
        <v>1.1184000000000001</v>
      </c>
      <c r="E16" s="421">
        <v>0.87029999999999996</v>
      </c>
      <c r="F16" s="421">
        <v>0.71109999999999995</v>
      </c>
      <c r="G16" s="421">
        <v>0.63029999999999997</v>
      </c>
      <c r="H16" s="421">
        <v>0.7097</v>
      </c>
      <c r="I16" s="421">
        <v>0.84199999999999997</v>
      </c>
      <c r="J16" s="421">
        <v>1.0019</v>
      </c>
      <c r="K16" s="421">
        <v>1.1102000000000001</v>
      </c>
      <c r="L16" s="421">
        <v>1.1709000000000001</v>
      </c>
      <c r="M16" s="421">
        <v>1.2384999999999999</v>
      </c>
    </row>
    <row r="17" spans="1:26" ht="15.75" customHeight="1">
      <c r="A17" s="420">
        <v>0.58333333333333337</v>
      </c>
      <c r="B17" s="421">
        <v>1.3776999999999999</v>
      </c>
      <c r="C17" s="421">
        <v>1.2967</v>
      </c>
      <c r="D17" s="421">
        <v>1.1312</v>
      </c>
      <c r="E17" s="421">
        <v>0.84889999999999999</v>
      </c>
      <c r="F17" s="421">
        <v>0.69579999999999997</v>
      </c>
      <c r="G17" s="421">
        <v>0.60429999999999995</v>
      </c>
      <c r="H17" s="421">
        <v>0.68240000000000001</v>
      </c>
      <c r="I17" s="421">
        <v>0.82820000000000005</v>
      </c>
      <c r="J17" s="421">
        <v>0.98240000000000005</v>
      </c>
      <c r="K17" s="421">
        <v>1.0920000000000001</v>
      </c>
      <c r="L17" s="421">
        <v>1.1863999999999999</v>
      </c>
      <c r="M17" s="421">
        <v>1.2741</v>
      </c>
    </row>
    <row r="18" spans="1:26" ht="15.75" customHeight="1">
      <c r="A18" s="420">
        <v>0.625</v>
      </c>
      <c r="B18" s="421">
        <v>1.5044</v>
      </c>
      <c r="C18" s="421">
        <v>1.4016</v>
      </c>
      <c r="D18" s="421">
        <v>1.1587000000000001</v>
      </c>
      <c r="E18" s="421">
        <v>0.78310000000000002</v>
      </c>
      <c r="F18" s="421">
        <v>0.58679999999999999</v>
      </c>
      <c r="G18" s="421">
        <v>0.502</v>
      </c>
      <c r="H18" s="421">
        <v>0.63109999999999999</v>
      </c>
      <c r="I18" s="421">
        <v>0.78110000000000002</v>
      </c>
      <c r="J18" s="421">
        <v>0.95809999999999995</v>
      </c>
      <c r="K18" s="421">
        <v>1.0809</v>
      </c>
      <c r="L18" s="421">
        <v>1.2403999999999999</v>
      </c>
      <c r="M18" s="421">
        <v>1.3718999999999999</v>
      </c>
    </row>
    <row r="19" spans="1:26" ht="15.75" customHeight="1">
      <c r="A19" s="420">
        <v>0.66666666666666663</v>
      </c>
      <c r="B19" s="421">
        <v>1.7894000000000001</v>
      </c>
      <c r="C19" s="421">
        <v>1.6084000000000001</v>
      </c>
      <c r="D19" s="421">
        <v>1.1986000000000001</v>
      </c>
      <c r="E19" s="421">
        <v>0.65149999999999997</v>
      </c>
      <c r="F19" s="421">
        <v>0.3508</v>
      </c>
      <c r="G19" s="421">
        <v>0.27050000000000002</v>
      </c>
      <c r="H19" s="421">
        <v>0.43530000000000002</v>
      </c>
      <c r="I19" s="421">
        <v>0.67510000000000003</v>
      </c>
      <c r="J19" s="421">
        <v>0.92149999999999999</v>
      </c>
      <c r="K19" s="421">
        <v>1.1102000000000001</v>
      </c>
      <c r="L19" s="421">
        <v>1.3688</v>
      </c>
      <c r="M19" s="421">
        <v>1.62</v>
      </c>
    </row>
    <row r="20" spans="1:26" ht="15.75" customHeight="1">
      <c r="A20" s="420">
        <v>0.70833333333333337</v>
      </c>
      <c r="B20" s="421">
        <v>2.5588000000000002</v>
      </c>
      <c r="C20" s="421">
        <v>2.0518999999999998</v>
      </c>
      <c r="D20" s="421">
        <v>1.1145</v>
      </c>
      <c r="E20" s="421">
        <v>0.27729999999999999</v>
      </c>
      <c r="F20" s="421">
        <v>3.5299999999999998E-2</v>
      </c>
      <c r="G20" s="421">
        <v>1.26E-2</v>
      </c>
      <c r="H20" s="421">
        <v>6.8900000000000003E-2</v>
      </c>
      <c r="I20" s="421">
        <v>0.28399999999999997</v>
      </c>
      <c r="J20" s="421">
        <v>0.6482</v>
      </c>
      <c r="K20" s="421">
        <v>1.0581</v>
      </c>
      <c r="L20" s="421">
        <v>1.6334</v>
      </c>
      <c r="M20" s="421">
        <v>2.2570999999999999</v>
      </c>
    </row>
    <row r="21" spans="1:26" ht="15.75" customHeight="1">
      <c r="A21" s="420">
        <v>0.75</v>
      </c>
      <c r="B21" s="421">
        <v>3.2046999999999999</v>
      </c>
      <c r="C21" s="421">
        <v>1.9742999999999999</v>
      </c>
      <c r="D21" s="421">
        <v>0.54320000000000002</v>
      </c>
      <c r="E21" s="421">
        <v>1.2800000000000001E-2</v>
      </c>
      <c r="F21" s="421">
        <v>0</v>
      </c>
      <c r="G21" s="421">
        <v>0</v>
      </c>
      <c r="H21" s="421">
        <v>0</v>
      </c>
      <c r="I21" s="421">
        <v>1.2800000000000001E-2</v>
      </c>
      <c r="J21" s="421">
        <v>0.12970000000000001</v>
      </c>
      <c r="K21" s="421">
        <v>0.8377</v>
      </c>
      <c r="L21" s="421">
        <v>2.1362999999999999</v>
      </c>
      <c r="M21" s="421">
        <v>3.1484999999999999</v>
      </c>
    </row>
    <row r="22" spans="1:26" ht="15.75" customHeight="1">
      <c r="A22" s="420">
        <v>0.79166666666666663</v>
      </c>
      <c r="B22" s="421">
        <v>5.0152000000000001</v>
      </c>
      <c r="C22" s="421">
        <v>1.0065</v>
      </c>
      <c r="D22" s="421">
        <v>4.24E-2</v>
      </c>
      <c r="E22" s="421">
        <v>0</v>
      </c>
      <c r="F22" s="421">
        <v>0</v>
      </c>
      <c r="G22" s="421">
        <v>0</v>
      </c>
      <c r="H22" s="421">
        <v>0</v>
      </c>
      <c r="I22" s="421">
        <v>0</v>
      </c>
      <c r="J22" s="421">
        <v>0</v>
      </c>
      <c r="K22" s="421">
        <v>9.9400000000000002E-2</v>
      </c>
      <c r="L22" s="421">
        <v>1.26</v>
      </c>
      <c r="M22" s="421">
        <v>4.5765000000000002</v>
      </c>
    </row>
    <row r="23" spans="1:26" ht="15.75" customHeight="1">
      <c r="A23" s="420">
        <v>0.83333333333333337</v>
      </c>
      <c r="B23" s="421">
        <v>4</v>
      </c>
      <c r="C23" s="421">
        <v>1.7078</v>
      </c>
      <c r="D23" s="421">
        <v>0</v>
      </c>
      <c r="E23" s="421">
        <v>0</v>
      </c>
      <c r="F23" s="421">
        <v>0</v>
      </c>
      <c r="G23" s="421">
        <v>0</v>
      </c>
      <c r="H23" s="421">
        <v>0</v>
      </c>
      <c r="I23" s="421">
        <v>0</v>
      </c>
      <c r="J23" s="421">
        <v>0</v>
      </c>
      <c r="K23" s="421">
        <v>0</v>
      </c>
      <c r="L23" s="421">
        <v>1.7078</v>
      </c>
      <c r="M23" s="421">
        <v>4.5842999999999998</v>
      </c>
    </row>
    <row r="24" spans="1:26" ht="15.75" customHeight="1">
      <c r="A24" s="420">
        <v>0.875</v>
      </c>
      <c r="B24" s="421">
        <v>0</v>
      </c>
      <c r="C24" s="421">
        <v>0</v>
      </c>
      <c r="D24" s="421">
        <v>0</v>
      </c>
      <c r="E24" s="421">
        <v>0</v>
      </c>
      <c r="F24" s="421">
        <v>0</v>
      </c>
      <c r="G24" s="421">
        <v>0</v>
      </c>
      <c r="H24" s="421">
        <v>0</v>
      </c>
      <c r="I24" s="421">
        <v>0</v>
      </c>
      <c r="J24" s="421">
        <v>0</v>
      </c>
      <c r="K24" s="421">
        <v>0</v>
      </c>
      <c r="L24" s="421">
        <v>0</v>
      </c>
      <c r="M24" s="421">
        <v>0</v>
      </c>
    </row>
    <row r="25" spans="1:26" ht="15.75" customHeight="1">
      <c r="A25" s="420">
        <v>0.91666666666666663</v>
      </c>
      <c r="B25" s="421">
        <v>0</v>
      </c>
      <c r="C25" s="421">
        <v>0</v>
      </c>
      <c r="D25" s="421">
        <v>0</v>
      </c>
      <c r="E25" s="421">
        <v>0</v>
      </c>
      <c r="F25" s="421">
        <v>0</v>
      </c>
      <c r="G25" s="421">
        <v>0</v>
      </c>
      <c r="H25" s="421">
        <v>0</v>
      </c>
      <c r="I25" s="421">
        <v>0</v>
      </c>
      <c r="J25" s="421">
        <v>0</v>
      </c>
      <c r="K25" s="421">
        <v>0</v>
      </c>
      <c r="L25" s="421">
        <v>0</v>
      </c>
      <c r="M25" s="421">
        <v>0</v>
      </c>
    </row>
    <row r="26" spans="1:26" ht="15.75" customHeight="1">
      <c r="A26" s="420">
        <v>0.95833333333333337</v>
      </c>
      <c r="B26" s="421">
        <v>0</v>
      </c>
      <c r="C26" s="421">
        <v>0</v>
      </c>
      <c r="D26" s="421">
        <v>0</v>
      </c>
      <c r="E26" s="421">
        <v>0</v>
      </c>
      <c r="F26" s="421">
        <v>0</v>
      </c>
      <c r="G26" s="421">
        <v>0</v>
      </c>
      <c r="H26" s="421">
        <v>0</v>
      </c>
      <c r="I26" s="421">
        <v>0</v>
      </c>
      <c r="J26" s="421">
        <v>0</v>
      </c>
      <c r="K26" s="421">
        <v>0</v>
      </c>
      <c r="L26" s="421">
        <v>0</v>
      </c>
      <c r="M26" s="421">
        <v>0</v>
      </c>
    </row>
    <row r="28" spans="1:26" ht="15.75" customHeight="1">
      <c r="A28" s="10" t="s">
        <v>1579</v>
      </c>
    </row>
    <row r="29" spans="1:26" ht="15.75" customHeight="1">
      <c r="A29" s="473" t="s">
        <v>1580</v>
      </c>
    </row>
    <row r="31" spans="1:26" ht="15.75" customHeight="1">
      <c r="A31" s="369" t="s">
        <v>1565</v>
      </c>
      <c r="B31" s="369" t="s">
        <v>1566</v>
      </c>
      <c r="C31" s="420">
        <v>0</v>
      </c>
      <c r="D31" s="420">
        <v>4.1666666666666664E-2</v>
      </c>
      <c r="E31" s="420">
        <v>8.3333333333333329E-2</v>
      </c>
      <c r="F31" s="420">
        <v>0.125</v>
      </c>
      <c r="G31" s="420">
        <v>0.16666666666666666</v>
      </c>
      <c r="H31" s="420">
        <v>0.20833333333333334</v>
      </c>
      <c r="I31" s="420">
        <v>0.25</v>
      </c>
      <c r="J31" s="420">
        <v>0.29166666666666669</v>
      </c>
      <c r="K31" s="420">
        <v>0.33333333333333331</v>
      </c>
      <c r="L31" s="420">
        <v>0.375</v>
      </c>
      <c r="M31" s="420">
        <v>0.41666666666666669</v>
      </c>
      <c r="N31" s="420">
        <v>0.45833333333333331</v>
      </c>
      <c r="O31" s="420">
        <v>0.5</v>
      </c>
      <c r="P31" s="420">
        <v>0.54166666666666663</v>
      </c>
      <c r="Q31" s="420">
        <v>0.58333333333333337</v>
      </c>
      <c r="R31" s="420">
        <v>0.625</v>
      </c>
      <c r="S31" s="420">
        <v>0.66666666666666663</v>
      </c>
      <c r="T31" s="420">
        <v>0.70833333333333337</v>
      </c>
      <c r="U31" s="420">
        <v>0.75</v>
      </c>
      <c r="V31" s="420">
        <v>0.79166666666666663</v>
      </c>
      <c r="W31" s="420">
        <v>0.83333333333333337</v>
      </c>
      <c r="X31" s="420">
        <v>0.875</v>
      </c>
      <c r="Y31" s="420">
        <v>0.91666666666666663</v>
      </c>
      <c r="Z31" s="420">
        <v>0.95833333333333337</v>
      </c>
    </row>
    <row r="32" spans="1:26" ht="15.75" customHeight="1">
      <c r="A32" s="369"/>
      <c r="B32" s="369" t="s">
        <v>1567</v>
      </c>
      <c r="C32" s="421">
        <v>0</v>
      </c>
      <c r="D32" s="421">
        <v>0</v>
      </c>
      <c r="E32" s="421">
        <v>0</v>
      </c>
      <c r="F32" s="421">
        <v>0</v>
      </c>
      <c r="G32" s="421">
        <v>2.3851</v>
      </c>
      <c r="H32" s="421">
        <v>1.5496000000000001</v>
      </c>
      <c r="I32" s="421">
        <v>2.0369999999999999</v>
      </c>
      <c r="J32" s="421">
        <v>1.6294</v>
      </c>
      <c r="K32" s="421">
        <v>1.3247</v>
      </c>
      <c r="L32" s="421">
        <v>1.2588999999999999</v>
      </c>
      <c r="M32" s="421">
        <v>1.2455000000000001</v>
      </c>
      <c r="N32" s="421">
        <v>1.2639</v>
      </c>
      <c r="O32" s="421">
        <v>1.3004</v>
      </c>
      <c r="P32" s="421">
        <v>1.3307</v>
      </c>
      <c r="Q32" s="421">
        <v>1.3776999999999999</v>
      </c>
      <c r="R32" s="421">
        <v>1.5044</v>
      </c>
      <c r="S32" s="421">
        <v>1.7894000000000001</v>
      </c>
      <c r="T32" s="421">
        <v>2.5588000000000002</v>
      </c>
      <c r="U32" s="421">
        <v>3.2046999999999999</v>
      </c>
      <c r="V32" s="421">
        <v>5.0152000000000001</v>
      </c>
      <c r="W32" s="421">
        <v>4</v>
      </c>
      <c r="X32" s="421">
        <v>0</v>
      </c>
      <c r="Y32" s="421">
        <v>0</v>
      </c>
      <c r="Z32" s="421">
        <v>0</v>
      </c>
    </row>
    <row r="33" spans="1:26" ht="15.75" customHeight="1">
      <c r="A33" s="369"/>
      <c r="B33" s="369" t="s">
        <v>1568</v>
      </c>
      <c r="C33" s="421">
        <v>0</v>
      </c>
      <c r="D33" s="421">
        <v>0</v>
      </c>
      <c r="E33" s="421">
        <v>0</v>
      </c>
      <c r="F33" s="421">
        <v>0</v>
      </c>
      <c r="G33" s="421">
        <v>0</v>
      </c>
      <c r="H33" s="421">
        <v>0.14419999999999999</v>
      </c>
      <c r="I33" s="421">
        <v>1.0606</v>
      </c>
      <c r="J33" s="421">
        <v>1.3378000000000001</v>
      </c>
      <c r="K33" s="421">
        <v>1.2182999999999999</v>
      </c>
      <c r="L33" s="421">
        <v>1.1863999999999999</v>
      </c>
      <c r="M33" s="421">
        <v>1.1876</v>
      </c>
      <c r="N33" s="421">
        <v>1.1952</v>
      </c>
      <c r="O33" s="421">
        <v>1.2181</v>
      </c>
      <c r="P33" s="421">
        <v>1.2661</v>
      </c>
      <c r="Q33" s="421">
        <v>1.2967</v>
      </c>
      <c r="R33" s="421">
        <v>1.4016</v>
      </c>
      <c r="S33" s="421">
        <v>1.6084000000000001</v>
      </c>
      <c r="T33" s="421">
        <v>2.0518999999999998</v>
      </c>
      <c r="U33" s="421">
        <v>1.9742999999999999</v>
      </c>
      <c r="V33" s="421">
        <v>1.0065</v>
      </c>
      <c r="W33" s="421">
        <v>1.7078</v>
      </c>
      <c r="X33" s="421">
        <v>0</v>
      </c>
      <c r="Y33" s="421">
        <v>0</v>
      </c>
      <c r="Z33" s="421">
        <v>0</v>
      </c>
    </row>
    <row r="34" spans="1:26" ht="15.75" customHeight="1">
      <c r="A34" s="369"/>
      <c r="B34" s="369" t="s">
        <v>1569</v>
      </c>
      <c r="C34" s="421">
        <v>0</v>
      </c>
      <c r="D34" s="421">
        <v>0</v>
      </c>
      <c r="E34" s="421">
        <v>0</v>
      </c>
      <c r="F34" s="421">
        <v>0</v>
      </c>
      <c r="G34" s="421">
        <v>0</v>
      </c>
      <c r="H34" s="421">
        <v>0</v>
      </c>
      <c r="I34" s="421">
        <v>0.29520000000000002</v>
      </c>
      <c r="J34" s="421">
        <v>1.0552999999999999</v>
      </c>
      <c r="K34" s="421">
        <v>1.0804</v>
      </c>
      <c r="L34" s="421">
        <v>1.0731999999999999</v>
      </c>
      <c r="M34" s="421">
        <v>1.0900000000000001</v>
      </c>
      <c r="N34" s="421">
        <v>1.0994999999999999</v>
      </c>
      <c r="O34" s="421">
        <v>1.1122000000000001</v>
      </c>
      <c r="P34" s="421">
        <v>1.1184000000000001</v>
      </c>
      <c r="Q34" s="421">
        <v>1.1312</v>
      </c>
      <c r="R34" s="421">
        <v>1.1587000000000001</v>
      </c>
      <c r="S34" s="421">
        <v>1.1986000000000001</v>
      </c>
      <c r="T34" s="421">
        <v>1.1145</v>
      </c>
      <c r="U34" s="421">
        <v>0.54320000000000002</v>
      </c>
      <c r="V34" s="421">
        <v>4.24E-2</v>
      </c>
      <c r="W34" s="421">
        <v>0</v>
      </c>
      <c r="X34" s="421">
        <v>0</v>
      </c>
      <c r="Y34" s="421">
        <v>0</v>
      </c>
      <c r="Z34" s="421">
        <v>0</v>
      </c>
    </row>
    <row r="35" spans="1:26" ht="15.75" customHeight="1">
      <c r="A35" s="369"/>
      <c r="B35" s="369" t="s">
        <v>1570</v>
      </c>
      <c r="C35" s="421">
        <v>0</v>
      </c>
      <c r="D35" s="421">
        <v>0</v>
      </c>
      <c r="E35" s="421">
        <v>0</v>
      </c>
      <c r="F35" s="421">
        <v>0</v>
      </c>
      <c r="G35" s="421">
        <v>0</v>
      </c>
      <c r="H35" s="421">
        <v>6.3E-3</v>
      </c>
      <c r="I35" s="421">
        <v>0.1191</v>
      </c>
      <c r="J35" s="421">
        <v>0.65169999999999995</v>
      </c>
      <c r="K35" s="421">
        <v>0.86990000000000001</v>
      </c>
      <c r="L35" s="421">
        <v>0.90620000000000001</v>
      </c>
      <c r="M35" s="421">
        <v>0.91600000000000004</v>
      </c>
      <c r="N35" s="421">
        <v>0.9173</v>
      </c>
      <c r="O35" s="421">
        <v>0.90280000000000005</v>
      </c>
      <c r="P35" s="421">
        <v>0.87029999999999996</v>
      </c>
      <c r="Q35" s="421">
        <v>0.84889999999999999</v>
      </c>
      <c r="R35" s="421">
        <v>0.78310000000000002</v>
      </c>
      <c r="S35" s="421">
        <v>0.65149999999999997</v>
      </c>
      <c r="T35" s="421">
        <v>0.27729999999999999</v>
      </c>
      <c r="U35" s="421">
        <v>1.2800000000000001E-2</v>
      </c>
      <c r="V35" s="421">
        <v>0</v>
      </c>
      <c r="W35" s="421">
        <v>0</v>
      </c>
      <c r="X35" s="421">
        <v>0</v>
      </c>
      <c r="Y35" s="421">
        <v>0</v>
      </c>
      <c r="Z35" s="421">
        <v>0</v>
      </c>
    </row>
    <row r="36" spans="1:26" ht="15.75" customHeight="1">
      <c r="A36" s="369"/>
      <c r="B36" s="369" t="s">
        <v>1571</v>
      </c>
      <c r="C36" s="421">
        <v>0</v>
      </c>
      <c r="D36" s="421">
        <v>0</v>
      </c>
      <c r="E36" s="421">
        <v>0</v>
      </c>
      <c r="F36" s="421">
        <v>0</v>
      </c>
      <c r="G36" s="421">
        <v>0</v>
      </c>
      <c r="H36" s="421">
        <v>0</v>
      </c>
      <c r="I36" s="421">
        <v>0</v>
      </c>
      <c r="J36" s="421">
        <v>0.17460000000000001</v>
      </c>
      <c r="K36" s="421">
        <v>0.59109999999999996</v>
      </c>
      <c r="L36" s="421">
        <v>0.71050000000000002</v>
      </c>
      <c r="M36" s="421">
        <v>0.75029999999999997</v>
      </c>
      <c r="N36" s="421">
        <v>0.74150000000000005</v>
      </c>
      <c r="O36" s="421">
        <v>0.72260000000000002</v>
      </c>
      <c r="P36" s="421">
        <v>0.71109999999999995</v>
      </c>
      <c r="Q36" s="421">
        <v>0.69579999999999997</v>
      </c>
      <c r="R36" s="421">
        <v>0.58679999999999999</v>
      </c>
      <c r="S36" s="421">
        <v>0.3508</v>
      </c>
      <c r="T36" s="421">
        <v>3.5299999999999998E-2</v>
      </c>
      <c r="U36" s="421">
        <v>0</v>
      </c>
      <c r="V36" s="421">
        <v>0</v>
      </c>
      <c r="W36" s="421">
        <v>0</v>
      </c>
      <c r="X36" s="421">
        <v>0</v>
      </c>
      <c r="Y36" s="421">
        <v>0</v>
      </c>
      <c r="Z36" s="421">
        <v>0</v>
      </c>
    </row>
    <row r="37" spans="1:26" ht="15.75" customHeight="1">
      <c r="A37" s="369"/>
      <c r="B37" s="369" t="s">
        <v>1572</v>
      </c>
      <c r="C37" s="421">
        <v>0</v>
      </c>
      <c r="D37" s="421">
        <v>0</v>
      </c>
      <c r="E37" s="421">
        <v>0</v>
      </c>
      <c r="F37" s="421">
        <v>0</v>
      </c>
      <c r="G37" s="421">
        <v>0</v>
      </c>
      <c r="H37" s="421">
        <v>0</v>
      </c>
      <c r="I37" s="421">
        <v>0</v>
      </c>
      <c r="J37" s="421">
        <v>2.46E-2</v>
      </c>
      <c r="K37" s="421">
        <v>0.3962</v>
      </c>
      <c r="L37" s="421">
        <v>0.57540000000000002</v>
      </c>
      <c r="M37" s="421">
        <v>0.64370000000000005</v>
      </c>
      <c r="N37" s="421">
        <v>0.66410000000000002</v>
      </c>
      <c r="O37" s="421">
        <v>0.6522</v>
      </c>
      <c r="P37" s="421">
        <v>0.63029999999999997</v>
      </c>
      <c r="Q37" s="421">
        <v>0.60429999999999995</v>
      </c>
      <c r="R37" s="421">
        <v>0.502</v>
      </c>
      <c r="S37" s="421">
        <v>0.27050000000000002</v>
      </c>
      <c r="T37" s="421">
        <v>1.26E-2</v>
      </c>
      <c r="U37" s="421">
        <v>0</v>
      </c>
      <c r="V37" s="421">
        <v>0</v>
      </c>
      <c r="W37" s="421">
        <v>0</v>
      </c>
      <c r="X37" s="421">
        <v>0</v>
      </c>
      <c r="Y37" s="421">
        <v>0</v>
      </c>
      <c r="Z37" s="421">
        <v>0</v>
      </c>
    </row>
    <row r="38" spans="1:26" ht="15.75" customHeight="1">
      <c r="A38" s="369"/>
      <c r="B38" s="369" t="s">
        <v>1573</v>
      </c>
      <c r="C38" s="421">
        <v>0</v>
      </c>
      <c r="D38" s="421">
        <v>0</v>
      </c>
      <c r="E38" s="421">
        <v>0</v>
      </c>
      <c r="F38" s="421">
        <v>0</v>
      </c>
      <c r="G38" s="421">
        <v>0</v>
      </c>
      <c r="H38" s="421">
        <v>0</v>
      </c>
      <c r="I38" s="421">
        <v>0</v>
      </c>
      <c r="J38" s="421">
        <v>5.3199999999999997E-2</v>
      </c>
      <c r="K38" s="421">
        <v>0.49430000000000002</v>
      </c>
      <c r="L38" s="421">
        <v>0.65900000000000003</v>
      </c>
      <c r="M38" s="421">
        <v>0.71840000000000004</v>
      </c>
      <c r="N38" s="421">
        <v>0.7248</v>
      </c>
      <c r="O38" s="421">
        <v>0.71130000000000004</v>
      </c>
      <c r="P38" s="421">
        <v>0.7097</v>
      </c>
      <c r="Q38" s="421">
        <v>0.68240000000000001</v>
      </c>
      <c r="R38" s="421">
        <v>0.63109999999999999</v>
      </c>
      <c r="S38" s="421">
        <v>0.43530000000000002</v>
      </c>
      <c r="T38" s="421">
        <v>6.8900000000000003E-2</v>
      </c>
      <c r="U38" s="421">
        <v>0</v>
      </c>
      <c r="V38" s="421">
        <v>0</v>
      </c>
      <c r="W38" s="421">
        <v>0</v>
      </c>
      <c r="X38" s="421">
        <v>0</v>
      </c>
      <c r="Y38" s="421">
        <v>0</v>
      </c>
      <c r="Z38" s="421">
        <v>0</v>
      </c>
    </row>
    <row r="39" spans="1:26" ht="15.75" customHeight="1">
      <c r="A39" s="369"/>
      <c r="B39" s="369" t="s">
        <v>1574</v>
      </c>
      <c r="C39" s="421">
        <v>0</v>
      </c>
      <c r="D39" s="421">
        <v>0</v>
      </c>
      <c r="E39" s="421">
        <v>0</v>
      </c>
      <c r="F39" s="421">
        <v>0</v>
      </c>
      <c r="G39" s="421">
        <v>0</v>
      </c>
      <c r="H39" s="421">
        <v>0</v>
      </c>
      <c r="I39" s="421">
        <v>2.1999999999999999E-2</v>
      </c>
      <c r="J39" s="421">
        <v>0.50839999999999996</v>
      </c>
      <c r="K39" s="421">
        <v>0.78610000000000002</v>
      </c>
      <c r="L39" s="421">
        <v>0.84970000000000001</v>
      </c>
      <c r="M39" s="421">
        <v>0.86419999999999997</v>
      </c>
      <c r="N39" s="421">
        <v>0.85419999999999996</v>
      </c>
      <c r="O39" s="421">
        <v>0.8498</v>
      </c>
      <c r="P39" s="421">
        <v>0.84199999999999997</v>
      </c>
      <c r="Q39" s="421">
        <v>0.82820000000000005</v>
      </c>
      <c r="R39" s="421">
        <v>0.78110000000000002</v>
      </c>
      <c r="S39" s="421">
        <v>0.67510000000000003</v>
      </c>
      <c r="T39" s="421">
        <v>0.28399999999999997</v>
      </c>
      <c r="U39" s="421">
        <v>1.2800000000000001E-2</v>
      </c>
      <c r="V39" s="421">
        <v>0</v>
      </c>
      <c r="W39" s="421">
        <v>0</v>
      </c>
      <c r="X39" s="421">
        <v>0</v>
      </c>
      <c r="Y39" s="421">
        <v>0</v>
      </c>
      <c r="Z39" s="421">
        <v>0</v>
      </c>
    </row>
    <row r="40" spans="1:26" ht="15.75" customHeight="1">
      <c r="A40" s="369"/>
      <c r="B40" s="369" t="s">
        <v>1575</v>
      </c>
      <c r="C40" s="421">
        <v>0</v>
      </c>
      <c r="D40" s="421">
        <v>0</v>
      </c>
      <c r="E40" s="421">
        <v>0</v>
      </c>
      <c r="F40" s="421">
        <v>0</v>
      </c>
      <c r="G40" s="421">
        <v>0</v>
      </c>
      <c r="H40" s="421">
        <v>1.6199999999999999E-2</v>
      </c>
      <c r="I40" s="421">
        <v>0.65600000000000003</v>
      </c>
      <c r="J40" s="421">
        <v>1.1278999999999999</v>
      </c>
      <c r="K40" s="421">
        <v>1.0646</v>
      </c>
      <c r="L40" s="421">
        <v>1.0369999999999999</v>
      </c>
      <c r="M40" s="421">
        <v>1.0095000000000001</v>
      </c>
      <c r="N40" s="421">
        <v>1.0088999999999999</v>
      </c>
      <c r="O40" s="421">
        <v>1.0141</v>
      </c>
      <c r="P40" s="421">
        <v>1.0019</v>
      </c>
      <c r="Q40" s="421">
        <v>0.98240000000000005</v>
      </c>
      <c r="R40" s="421">
        <v>0.95809999999999995</v>
      </c>
      <c r="S40" s="421">
        <v>0.92149999999999999</v>
      </c>
      <c r="T40" s="421">
        <v>0.6482</v>
      </c>
      <c r="U40" s="421">
        <v>0.12970000000000001</v>
      </c>
      <c r="V40" s="421">
        <v>0</v>
      </c>
      <c r="W40" s="421">
        <v>0</v>
      </c>
      <c r="X40" s="421">
        <v>0</v>
      </c>
      <c r="Y40" s="421">
        <v>0</v>
      </c>
      <c r="Z40" s="421">
        <v>0</v>
      </c>
    </row>
    <row r="41" spans="1:26" ht="12.6">
      <c r="A41" s="369"/>
      <c r="B41" s="369" t="s">
        <v>1576</v>
      </c>
      <c r="C41" s="421">
        <v>0</v>
      </c>
      <c r="D41" s="421">
        <v>0</v>
      </c>
      <c r="E41" s="421">
        <v>0</v>
      </c>
      <c r="F41" s="421">
        <v>0</v>
      </c>
      <c r="G41" s="421">
        <v>1.1924999999999999</v>
      </c>
      <c r="H41" s="421">
        <v>1.2754000000000001</v>
      </c>
      <c r="I41" s="421">
        <v>2.1795</v>
      </c>
      <c r="J41" s="421">
        <v>1.6903999999999999</v>
      </c>
      <c r="K41" s="421">
        <v>1.3387</v>
      </c>
      <c r="L41" s="421">
        <v>1.2110000000000001</v>
      </c>
      <c r="M41" s="421">
        <v>1.1604000000000001</v>
      </c>
      <c r="N41" s="421">
        <v>1.1281000000000001</v>
      </c>
      <c r="O41" s="421">
        <v>1.1151</v>
      </c>
      <c r="P41" s="421">
        <v>1.1102000000000001</v>
      </c>
      <c r="Q41" s="421">
        <v>1.0920000000000001</v>
      </c>
      <c r="R41" s="421">
        <v>1.0809</v>
      </c>
      <c r="S41" s="421">
        <v>1.1102000000000001</v>
      </c>
      <c r="T41" s="421">
        <v>1.0581</v>
      </c>
      <c r="U41" s="421">
        <v>0.8377</v>
      </c>
      <c r="V41" s="421">
        <v>9.9400000000000002E-2</v>
      </c>
      <c r="W41" s="421">
        <v>0</v>
      </c>
      <c r="X41" s="421">
        <v>0</v>
      </c>
      <c r="Y41" s="421">
        <v>0</v>
      </c>
      <c r="Z41" s="421">
        <v>0</v>
      </c>
    </row>
    <row r="42" spans="1:26" ht="12.6">
      <c r="A42" s="369"/>
      <c r="B42" s="369" t="s">
        <v>1577</v>
      </c>
      <c r="C42" s="421">
        <v>0</v>
      </c>
      <c r="D42" s="421">
        <v>0</v>
      </c>
      <c r="E42" s="421">
        <v>0</v>
      </c>
      <c r="F42" s="421">
        <v>0</v>
      </c>
      <c r="G42" s="421">
        <v>3.1785999999999999</v>
      </c>
      <c r="H42" s="421">
        <v>4.7793999999999999</v>
      </c>
      <c r="I42" s="421">
        <v>2.9573999999999998</v>
      </c>
      <c r="J42" s="421">
        <v>1.9527000000000001</v>
      </c>
      <c r="K42" s="421">
        <v>1.4548000000000001</v>
      </c>
      <c r="L42" s="421">
        <v>1.2750999999999999</v>
      </c>
      <c r="M42" s="421">
        <v>1.1942999999999999</v>
      </c>
      <c r="N42" s="421">
        <v>1.1773</v>
      </c>
      <c r="O42" s="421">
        <v>1.1718</v>
      </c>
      <c r="P42" s="421">
        <v>1.1709000000000001</v>
      </c>
      <c r="Q42" s="421">
        <v>1.1863999999999999</v>
      </c>
      <c r="R42" s="421">
        <v>1.2403999999999999</v>
      </c>
      <c r="S42" s="421">
        <v>1.3688</v>
      </c>
      <c r="T42" s="421">
        <v>1.6334</v>
      </c>
      <c r="U42" s="421">
        <v>2.1362999999999999</v>
      </c>
      <c r="V42" s="421">
        <v>1.26</v>
      </c>
      <c r="W42" s="421">
        <v>1.7078</v>
      </c>
      <c r="X42" s="421">
        <v>0</v>
      </c>
      <c r="Y42" s="421">
        <v>0</v>
      </c>
      <c r="Z42" s="421">
        <v>0</v>
      </c>
    </row>
    <row r="43" spans="1:26" ht="12.6">
      <c r="B43" s="369" t="s">
        <v>1578</v>
      </c>
      <c r="C43" s="421">
        <v>0</v>
      </c>
      <c r="D43" s="421">
        <v>0</v>
      </c>
      <c r="E43" s="421">
        <v>0</v>
      </c>
      <c r="F43" s="421">
        <v>0</v>
      </c>
      <c r="G43" s="421">
        <v>5.2438000000000002</v>
      </c>
      <c r="H43" s="421">
        <v>4.2289000000000003</v>
      </c>
      <c r="I43" s="421">
        <v>2.6732</v>
      </c>
      <c r="J43" s="421">
        <v>1.7943</v>
      </c>
      <c r="K43" s="421">
        <v>1.381</v>
      </c>
      <c r="L43" s="421">
        <v>1.2574000000000001</v>
      </c>
      <c r="M43" s="421">
        <v>1.2201</v>
      </c>
      <c r="N43" s="421">
        <v>1.2252000000000001</v>
      </c>
      <c r="O43" s="421">
        <v>1.2295</v>
      </c>
      <c r="P43" s="421">
        <v>1.2384999999999999</v>
      </c>
      <c r="Q43" s="421">
        <v>1.2741</v>
      </c>
      <c r="R43" s="421">
        <v>1.3718999999999999</v>
      </c>
      <c r="S43" s="421">
        <v>1.62</v>
      </c>
      <c r="T43" s="421">
        <v>2.2570999999999999</v>
      </c>
      <c r="U43" s="421">
        <v>3.1484999999999999</v>
      </c>
      <c r="V43" s="421">
        <v>4.5765000000000002</v>
      </c>
      <c r="W43" s="421">
        <v>4.5842999999999998</v>
      </c>
      <c r="X43" s="421">
        <v>0</v>
      </c>
      <c r="Y43" s="421">
        <v>0</v>
      </c>
      <c r="Z43" s="421">
        <v>0</v>
      </c>
    </row>
    <row r="45" spans="1:26" ht="12.6">
      <c r="B45" s="10" t="s">
        <v>1581</v>
      </c>
      <c r="C45" s="135">
        <f t="shared" ref="C45:Z45" si="0">AVERAGE(C32:C43)</f>
        <v>0</v>
      </c>
      <c r="D45" s="135">
        <f t="shared" si="0"/>
        <v>0</v>
      </c>
      <c r="E45" s="135">
        <f t="shared" si="0"/>
        <v>0</v>
      </c>
      <c r="F45" s="135">
        <f t="shared" si="0"/>
        <v>0</v>
      </c>
      <c r="G45" s="135">
        <f t="shared" si="0"/>
        <v>1</v>
      </c>
      <c r="H45" s="135">
        <f t="shared" si="0"/>
        <v>1</v>
      </c>
      <c r="I45" s="135">
        <f t="shared" si="0"/>
        <v>0.99999999999999989</v>
      </c>
      <c r="J45" s="135">
        <f t="shared" si="0"/>
        <v>1.0000250000000002</v>
      </c>
      <c r="K45" s="135">
        <f t="shared" si="0"/>
        <v>1.0000083333333334</v>
      </c>
      <c r="L45" s="135">
        <f t="shared" si="0"/>
        <v>0.99998333333333334</v>
      </c>
      <c r="M45" s="135">
        <f t="shared" si="0"/>
        <v>1</v>
      </c>
      <c r="N45" s="135">
        <f t="shared" si="0"/>
        <v>1</v>
      </c>
      <c r="O45" s="135">
        <f t="shared" si="0"/>
        <v>0.9999916666666665</v>
      </c>
      <c r="P45" s="135">
        <f t="shared" si="0"/>
        <v>1.0000083333333334</v>
      </c>
      <c r="Q45" s="135">
        <f t="shared" si="0"/>
        <v>1.0000083333333336</v>
      </c>
      <c r="R45" s="135">
        <f t="shared" si="0"/>
        <v>1.0000083333333334</v>
      </c>
      <c r="S45" s="135">
        <f t="shared" si="0"/>
        <v>1.0000083333333334</v>
      </c>
      <c r="T45" s="135">
        <f t="shared" si="0"/>
        <v>1.0000083333333334</v>
      </c>
      <c r="U45" s="135">
        <f t="shared" si="0"/>
        <v>1</v>
      </c>
      <c r="V45" s="135">
        <f t="shared" si="0"/>
        <v>1</v>
      </c>
      <c r="W45" s="135">
        <f t="shared" si="0"/>
        <v>0.99999166666666672</v>
      </c>
      <c r="X45" s="135">
        <f t="shared" si="0"/>
        <v>0</v>
      </c>
      <c r="Y45" s="135">
        <f t="shared" si="0"/>
        <v>0</v>
      </c>
      <c r="Z45" s="135">
        <f t="shared" si="0"/>
        <v>0</v>
      </c>
    </row>
  </sheetData>
  <hyperlinks>
    <hyperlink ref="A29" r:id="rId1" location="gid=144461843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outlinePr summaryBelow="0" summaryRight="0"/>
  </sheetPr>
  <dimension ref="A1:S230"/>
  <sheetViews>
    <sheetView workbookViewId="0"/>
  </sheetViews>
  <sheetFormatPr defaultColWidth="12.5703125" defaultRowHeight="15.75" customHeight="1"/>
  <sheetData>
    <row r="1" spans="1:19" ht="15.75" customHeight="1">
      <c r="A1" s="473" t="s">
        <v>1582</v>
      </c>
      <c r="B1" s="10"/>
      <c r="C1" s="10"/>
      <c r="D1" s="10"/>
      <c r="E1" s="10"/>
      <c r="F1" s="10"/>
      <c r="G1" s="10"/>
      <c r="H1" s="10"/>
      <c r="I1" s="10"/>
      <c r="J1" s="10" t="s">
        <v>1509</v>
      </c>
      <c r="K1" s="10" t="s">
        <v>1583</v>
      </c>
      <c r="L1" s="10" t="s">
        <v>1584</v>
      </c>
      <c r="M1" s="10" t="s">
        <v>1585</v>
      </c>
      <c r="N1" s="10" t="s">
        <v>1586</v>
      </c>
      <c r="O1" s="10" t="s">
        <v>1587</v>
      </c>
      <c r="P1" s="10" t="s">
        <v>1588</v>
      </c>
      <c r="Q1" s="10" t="s">
        <v>1589</v>
      </c>
      <c r="S1" s="10" t="s">
        <v>1509</v>
      </c>
    </row>
    <row r="2" spans="1:19" ht="15.75" customHeight="1">
      <c r="A2" s="422"/>
      <c r="B2" s="10" t="str">
        <f t="shared" ref="B2:D2" si="0">L1</f>
        <v>6 month rate</v>
      </c>
      <c r="C2" s="10" t="str">
        <f t="shared" si="0"/>
        <v>1 year rate</v>
      </c>
      <c r="D2" s="10" t="str">
        <f t="shared" si="0"/>
        <v>2 year rate</v>
      </c>
      <c r="E2" s="10" t="s">
        <v>1587</v>
      </c>
      <c r="F2" s="10" t="s">
        <v>1588</v>
      </c>
      <c r="G2" s="10" t="s">
        <v>1589</v>
      </c>
      <c r="H2" s="10" t="s">
        <v>286</v>
      </c>
      <c r="I2" s="422"/>
      <c r="J2" s="422">
        <v>38352</v>
      </c>
      <c r="K2" s="10">
        <v>8.67</v>
      </c>
      <c r="L2" s="10">
        <v>7.65</v>
      </c>
      <c r="M2" s="10">
        <v>7.57</v>
      </c>
      <c r="N2" s="10">
        <v>7.61</v>
      </c>
      <c r="O2" s="10">
        <v>7.66</v>
      </c>
      <c r="P2" s="10">
        <v>7.68</v>
      </c>
      <c r="Q2" s="10">
        <v>7.66</v>
      </c>
      <c r="S2" s="422">
        <v>38352</v>
      </c>
    </row>
    <row r="3" spans="1:19" ht="15.75" customHeight="1">
      <c r="A3" s="10" t="s">
        <v>1590</v>
      </c>
      <c r="B3" s="135">
        <f t="shared" ref="B3:G3" si="1">AVERAGE(L171:L230)/100</f>
        <v>5.1563333333333336E-2</v>
      </c>
      <c r="C3" s="135">
        <f t="shared" si="1"/>
        <v>4.8511666666666668E-2</v>
      </c>
      <c r="D3" s="135">
        <f t="shared" si="1"/>
        <v>5.0455000000000007E-2</v>
      </c>
      <c r="E3" s="135">
        <f t="shared" si="1"/>
        <v>5.0381666666666679E-2</v>
      </c>
      <c r="F3" s="135">
        <f t="shared" si="1"/>
        <v>5.3105000000000013E-2</v>
      </c>
      <c r="G3" s="135">
        <f t="shared" si="1"/>
        <v>5.4114999999999983E-2</v>
      </c>
      <c r="H3" s="135">
        <f t="shared" ref="H3:H6" si="2">AVERAGE(B3:G3)</f>
        <v>5.1355277777777771E-2</v>
      </c>
      <c r="I3" s="423"/>
      <c r="J3" s="423"/>
      <c r="K3" s="10"/>
      <c r="L3" s="10"/>
      <c r="M3" s="10"/>
      <c r="N3" s="10"/>
      <c r="O3" s="10"/>
      <c r="P3" s="10"/>
      <c r="Q3" s="10"/>
      <c r="S3" s="423"/>
    </row>
    <row r="4" spans="1:19" ht="15.75" customHeight="1">
      <c r="A4" s="10" t="s">
        <v>1591</v>
      </c>
      <c r="B4" s="135">
        <f t="shared" ref="B4:G4" si="3">AVERAGE(L111:L230)/100</f>
        <v>5.247916666666666E-2</v>
      </c>
      <c r="C4" s="135">
        <f t="shared" si="3"/>
        <v>5.0196666666666667E-2</v>
      </c>
      <c r="D4" s="135">
        <f t="shared" si="3"/>
        <v>5.2326666666666702E-2</v>
      </c>
      <c r="E4" s="135">
        <f t="shared" si="3"/>
        <v>5.3435833333333321E-2</v>
      </c>
      <c r="F4" s="135">
        <f t="shared" si="3"/>
        <v>5.5936666666666648E-2</v>
      </c>
      <c r="G4" s="135">
        <f t="shared" si="3"/>
        <v>5.7809166666666696E-2</v>
      </c>
      <c r="H4" s="135">
        <f t="shared" si="2"/>
        <v>5.3697361111111119E-2</v>
      </c>
      <c r="I4" s="423"/>
      <c r="J4" s="423">
        <v>38383</v>
      </c>
      <c r="K4" s="10">
        <v>8.67</v>
      </c>
      <c r="L4" s="10">
        <v>7.67</v>
      </c>
      <c r="M4" s="10">
        <v>7.64</v>
      </c>
      <c r="N4" s="10">
        <v>7.61</v>
      </c>
      <c r="O4" s="10">
        <v>7.67</v>
      </c>
      <c r="P4" s="10">
        <v>7.68</v>
      </c>
      <c r="Q4" s="10">
        <v>7.67</v>
      </c>
      <c r="S4" s="423">
        <v>38383</v>
      </c>
    </row>
    <row r="5" spans="1:19" ht="15.75" customHeight="1">
      <c r="A5" s="10" t="s">
        <v>1592</v>
      </c>
      <c r="B5" s="135">
        <f t="shared" ref="B5:G5" si="4">AVERAGE(L51:L230)/100</f>
        <v>5.4109444444444474E-2</v>
      </c>
      <c r="C5" s="135">
        <f t="shared" si="4"/>
        <v>5.28038888888889E-2</v>
      </c>
      <c r="D5" s="135">
        <f t="shared" si="4"/>
        <v>5.5667777777777781E-2</v>
      </c>
      <c r="E5" s="135">
        <f t="shared" si="4"/>
        <v>5.7956666666666663E-2</v>
      </c>
      <c r="F5" s="135">
        <f t="shared" si="4"/>
        <v>6.0911111111111076E-2</v>
      </c>
      <c r="G5" s="135">
        <f t="shared" si="4"/>
        <v>6.3157222222222198E-2</v>
      </c>
      <c r="H5" s="135">
        <f t="shared" si="2"/>
        <v>5.7434351851851841E-2</v>
      </c>
      <c r="I5" s="423"/>
      <c r="J5" s="423">
        <v>38411</v>
      </c>
      <c r="K5" s="10">
        <v>8.67</v>
      </c>
      <c r="L5" s="10">
        <v>7.65</v>
      </c>
      <c r="M5" s="10">
        <v>7.63</v>
      </c>
      <c r="N5" s="10">
        <v>7.67</v>
      </c>
      <c r="O5" s="10">
        <v>7.65</v>
      </c>
      <c r="P5" s="10">
        <v>7.72</v>
      </c>
      <c r="Q5" s="10">
        <v>7.74</v>
      </c>
      <c r="S5" s="423">
        <v>38411</v>
      </c>
    </row>
    <row r="6" spans="1:19" ht="15.75" customHeight="1">
      <c r="A6" s="10" t="s">
        <v>1593</v>
      </c>
      <c r="B6" s="135">
        <f t="shared" ref="B6:G6" si="5">AVERAGE(L2:L230)/100</f>
        <v>6.1039035087719344E-2</v>
      </c>
      <c r="C6" s="135">
        <f t="shared" si="5"/>
        <v>5.9851754385964843E-2</v>
      </c>
      <c r="D6" s="135">
        <f t="shared" si="5"/>
        <v>6.1667982456140337E-2</v>
      </c>
      <c r="E6" s="135">
        <f t="shared" si="5"/>
        <v>6.3337280701754303E-2</v>
      </c>
      <c r="F6" s="135">
        <f t="shared" si="5"/>
        <v>6.5634649122807115E-2</v>
      </c>
      <c r="G6" s="135">
        <f t="shared" si="5"/>
        <v>6.7234210526315827E-2</v>
      </c>
      <c r="H6" s="135">
        <f t="shared" si="2"/>
        <v>6.3127485380116963E-2</v>
      </c>
      <c r="I6" s="423"/>
      <c r="J6" s="423">
        <v>38442</v>
      </c>
      <c r="K6" s="10">
        <v>8.91</v>
      </c>
      <c r="L6" s="10">
        <v>7.91</v>
      </c>
      <c r="M6" s="10">
        <v>7.7</v>
      </c>
      <c r="N6" s="10">
        <v>7.73</v>
      </c>
      <c r="O6" s="10">
        <v>7.85</v>
      </c>
      <c r="P6" s="10">
        <v>7.94</v>
      </c>
      <c r="Q6" s="10">
        <v>7.94</v>
      </c>
      <c r="S6" s="423">
        <v>38442</v>
      </c>
    </row>
    <row r="7" spans="1:19" ht="15.75" customHeight="1">
      <c r="B7" s="423"/>
      <c r="C7" s="423"/>
      <c r="D7" s="423"/>
      <c r="E7" s="423"/>
      <c r="F7" s="423"/>
      <c r="G7" s="423"/>
      <c r="H7" s="423"/>
      <c r="I7" s="423"/>
      <c r="J7" s="423">
        <v>38472</v>
      </c>
      <c r="K7" s="10">
        <v>8.94</v>
      </c>
      <c r="L7" s="10">
        <v>7.93</v>
      </c>
      <c r="M7" s="10">
        <v>7.74</v>
      </c>
      <c r="N7" s="10">
        <v>7.75</v>
      </c>
      <c r="O7" s="10">
        <v>7.89</v>
      </c>
      <c r="P7" s="10">
        <v>7.99</v>
      </c>
      <c r="Q7" s="10">
        <v>7.99</v>
      </c>
      <c r="S7" s="423">
        <v>38472</v>
      </c>
    </row>
    <row r="8" spans="1:19" ht="15.75" customHeight="1">
      <c r="A8" s="423"/>
      <c r="B8" s="423"/>
      <c r="C8" s="423"/>
      <c r="D8" s="423"/>
      <c r="E8" s="423"/>
      <c r="F8" s="423"/>
      <c r="G8" s="423"/>
      <c r="H8" s="423"/>
      <c r="I8" s="423"/>
      <c r="J8" s="423">
        <v>38503</v>
      </c>
      <c r="K8" s="10">
        <v>8.94</v>
      </c>
      <c r="L8" s="10">
        <v>7.87</v>
      </c>
      <c r="M8" s="10">
        <v>7.76</v>
      </c>
      <c r="N8" s="10">
        <v>7.73</v>
      </c>
      <c r="O8" s="10">
        <v>7.79</v>
      </c>
      <c r="P8" s="10">
        <v>7.8</v>
      </c>
      <c r="Q8" s="10">
        <v>7.76</v>
      </c>
      <c r="S8" s="423">
        <v>38503</v>
      </c>
    </row>
    <row r="9" spans="1:19" ht="15.75" customHeight="1">
      <c r="A9" s="423"/>
      <c r="B9" s="135"/>
      <c r="C9" s="423"/>
      <c r="D9" s="423"/>
      <c r="E9" s="423"/>
      <c r="F9" s="423"/>
      <c r="G9" s="423"/>
      <c r="H9" s="423"/>
      <c r="I9" s="423"/>
      <c r="J9" s="423">
        <v>38533</v>
      </c>
      <c r="K9" s="10">
        <v>8.94</v>
      </c>
      <c r="L9" s="10">
        <v>7.91</v>
      </c>
      <c r="M9" s="10">
        <v>7.82</v>
      </c>
      <c r="N9" s="10">
        <v>7.64</v>
      </c>
      <c r="O9" s="10">
        <v>7.63</v>
      </c>
      <c r="P9" s="10">
        <v>7.61</v>
      </c>
      <c r="Q9" s="10">
        <v>7.61</v>
      </c>
      <c r="S9" s="423">
        <v>38533</v>
      </c>
    </row>
    <row r="10" spans="1:19" ht="15.75" customHeight="1">
      <c r="A10" s="423"/>
      <c r="B10" s="423"/>
      <c r="C10" s="423"/>
      <c r="D10" s="423"/>
      <c r="E10" s="423"/>
      <c r="F10" s="423"/>
      <c r="G10" s="423"/>
      <c r="H10" s="423"/>
      <c r="I10" s="423"/>
      <c r="J10" s="423">
        <v>38564</v>
      </c>
      <c r="K10" s="10">
        <v>8.94</v>
      </c>
      <c r="L10" s="10">
        <v>7.94</v>
      </c>
      <c r="M10" s="10">
        <v>7.87</v>
      </c>
      <c r="N10" s="10">
        <v>7.63</v>
      </c>
      <c r="O10" s="10">
        <v>7.63</v>
      </c>
      <c r="P10" s="10">
        <v>7.57</v>
      </c>
      <c r="Q10" s="10">
        <v>7.47</v>
      </c>
      <c r="S10" s="423">
        <v>38564</v>
      </c>
    </row>
    <row r="11" spans="1:19" ht="15.75" customHeight="1">
      <c r="A11" s="423"/>
      <c r="B11" s="423"/>
      <c r="C11" s="423"/>
      <c r="D11" s="423"/>
      <c r="E11" s="423"/>
      <c r="F11" s="423"/>
      <c r="G11" s="423"/>
      <c r="H11" s="423"/>
      <c r="I11" s="423"/>
      <c r="J11" s="423">
        <v>38595</v>
      </c>
      <c r="K11" s="10">
        <v>8.94</v>
      </c>
      <c r="L11" s="10">
        <v>7.93</v>
      </c>
      <c r="M11" s="10">
        <v>7.86</v>
      </c>
      <c r="N11" s="10">
        <v>7.64</v>
      </c>
      <c r="O11" s="10">
        <v>7.62</v>
      </c>
      <c r="P11" s="10">
        <v>7.53</v>
      </c>
      <c r="Q11" s="10">
        <v>7.46</v>
      </c>
      <c r="S11" s="423">
        <v>38595</v>
      </c>
    </row>
    <row r="12" spans="1:19" ht="15.75" customHeight="1">
      <c r="A12" s="423"/>
      <c r="B12" s="423"/>
      <c r="C12" s="423"/>
      <c r="D12" s="423"/>
      <c r="E12" s="423"/>
      <c r="F12" s="423"/>
      <c r="G12" s="423"/>
      <c r="H12" s="423"/>
      <c r="I12" s="423"/>
      <c r="J12" s="423">
        <v>38625</v>
      </c>
      <c r="K12" s="10">
        <v>8.94</v>
      </c>
      <c r="L12" s="10">
        <v>7.96</v>
      </c>
      <c r="M12" s="10">
        <v>7.94</v>
      </c>
      <c r="N12" s="10">
        <v>7.71</v>
      </c>
      <c r="O12" s="10">
        <v>7.59</v>
      </c>
      <c r="P12" s="10">
        <v>7.48</v>
      </c>
      <c r="Q12" s="10">
        <v>7.46</v>
      </c>
      <c r="S12" s="423">
        <v>38625</v>
      </c>
    </row>
    <row r="13" spans="1:19" ht="15.75" customHeight="1">
      <c r="A13" s="422"/>
      <c r="B13" s="422"/>
      <c r="C13" s="422"/>
      <c r="D13" s="422"/>
      <c r="E13" s="422"/>
      <c r="F13" s="422"/>
      <c r="G13" s="422"/>
      <c r="H13" s="422"/>
      <c r="I13" s="422"/>
      <c r="J13" s="422">
        <v>38656</v>
      </c>
      <c r="K13" s="10">
        <v>9.02</v>
      </c>
      <c r="L13" s="10">
        <v>8.15</v>
      </c>
      <c r="M13" s="10">
        <v>8.16</v>
      </c>
      <c r="N13" s="10">
        <v>7.92</v>
      </c>
      <c r="O13" s="10">
        <v>7.89</v>
      </c>
      <c r="P13" s="10">
        <v>7.79</v>
      </c>
      <c r="Q13" s="10">
        <v>7.69</v>
      </c>
      <c r="S13" s="422">
        <v>38656</v>
      </c>
    </row>
    <row r="14" spans="1:19" ht="15.75" customHeight="1">
      <c r="A14" s="422"/>
      <c r="B14" s="422"/>
      <c r="C14" s="422"/>
      <c r="D14" s="422"/>
      <c r="E14" s="422"/>
      <c r="F14" s="422"/>
      <c r="G14" s="422"/>
      <c r="H14" s="422"/>
      <c r="I14" s="422"/>
      <c r="J14" s="422">
        <v>38686</v>
      </c>
      <c r="K14" s="10">
        <v>9.17</v>
      </c>
      <c r="L14" s="10">
        <v>8.48</v>
      </c>
      <c r="M14" s="10">
        <v>8.44</v>
      </c>
      <c r="N14" s="10">
        <v>8.2200000000000006</v>
      </c>
      <c r="O14" s="10">
        <v>8.17</v>
      </c>
      <c r="P14" s="10">
        <v>8.09</v>
      </c>
      <c r="Q14" s="10">
        <v>7.93</v>
      </c>
      <c r="S14" s="422">
        <v>38686</v>
      </c>
    </row>
    <row r="15" spans="1:19" ht="15.75" customHeight="1">
      <c r="A15" s="422"/>
      <c r="B15" s="422"/>
      <c r="C15" s="422"/>
      <c r="D15" s="422"/>
      <c r="E15" s="422"/>
      <c r="F15" s="422"/>
      <c r="G15" s="422"/>
      <c r="H15" s="422"/>
      <c r="I15" s="422"/>
      <c r="J15" s="422">
        <v>38717</v>
      </c>
      <c r="K15" s="10">
        <v>9.4700000000000006</v>
      </c>
      <c r="L15" s="10">
        <v>8.52</v>
      </c>
      <c r="M15" s="10">
        <v>8.49</v>
      </c>
      <c r="N15" s="10">
        <v>8.27</v>
      </c>
      <c r="O15" s="10">
        <v>8.19</v>
      </c>
      <c r="P15" s="10">
        <v>8.09</v>
      </c>
      <c r="Q15" s="10">
        <v>7.95</v>
      </c>
      <c r="S15" s="422">
        <v>38717</v>
      </c>
    </row>
    <row r="16" spans="1:19" ht="15.75" customHeight="1">
      <c r="A16" s="423"/>
      <c r="B16" s="423"/>
      <c r="C16" s="423"/>
      <c r="D16" s="423"/>
      <c r="E16" s="423"/>
      <c r="F16" s="423"/>
      <c r="G16" s="423"/>
      <c r="H16" s="423"/>
      <c r="I16" s="423"/>
      <c r="J16" s="423">
        <v>38748</v>
      </c>
      <c r="K16" s="10">
        <v>9.4700000000000006</v>
      </c>
      <c r="L16" s="10">
        <v>8.5399999999999991</v>
      </c>
      <c r="M16" s="10">
        <v>8.49</v>
      </c>
      <c r="N16" s="10">
        <v>8.1300000000000008</v>
      </c>
      <c r="O16" s="10">
        <v>7.99</v>
      </c>
      <c r="P16" s="10">
        <v>8</v>
      </c>
      <c r="Q16" s="10">
        <v>7.89</v>
      </c>
      <c r="S16" s="423">
        <v>38748</v>
      </c>
    </row>
    <row r="17" spans="10:19" ht="15.75" customHeight="1">
      <c r="J17" s="423">
        <v>38776</v>
      </c>
      <c r="K17" s="10">
        <v>9.4700000000000006</v>
      </c>
      <c r="L17" s="10">
        <v>8.43</v>
      </c>
      <c r="M17" s="10">
        <v>8.39</v>
      </c>
      <c r="N17" s="10">
        <v>7.97</v>
      </c>
      <c r="O17" s="10">
        <v>7.83</v>
      </c>
      <c r="P17" s="10">
        <v>7.87</v>
      </c>
      <c r="Q17" s="10">
        <v>7.68</v>
      </c>
      <c r="S17" s="423">
        <v>38776</v>
      </c>
    </row>
    <row r="18" spans="10:19" ht="15.75" customHeight="1">
      <c r="J18" s="423">
        <v>38807</v>
      </c>
      <c r="K18" s="10">
        <v>9.4700000000000006</v>
      </c>
      <c r="L18" s="10">
        <v>8.43</v>
      </c>
      <c r="M18" s="10">
        <v>8.32</v>
      </c>
      <c r="N18" s="10">
        <v>7.84</v>
      </c>
      <c r="O18" s="10">
        <v>7.76</v>
      </c>
      <c r="P18" s="10">
        <v>7.77</v>
      </c>
      <c r="Q18" s="10">
        <v>7.63</v>
      </c>
      <c r="S18" s="423">
        <v>38807</v>
      </c>
    </row>
    <row r="19" spans="10:19" ht="15.75" customHeight="1">
      <c r="J19" s="423">
        <v>38837</v>
      </c>
      <c r="K19" s="10">
        <v>9.4700000000000006</v>
      </c>
      <c r="L19" s="10">
        <v>8.27</v>
      </c>
      <c r="M19" s="10">
        <v>8.1999999999999993</v>
      </c>
      <c r="N19" s="10">
        <v>7.75</v>
      </c>
      <c r="O19" s="10">
        <v>7.68</v>
      </c>
      <c r="P19" s="10">
        <v>7.65</v>
      </c>
      <c r="Q19" s="10">
        <v>7.61</v>
      </c>
      <c r="S19" s="423">
        <v>38837</v>
      </c>
    </row>
    <row r="20" spans="10:19" ht="15.75" customHeight="1">
      <c r="J20" s="423">
        <v>38868</v>
      </c>
      <c r="K20" s="10">
        <v>9.4700000000000006</v>
      </c>
      <c r="L20" s="10">
        <v>8.2899999999999991</v>
      </c>
      <c r="M20" s="10">
        <v>8.25</v>
      </c>
      <c r="N20" s="10">
        <v>7.92</v>
      </c>
      <c r="O20" s="10">
        <v>7.82</v>
      </c>
      <c r="P20" s="10">
        <v>7.81</v>
      </c>
      <c r="Q20" s="10">
        <v>7.77</v>
      </c>
      <c r="S20" s="423">
        <v>38868</v>
      </c>
    </row>
    <row r="21" spans="10:19" ht="15.75" customHeight="1">
      <c r="J21" s="423">
        <v>38898</v>
      </c>
      <c r="K21" s="10">
        <v>9.4700000000000006</v>
      </c>
      <c r="L21" s="10">
        <v>8.41</v>
      </c>
      <c r="M21" s="10">
        <v>8.33</v>
      </c>
      <c r="N21" s="10">
        <v>7.97</v>
      </c>
      <c r="O21" s="10">
        <v>7.96</v>
      </c>
      <c r="P21" s="10">
        <v>7.89</v>
      </c>
      <c r="Q21" s="10">
        <v>7.84</v>
      </c>
      <c r="S21" s="423">
        <v>38898</v>
      </c>
    </row>
    <row r="22" spans="10:19" ht="15.75" customHeight="1">
      <c r="J22" s="423">
        <v>38929</v>
      </c>
      <c r="K22" s="10">
        <v>9.4700000000000006</v>
      </c>
      <c r="L22" s="10">
        <v>8.49</v>
      </c>
      <c r="M22" s="10">
        <v>8.4499999999999993</v>
      </c>
      <c r="N22" s="10">
        <v>8.2100000000000009</v>
      </c>
      <c r="O22" s="10">
        <v>8.14</v>
      </c>
      <c r="P22" s="10">
        <v>8.07</v>
      </c>
      <c r="Q22" s="10">
        <v>7.94</v>
      </c>
      <c r="S22" s="423">
        <v>38929</v>
      </c>
    </row>
    <row r="23" spans="10:19" ht="15.75" customHeight="1">
      <c r="J23" s="423">
        <v>38960</v>
      </c>
      <c r="K23" s="10">
        <v>9.4600000000000009</v>
      </c>
      <c r="L23" s="10">
        <v>8.48</v>
      </c>
      <c r="M23" s="10">
        <v>8.42</v>
      </c>
      <c r="N23" s="10">
        <v>8.1300000000000008</v>
      </c>
      <c r="O23" s="10">
        <v>8</v>
      </c>
      <c r="P23" s="10">
        <v>7.95</v>
      </c>
      <c r="Q23" s="10">
        <v>7.86</v>
      </c>
      <c r="S23" s="423">
        <v>38960</v>
      </c>
    </row>
    <row r="24" spans="10:19" ht="15.75" customHeight="1">
      <c r="J24" s="423">
        <v>38990</v>
      </c>
      <c r="K24" s="10">
        <v>9.4600000000000009</v>
      </c>
      <c r="L24" s="10">
        <v>8.39</v>
      </c>
      <c r="M24" s="10">
        <v>8.34</v>
      </c>
      <c r="N24" s="10">
        <v>8.0299999999999994</v>
      </c>
      <c r="O24" s="10">
        <v>7.91</v>
      </c>
      <c r="P24" s="10">
        <v>7.88</v>
      </c>
      <c r="Q24" s="10">
        <v>7.69</v>
      </c>
      <c r="S24" s="423">
        <v>38990</v>
      </c>
    </row>
    <row r="25" spans="10:19" ht="15.75" customHeight="1">
      <c r="J25" s="422">
        <v>39021</v>
      </c>
      <c r="K25" s="10">
        <v>9.4600000000000009</v>
      </c>
      <c r="L25" s="10">
        <v>8.4</v>
      </c>
      <c r="M25" s="10">
        <v>8.3699999999999992</v>
      </c>
      <c r="N25" s="10">
        <v>8.06</v>
      </c>
      <c r="O25" s="10">
        <v>7.95</v>
      </c>
      <c r="P25" s="10">
        <v>7.89</v>
      </c>
      <c r="Q25" s="10">
        <v>7.75</v>
      </c>
      <c r="S25" s="422">
        <v>39021</v>
      </c>
    </row>
    <row r="26" spans="10:19" ht="15.75" customHeight="1">
      <c r="J26" s="422">
        <v>39051</v>
      </c>
      <c r="K26" s="10">
        <v>9.4600000000000009</v>
      </c>
      <c r="L26" s="10">
        <v>8.3800000000000008</v>
      </c>
      <c r="M26" s="10">
        <v>8.3800000000000008</v>
      </c>
      <c r="N26" s="10">
        <v>8.08</v>
      </c>
      <c r="O26" s="10">
        <v>7.96</v>
      </c>
      <c r="P26" s="10">
        <v>7.95</v>
      </c>
      <c r="Q26" s="10">
        <v>7.81</v>
      </c>
      <c r="S26" s="422">
        <v>39051</v>
      </c>
    </row>
    <row r="27" spans="10:19" ht="15.75" customHeight="1">
      <c r="J27" s="422">
        <v>39082</v>
      </c>
      <c r="K27" s="10">
        <v>9.4600000000000009</v>
      </c>
      <c r="L27" s="10">
        <v>8.44</v>
      </c>
      <c r="M27" s="10">
        <v>8.49</v>
      </c>
      <c r="N27" s="10">
        <v>8.18</v>
      </c>
      <c r="O27" s="10">
        <v>7.98</v>
      </c>
      <c r="P27" s="10">
        <v>7.97</v>
      </c>
      <c r="Q27" s="10">
        <v>7.84</v>
      </c>
      <c r="S27" s="422">
        <v>39082</v>
      </c>
    </row>
    <row r="28" spans="10:19" ht="15.75" customHeight="1">
      <c r="J28" s="423">
        <v>39113</v>
      </c>
      <c r="K28" s="10">
        <v>9.4600000000000009</v>
      </c>
      <c r="L28" s="10">
        <v>8.48</v>
      </c>
      <c r="M28" s="10">
        <v>8.5299999999999994</v>
      </c>
      <c r="N28" s="10">
        <v>8.23</v>
      </c>
      <c r="O28" s="10">
        <v>8.08</v>
      </c>
      <c r="P28" s="10">
        <v>8.06</v>
      </c>
      <c r="Q28" s="10">
        <v>7.88</v>
      </c>
      <c r="S28" s="423">
        <v>39113</v>
      </c>
    </row>
    <row r="29" spans="10:19" ht="15.75" customHeight="1">
      <c r="J29" s="423">
        <v>39141</v>
      </c>
      <c r="K29" s="10">
        <v>9.4600000000000009</v>
      </c>
      <c r="L29" s="10">
        <v>8.5399999999999991</v>
      </c>
      <c r="M29" s="10">
        <v>8.6199999999999992</v>
      </c>
      <c r="N29" s="10">
        <v>8.3800000000000008</v>
      </c>
      <c r="O29" s="10">
        <v>8.2200000000000006</v>
      </c>
      <c r="P29" s="10">
        <v>8.1199999999999992</v>
      </c>
      <c r="Q29" s="10">
        <v>7.97</v>
      </c>
      <c r="S29" s="423">
        <v>39141</v>
      </c>
    </row>
    <row r="30" spans="10:19" ht="15.75" customHeight="1">
      <c r="J30" s="423">
        <v>39172</v>
      </c>
      <c r="K30" s="10">
        <v>9.69</v>
      </c>
      <c r="L30" s="10">
        <v>8.82</v>
      </c>
      <c r="M30" s="10">
        <v>8.7899999999999991</v>
      </c>
      <c r="N30" s="10">
        <v>8.7100000000000009</v>
      </c>
      <c r="O30" s="10">
        <v>8.64</v>
      </c>
      <c r="P30" s="10">
        <v>8.5399999999999991</v>
      </c>
      <c r="Q30" s="10">
        <v>8.3699999999999992</v>
      </c>
      <c r="S30" s="423">
        <v>39172</v>
      </c>
    </row>
    <row r="31" spans="10:19" ht="15.75" customHeight="1">
      <c r="J31" s="423">
        <v>39202</v>
      </c>
      <c r="K31" s="10">
        <v>9.7200000000000006</v>
      </c>
      <c r="L31" s="10">
        <v>8.8699999999999992</v>
      </c>
      <c r="M31" s="10">
        <v>8.8800000000000008</v>
      </c>
      <c r="N31" s="10">
        <v>8.83</v>
      </c>
      <c r="O31" s="10">
        <v>8.73</v>
      </c>
      <c r="P31" s="10">
        <v>8.65</v>
      </c>
      <c r="Q31" s="10">
        <v>8.61</v>
      </c>
      <c r="S31" s="423">
        <v>39202</v>
      </c>
    </row>
    <row r="32" spans="10:19" ht="15.75" customHeight="1">
      <c r="J32" s="423">
        <v>39233</v>
      </c>
      <c r="K32" s="10">
        <v>9.91</v>
      </c>
      <c r="L32" s="10">
        <v>8.94</v>
      </c>
      <c r="M32" s="10">
        <v>8.94</v>
      </c>
      <c r="N32" s="10">
        <v>8.84</v>
      </c>
      <c r="O32" s="10">
        <v>8.74</v>
      </c>
      <c r="P32" s="10">
        <v>8.66</v>
      </c>
      <c r="Q32" s="10">
        <v>8.6300000000000008</v>
      </c>
      <c r="S32" s="423">
        <v>39233</v>
      </c>
    </row>
    <row r="33" spans="10:19" ht="15.75" customHeight="1">
      <c r="J33" s="423">
        <v>39263</v>
      </c>
      <c r="K33" s="10">
        <v>10.14</v>
      </c>
      <c r="L33" s="10">
        <v>9.24</v>
      </c>
      <c r="M33" s="10">
        <v>9.23</v>
      </c>
      <c r="N33" s="10">
        <v>9.16</v>
      </c>
      <c r="O33" s="10">
        <v>9.0500000000000007</v>
      </c>
      <c r="P33" s="10">
        <v>9.01</v>
      </c>
      <c r="Q33" s="10">
        <v>8.92</v>
      </c>
      <c r="S33" s="423">
        <v>39263</v>
      </c>
    </row>
    <row r="34" spans="10:19" ht="15.75" customHeight="1">
      <c r="J34" s="423">
        <v>39294</v>
      </c>
      <c r="K34" s="10">
        <v>10.19</v>
      </c>
      <c r="L34" s="10">
        <v>9.26</v>
      </c>
      <c r="M34" s="10">
        <v>9.26</v>
      </c>
      <c r="N34" s="10">
        <v>9.19</v>
      </c>
      <c r="O34" s="10">
        <v>8.98</v>
      </c>
      <c r="P34" s="10">
        <v>8.98</v>
      </c>
      <c r="Q34" s="10">
        <v>8.91</v>
      </c>
      <c r="S34" s="423">
        <v>39294</v>
      </c>
    </row>
    <row r="35" spans="10:19" ht="15.75" customHeight="1">
      <c r="J35" s="423">
        <v>39325</v>
      </c>
      <c r="K35" s="10">
        <v>10.4</v>
      </c>
      <c r="L35" s="10">
        <v>9.44</v>
      </c>
      <c r="M35" s="10">
        <v>9.41</v>
      </c>
      <c r="N35" s="10">
        <v>9.2200000000000006</v>
      </c>
      <c r="O35" s="10">
        <v>9.0500000000000007</v>
      </c>
      <c r="P35" s="10">
        <v>8.98</v>
      </c>
      <c r="Q35" s="10">
        <v>8.91</v>
      </c>
      <c r="S35" s="423">
        <v>39325</v>
      </c>
    </row>
    <row r="36" spans="10:19" ht="15.75" customHeight="1">
      <c r="J36" s="423">
        <v>39355</v>
      </c>
      <c r="K36" s="10">
        <v>10.4</v>
      </c>
      <c r="L36" s="10">
        <v>9.5299999999999994</v>
      </c>
      <c r="M36" s="10">
        <v>9.4499999999999993</v>
      </c>
      <c r="N36" s="10">
        <v>9.1199999999999992</v>
      </c>
      <c r="O36" s="10">
        <v>8.75</v>
      </c>
      <c r="P36" s="10">
        <v>8.93</v>
      </c>
      <c r="Q36" s="10">
        <v>8.6300000000000008</v>
      </c>
      <c r="S36" s="423">
        <v>39355</v>
      </c>
    </row>
    <row r="37" spans="10:19" ht="15.75" customHeight="1">
      <c r="J37" s="422">
        <v>39386</v>
      </c>
      <c r="K37" s="10">
        <v>10.4</v>
      </c>
      <c r="L37" s="10">
        <v>9.5299999999999994</v>
      </c>
      <c r="M37" s="10">
        <v>9.44</v>
      </c>
      <c r="N37" s="10">
        <v>9.14</v>
      </c>
      <c r="O37" s="10">
        <v>8.9600000000000009</v>
      </c>
      <c r="P37" s="10">
        <v>8.93</v>
      </c>
      <c r="Q37" s="10">
        <v>8.7799999999999994</v>
      </c>
      <c r="S37" s="422">
        <v>39386</v>
      </c>
    </row>
    <row r="38" spans="10:19" ht="15.75" customHeight="1">
      <c r="J38" s="422">
        <v>39416</v>
      </c>
      <c r="K38" s="10">
        <v>10.4</v>
      </c>
      <c r="L38" s="10">
        <v>9.5399999999999991</v>
      </c>
      <c r="M38" s="10">
        <v>9.57</v>
      </c>
      <c r="N38" s="10">
        <v>9.26</v>
      </c>
      <c r="O38" s="10">
        <v>9.1</v>
      </c>
      <c r="P38" s="10">
        <v>9.02</v>
      </c>
      <c r="Q38" s="10">
        <v>8.85</v>
      </c>
      <c r="S38" s="422">
        <v>39416</v>
      </c>
    </row>
    <row r="39" spans="10:19" ht="15.75" customHeight="1">
      <c r="J39" s="422">
        <v>39447</v>
      </c>
      <c r="K39" s="10">
        <v>10.4</v>
      </c>
      <c r="L39" s="10">
        <v>9.57</v>
      </c>
      <c r="M39" s="10">
        <v>9.6300000000000008</v>
      </c>
      <c r="N39" s="10">
        <v>9.3800000000000008</v>
      </c>
      <c r="O39" s="10">
        <v>9.19</v>
      </c>
      <c r="P39" s="10">
        <v>9.0500000000000007</v>
      </c>
      <c r="Q39" s="10">
        <v>8.93</v>
      </c>
      <c r="S39" s="422">
        <v>39447</v>
      </c>
    </row>
    <row r="40" spans="10:19" ht="15.75" customHeight="1">
      <c r="J40" s="423">
        <v>39478</v>
      </c>
      <c r="K40" s="10">
        <v>10.41</v>
      </c>
      <c r="L40" s="10">
        <v>9.74</v>
      </c>
      <c r="M40" s="10">
        <v>9.7799999999999994</v>
      </c>
      <c r="N40" s="10">
        <v>9.5</v>
      </c>
      <c r="O40" s="10">
        <v>9.2899999999999991</v>
      </c>
      <c r="P40" s="10">
        <v>9.14</v>
      </c>
      <c r="Q40" s="10">
        <v>8.94</v>
      </c>
      <c r="S40" s="423">
        <v>39478</v>
      </c>
    </row>
    <row r="41" spans="10:19" ht="12.6">
      <c r="J41" s="423">
        <v>39507</v>
      </c>
      <c r="K41" s="10">
        <v>10.51</v>
      </c>
      <c r="L41" s="10">
        <v>9.7799999999999994</v>
      </c>
      <c r="M41" s="10">
        <v>9.82</v>
      </c>
      <c r="N41" s="10">
        <v>9.5500000000000007</v>
      </c>
      <c r="O41" s="10">
        <v>9.35</v>
      </c>
      <c r="P41" s="10">
        <v>9.2100000000000009</v>
      </c>
      <c r="Q41" s="10">
        <v>9.0500000000000007</v>
      </c>
      <c r="S41" s="423">
        <v>39507</v>
      </c>
    </row>
    <row r="42" spans="10:19" ht="12.6">
      <c r="J42" s="423">
        <v>39538</v>
      </c>
      <c r="K42" s="10">
        <v>10.56</v>
      </c>
      <c r="L42" s="10">
        <v>9.84</v>
      </c>
      <c r="M42" s="10">
        <v>9.9</v>
      </c>
      <c r="N42" s="10">
        <v>9.6300000000000008</v>
      </c>
      <c r="O42" s="10">
        <v>9.4600000000000009</v>
      </c>
      <c r="P42" s="10">
        <v>9.35</v>
      </c>
      <c r="Q42" s="10">
        <v>9.27</v>
      </c>
      <c r="S42" s="423">
        <v>39538</v>
      </c>
    </row>
    <row r="43" spans="10:19" ht="12.6">
      <c r="J43" s="423">
        <v>39568</v>
      </c>
      <c r="K43" s="10">
        <v>10.56</v>
      </c>
      <c r="L43" s="10">
        <v>9.93</v>
      </c>
      <c r="M43" s="10">
        <v>9.89</v>
      </c>
      <c r="N43" s="10">
        <v>9.6199999999999992</v>
      </c>
      <c r="O43" s="10">
        <v>9.61</v>
      </c>
      <c r="P43" s="10">
        <v>9.56</v>
      </c>
      <c r="Q43" s="10">
        <v>9.5</v>
      </c>
      <c r="S43" s="423">
        <v>39568</v>
      </c>
    </row>
    <row r="44" spans="10:19" ht="12.6">
      <c r="J44" s="423">
        <v>39599</v>
      </c>
      <c r="K44" s="10">
        <v>10.72</v>
      </c>
      <c r="L44" s="10">
        <v>9.8000000000000007</v>
      </c>
      <c r="M44" s="10">
        <v>9.6</v>
      </c>
      <c r="N44" s="10">
        <v>9.34</v>
      </c>
      <c r="O44" s="10">
        <v>9.35</v>
      </c>
      <c r="P44" s="10">
        <v>9.33</v>
      </c>
      <c r="Q44" s="10">
        <v>9.33</v>
      </c>
      <c r="S44" s="423">
        <v>39599</v>
      </c>
    </row>
    <row r="45" spans="10:19" ht="12.6">
      <c r="J45" s="423">
        <v>39629</v>
      </c>
      <c r="K45" s="10">
        <v>10.72</v>
      </c>
      <c r="L45" s="10">
        <v>9.75</v>
      </c>
      <c r="M45" s="10">
        <v>9.4499999999999993</v>
      </c>
      <c r="N45" s="10">
        <v>9.1999999999999993</v>
      </c>
      <c r="O45" s="10">
        <v>9.1199999999999992</v>
      </c>
      <c r="P45" s="10">
        <v>9.1300000000000008</v>
      </c>
      <c r="Q45" s="10">
        <v>9.1300000000000008</v>
      </c>
      <c r="S45" s="423">
        <v>39629</v>
      </c>
    </row>
    <row r="46" spans="10:19" ht="12.6">
      <c r="J46" s="423">
        <v>39660</v>
      </c>
      <c r="K46" s="10">
        <v>10.72</v>
      </c>
      <c r="L46" s="10">
        <v>9.74</v>
      </c>
      <c r="M46" s="10">
        <v>9.3000000000000007</v>
      </c>
      <c r="N46" s="10">
        <v>9.0299999999999994</v>
      </c>
      <c r="O46" s="10">
        <v>9.07</v>
      </c>
      <c r="P46" s="10">
        <v>9.11</v>
      </c>
      <c r="Q46" s="10">
        <v>9.1300000000000008</v>
      </c>
      <c r="S46" s="423">
        <v>39660</v>
      </c>
    </row>
    <row r="47" spans="10:19" ht="12.6">
      <c r="J47" s="423">
        <v>39691</v>
      </c>
      <c r="K47" s="10">
        <v>10.72</v>
      </c>
      <c r="L47" s="10">
        <v>9.73</v>
      </c>
      <c r="M47" s="10">
        <v>9.1999999999999993</v>
      </c>
      <c r="N47" s="10">
        <v>8.9600000000000009</v>
      </c>
      <c r="O47" s="10">
        <v>9.0500000000000007</v>
      </c>
      <c r="P47" s="10">
        <v>9.11</v>
      </c>
      <c r="Q47" s="10">
        <v>9.1300000000000008</v>
      </c>
      <c r="S47" s="423">
        <v>39691</v>
      </c>
    </row>
    <row r="48" spans="10:19" ht="12.6">
      <c r="J48" s="423">
        <v>39721</v>
      </c>
      <c r="K48" s="10">
        <v>10.26</v>
      </c>
      <c r="L48" s="10">
        <v>9.31</v>
      </c>
      <c r="M48" s="10">
        <v>8.9600000000000009</v>
      </c>
      <c r="N48" s="10">
        <v>8.6199999999999992</v>
      </c>
      <c r="O48" s="10">
        <v>8.7100000000000009</v>
      </c>
      <c r="P48" s="10">
        <v>8.93</v>
      </c>
      <c r="Q48" s="10">
        <v>8.93</v>
      </c>
      <c r="S48" s="423">
        <v>39721</v>
      </c>
    </row>
    <row r="49" spans="10:19" ht="12.6">
      <c r="J49" s="422">
        <v>39752</v>
      </c>
      <c r="K49" s="10">
        <v>9.6199999999999992</v>
      </c>
      <c r="L49" s="10">
        <v>8.4700000000000006</v>
      </c>
      <c r="M49" s="10">
        <v>8.17</v>
      </c>
      <c r="N49" s="10">
        <v>8.24</v>
      </c>
      <c r="O49" s="10">
        <v>8.4499999999999993</v>
      </c>
      <c r="P49" s="10">
        <v>8.69</v>
      </c>
      <c r="Q49" s="10">
        <v>8.74</v>
      </c>
      <c r="S49" s="422">
        <v>39752</v>
      </c>
    </row>
    <row r="50" spans="10:19" ht="12.6">
      <c r="J50" s="422">
        <v>39782</v>
      </c>
      <c r="K50" s="10">
        <v>8.82</v>
      </c>
      <c r="L50" s="10">
        <v>7.35</v>
      </c>
      <c r="M50" s="10">
        <v>7.28</v>
      </c>
      <c r="N50" s="10">
        <v>7.46</v>
      </c>
      <c r="O50" s="10">
        <v>7.71</v>
      </c>
      <c r="P50" s="10">
        <v>7.91</v>
      </c>
      <c r="Q50" s="10">
        <v>7.93</v>
      </c>
      <c r="S50" s="422">
        <v>39782</v>
      </c>
    </row>
    <row r="51" spans="10:19" ht="12.6">
      <c r="J51" s="422">
        <v>39813</v>
      </c>
      <c r="K51" s="10">
        <v>7.88</v>
      </c>
      <c r="L51" s="10">
        <v>6.95</v>
      </c>
      <c r="M51" s="10">
        <v>6.89</v>
      </c>
      <c r="N51" s="10">
        <v>7.1</v>
      </c>
      <c r="O51" s="10">
        <v>7.28</v>
      </c>
      <c r="P51" s="10">
        <v>7.47</v>
      </c>
      <c r="Q51" s="10">
        <v>7.54</v>
      </c>
      <c r="S51" s="422">
        <v>39813</v>
      </c>
    </row>
    <row r="52" spans="10:19" ht="12.6">
      <c r="J52" s="423">
        <v>39844</v>
      </c>
      <c r="K52" s="10">
        <v>7.17</v>
      </c>
      <c r="L52" s="10">
        <v>6.35</v>
      </c>
      <c r="M52" s="10">
        <v>6.15</v>
      </c>
      <c r="N52" s="10">
        <v>6.31</v>
      </c>
      <c r="O52" s="10">
        <v>6.53</v>
      </c>
      <c r="P52" s="10">
        <v>6.75</v>
      </c>
      <c r="Q52" s="10">
        <v>6.86</v>
      </c>
      <c r="S52" s="423">
        <v>39844</v>
      </c>
    </row>
    <row r="53" spans="10:19" ht="12.6">
      <c r="J53" s="423">
        <v>39872</v>
      </c>
      <c r="K53" s="10">
        <v>6.72</v>
      </c>
      <c r="L53" s="10">
        <v>5.87</v>
      </c>
      <c r="M53" s="10">
        <v>5.78</v>
      </c>
      <c r="N53" s="10">
        <v>5.93</v>
      </c>
      <c r="O53" s="10">
        <v>6.11</v>
      </c>
      <c r="P53" s="10">
        <v>6.49</v>
      </c>
      <c r="Q53" s="10">
        <v>6.55</v>
      </c>
      <c r="S53" s="423">
        <v>39872</v>
      </c>
    </row>
    <row r="54" spans="10:19" ht="12.6">
      <c r="J54" s="423">
        <v>39903</v>
      </c>
      <c r="K54" s="10">
        <v>6.37</v>
      </c>
      <c r="L54" s="10">
        <v>5.78</v>
      </c>
      <c r="M54" s="10">
        <v>5.76</v>
      </c>
      <c r="N54" s="10">
        <v>6.17</v>
      </c>
      <c r="O54" s="10">
        <v>6.6</v>
      </c>
      <c r="P54" s="10">
        <v>7.15</v>
      </c>
      <c r="Q54" s="10">
        <v>7.39</v>
      </c>
      <c r="S54" s="423">
        <v>39903</v>
      </c>
    </row>
    <row r="55" spans="10:19" ht="12.6">
      <c r="J55" s="423">
        <v>39933</v>
      </c>
      <c r="K55" s="10">
        <v>6.37</v>
      </c>
      <c r="L55" s="10">
        <v>5.72</v>
      </c>
      <c r="M55" s="10">
        <v>5.76</v>
      </c>
      <c r="N55" s="10">
        <v>6.24</v>
      </c>
      <c r="O55" s="10">
        <v>6.76</v>
      </c>
      <c r="P55" s="10">
        <v>7.26</v>
      </c>
      <c r="Q55" s="10">
        <v>7.52</v>
      </c>
      <c r="S55" s="423">
        <v>39933</v>
      </c>
    </row>
    <row r="56" spans="10:19" ht="12.6">
      <c r="J56" s="423">
        <v>39964</v>
      </c>
      <c r="K56" s="10">
        <v>6.37</v>
      </c>
      <c r="L56" s="10">
        <v>5.53</v>
      </c>
      <c r="M56" s="10">
        <v>5.59</v>
      </c>
      <c r="N56" s="10">
        <v>6.23</v>
      </c>
      <c r="O56" s="10">
        <v>6.82</v>
      </c>
      <c r="P56" s="10">
        <v>7.36</v>
      </c>
      <c r="Q56" s="10">
        <v>7.69</v>
      </c>
      <c r="S56" s="423">
        <v>39964</v>
      </c>
    </row>
    <row r="57" spans="10:19" ht="12.6">
      <c r="J57" s="423">
        <v>39994</v>
      </c>
      <c r="K57" s="10">
        <v>6.37</v>
      </c>
      <c r="L57" s="10">
        <v>5.49</v>
      </c>
      <c r="M57" s="10">
        <v>5.61</v>
      </c>
      <c r="N57" s="10">
        <v>6.26</v>
      </c>
      <c r="O57" s="10">
        <v>6.95</v>
      </c>
      <c r="P57" s="10">
        <v>7.49</v>
      </c>
      <c r="Q57" s="10">
        <v>7.95</v>
      </c>
      <c r="S57" s="423">
        <v>39994</v>
      </c>
    </row>
    <row r="58" spans="10:19" ht="12.6">
      <c r="J58" s="423">
        <v>40025</v>
      </c>
      <c r="K58" s="10">
        <v>6.37</v>
      </c>
      <c r="L58" s="10">
        <v>5.48</v>
      </c>
      <c r="M58" s="10">
        <v>5.61</v>
      </c>
      <c r="N58" s="10">
        <v>6.3</v>
      </c>
      <c r="O58" s="10">
        <v>7</v>
      </c>
      <c r="P58" s="10">
        <v>7.54</v>
      </c>
      <c r="Q58" s="10">
        <v>8</v>
      </c>
      <c r="S58" s="423">
        <v>40025</v>
      </c>
    </row>
    <row r="59" spans="10:19" ht="12.6">
      <c r="J59" s="423">
        <v>40056</v>
      </c>
      <c r="K59" s="10">
        <v>6.33</v>
      </c>
      <c r="L59" s="10">
        <v>5.49</v>
      </c>
      <c r="M59" s="10">
        <v>5.65</v>
      </c>
      <c r="N59" s="10">
        <v>6.52</v>
      </c>
      <c r="O59" s="10">
        <v>7.44</v>
      </c>
      <c r="P59" s="10">
        <v>7.98</v>
      </c>
      <c r="Q59" s="10">
        <v>8.31</v>
      </c>
      <c r="S59" s="423">
        <v>40056</v>
      </c>
    </row>
    <row r="60" spans="10:19" ht="12.6">
      <c r="J60" s="423">
        <v>40086</v>
      </c>
      <c r="K60" s="10">
        <v>6.22</v>
      </c>
      <c r="L60" s="10">
        <v>5.47</v>
      </c>
      <c r="M60" s="10">
        <v>5.67</v>
      </c>
      <c r="N60" s="10">
        <v>6.62</v>
      </c>
      <c r="O60" s="10">
        <v>7.5</v>
      </c>
      <c r="P60" s="10">
        <v>8.08</v>
      </c>
      <c r="Q60" s="10">
        <v>8.42</v>
      </c>
      <c r="S60" s="423">
        <v>40086</v>
      </c>
    </row>
    <row r="61" spans="10:19" ht="12.6">
      <c r="J61" s="422">
        <v>40117</v>
      </c>
      <c r="K61" s="10">
        <v>6.15</v>
      </c>
      <c r="L61" s="10">
        <v>5.66</v>
      </c>
      <c r="M61" s="10">
        <v>6.01</v>
      </c>
      <c r="N61" s="10">
        <v>7.08</v>
      </c>
      <c r="O61" s="10">
        <v>7.87</v>
      </c>
      <c r="P61" s="10">
        <v>8.4499999999999993</v>
      </c>
      <c r="Q61" s="10">
        <v>8.68</v>
      </c>
      <c r="S61" s="422">
        <v>40117</v>
      </c>
    </row>
    <row r="62" spans="10:19" ht="12.6">
      <c r="J62" s="422">
        <v>40147</v>
      </c>
      <c r="K62" s="10">
        <v>6.07</v>
      </c>
      <c r="L62" s="10">
        <v>5.77</v>
      </c>
      <c r="M62" s="10">
        <v>6.08</v>
      </c>
      <c r="N62" s="10">
        <v>7.12</v>
      </c>
      <c r="O62" s="10">
        <v>7.87</v>
      </c>
      <c r="P62" s="10">
        <v>8.4700000000000006</v>
      </c>
      <c r="Q62" s="10">
        <v>8.68</v>
      </c>
      <c r="S62" s="422">
        <v>40147</v>
      </c>
    </row>
    <row r="63" spans="10:19" ht="12.6">
      <c r="J63" s="422">
        <v>40178</v>
      </c>
      <c r="K63" s="10">
        <v>6.07</v>
      </c>
      <c r="L63" s="10">
        <v>5.81</v>
      </c>
      <c r="M63" s="10">
        <v>6.22</v>
      </c>
      <c r="N63" s="10">
        <v>7.22</v>
      </c>
      <c r="O63" s="10">
        <v>7.89</v>
      </c>
      <c r="P63" s="10">
        <v>8.4700000000000006</v>
      </c>
      <c r="Q63" s="10">
        <v>8.68</v>
      </c>
      <c r="S63" s="422">
        <v>40178</v>
      </c>
    </row>
    <row r="64" spans="10:19" ht="12.6">
      <c r="J64" s="423">
        <v>40209</v>
      </c>
      <c r="K64" s="10">
        <v>6.07</v>
      </c>
      <c r="L64" s="10">
        <v>5.81</v>
      </c>
      <c r="M64" s="10">
        <v>6.18</v>
      </c>
      <c r="N64" s="10">
        <v>7.22</v>
      </c>
      <c r="O64" s="10">
        <v>7.87</v>
      </c>
      <c r="P64" s="10">
        <v>8.43</v>
      </c>
      <c r="Q64" s="10">
        <v>8.65</v>
      </c>
      <c r="S64" s="423">
        <v>40209</v>
      </c>
    </row>
    <row r="65" spans="10:19" ht="12.6">
      <c r="J65" s="423">
        <v>40237</v>
      </c>
      <c r="K65" s="10">
        <v>5.98</v>
      </c>
      <c r="L65" s="10">
        <v>5.82</v>
      </c>
      <c r="M65" s="10">
        <v>6.19</v>
      </c>
      <c r="N65" s="10">
        <v>7.18</v>
      </c>
      <c r="O65" s="10">
        <v>7.84</v>
      </c>
      <c r="P65" s="10">
        <v>8.39</v>
      </c>
      <c r="Q65" s="10">
        <v>8.57</v>
      </c>
      <c r="S65" s="423">
        <v>40237</v>
      </c>
    </row>
    <row r="66" spans="10:19" ht="12.6">
      <c r="J66" s="423">
        <v>40268</v>
      </c>
      <c r="K66" s="10">
        <v>5.98</v>
      </c>
      <c r="L66" s="10">
        <v>5.82</v>
      </c>
      <c r="M66" s="10">
        <v>6.18</v>
      </c>
      <c r="N66" s="10">
        <v>7.15</v>
      </c>
      <c r="O66" s="10">
        <v>7.79</v>
      </c>
      <c r="P66" s="10">
        <v>8.2799999999999994</v>
      </c>
      <c r="Q66" s="10">
        <v>8.4700000000000006</v>
      </c>
      <c r="S66" s="423">
        <v>40268</v>
      </c>
    </row>
    <row r="67" spans="10:19" ht="12.6">
      <c r="J67" s="423">
        <v>40298</v>
      </c>
      <c r="K67" s="10">
        <v>5.98</v>
      </c>
      <c r="L67" s="10">
        <v>5.77</v>
      </c>
      <c r="M67" s="10">
        <v>6.09</v>
      </c>
      <c r="N67" s="10">
        <v>7.08</v>
      </c>
      <c r="O67" s="10">
        <v>7.71</v>
      </c>
      <c r="P67" s="10">
        <v>8.2100000000000009</v>
      </c>
      <c r="Q67" s="10">
        <v>8.43</v>
      </c>
      <c r="S67" s="423">
        <v>40298</v>
      </c>
    </row>
    <row r="68" spans="10:19" ht="12.6">
      <c r="J68" s="423">
        <v>40329</v>
      </c>
      <c r="K68" s="10">
        <v>5.98</v>
      </c>
      <c r="L68" s="10">
        <v>5.84</v>
      </c>
      <c r="M68" s="10">
        <v>6.23</v>
      </c>
      <c r="N68" s="10">
        <v>7.18</v>
      </c>
      <c r="O68" s="10">
        <v>7.66</v>
      </c>
      <c r="P68" s="10">
        <v>8.1300000000000008</v>
      </c>
      <c r="Q68" s="10">
        <v>8.4</v>
      </c>
      <c r="S68" s="423">
        <v>40329</v>
      </c>
    </row>
    <row r="69" spans="10:19" ht="12.6">
      <c r="J69" s="423">
        <v>40359</v>
      </c>
      <c r="K69" s="10">
        <v>6.12</v>
      </c>
      <c r="L69" s="10">
        <v>5.98</v>
      </c>
      <c r="M69" s="10">
        <v>6.36</v>
      </c>
      <c r="N69" s="10">
        <v>7.13</v>
      </c>
      <c r="O69" s="10">
        <v>7.58</v>
      </c>
      <c r="P69" s="10">
        <v>8.02</v>
      </c>
      <c r="Q69" s="10">
        <v>8.3000000000000007</v>
      </c>
      <c r="S69" s="423">
        <v>40359</v>
      </c>
    </row>
    <row r="70" spans="10:19" ht="12.6">
      <c r="J70" s="423">
        <v>40390</v>
      </c>
      <c r="K70" s="10">
        <v>6.12</v>
      </c>
      <c r="L70" s="10">
        <v>6.06</v>
      </c>
      <c r="M70" s="10">
        <v>6.38</v>
      </c>
      <c r="N70" s="10">
        <v>6.94</v>
      </c>
      <c r="O70" s="10">
        <v>7.23</v>
      </c>
      <c r="P70" s="10">
        <v>7.52</v>
      </c>
      <c r="Q70" s="10">
        <v>7.75</v>
      </c>
      <c r="S70" s="423">
        <v>40390</v>
      </c>
    </row>
    <row r="71" spans="10:19" ht="12.6">
      <c r="J71" s="423">
        <v>40421</v>
      </c>
      <c r="K71" s="10">
        <v>6.35</v>
      </c>
      <c r="L71" s="10">
        <v>6.19</v>
      </c>
      <c r="M71" s="10">
        <v>6.41</v>
      </c>
      <c r="N71" s="10">
        <v>6.79</v>
      </c>
      <c r="O71" s="10">
        <v>7.14</v>
      </c>
      <c r="P71" s="10">
        <v>7.44</v>
      </c>
      <c r="Q71" s="10">
        <v>7.72</v>
      </c>
      <c r="S71" s="423">
        <v>40421</v>
      </c>
    </row>
    <row r="72" spans="10:19" ht="12.6">
      <c r="J72" s="423">
        <v>40451</v>
      </c>
      <c r="K72" s="10">
        <v>6.34</v>
      </c>
      <c r="L72" s="10">
        <v>6.24</v>
      </c>
      <c r="M72" s="10">
        <v>6.41</v>
      </c>
      <c r="N72" s="10">
        <v>6.73</v>
      </c>
      <c r="O72" s="10">
        <v>7.1</v>
      </c>
      <c r="P72" s="10">
        <v>7.44</v>
      </c>
      <c r="Q72" s="10">
        <v>7.7</v>
      </c>
      <c r="S72" s="423">
        <v>40451</v>
      </c>
    </row>
    <row r="73" spans="10:19" ht="12.6">
      <c r="J73" s="422">
        <v>40482</v>
      </c>
      <c r="K73" s="10">
        <v>6.34</v>
      </c>
      <c r="L73" s="10">
        <v>6.24</v>
      </c>
      <c r="M73" s="10">
        <v>6.41</v>
      </c>
      <c r="N73" s="10">
        <v>6.73</v>
      </c>
      <c r="O73" s="10">
        <v>7.1</v>
      </c>
      <c r="P73" s="10">
        <v>7.44</v>
      </c>
      <c r="Q73" s="10">
        <v>7.7</v>
      </c>
      <c r="S73" s="422">
        <v>40482</v>
      </c>
    </row>
    <row r="74" spans="10:19" ht="12.6">
      <c r="J74" s="422">
        <v>40512</v>
      </c>
      <c r="K74" s="10">
        <v>6.34</v>
      </c>
      <c r="L74" s="10">
        <v>6.24</v>
      </c>
      <c r="M74" s="10">
        <v>6.4</v>
      </c>
      <c r="N74" s="10">
        <v>6.68</v>
      </c>
      <c r="O74" s="10">
        <v>7.1</v>
      </c>
      <c r="P74" s="10">
        <v>7.44</v>
      </c>
      <c r="Q74" s="10">
        <v>7.7</v>
      </c>
      <c r="S74" s="422">
        <v>40512</v>
      </c>
    </row>
    <row r="75" spans="10:19" ht="12.6">
      <c r="J75" s="422">
        <v>40543</v>
      </c>
      <c r="K75" s="10">
        <v>6.34</v>
      </c>
      <c r="L75" s="10">
        <v>6.24</v>
      </c>
      <c r="M75" s="10">
        <v>6.4</v>
      </c>
      <c r="N75" s="10">
        <v>6.66</v>
      </c>
      <c r="O75" s="10">
        <v>7.1</v>
      </c>
      <c r="P75" s="10">
        <v>7.44</v>
      </c>
      <c r="Q75" s="10">
        <v>7.7</v>
      </c>
      <c r="S75" s="422">
        <v>40543</v>
      </c>
    </row>
    <row r="76" spans="10:19" ht="12.6">
      <c r="J76" s="423">
        <v>40574</v>
      </c>
      <c r="K76" s="10">
        <v>6.34</v>
      </c>
      <c r="L76" s="10">
        <v>6.27</v>
      </c>
      <c r="M76" s="10">
        <v>6.43</v>
      </c>
      <c r="N76" s="10">
        <v>6.66</v>
      </c>
      <c r="O76" s="10">
        <v>7.09</v>
      </c>
      <c r="P76" s="10">
        <v>7.44</v>
      </c>
      <c r="Q76" s="10">
        <v>7.7</v>
      </c>
      <c r="S76" s="423">
        <v>40574</v>
      </c>
    </row>
    <row r="77" spans="10:19" ht="12.6">
      <c r="J77" s="423">
        <v>40602</v>
      </c>
      <c r="K77" s="10">
        <v>6.34</v>
      </c>
      <c r="L77" s="10">
        <v>6.2</v>
      </c>
      <c r="M77" s="10">
        <v>6.37</v>
      </c>
      <c r="N77" s="10">
        <v>6.59</v>
      </c>
      <c r="O77" s="10">
        <v>7.08</v>
      </c>
      <c r="P77" s="10">
        <v>7.44</v>
      </c>
      <c r="Q77" s="10">
        <v>7.7</v>
      </c>
      <c r="S77" s="423">
        <v>40602</v>
      </c>
    </row>
    <row r="78" spans="10:19" ht="12.6">
      <c r="J78" s="423">
        <v>40633</v>
      </c>
      <c r="K78" s="10">
        <v>5.93</v>
      </c>
      <c r="L78" s="10">
        <v>5.98</v>
      </c>
      <c r="M78" s="10">
        <v>5.98</v>
      </c>
      <c r="N78" s="10">
        <v>6.44</v>
      </c>
      <c r="O78" s="10">
        <v>6.94</v>
      </c>
      <c r="P78" s="10">
        <v>7.38</v>
      </c>
      <c r="Q78" s="10">
        <v>7.65</v>
      </c>
      <c r="S78" s="423">
        <v>40633</v>
      </c>
    </row>
    <row r="79" spans="10:19" ht="12.6">
      <c r="J79" s="423">
        <v>40663</v>
      </c>
      <c r="K79" s="10">
        <v>5.89</v>
      </c>
      <c r="L79" s="10">
        <v>5.83</v>
      </c>
      <c r="M79" s="10">
        <v>5.94</v>
      </c>
      <c r="N79" s="10">
        <v>6.44</v>
      </c>
      <c r="O79" s="10">
        <v>6.94</v>
      </c>
      <c r="P79" s="10">
        <v>7.38</v>
      </c>
      <c r="Q79" s="10">
        <v>7.65</v>
      </c>
      <c r="S79" s="423">
        <v>40663</v>
      </c>
    </row>
    <row r="80" spans="10:19" ht="12.6">
      <c r="J80" s="423">
        <v>40694</v>
      </c>
      <c r="K80" s="10">
        <v>5.87</v>
      </c>
      <c r="L80" s="10">
        <v>5.84</v>
      </c>
      <c r="M80" s="10">
        <v>5.92</v>
      </c>
      <c r="N80" s="10">
        <v>6.42</v>
      </c>
      <c r="O80" s="10">
        <v>6.94</v>
      </c>
      <c r="P80" s="10">
        <v>7.38</v>
      </c>
      <c r="Q80" s="10">
        <v>7.65</v>
      </c>
      <c r="S80" s="423">
        <v>40694</v>
      </c>
    </row>
    <row r="81" spans="10:19" ht="12.6">
      <c r="J81" s="423">
        <v>40724</v>
      </c>
      <c r="K81" s="10">
        <v>5.87</v>
      </c>
      <c r="L81" s="10">
        <v>5.84</v>
      </c>
      <c r="M81" s="10">
        <v>5.94</v>
      </c>
      <c r="N81" s="10">
        <v>6.42</v>
      </c>
      <c r="O81" s="10">
        <v>6.94</v>
      </c>
      <c r="P81" s="10">
        <v>7.38</v>
      </c>
      <c r="Q81" s="10">
        <v>7.65</v>
      </c>
      <c r="S81" s="423">
        <v>40724</v>
      </c>
    </row>
    <row r="82" spans="10:19" ht="12.6">
      <c r="J82" s="423">
        <v>40755</v>
      </c>
      <c r="K82" s="10">
        <v>5.87</v>
      </c>
      <c r="L82" s="10">
        <v>5.84</v>
      </c>
      <c r="M82" s="10">
        <v>5.92</v>
      </c>
      <c r="N82" s="10">
        <v>6.41</v>
      </c>
      <c r="O82" s="10">
        <v>6.92</v>
      </c>
      <c r="P82" s="10">
        <v>7.34</v>
      </c>
      <c r="Q82" s="10">
        <v>7.63</v>
      </c>
      <c r="S82" s="423">
        <v>40755</v>
      </c>
    </row>
    <row r="83" spans="10:19" ht="12.6">
      <c r="J83" s="423">
        <v>40786</v>
      </c>
      <c r="K83" s="10">
        <v>5.87</v>
      </c>
      <c r="L83" s="10">
        <v>5.86</v>
      </c>
      <c r="M83" s="10">
        <v>5.94</v>
      </c>
      <c r="N83" s="10">
        <v>6.41</v>
      </c>
      <c r="O83" s="10">
        <v>6.92</v>
      </c>
      <c r="P83" s="10">
        <v>7.34</v>
      </c>
      <c r="Q83" s="10">
        <v>7.63</v>
      </c>
      <c r="S83" s="423">
        <v>40786</v>
      </c>
    </row>
    <row r="84" spans="10:19" ht="12.6">
      <c r="J84" s="423">
        <v>40816</v>
      </c>
      <c r="K84" s="10">
        <v>5.87</v>
      </c>
      <c r="L84" s="10">
        <v>5.85</v>
      </c>
      <c r="M84" s="10">
        <v>5.94</v>
      </c>
      <c r="N84" s="10">
        <v>6.34</v>
      </c>
      <c r="O84" s="10">
        <v>6.87</v>
      </c>
      <c r="P84" s="10">
        <v>7.34</v>
      </c>
      <c r="Q84" s="10">
        <v>7.63</v>
      </c>
      <c r="S84" s="423">
        <v>40816</v>
      </c>
    </row>
    <row r="85" spans="10:19" ht="12.6">
      <c r="J85" s="422">
        <v>40847</v>
      </c>
      <c r="K85" s="10">
        <v>5.85</v>
      </c>
      <c r="L85" s="10">
        <v>5.81</v>
      </c>
      <c r="M85" s="10">
        <v>5.87</v>
      </c>
      <c r="N85" s="10">
        <v>6.21</v>
      </c>
      <c r="O85" s="10">
        <v>6.71</v>
      </c>
      <c r="P85" s="10">
        <v>7.2</v>
      </c>
      <c r="Q85" s="10">
        <v>7.56</v>
      </c>
      <c r="S85" s="422">
        <v>40847</v>
      </c>
    </row>
    <row r="86" spans="10:19" ht="12.6">
      <c r="J86" s="422">
        <v>40877</v>
      </c>
      <c r="K86" s="10">
        <v>5.83</v>
      </c>
      <c r="L86" s="10">
        <v>5.67</v>
      </c>
      <c r="M86" s="10">
        <v>5.78</v>
      </c>
      <c r="N86" s="10">
        <v>5.96</v>
      </c>
      <c r="O86" s="10">
        <v>6.41</v>
      </c>
      <c r="P86" s="10">
        <v>6.8</v>
      </c>
      <c r="Q86" s="10">
        <v>7.22</v>
      </c>
      <c r="S86" s="422">
        <v>40877</v>
      </c>
    </row>
    <row r="87" spans="10:19" ht="12.6">
      <c r="J87" s="422">
        <v>40908</v>
      </c>
      <c r="K87" s="10">
        <v>5.86</v>
      </c>
      <c r="L87" s="10">
        <v>5.72</v>
      </c>
      <c r="M87" s="10">
        <v>5.74</v>
      </c>
      <c r="N87" s="10">
        <v>5.94</v>
      </c>
      <c r="O87" s="10">
        <v>6.41</v>
      </c>
      <c r="P87" s="10">
        <v>6.81</v>
      </c>
      <c r="Q87" s="10">
        <v>7.22</v>
      </c>
      <c r="S87" s="422">
        <v>40908</v>
      </c>
    </row>
    <row r="88" spans="10:19" ht="12.6">
      <c r="J88" s="423">
        <v>40939</v>
      </c>
      <c r="K88" s="10">
        <v>5.86</v>
      </c>
      <c r="L88" s="10">
        <v>5.66</v>
      </c>
      <c r="M88" s="10">
        <v>5.69</v>
      </c>
      <c r="N88" s="10">
        <v>5.86</v>
      </c>
      <c r="O88" s="10">
        <v>6.38</v>
      </c>
      <c r="P88" s="10">
        <v>6.68</v>
      </c>
      <c r="Q88" s="10">
        <v>7.2</v>
      </c>
      <c r="S88" s="423">
        <v>40939</v>
      </c>
    </row>
    <row r="89" spans="10:19" ht="12.6">
      <c r="J89" s="423">
        <v>40968</v>
      </c>
      <c r="K89" s="10">
        <v>5.86</v>
      </c>
      <c r="L89" s="10">
        <v>5.64</v>
      </c>
      <c r="M89" s="10">
        <v>5.67</v>
      </c>
      <c r="N89" s="10">
        <v>5.82</v>
      </c>
      <c r="O89" s="10">
        <v>6.13</v>
      </c>
      <c r="P89" s="10">
        <v>6.53</v>
      </c>
      <c r="Q89" s="10">
        <v>6.93</v>
      </c>
      <c r="S89" s="423">
        <v>40968</v>
      </c>
    </row>
    <row r="90" spans="10:19" ht="12.6">
      <c r="J90" s="423">
        <v>40999</v>
      </c>
      <c r="K90" s="10">
        <v>5.86</v>
      </c>
      <c r="L90" s="10">
        <v>5.64</v>
      </c>
      <c r="M90" s="10">
        <v>5.64</v>
      </c>
      <c r="N90" s="10">
        <v>5.81</v>
      </c>
      <c r="O90" s="10">
        <v>6.1</v>
      </c>
      <c r="P90" s="10">
        <v>6.5</v>
      </c>
      <c r="Q90" s="10">
        <v>6.9</v>
      </c>
      <c r="S90" s="423">
        <v>40999</v>
      </c>
    </row>
    <row r="91" spans="10:19" ht="12.6">
      <c r="J91" s="423">
        <v>41029</v>
      </c>
      <c r="K91" s="10">
        <v>5.81</v>
      </c>
      <c r="L91" s="10">
        <v>5.67</v>
      </c>
      <c r="M91" s="10">
        <v>5.64</v>
      </c>
      <c r="N91" s="10">
        <v>5.81</v>
      </c>
      <c r="O91" s="10">
        <v>6.1</v>
      </c>
      <c r="P91" s="10">
        <v>6.49</v>
      </c>
      <c r="Q91" s="10">
        <v>6.9</v>
      </c>
      <c r="S91" s="423">
        <v>41029</v>
      </c>
    </row>
    <row r="92" spans="10:19" ht="12.6">
      <c r="J92" s="423">
        <v>41060</v>
      </c>
      <c r="K92" s="10">
        <v>5.81</v>
      </c>
      <c r="L92" s="10">
        <v>5.6</v>
      </c>
      <c r="M92" s="10">
        <v>5.29</v>
      </c>
      <c r="N92" s="10">
        <v>5.56</v>
      </c>
      <c r="O92" s="10">
        <v>5.77</v>
      </c>
      <c r="P92" s="10">
        <v>6.18</v>
      </c>
      <c r="Q92" s="10">
        <v>6.57</v>
      </c>
      <c r="S92" s="423">
        <v>41060</v>
      </c>
    </row>
    <row r="93" spans="10:19" ht="12.6">
      <c r="J93" s="423">
        <v>41090</v>
      </c>
      <c r="K93" s="10">
        <v>5.81</v>
      </c>
      <c r="L93" s="10">
        <v>5.56</v>
      </c>
      <c r="M93" s="10">
        <v>5.29</v>
      </c>
      <c r="N93" s="10">
        <v>5.55</v>
      </c>
      <c r="O93" s="10">
        <v>5.77</v>
      </c>
      <c r="P93" s="10">
        <v>6.19</v>
      </c>
      <c r="Q93" s="10">
        <v>6.57</v>
      </c>
      <c r="S93" s="423">
        <v>41090</v>
      </c>
    </row>
    <row r="94" spans="10:19" ht="12.6">
      <c r="J94" s="423">
        <v>41121</v>
      </c>
      <c r="K94" s="10">
        <v>5.79</v>
      </c>
      <c r="L94" s="10">
        <v>5.58</v>
      </c>
      <c r="M94" s="10">
        <v>5.37</v>
      </c>
      <c r="N94" s="10">
        <v>5.56</v>
      </c>
      <c r="O94" s="10">
        <v>5.8</v>
      </c>
      <c r="P94" s="10">
        <v>6.19</v>
      </c>
      <c r="Q94" s="10">
        <v>6.57</v>
      </c>
      <c r="S94" s="423">
        <v>41121</v>
      </c>
    </row>
    <row r="95" spans="10:19" ht="12.6">
      <c r="J95" s="423">
        <v>41152</v>
      </c>
      <c r="K95" s="10">
        <v>5.79</v>
      </c>
      <c r="L95" s="10">
        <v>5.58</v>
      </c>
      <c r="M95" s="10">
        <v>5.39</v>
      </c>
      <c r="N95" s="10">
        <v>5.54</v>
      </c>
      <c r="O95" s="10">
        <v>5.81</v>
      </c>
      <c r="P95" s="10">
        <v>6.2</v>
      </c>
      <c r="Q95" s="10">
        <v>6.54</v>
      </c>
      <c r="S95" s="423">
        <v>41152</v>
      </c>
    </row>
    <row r="96" spans="10:19" ht="12.6">
      <c r="J96" s="423">
        <v>41182</v>
      </c>
      <c r="K96" s="10">
        <v>5.79</v>
      </c>
      <c r="L96" s="10">
        <v>5.44</v>
      </c>
      <c r="M96" s="10">
        <v>5.37</v>
      </c>
      <c r="N96" s="10">
        <v>5.47</v>
      </c>
      <c r="O96" s="10">
        <v>5.81</v>
      </c>
      <c r="P96" s="10">
        <v>6.17</v>
      </c>
      <c r="Q96" s="10">
        <v>6.46</v>
      </c>
      <c r="S96" s="423">
        <v>41182</v>
      </c>
    </row>
    <row r="97" spans="10:19" ht="12.6">
      <c r="J97" s="422">
        <v>41213</v>
      </c>
      <c r="K97" s="10">
        <v>5.79</v>
      </c>
      <c r="L97" s="10">
        <v>5.36</v>
      </c>
      <c r="M97" s="10">
        <v>5.28</v>
      </c>
      <c r="N97" s="10">
        <v>5.4</v>
      </c>
      <c r="O97" s="10">
        <v>5.81</v>
      </c>
      <c r="P97" s="10">
        <v>6.16</v>
      </c>
      <c r="Q97" s="10">
        <v>6.46</v>
      </c>
      <c r="S97" s="422">
        <v>41213</v>
      </c>
    </row>
    <row r="98" spans="10:19" ht="12.6">
      <c r="J98" s="422">
        <v>41243</v>
      </c>
      <c r="K98" s="10">
        <v>5.79</v>
      </c>
      <c r="L98" s="10">
        <v>5.29</v>
      </c>
      <c r="M98" s="10">
        <v>5.29</v>
      </c>
      <c r="N98" s="10">
        <v>5.42</v>
      </c>
      <c r="O98" s="10">
        <v>5.81</v>
      </c>
      <c r="P98" s="10">
        <v>6.16</v>
      </c>
      <c r="Q98" s="10">
        <v>6.46</v>
      </c>
      <c r="S98" s="422">
        <v>41243</v>
      </c>
    </row>
    <row r="99" spans="10:19" ht="12.6">
      <c r="J99" s="422">
        <v>41274</v>
      </c>
      <c r="K99" s="10">
        <v>5.8</v>
      </c>
      <c r="L99" s="10">
        <v>5.38</v>
      </c>
      <c r="M99" s="10">
        <v>5.4</v>
      </c>
      <c r="N99" s="10">
        <v>5.51</v>
      </c>
      <c r="O99" s="10">
        <v>5.92</v>
      </c>
      <c r="P99" s="10">
        <v>6.14</v>
      </c>
      <c r="Q99" s="10">
        <v>6.54</v>
      </c>
      <c r="S99" s="422">
        <v>41274</v>
      </c>
    </row>
    <row r="100" spans="10:19" ht="12.6">
      <c r="J100" s="423">
        <v>41305</v>
      </c>
      <c r="K100" s="10">
        <v>5.8</v>
      </c>
      <c r="L100" s="10">
        <v>5.46</v>
      </c>
      <c r="M100" s="10">
        <v>5.39</v>
      </c>
      <c r="N100" s="10">
        <v>5.53</v>
      </c>
      <c r="O100" s="10">
        <v>5.91</v>
      </c>
      <c r="P100" s="10">
        <v>6.12</v>
      </c>
      <c r="Q100" s="10">
        <v>6.52</v>
      </c>
      <c r="S100" s="423">
        <v>41305</v>
      </c>
    </row>
    <row r="101" spans="10:19" ht="12.6">
      <c r="J101" s="423">
        <v>41333</v>
      </c>
      <c r="K101" s="10">
        <v>5.8</v>
      </c>
      <c r="L101" s="10">
        <v>5.42</v>
      </c>
      <c r="M101" s="10">
        <v>5.38</v>
      </c>
      <c r="N101" s="10">
        <v>5.52</v>
      </c>
      <c r="O101" s="10">
        <v>5.89</v>
      </c>
      <c r="P101" s="10">
        <v>6.07</v>
      </c>
      <c r="Q101" s="10">
        <v>6.45</v>
      </c>
      <c r="S101" s="423">
        <v>41333</v>
      </c>
    </row>
    <row r="102" spans="10:19" ht="12.6">
      <c r="J102" s="423">
        <v>41364</v>
      </c>
      <c r="K102" s="10">
        <v>5.8</v>
      </c>
      <c r="L102" s="10">
        <v>5.44</v>
      </c>
      <c r="M102" s="10">
        <v>5.37</v>
      </c>
      <c r="N102" s="10">
        <v>5.52</v>
      </c>
      <c r="O102" s="10">
        <v>5.85</v>
      </c>
      <c r="P102" s="10">
        <v>6.03</v>
      </c>
      <c r="Q102" s="10">
        <v>6.37</v>
      </c>
      <c r="S102" s="423">
        <v>41364</v>
      </c>
    </row>
    <row r="103" spans="10:19" ht="12.6">
      <c r="J103" s="423">
        <v>41394</v>
      </c>
      <c r="K103" s="10">
        <v>5.8</v>
      </c>
      <c r="L103" s="10">
        <v>5.41</v>
      </c>
      <c r="M103" s="10">
        <v>5.28</v>
      </c>
      <c r="N103" s="10">
        <v>5.49</v>
      </c>
      <c r="O103" s="10">
        <v>5.87</v>
      </c>
      <c r="P103" s="10">
        <v>6.03</v>
      </c>
      <c r="Q103" s="10">
        <v>6.35</v>
      </c>
      <c r="S103" s="423">
        <v>41394</v>
      </c>
    </row>
    <row r="104" spans="10:19" ht="12.6">
      <c r="J104" s="423">
        <v>41425</v>
      </c>
      <c r="K104" s="10">
        <v>5.8</v>
      </c>
      <c r="L104" s="10">
        <v>5.41</v>
      </c>
      <c r="M104" s="10">
        <v>5.31</v>
      </c>
      <c r="N104" s="10">
        <v>5.47</v>
      </c>
      <c r="O104" s="10">
        <v>5.87</v>
      </c>
      <c r="P104" s="10">
        <v>6.03</v>
      </c>
      <c r="Q104" s="10">
        <v>6.35</v>
      </c>
      <c r="S104" s="423">
        <v>41425</v>
      </c>
    </row>
    <row r="105" spans="10:19" ht="12.6">
      <c r="J105" s="423">
        <v>41455</v>
      </c>
      <c r="K105" s="10">
        <v>5.8</v>
      </c>
      <c r="L105" s="10">
        <v>5.39</v>
      </c>
      <c r="M105" s="10">
        <v>5.26</v>
      </c>
      <c r="N105" s="10">
        <v>5.54</v>
      </c>
      <c r="O105" s="10">
        <v>5.94</v>
      </c>
      <c r="P105" s="10">
        <v>6.1</v>
      </c>
      <c r="Q105" s="10">
        <v>6.39</v>
      </c>
      <c r="S105" s="423">
        <v>41455</v>
      </c>
    </row>
    <row r="106" spans="10:19" ht="12.6">
      <c r="J106" s="423">
        <v>41486</v>
      </c>
      <c r="K106" s="10">
        <v>5.8</v>
      </c>
      <c r="L106" s="10">
        <v>5.38</v>
      </c>
      <c r="M106" s="10">
        <v>5.27</v>
      </c>
      <c r="N106" s="10">
        <v>5.65</v>
      </c>
      <c r="O106" s="10">
        <v>6.09</v>
      </c>
      <c r="P106" s="10">
        <v>6.27</v>
      </c>
      <c r="Q106" s="10">
        <v>6.63</v>
      </c>
      <c r="S106" s="423">
        <v>41486</v>
      </c>
    </row>
    <row r="107" spans="10:19" ht="12.6">
      <c r="J107" s="423">
        <v>41517</v>
      </c>
      <c r="K107" s="10">
        <v>5.8</v>
      </c>
      <c r="L107" s="10">
        <v>5.4</v>
      </c>
      <c r="M107" s="10">
        <v>5.31</v>
      </c>
      <c r="N107" s="10">
        <v>5.76</v>
      </c>
      <c r="O107" s="10">
        <v>6.23</v>
      </c>
      <c r="P107" s="10">
        <v>6.43</v>
      </c>
      <c r="Q107" s="10">
        <v>6.78</v>
      </c>
      <c r="S107" s="423">
        <v>41517</v>
      </c>
    </row>
    <row r="108" spans="10:19" ht="12.6">
      <c r="J108" s="423">
        <v>41547</v>
      </c>
      <c r="K108" s="10">
        <v>5.83</v>
      </c>
      <c r="L108" s="10">
        <v>5.42</v>
      </c>
      <c r="M108" s="10">
        <v>5.37</v>
      </c>
      <c r="N108" s="10">
        <v>5.82</v>
      </c>
      <c r="O108" s="10">
        <v>6.39</v>
      </c>
      <c r="P108" s="10">
        <v>6.7</v>
      </c>
      <c r="Q108" s="10">
        <v>6.98</v>
      </c>
      <c r="S108" s="423">
        <v>41547</v>
      </c>
    </row>
    <row r="109" spans="10:19" ht="12.6">
      <c r="J109" s="422">
        <v>41578</v>
      </c>
      <c r="K109" s="10">
        <v>5.83</v>
      </c>
      <c r="L109" s="10">
        <v>5.37</v>
      </c>
      <c r="M109" s="10">
        <v>5.32</v>
      </c>
      <c r="N109" s="10">
        <v>5.83</v>
      </c>
      <c r="O109" s="10">
        <v>6.39</v>
      </c>
      <c r="P109" s="10">
        <v>6.71</v>
      </c>
      <c r="Q109" s="10">
        <v>6.98</v>
      </c>
      <c r="S109" s="422">
        <v>41578</v>
      </c>
    </row>
    <row r="110" spans="10:19" ht="12.6">
      <c r="J110" s="422">
        <v>41608</v>
      </c>
      <c r="K110" s="10">
        <v>5.83</v>
      </c>
      <c r="L110" s="10">
        <v>5.39</v>
      </c>
      <c r="M110" s="10">
        <v>5.34</v>
      </c>
      <c r="N110" s="10">
        <v>5.85</v>
      </c>
      <c r="O110" s="10">
        <v>6.34</v>
      </c>
      <c r="P110" s="10">
        <v>6.71</v>
      </c>
      <c r="Q110" s="10">
        <v>6.97</v>
      </c>
      <c r="S110" s="422">
        <v>41608</v>
      </c>
    </row>
    <row r="111" spans="10:19" ht="12.6">
      <c r="J111" s="422">
        <v>41639</v>
      </c>
      <c r="K111" s="10">
        <v>5.83</v>
      </c>
      <c r="L111" s="10">
        <v>5.42</v>
      </c>
      <c r="M111" s="10">
        <v>5.45</v>
      </c>
      <c r="N111" s="10">
        <v>6.02</v>
      </c>
      <c r="O111" s="10">
        <v>6.45</v>
      </c>
      <c r="P111" s="10">
        <v>6.83</v>
      </c>
      <c r="Q111" s="10">
        <v>7.07</v>
      </c>
      <c r="S111" s="422">
        <v>41639</v>
      </c>
    </row>
    <row r="112" spans="10:19" ht="12.6">
      <c r="J112" s="423">
        <v>41670</v>
      </c>
      <c r="K112" s="10">
        <v>5.83</v>
      </c>
      <c r="L112" s="10">
        <v>5.42</v>
      </c>
      <c r="M112" s="10">
        <v>5.47</v>
      </c>
      <c r="N112" s="10">
        <v>6.08</v>
      </c>
      <c r="O112" s="10">
        <v>6.45</v>
      </c>
      <c r="P112" s="10">
        <v>6.85</v>
      </c>
      <c r="Q112" s="10">
        <v>7.09</v>
      </c>
      <c r="S112" s="423">
        <v>41670</v>
      </c>
    </row>
    <row r="113" spans="10:19" ht="12.6">
      <c r="J113" s="423">
        <v>41698</v>
      </c>
      <c r="K113" s="10">
        <v>5.83</v>
      </c>
      <c r="L113" s="10">
        <v>5.43</v>
      </c>
      <c r="M113" s="10">
        <v>5.51</v>
      </c>
      <c r="N113" s="10">
        <v>6.02</v>
      </c>
      <c r="O113" s="10">
        <v>6.42</v>
      </c>
      <c r="P113" s="10">
        <v>6.85</v>
      </c>
      <c r="Q113" s="10">
        <v>7.09</v>
      </c>
      <c r="S113" s="423">
        <v>41698</v>
      </c>
    </row>
    <row r="114" spans="10:19" ht="12.6">
      <c r="J114" s="423">
        <v>41729</v>
      </c>
      <c r="K114" s="10">
        <v>6.01</v>
      </c>
      <c r="L114" s="10">
        <v>5.54</v>
      </c>
      <c r="M114" s="10">
        <v>5.7</v>
      </c>
      <c r="N114" s="10">
        <v>6.23</v>
      </c>
      <c r="O114" s="10">
        <v>6.59</v>
      </c>
      <c r="P114" s="10">
        <v>7.04</v>
      </c>
      <c r="Q114" s="10">
        <v>7.29</v>
      </c>
      <c r="S114" s="423">
        <v>41729</v>
      </c>
    </row>
    <row r="115" spans="10:19" ht="12.6">
      <c r="J115" s="423">
        <v>41759</v>
      </c>
      <c r="K115" s="10">
        <v>6.05</v>
      </c>
      <c r="L115" s="10">
        <v>5.59</v>
      </c>
      <c r="M115" s="10">
        <v>5.76</v>
      </c>
      <c r="N115" s="10">
        <v>6.25</v>
      </c>
      <c r="O115" s="10">
        <v>6.61</v>
      </c>
      <c r="P115" s="10">
        <v>7.09</v>
      </c>
      <c r="Q115" s="10">
        <v>7.34</v>
      </c>
      <c r="S115" s="423">
        <v>41759</v>
      </c>
    </row>
    <row r="116" spans="10:19" ht="12.6">
      <c r="J116" s="423">
        <v>41790</v>
      </c>
      <c r="K116" s="10">
        <v>6.18</v>
      </c>
      <c r="L116" s="10">
        <v>5.72</v>
      </c>
      <c r="M116" s="10">
        <v>5.82</v>
      </c>
      <c r="N116" s="10">
        <v>6.21</v>
      </c>
      <c r="O116" s="10">
        <v>6.56</v>
      </c>
      <c r="P116" s="10">
        <v>6.94</v>
      </c>
      <c r="Q116" s="10">
        <v>7.26</v>
      </c>
      <c r="S116" s="423">
        <v>41790</v>
      </c>
    </row>
    <row r="117" spans="10:19" ht="12.6">
      <c r="J117" s="423">
        <v>41820</v>
      </c>
      <c r="K117" s="10">
        <v>6.33</v>
      </c>
      <c r="L117" s="10">
        <v>5.82</v>
      </c>
      <c r="M117" s="10">
        <v>5.92</v>
      </c>
      <c r="N117" s="10">
        <v>6.23</v>
      </c>
      <c r="O117" s="10">
        <v>6.54</v>
      </c>
      <c r="P117" s="10">
        <v>6.91</v>
      </c>
      <c r="Q117" s="10">
        <v>7.18</v>
      </c>
      <c r="S117" s="423">
        <v>41820</v>
      </c>
    </row>
    <row r="118" spans="10:19" ht="12.6">
      <c r="J118" s="423">
        <v>41851</v>
      </c>
      <c r="K118" s="10">
        <v>6.51</v>
      </c>
      <c r="L118" s="10">
        <v>5.91</v>
      </c>
      <c r="M118" s="10">
        <v>5.98</v>
      </c>
      <c r="N118" s="10">
        <v>6.3</v>
      </c>
      <c r="O118" s="10">
        <v>6.56</v>
      </c>
      <c r="P118" s="10">
        <v>6.84</v>
      </c>
      <c r="Q118" s="10">
        <v>7.11</v>
      </c>
      <c r="S118" s="423">
        <v>41851</v>
      </c>
    </row>
    <row r="119" spans="10:19" ht="12.6">
      <c r="J119" s="423">
        <v>41882</v>
      </c>
      <c r="K119" s="10">
        <v>6.57</v>
      </c>
      <c r="L119" s="10">
        <v>5.9</v>
      </c>
      <c r="M119" s="10">
        <v>5.97</v>
      </c>
      <c r="N119" s="10">
        <v>6.25</v>
      </c>
      <c r="O119" s="10">
        <v>6.62</v>
      </c>
      <c r="P119" s="10">
        <v>6.83</v>
      </c>
      <c r="Q119" s="10">
        <v>7.11</v>
      </c>
      <c r="S119" s="423">
        <v>41882</v>
      </c>
    </row>
    <row r="120" spans="10:19" ht="12.6">
      <c r="J120" s="423">
        <v>41912</v>
      </c>
      <c r="K120" s="10">
        <v>6.59</v>
      </c>
      <c r="L120" s="10">
        <v>5.92</v>
      </c>
      <c r="M120" s="10">
        <v>5.98</v>
      </c>
      <c r="N120" s="10">
        <v>6.31</v>
      </c>
      <c r="O120" s="10">
        <v>6.54</v>
      </c>
      <c r="P120" s="10">
        <v>6.82</v>
      </c>
      <c r="Q120" s="10">
        <v>7.12</v>
      </c>
      <c r="S120" s="423">
        <v>41912</v>
      </c>
    </row>
    <row r="121" spans="10:19" ht="12.6">
      <c r="J121" s="422">
        <v>41943</v>
      </c>
      <c r="K121" s="10">
        <v>6.59</v>
      </c>
      <c r="L121" s="10">
        <v>5.92</v>
      </c>
      <c r="M121" s="10">
        <v>5.93</v>
      </c>
      <c r="N121" s="10">
        <v>6.27</v>
      </c>
      <c r="O121" s="10">
        <v>6.53</v>
      </c>
      <c r="P121" s="10">
        <v>6.77</v>
      </c>
      <c r="Q121" s="10">
        <v>7.09</v>
      </c>
      <c r="S121" s="422">
        <v>41943</v>
      </c>
    </row>
    <row r="122" spans="10:19" ht="12.6">
      <c r="J122" s="422">
        <v>41973</v>
      </c>
      <c r="K122" s="10">
        <v>6.59</v>
      </c>
      <c r="L122" s="10">
        <v>5.91</v>
      </c>
      <c r="M122" s="10">
        <v>5.89</v>
      </c>
      <c r="N122" s="10">
        <v>6.18</v>
      </c>
      <c r="O122" s="10">
        <v>6.43</v>
      </c>
      <c r="P122" s="10">
        <v>6.56</v>
      </c>
      <c r="Q122" s="10">
        <v>6.85</v>
      </c>
      <c r="S122" s="422">
        <v>41973</v>
      </c>
    </row>
    <row r="123" spans="10:19" ht="12.6">
      <c r="J123" s="422">
        <v>42004</v>
      </c>
      <c r="K123" s="10">
        <v>6.59</v>
      </c>
      <c r="L123" s="10">
        <v>5.91</v>
      </c>
      <c r="M123" s="10">
        <v>5.87</v>
      </c>
      <c r="N123" s="10">
        <v>6.16</v>
      </c>
      <c r="O123" s="10">
        <v>6.4</v>
      </c>
      <c r="P123" s="10">
        <v>6.54</v>
      </c>
      <c r="Q123" s="10">
        <v>6.83</v>
      </c>
      <c r="S123" s="422">
        <v>42004</v>
      </c>
    </row>
    <row r="124" spans="10:19" ht="12.6">
      <c r="J124" s="423">
        <v>42035</v>
      </c>
      <c r="K124" s="10">
        <v>6.59</v>
      </c>
      <c r="L124" s="10">
        <v>5.91</v>
      </c>
      <c r="M124" s="10">
        <v>5.85</v>
      </c>
      <c r="N124" s="10">
        <v>6.14</v>
      </c>
      <c r="O124" s="10">
        <v>6.34</v>
      </c>
      <c r="P124" s="10">
        <v>6.49</v>
      </c>
      <c r="Q124" s="10">
        <v>6.74</v>
      </c>
      <c r="S124" s="423">
        <v>42035</v>
      </c>
    </row>
    <row r="125" spans="10:19" ht="12.6">
      <c r="J125" s="423">
        <v>42063</v>
      </c>
      <c r="K125" s="10">
        <v>6.56</v>
      </c>
      <c r="L125" s="10">
        <v>5.88</v>
      </c>
      <c r="M125" s="10">
        <v>5.82</v>
      </c>
      <c r="N125" s="10">
        <v>5.99</v>
      </c>
      <c r="O125" s="10">
        <v>6.21</v>
      </c>
      <c r="P125" s="10">
        <v>6.31</v>
      </c>
      <c r="Q125" s="10">
        <v>6.52</v>
      </c>
      <c r="S125" s="423">
        <v>42063</v>
      </c>
    </row>
    <row r="126" spans="10:19" ht="12.6">
      <c r="J126" s="423">
        <v>42094</v>
      </c>
      <c r="K126" s="10">
        <v>6.56</v>
      </c>
      <c r="L126" s="10">
        <v>5.88</v>
      </c>
      <c r="M126" s="10">
        <v>5.82</v>
      </c>
      <c r="N126" s="10">
        <v>5.98</v>
      </c>
      <c r="O126" s="10">
        <v>6.18</v>
      </c>
      <c r="P126" s="10">
        <v>6.29</v>
      </c>
      <c r="Q126" s="10">
        <v>6.51</v>
      </c>
      <c r="S126" s="423">
        <v>42094</v>
      </c>
    </row>
    <row r="127" spans="10:19" ht="12.6">
      <c r="J127" s="423">
        <v>42124</v>
      </c>
      <c r="K127" s="10">
        <v>6.56</v>
      </c>
      <c r="L127" s="10">
        <v>5.84</v>
      </c>
      <c r="M127" s="10">
        <v>5.79</v>
      </c>
      <c r="N127" s="10">
        <v>5.92</v>
      </c>
      <c r="O127" s="10">
        <v>6.1</v>
      </c>
      <c r="P127" s="10">
        <v>6.19</v>
      </c>
      <c r="Q127" s="10">
        <v>6.43</v>
      </c>
      <c r="S127" s="423">
        <v>42124</v>
      </c>
    </row>
    <row r="128" spans="10:19" ht="12.6">
      <c r="J128" s="423">
        <v>42155</v>
      </c>
      <c r="K128" s="10">
        <v>6.56</v>
      </c>
      <c r="L128" s="10">
        <v>5.76</v>
      </c>
      <c r="M128" s="10">
        <v>5.63</v>
      </c>
      <c r="N128" s="10">
        <v>5.79</v>
      </c>
      <c r="O128" s="10">
        <v>5.91</v>
      </c>
      <c r="P128" s="10">
        <v>5.88</v>
      </c>
      <c r="Q128" s="10">
        <v>6.19</v>
      </c>
      <c r="S128" s="423">
        <v>42155</v>
      </c>
    </row>
    <row r="129" spans="10:19" ht="12.6">
      <c r="J129" s="423">
        <v>42185</v>
      </c>
      <c r="K129" s="10">
        <v>6.4</v>
      </c>
      <c r="L129" s="10">
        <v>5.67</v>
      </c>
      <c r="M129" s="10">
        <v>5.47</v>
      </c>
      <c r="N129" s="10">
        <v>5.61</v>
      </c>
      <c r="O129" s="10">
        <v>5.78</v>
      </c>
      <c r="P129" s="10">
        <v>5.82</v>
      </c>
      <c r="Q129" s="10">
        <v>6.12</v>
      </c>
      <c r="S129" s="423">
        <v>42185</v>
      </c>
    </row>
    <row r="130" spans="10:19" ht="12.6">
      <c r="J130" s="423">
        <v>42216</v>
      </c>
      <c r="K130" s="10">
        <v>6.16</v>
      </c>
      <c r="L130" s="10">
        <v>5.54</v>
      </c>
      <c r="M130" s="10">
        <v>5.37</v>
      </c>
      <c r="N130" s="10">
        <v>5.56</v>
      </c>
      <c r="O130" s="10">
        <v>5.68</v>
      </c>
      <c r="P130" s="10">
        <v>5.76</v>
      </c>
      <c r="Q130" s="10">
        <v>6.08</v>
      </c>
      <c r="S130" s="423">
        <v>42216</v>
      </c>
    </row>
    <row r="131" spans="10:19" ht="12.6">
      <c r="J131" s="423">
        <v>42247</v>
      </c>
      <c r="K131" s="10">
        <v>6.12</v>
      </c>
      <c r="L131" s="10">
        <v>5.46</v>
      </c>
      <c r="M131" s="10">
        <v>5.25</v>
      </c>
      <c r="N131" s="10">
        <v>5.43</v>
      </c>
      <c r="O131" s="10">
        <v>5.55</v>
      </c>
      <c r="P131" s="10">
        <v>5.62</v>
      </c>
      <c r="Q131" s="10">
        <v>6.01</v>
      </c>
      <c r="S131" s="423">
        <v>42247</v>
      </c>
    </row>
    <row r="132" spans="10:19" ht="12.6">
      <c r="J132" s="423">
        <v>42277</v>
      </c>
      <c r="K132" s="10">
        <v>5.96</v>
      </c>
      <c r="L132" s="10">
        <v>5.35</v>
      </c>
      <c r="M132" s="10">
        <v>5.14</v>
      </c>
      <c r="N132" s="10">
        <v>5.32</v>
      </c>
      <c r="O132" s="10">
        <v>5.42</v>
      </c>
      <c r="P132" s="10">
        <v>5.47</v>
      </c>
      <c r="Q132" s="10">
        <v>5.84</v>
      </c>
      <c r="S132" s="423">
        <v>42277</v>
      </c>
    </row>
    <row r="133" spans="10:19" ht="12.6">
      <c r="J133" s="422">
        <v>42308</v>
      </c>
      <c r="K133" s="10">
        <v>5.99</v>
      </c>
      <c r="L133" s="10">
        <v>5.29</v>
      </c>
      <c r="M133" s="10">
        <v>5.04</v>
      </c>
      <c r="N133" s="10">
        <v>5.25</v>
      </c>
      <c r="O133" s="10">
        <v>5.41</v>
      </c>
      <c r="P133" s="10">
        <v>5.39</v>
      </c>
      <c r="Q133" s="10">
        <v>5.72</v>
      </c>
      <c r="S133" s="422">
        <v>42308</v>
      </c>
    </row>
    <row r="134" spans="10:19" ht="12.6">
      <c r="J134" s="422">
        <v>42338</v>
      </c>
      <c r="K134" s="10">
        <v>5.99</v>
      </c>
      <c r="L134" s="10">
        <v>5.29</v>
      </c>
      <c r="M134" s="10">
        <v>5.05</v>
      </c>
      <c r="N134" s="10">
        <v>5.25</v>
      </c>
      <c r="O134" s="10">
        <v>5.4</v>
      </c>
      <c r="P134" s="10">
        <v>5.38</v>
      </c>
      <c r="Q134" s="10">
        <v>5.72</v>
      </c>
      <c r="S134" s="422">
        <v>42338</v>
      </c>
    </row>
    <row r="135" spans="10:19" ht="12.6">
      <c r="J135" s="422">
        <v>42369</v>
      </c>
      <c r="K135" s="10">
        <v>5.85</v>
      </c>
      <c r="L135" s="10">
        <v>5.27</v>
      </c>
      <c r="M135" s="10">
        <v>5.03</v>
      </c>
      <c r="N135" s="10">
        <v>5.23</v>
      </c>
      <c r="O135" s="10">
        <v>5.42</v>
      </c>
      <c r="P135" s="10">
        <v>5.42</v>
      </c>
      <c r="Q135" s="10">
        <v>5.76</v>
      </c>
      <c r="S135" s="422">
        <v>42369</v>
      </c>
    </row>
    <row r="136" spans="10:19" ht="12.6">
      <c r="J136" s="423">
        <v>42400</v>
      </c>
      <c r="K136" s="10">
        <v>5.8</v>
      </c>
      <c r="L136" s="10">
        <v>5.2</v>
      </c>
      <c r="M136" s="10">
        <v>5</v>
      </c>
      <c r="N136" s="10">
        <v>5.21</v>
      </c>
      <c r="O136" s="10">
        <v>5.42</v>
      </c>
      <c r="P136" s="10">
        <v>5.42</v>
      </c>
      <c r="Q136" s="10">
        <v>5.76</v>
      </c>
      <c r="S136" s="423">
        <v>42400</v>
      </c>
    </row>
    <row r="137" spans="10:19" ht="12.6">
      <c r="J137" s="423">
        <v>42429</v>
      </c>
      <c r="K137" s="10">
        <v>5.79</v>
      </c>
      <c r="L137" s="10">
        <v>5.16</v>
      </c>
      <c r="M137" s="10">
        <v>4.9800000000000004</v>
      </c>
      <c r="N137" s="10">
        <v>5.18</v>
      </c>
      <c r="O137" s="10">
        <v>5.38</v>
      </c>
      <c r="P137" s="10">
        <v>5.4</v>
      </c>
      <c r="Q137" s="10">
        <v>5.76</v>
      </c>
      <c r="S137" s="423">
        <v>42429</v>
      </c>
    </row>
    <row r="138" spans="10:19" ht="12.6">
      <c r="J138" s="423">
        <v>42460</v>
      </c>
      <c r="K138" s="10">
        <v>5.7</v>
      </c>
      <c r="L138" s="10">
        <v>5.13</v>
      </c>
      <c r="M138" s="10">
        <v>4.9400000000000004</v>
      </c>
      <c r="N138" s="10">
        <v>5.12</v>
      </c>
      <c r="O138" s="10">
        <v>5.28</v>
      </c>
      <c r="P138" s="10">
        <v>5.28</v>
      </c>
      <c r="Q138" s="10">
        <v>5.66</v>
      </c>
      <c r="S138" s="423">
        <v>42460</v>
      </c>
    </row>
    <row r="139" spans="10:19" ht="12.6">
      <c r="J139" s="423">
        <v>42490</v>
      </c>
      <c r="K139" s="10">
        <v>5.69</v>
      </c>
      <c r="L139" s="10">
        <v>5.12</v>
      </c>
      <c r="M139" s="10">
        <v>4.92</v>
      </c>
      <c r="N139" s="10">
        <v>5.09</v>
      </c>
      <c r="O139" s="10">
        <v>5.27</v>
      </c>
      <c r="P139" s="10">
        <v>5.28</v>
      </c>
      <c r="Q139" s="10">
        <v>5.65</v>
      </c>
      <c r="S139" s="423">
        <v>42490</v>
      </c>
    </row>
    <row r="140" spans="10:19" ht="12.6">
      <c r="J140" s="423">
        <v>42521</v>
      </c>
      <c r="K140" s="10">
        <v>5.69</v>
      </c>
      <c r="L140" s="10">
        <v>5.08</v>
      </c>
      <c r="M140" s="10">
        <v>4.91</v>
      </c>
      <c r="N140" s="10">
        <v>5.04</v>
      </c>
      <c r="O140" s="10">
        <v>5.22</v>
      </c>
      <c r="P140" s="10">
        <v>5.25</v>
      </c>
      <c r="Q140" s="10">
        <v>5.62</v>
      </c>
      <c r="S140" s="423">
        <v>42521</v>
      </c>
    </row>
    <row r="141" spans="10:19" ht="12.6">
      <c r="J141" s="423">
        <v>42551</v>
      </c>
      <c r="K141" s="10">
        <v>5.7</v>
      </c>
      <c r="L141" s="10">
        <v>5.08</v>
      </c>
      <c r="M141" s="10">
        <v>4.8899999999999997</v>
      </c>
      <c r="N141" s="10">
        <v>5.05</v>
      </c>
      <c r="O141" s="10">
        <v>5.19</v>
      </c>
      <c r="P141" s="10">
        <v>5.25</v>
      </c>
      <c r="Q141" s="10">
        <v>5.62</v>
      </c>
      <c r="S141" s="423">
        <v>42551</v>
      </c>
    </row>
    <row r="142" spans="10:19" ht="12.6">
      <c r="J142" s="423">
        <v>42582</v>
      </c>
      <c r="K142" s="10">
        <v>5.7</v>
      </c>
      <c r="L142" s="10">
        <v>5.08</v>
      </c>
      <c r="M142" s="10">
        <v>4.91</v>
      </c>
      <c r="N142" s="10">
        <v>5.05</v>
      </c>
      <c r="O142" s="10">
        <v>5.18</v>
      </c>
      <c r="P142" s="10">
        <v>5.25</v>
      </c>
      <c r="Q142" s="10">
        <v>5.62</v>
      </c>
      <c r="S142" s="423">
        <v>42582</v>
      </c>
    </row>
    <row r="143" spans="10:19" ht="12.6">
      <c r="J143" s="423">
        <v>42613</v>
      </c>
      <c r="K143" s="10">
        <v>5.64</v>
      </c>
      <c r="L143" s="10">
        <v>5.08</v>
      </c>
      <c r="M143" s="10">
        <v>4.92</v>
      </c>
      <c r="N143" s="10">
        <v>5.0599999999999996</v>
      </c>
      <c r="O143" s="10">
        <v>5.22</v>
      </c>
      <c r="P143" s="10">
        <v>5.25</v>
      </c>
      <c r="Q143" s="10">
        <v>5.62</v>
      </c>
      <c r="S143" s="423">
        <v>42613</v>
      </c>
    </row>
    <row r="144" spans="10:19" ht="12.6">
      <c r="J144" s="423">
        <v>42643</v>
      </c>
      <c r="K144" s="10">
        <v>5.64</v>
      </c>
      <c r="L144" s="10">
        <v>5.08</v>
      </c>
      <c r="M144" s="10">
        <v>4.9000000000000004</v>
      </c>
      <c r="N144" s="10">
        <v>5.0599999999999996</v>
      </c>
      <c r="O144" s="10">
        <v>5.22</v>
      </c>
      <c r="P144" s="10">
        <v>5.25</v>
      </c>
      <c r="Q144" s="10">
        <v>5.62</v>
      </c>
      <c r="S144" s="423">
        <v>42643</v>
      </c>
    </row>
    <row r="145" spans="10:19" ht="12.6">
      <c r="J145" s="422">
        <v>42674</v>
      </c>
      <c r="K145" s="10">
        <v>5.64</v>
      </c>
      <c r="L145" s="10">
        <v>5.12</v>
      </c>
      <c r="M145" s="10">
        <v>4.93</v>
      </c>
      <c r="N145" s="10">
        <v>5.0599999999999996</v>
      </c>
      <c r="O145" s="10">
        <v>5.23</v>
      </c>
      <c r="P145" s="10">
        <v>5.23</v>
      </c>
      <c r="Q145" s="10">
        <v>5.61</v>
      </c>
      <c r="S145" s="422">
        <v>42674</v>
      </c>
    </row>
    <row r="146" spans="10:19" ht="12.6">
      <c r="J146" s="422">
        <v>42704</v>
      </c>
      <c r="K146" s="10">
        <v>5.7</v>
      </c>
      <c r="L146" s="10">
        <v>5.13</v>
      </c>
      <c r="M146" s="10">
        <v>4.9400000000000004</v>
      </c>
      <c r="N146" s="10">
        <v>5.09</v>
      </c>
      <c r="O146" s="10">
        <v>5.33</v>
      </c>
      <c r="P146" s="10">
        <v>5.37</v>
      </c>
      <c r="Q146" s="10">
        <v>5.74</v>
      </c>
      <c r="S146" s="422">
        <v>42704</v>
      </c>
    </row>
    <row r="147" spans="10:19" ht="12.6">
      <c r="J147" s="422">
        <v>42735</v>
      </c>
      <c r="K147" s="10">
        <v>5.7</v>
      </c>
      <c r="L147" s="10">
        <v>5.14</v>
      </c>
      <c r="M147" s="10">
        <v>4.9400000000000004</v>
      </c>
      <c r="N147" s="10">
        <v>5.14</v>
      </c>
      <c r="O147" s="10">
        <v>5.4</v>
      </c>
      <c r="P147" s="10">
        <v>5.52</v>
      </c>
      <c r="Q147" s="10">
        <v>5.9</v>
      </c>
      <c r="S147" s="422">
        <v>42735</v>
      </c>
    </row>
    <row r="148" spans="10:19" ht="12.6">
      <c r="J148" s="423">
        <v>42766</v>
      </c>
      <c r="K148" s="10">
        <v>5.63</v>
      </c>
      <c r="L148" s="10">
        <v>5.08</v>
      </c>
      <c r="M148" s="10">
        <v>4.83</v>
      </c>
      <c r="N148" s="10">
        <v>5.04</v>
      </c>
      <c r="O148" s="10">
        <v>5.34</v>
      </c>
      <c r="P148" s="10">
        <v>5.7</v>
      </c>
      <c r="Q148" s="10">
        <v>5.87</v>
      </c>
      <c r="S148" s="423">
        <v>42766</v>
      </c>
    </row>
    <row r="149" spans="10:19" ht="12.6">
      <c r="J149" s="423">
        <v>42794</v>
      </c>
      <c r="K149" s="10">
        <v>5.64</v>
      </c>
      <c r="L149" s="10">
        <v>5.08</v>
      </c>
      <c r="M149" s="10">
        <v>4.84</v>
      </c>
      <c r="N149" s="10">
        <v>5.05</v>
      </c>
      <c r="O149" s="10">
        <v>5.29</v>
      </c>
      <c r="P149" s="10">
        <v>5.61</v>
      </c>
      <c r="Q149" s="10">
        <v>5.79</v>
      </c>
      <c r="S149" s="423">
        <v>42794</v>
      </c>
    </row>
    <row r="150" spans="10:19" ht="12.6">
      <c r="J150" s="423">
        <v>42825</v>
      </c>
      <c r="K150" s="10">
        <v>5.69</v>
      </c>
      <c r="L150" s="10">
        <v>5.1100000000000003</v>
      </c>
      <c r="M150" s="10">
        <v>4.88</v>
      </c>
      <c r="N150" s="10">
        <v>5.08</v>
      </c>
      <c r="O150" s="10">
        <v>5.35</v>
      </c>
      <c r="P150" s="10">
        <v>5.68</v>
      </c>
      <c r="Q150" s="10">
        <v>5.93</v>
      </c>
      <c r="S150" s="423">
        <v>42825</v>
      </c>
    </row>
    <row r="151" spans="10:19" ht="12.6">
      <c r="J151" s="423">
        <v>42855</v>
      </c>
      <c r="K151" s="10">
        <v>5.71</v>
      </c>
      <c r="L151" s="10">
        <v>5.1100000000000003</v>
      </c>
      <c r="M151" s="10">
        <v>4.87</v>
      </c>
      <c r="N151" s="10">
        <v>5.07</v>
      </c>
      <c r="O151" s="10">
        <v>5.35</v>
      </c>
      <c r="P151" s="10">
        <v>5.68</v>
      </c>
      <c r="Q151" s="10">
        <v>5.93</v>
      </c>
      <c r="S151" s="423">
        <v>42855</v>
      </c>
    </row>
    <row r="152" spans="10:19" ht="12.6">
      <c r="J152" s="423">
        <v>42886</v>
      </c>
      <c r="K152" s="10">
        <v>5.73</v>
      </c>
      <c r="L152" s="10">
        <v>5.1100000000000003</v>
      </c>
      <c r="M152" s="10">
        <v>4.87</v>
      </c>
      <c r="N152" s="10">
        <v>5.09</v>
      </c>
      <c r="O152" s="10">
        <v>5.37</v>
      </c>
      <c r="P152" s="10">
        <v>5.72</v>
      </c>
      <c r="Q152" s="10">
        <v>5.97</v>
      </c>
      <c r="S152" s="423">
        <v>42886</v>
      </c>
    </row>
    <row r="153" spans="10:19" ht="12.6">
      <c r="J153" s="423">
        <v>42916</v>
      </c>
      <c r="K153" s="10">
        <v>5.74</v>
      </c>
      <c r="L153" s="10">
        <v>5.1100000000000003</v>
      </c>
      <c r="M153" s="10">
        <v>4.87</v>
      </c>
      <c r="N153" s="10">
        <v>5.09</v>
      </c>
      <c r="O153" s="10">
        <v>5.38</v>
      </c>
      <c r="P153" s="10">
        <v>5.72</v>
      </c>
      <c r="Q153" s="10">
        <v>5.97</v>
      </c>
      <c r="S153" s="423">
        <v>42916</v>
      </c>
    </row>
    <row r="154" spans="10:19" ht="12.6">
      <c r="J154" s="423">
        <v>42947</v>
      </c>
      <c r="K154" s="10">
        <v>5.75</v>
      </c>
      <c r="L154" s="10">
        <v>5.1100000000000003</v>
      </c>
      <c r="M154" s="10">
        <v>4.9000000000000004</v>
      </c>
      <c r="N154" s="10">
        <v>5.14</v>
      </c>
      <c r="O154" s="10">
        <v>5.39</v>
      </c>
      <c r="P154" s="10">
        <v>5.76</v>
      </c>
      <c r="Q154" s="10">
        <v>5.98</v>
      </c>
      <c r="S154" s="423">
        <v>42947</v>
      </c>
    </row>
    <row r="155" spans="10:19" ht="12.6">
      <c r="J155" s="423">
        <v>42978</v>
      </c>
      <c r="K155" s="10">
        <v>5.75</v>
      </c>
      <c r="L155" s="10">
        <v>5.0999999999999996</v>
      </c>
      <c r="M155" s="10">
        <v>4.8899999999999997</v>
      </c>
      <c r="N155" s="10">
        <v>5.0999999999999996</v>
      </c>
      <c r="O155" s="10">
        <v>5.35</v>
      </c>
      <c r="P155" s="10">
        <v>5.73</v>
      </c>
      <c r="Q155" s="10">
        <v>5.95</v>
      </c>
      <c r="S155" s="423">
        <v>42978</v>
      </c>
    </row>
    <row r="156" spans="10:19" ht="12.6">
      <c r="J156" s="423">
        <v>43008</v>
      </c>
      <c r="K156" s="10">
        <v>5.75</v>
      </c>
      <c r="L156" s="10">
        <v>5.0999999999999996</v>
      </c>
      <c r="M156" s="10">
        <v>4.9000000000000004</v>
      </c>
      <c r="N156" s="10">
        <v>5.08</v>
      </c>
      <c r="O156" s="10">
        <v>5.33</v>
      </c>
      <c r="P156" s="10">
        <v>5.73</v>
      </c>
      <c r="Q156" s="10">
        <v>5.95</v>
      </c>
      <c r="S156" s="423">
        <v>43008</v>
      </c>
    </row>
    <row r="157" spans="10:19" ht="12.6">
      <c r="J157" s="422">
        <v>43039</v>
      </c>
      <c r="K157" s="10">
        <v>5.75</v>
      </c>
      <c r="L157" s="10">
        <v>5.0999999999999996</v>
      </c>
      <c r="M157" s="10">
        <v>4.9000000000000004</v>
      </c>
      <c r="N157" s="10">
        <v>5.08</v>
      </c>
      <c r="O157" s="10">
        <v>5.32</v>
      </c>
      <c r="P157" s="10">
        <v>5.73</v>
      </c>
      <c r="Q157" s="10">
        <v>5.92</v>
      </c>
      <c r="S157" s="422">
        <v>43039</v>
      </c>
    </row>
    <row r="158" spans="10:19" ht="12.6">
      <c r="J158" s="422">
        <v>43069</v>
      </c>
      <c r="K158" s="10">
        <v>5.75</v>
      </c>
      <c r="L158" s="10">
        <v>5.0999999999999996</v>
      </c>
      <c r="M158" s="10">
        <v>4.8899999999999997</v>
      </c>
      <c r="N158" s="10">
        <v>5.08</v>
      </c>
      <c r="O158" s="10">
        <v>5.3</v>
      </c>
      <c r="P158" s="10">
        <v>5.72</v>
      </c>
      <c r="Q158" s="10">
        <v>5.92</v>
      </c>
      <c r="S158" s="422">
        <v>43069</v>
      </c>
    </row>
    <row r="159" spans="10:19" ht="12.6">
      <c r="J159" s="422">
        <v>43100</v>
      </c>
      <c r="K159" s="10">
        <v>5.75</v>
      </c>
      <c r="L159" s="10">
        <v>5.0999999999999996</v>
      </c>
      <c r="M159" s="10">
        <v>4.88</v>
      </c>
      <c r="N159" s="10">
        <v>5.08</v>
      </c>
      <c r="O159" s="10">
        <v>5.3</v>
      </c>
      <c r="P159" s="10">
        <v>5.7</v>
      </c>
      <c r="Q159" s="10">
        <v>5.91</v>
      </c>
      <c r="S159" s="422">
        <v>43100</v>
      </c>
    </row>
    <row r="160" spans="10:19" ht="12.6">
      <c r="J160" s="423">
        <v>43131</v>
      </c>
      <c r="K160" s="10">
        <v>5.75</v>
      </c>
      <c r="L160" s="10">
        <v>5.0999999999999996</v>
      </c>
      <c r="M160" s="10">
        <v>4.88</v>
      </c>
      <c r="N160" s="10">
        <v>5.08</v>
      </c>
      <c r="O160" s="10">
        <v>5.3</v>
      </c>
      <c r="P160" s="10">
        <v>5.7</v>
      </c>
      <c r="Q160" s="10">
        <v>5.91</v>
      </c>
      <c r="S160" s="423">
        <v>43131</v>
      </c>
    </row>
    <row r="161" spans="10:19" ht="12.6">
      <c r="J161" s="423">
        <v>43159</v>
      </c>
      <c r="K161" s="10">
        <v>5.75</v>
      </c>
      <c r="L161" s="10">
        <v>5.0999999999999996</v>
      </c>
      <c r="M161" s="10">
        <v>4.8600000000000003</v>
      </c>
      <c r="N161" s="10">
        <v>5.08</v>
      </c>
      <c r="O161" s="10">
        <v>5.3</v>
      </c>
      <c r="P161" s="10">
        <v>5.7</v>
      </c>
      <c r="Q161" s="10">
        <v>5.91</v>
      </c>
      <c r="S161" s="423">
        <v>43159</v>
      </c>
    </row>
    <row r="162" spans="10:19" ht="12.6">
      <c r="J162" s="423">
        <v>43190</v>
      </c>
      <c r="K162" s="10">
        <v>5.75</v>
      </c>
      <c r="L162" s="10">
        <v>5.13</v>
      </c>
      <c r="M162" s="10">
        <v>4.87</v>
      </c>
      <c r="N162" s="10">
        <v>5.0599999999999996</v>
      </c>
      <c r="O162" s="10">
        <v>5.3</v>
      </c>
      <c r="P162" s="10">
        <v>5.73</v>
      </c>
      <c r="Q162" s="10">
        <v>5.93</v>
      </c>
      <c r="S162" s="423">
        <v>43190</v>
      </c>
    </row>
    <row r="163" spans="10:19" ht="12.6">
      <c r="J163" s="423">
        <v>43220</v>
      </c>
      <c r="K163" s="10">
        <v>5.76</v>
      </c>
      <c r="L163" s="10">
        <v>5.13</v>
      </c>
      <c r="M163" s="10">
        <v>4.8600000000000003</v>
      </c>
      <c r="N163" s="10">
        <v>5.05</v>
      </c>
      <c r="O163" s="10">
        <v>5.28</v>
      </c>
      <c r="P163" s="10">
        <v>5.69</v>
      </c>
      <c r="Q163" s="10">
        <v>5.9</v>
      </c>
      <c r="S163" s="423">
        <v>43220</v>
      </c>
    </row>
    <row r="164" spans="10:19" ht="12.6">
      <c r="J164" s="423">
        <v>43251</v>
      </c>
      <c r="K164" s="10">
        <v>5.77</v>
      </c>
      <c r="L164" s="10">
        <v>5.13</v>
      </c>
      <c r="M164" s="10">
        <v>4.84</v>
      </c>
      <c r="N164" s="10">
        <v>5.0199999999999996</v>
      </c>
      <c r="O164" s="10">
        <v>5.27</v>
      </c>
      <c r="P164" s="10">
        <v>5.69</v>
      </c>
      <c r="Q164" s="10">
        <v>5.9</v>
      </c>
      <c r="S164" s="423">
        <v>43251</v>
      </c>
    </row>
    <row r="165" spans="10:19" ht="12.6">
      <c r="J165" s="423">
        <v>43281</v>
      </c>
      <c r="K165" s="10">
        <v>5.77</v>
      </c>
      <c r="L165" s="10">
        <v>5.14</v>
      </c>
      <c r="M165" s="10">
        <v>4.8600000000000003</v>
      </c>
      <c r="N165" s="10">
        <v>5.0199999999999996</v>
      </c>
      <c r="O165" s="10">
        <v>5.28</v>
      </c>
      <c r="P165" s="10">
        <v>5.68</v>
      </c>
      <c r="Q165" s="10">
        <v>5.89</v>
      </c>
      <c r="S165" s="423">
        <v>43281</v>
      </c>
    </row>
    <row r="166" spans="10:19" ht="12.6">
      <c r="J166" s="423">
        <v>43312</v>
      </c>
      <c r="K166" s="10">
        <v>5.77</v>
      </c>
      <c r="L166" s="10">
        <v>5.14</v>
      </c>
      <c r="M166" s="10">
        <v>4.83</v>
      </c>
      <c r="N166" s="10">
        <v>5.01</v>
      </c>
      <c r="O166" s="10">
        <v>5.26</v>
      </c>
      <c r="P166" s="10">
        <v>5.65</v>
      </c>
      <c r="Q166" s="10">
        <v>5.86</v>
      </c>
      <c r="S166" s="423">
        <v>43312</v>
      </c>
    </row>
    <row r="167" spans="10:19" ht="12.6">
      <c r="J167" s="423">
        <v>43343</v>
      </c>
      <c r="K167" s="10">
        <v>5.77</v>
      </c>
      <c r="L167" s="10">
        <v>5.14</v>
      </c>
      <c r="M167" s="10">
        <v>4.8099999999999996</v>
      </c>
      <c r="N167" s="10">
        <v>5</v>
      </c>
      <c r="O167" s="10">
        <v>5.26</v>
      </c>
      <c r="P167" s="10">
        <v>5.61</v>
      </c>
      <c r="Q167" s="10">
        <v>5.8</v>
      </c>
      <c r="S167" s="423">
        <v>43343</v>
      </c>
    </row>
    <row r="168" spans="10:19" ht="12.6">
      <c r="J168" s="423">
        <v>43373</v>
      </c>
      <c r="K168" s="10">
        <v>5.77</v>
      </c>
      <c r="L168" s="10">
        <v>5.09</v>
      </c>
      <c r="M168" s="10">
        <v>4.78</v>
      </c>
      <c r="N168" s="10">
        <v>4.93</v>
      </c>
      <c r="O168" s="10">
        <v>5.09</v>
      </c>
      <c r="P168" s="10">
        <v>5.38</v>
      </c>
      <c r="Q168" s="10">
        <v>5.56</v>
      </c>
      <c r="S168" s="423">
        <v>43373</v>
      </c>
    </row>
    <row r="169" spans="10:19" ht="12.6">
      <c r="J169" s="422">
        <v>43404</v>
      </c>
      <c r="K169" s="10">
        <v>5.77</v>
      </c>
      <c r="L169" s="10">
        <v>5.07</v>
      </c>
      <c r="M169" s="10">
        <v>4.7699999999999996</v>
      </c>
      <c r="N169" s="10">
        <v>4.92</v>
      </c>
      <c r="O169" s="10">
        <v>5.04</v>
      </c>
      <c r="P169" s="10">
        <v>5.33</v>
      </c>
      <c r="Q169" s="10">
        <v>5.51</v>
      </c>
      <c r="S169" s="422">
        <v>43404</v>
      </c>
    </row>
    <row r="170" spans="10:19" ht="12.6">
      <c r="J170" s="422">
        <v>43434</v>
      </c>
      <c r="K170" s="10">
        <v>5.77</v>
      </c>
      <c r="L170" s="10">
        <v>5.04</v>
      </c>
      <c r="M170" s="10">
        <v>4.72</v>
      </c>
      <c r="N170" s="10">
        <v>4.91</v>
      </c>
      <c r="O170" s="10">
        <v>5.05</v>
      </c>
      <c r="P170" s="10">
        <v>5.33</v>
      </c>
      <c r="Q170" s="10">
        <v>5.51</v>
      </c>
      <c r="S170" s="422">
        <v>43434</v>
      </c>
    </row>
    <row r="171" spans="10:19" ht="12.6">
      <c r="J171" s="422">
        <v>43465</v>
      </c>
      <c r="K171" s="10">
        <v>5.77</v>
      </c>
      <c r="L171" s="10">
        <v>5.0999999999999996</v>
      </c>
      <c r="M171" s="10">
        <v>4.75</v>
      </c>
      <c r="N171" s="10">
        <v>4.93</v>
      </c>
      <c r="O171" s="10">
        <v>5.07</v>
      </c>
      <c r="P171" s="10">
        <v>5.4</v>
      </c>
      <c r="Q171" s="10">
        <v>5.58</v>
      </c>
      <c r="S171" s="422">
        <v>43465</v>
      </c>
    </row>
    <row r="172" spans="10:19" ht="12.6">
      <c r="J172" s="423">
        <v>43496</v>
      </c>
      <c r="K172" s="10">
        <v>5.77</v>
      </c>
      <c r="L172" s="10">
        <v>5.0999999999999996</v>
      </c>
      <c r="M172" s="10">
        <v>4.75</v>
      </c>
      <c r="N172" s="10">
        <v>4.93</v>
      </c>
      <c r="O172" s="10">
        <v>5.07</v>
      </c>
      <c r="P172" s="10">
        <v>5.4</v>
      </c>
      <c r="Q172" s="10">
        <v>5.58</v>
      </c>
      <c r="S172" s="423">
        <v>43496</v>
      </c>
    </row>
    <row r="173" spans="10:19" ht="12.6">
      <c r="J173" s="423">
        <v>43524</v>
      </c>
      <c r="K173" s="10">
        <v>5.77</v>
      </c>
      <c r="L173" s="10">
        <v>5.09</v>
      </c>
      <c r="M173" s="10">
        <v>4.74</v>
      </c>
      <c r="N173" s="10">
        <v>4.92</v>
      </c>
      <c r="O173" s="10">
        <v>5.07</v>
      </c>
      <c r="P173" s="10">
        <v>5.39</v>
      </c>
      <c r="Q173" s="10">
        <v>5.56</v>
      </c>
      <c r="S173" s="423">
        <v>43524</v>
      </c>
    </row>
    <row r="174" spans="10:19" ht="12.6">
      <c r="J174" s="423">
        <v>43555</v>
      </c>
      <c r="K174" s="10">
        <v>5.78</v>
      </c>
      <c r="L174" s="10">
        <v>5.08</v>
      </c>
      <c r="M174" s="10">
        <v>4.7</v>
      </c>
      <c r="N174" s="10">
        <v>4.8099999999999996</v>
      </c>
      <c r="O174" s="10">
        <v>5</v>
      </c>
      <c r="P174" s="10">
        <v>5.32</v>
      </c>
      <c r="Q174" s="10">
        <v>5.44</v>
      </c>
      <c r="S174" s="423">
        <v>43555</v>
      </c>
    </row>
    <row r="175" spans="10:19" ht="12.6">
      <c r="J175" s="423">
        <v>43585</v>
      </c>
      <c r="K175" s="10">
        <v>5.78</v>
      </c>
      <c r="L175" s="10">
        <v>5.08</v>
      </c>
      <c r="M175" s="10">
        <v>4.7</v>
      </c>
      <c r="N175" s="10">
        <v>4.78</v>
      </c>
      <c r="O175" s="10">
        <v>4.84</v>
      </c>
      <c r="P175" s="10">
        <v>5.07</v>
      </c>
      <c r="Q175" s="10">
        <v>5.18</v>
      </c>
      <c r="S175" s="423">
        <v>43585</v>
      </c>
    </row>
    <row r="176" spans="10:19" ht="12.6">
      <c r="J176" s="423">
        <v>43616</v>
      </c>
      <c r="K176" s="10">
        <v>5.74</v>
      </c>
      <c r="L176" s="10">
        <v>5.08</v>
      </c>
      <c r="M176" s="10">
        <v>4.6399999999999997</v>
      </c>
      <c r="N176" s="10">
        <v>4.7300000000000004</v>
      </c>
      <c r="O176" s="10">
        <v>4.7300000000000004</v>
      </c>
      <c r="P176" s="10">
        <v>4.93</v>
      </c>
      <c r="Q176" s="10">
        <v>5.04</v>
      </c>
      <c r="S176" s="423">
        <v>43616</v>
      </c>
    </row>
    <row r="177" spans="10:19" ht="12.6">
      <c r="J177" s="423">
        <v>43646</v>
      </c>
      <c r="K177" s="10">
        <v>5.73</v>
      </c>
      <c r="L177" s="10">
        <v>5.0199999999999996</v>
      </c>
      <c r="M177" s="10">
        <v>4.6100000000000003</v>
      </c>
      <c r="N177" s="10">
        <v>4.6900000000000004</v>
      </c>
      <c r="O177" s="10">
        <v>4.72</v>
      </c>
      <c r="P177" s="10">
        <v>4.93</v>
      </c>
      <c r="Q177" s="10">
        <v>5.04</v>
      </c>
      <c r="S177" s="423">
        <v>43646</v>
      </c>
    </row>
    <row r="178" spans="10:19" ht="12.6">
      <c r="J178" s="423">
        <v>43677</v>
      </c>
      <c r="K178" s="10">
        <v>5.73</v>
      </c>
      <c r="L178" s="10">
        <v>5</v>
      </c>
      <c r="M178" s="10">
        <v>4.5999999999999996</v>
      </c>
      <c r="N178" s="10">
        <v>4.67</v>
      </c>
      <c r="O178" s="10">
        <v>4.71</v>
      </c>
      <c r="P178" s="10">
        <v>4.92</v>
      </c>
      <c r="Q178" s="10">
        <v>5.04</v>
      </c>
      <c r="S178" s="423">
        <v>43677</v>
      </c>
    </row>
    <row r="179" spans="10:19" ht="12.6">
      <c r="J179" s="423">
        <v>43708</v>
      </c>
      <c r="K179" s="10">
        <v>5.49</v>
      </c>
      <c r="L179" s="10">
        <v>4.9000000000000004</v>
      </c>
      <c r="M179" s="10">
        <v>4.51</v>
      </c>
      <c r="N179" s="10">
        <v>4.59</v>
      </c>
      <c r="O179" s="10">
        <v>4.67</v>
      </c>
      <c r="P179" s="10">
        <v>4.91</v>
      </c>
      <c r="Q179" s="10">
        <v>5.03</v>
      </c>
      <c r="S179" s="423">
        <v>43708</v>
      </c>
    </row>
    <row r="180" spans="10:19" ht="12.6">
      <c r="J180" s="423">
        <v>43738</v>
      </c>
      <c r="K180" s="10">
        <v>5.45</v>
      </c>
      <c r="L180" s="10">
        <v>4.8600000000000003</v>
      </c>
      <c r="M180" s="10">
        <v>4.43</v>
      </c>
      <c r="N180" s="10">
        <v>4.4800000000000004</v>
      </c>
      <c r="O180" s="10">
        <v>4.5999999999999996</v>
      </c>
      <c r="P180" s="10">
        <v>4.8499999999999996</v>
      </c>
      <c r="Q180" s="10">
        <v>4.95</v>
      </c>
      <c r="S180" s="423">
        <v>43738</v>
      </c>
    </row>
    <row r="181" spans="10:19" ht="12.6">
      <c r="J181" s="422">
        <v>43769</v>
      </c>
      <c r="K181" s="10">
        <v>5.45</v>
      </c>
      <c r="L181" s="10">
        <v>4.72</v>
      </c>
      <c r="M181" s="10">
        <v>4.3499999999999996</v>
      </c>
      <c r="N181" s="10">
        <v>4.41</v>
      </c>
      <c r="O181" s="10">
        <v>4.4800000000000004</v>
      </c>
      <c r="P181" s="10">
        <v>4.76</v>
      </c>
      <c r="Q181" s="10">
        <v>4.8600000000000003</v>
      </c>
      <c r="S181" s="422">
        <v>43769</v>
      </c>
    </row>
    <row r="182" spans="10:19" ht="12.6">
      <c r="J182" s="422">
        <v>43799</v>
      </c>
      <c r="K182" s="10">
        <v>5.45</v>
      </c>
      <c r="L182" s="10">
        <v>4.66</v>
      </c>
      <c r="M182" s="10">
        <v>4.33</v>
      </c>
      <c r="N182" s="10">
        <v>4.42</v>
      </c>
      <c r="O182" s="10">
        <v>4.5</v>
      </c>
      <c r="P182" s="10">
        <v>4.8</v>
      </c>
      <c r="Q182" s="10">
        <v>4.9000000000000004</v>
      </c>
      <c r="S182" s="422">
        <v>43799</v>
      </c>
    </row>
    <row r="183" spans="10:19" ht="12.6">
      <c r="J183" s="422">
        <v>43830</v>
      </c>
      <c r="K183" s="10">
        <v>5.45</v>
      </c>
      <c r="L183" s="10">
        <v>4.66</v>
      </c>
      <c r="M183" s="10">
        <v>4.32</v>
      </c>
      <c r="N183" s="10">
        <v>4.4400000000000004</v>
      </c>
      <c r="O183" s="10">
        <v>4.5</v>
      </c>
      <c r="P183" s="10">
        <v>4.8</v>
      </c>
      <c r="Q183" s="10">
        <v>4.91</v>
      </c>
      <c r="S183" s="422">
        <v>43830</v>
      </c>
    </row>
    <row r="184" spans="10:19" ht="12.6">
      <c r="J184" s="423">
        <v>43861</v>
      </c>
      <c r="K184" s="10">
        <v>5.45</v>
      </c>
      <c r="L184" s="10">
        <v>4.66</v>
      </c>
      <c r="M184" s="10">
        <v>4.32</v>
      </c>
      <c r="N184" s="10">
        <v>4.4400000000000004</v>
      </c>
      <c r="O184" s="10">
        <v>4.5</v>
      </c>
      <c r="P184" s="10">
        <v>4.8</v>
      </c>
      <c r="Q184" s="10">
        <v>4.91</v>
      </c>
      <c r="S184" s="423">
        <v>43861</v>
      </c>
    </row>
    <row r="185" spans="10:19" ht="12.6">
      <c r="J185" s="423">
        <v>43890</v>
      </c>
      <c r="K185" s="10">
        <v>5.45</v>
      </c>
      <c r="L185" s="10">
        <v>4.66</v>
      </c>
      <c r="M185" s="10">
        <v>4.32</v>
      </c>
      <c r="N185" s="10">
        <v>4.45</v>
      </c>
      <c r="O185" s="10">
        <v>4.54</v>
      </c>
      <c r="P185" s="10">
        <v>4.8</v>
      </c>
      <c r="Q185" s="10">
        <v>4.91</v>
      </c>
      <c r="S185" s="423">
        <v>43890</v>
      </c>
    </row>
    <row r="186" spans="10:19" ht="12.6">
      <c r="J186" s="423">
        <v>43921</v>
      </c>
      <c r="K186" s="10">
        <v>4.8099999999999996</v>
      </c>
      <c r="L186" s="10">
        <v>4.5999999999999996</v>
      </c>
      <c r="M186" s="10">
        <v>4</v>
      </c>
      <c r="N186" s="10">
        <v>4.22</v>
      </c>
      <c r="O186" s="10">
        <v>4.3600000000000003</v>
      </c>
      <c r="P186" s="10">
        <v>4.6399999999999997</v>
      </c>
      <c r="Q186" s="10">
        <v>4.75</v>
      </c>
      <c r="S186" s="423">
        <v>43921</v>
      </c>
    </row>
    <row r="187" spans="10:19" ht="12.6">
      <c r="J187" s="423">
        <v>43951</v>
      </c>
      <c r="K187" s="10">
        <v>4.78</v>
      </c>
      <c r="L187" s="10">
        <v>4.5199999999999996</v>
      </c>
      <c r="M187" s="10">
        <v>3.97</v>
      </c>
      <c r="N187" s="10">
        <v>4.1900000000000004</v>
      </c>
      <c r="O187" s="10">
        <v>4.3600000000000003</v>
      </c>
      <c r="P187" s="10">
        <v>4.6399999999999997</v>
      </c>
      <c r="Q187" s="10">
        <v>4.75</v>
      </c>
      <c r="S187" s="423">
        <v>43951</v>
      </c>
    </row>
    <row r="188" spans="10:19" ht="12.6">
      <c r="J188" s="423">
        <v>43982</v>
      </c>
      <c r="K188" s="10">
        <v>4.75</v>
      </c>
      <c r="L188" s="10">
        <v>4.3499999999999996</v>
      </c>
      <c r="M188" s="10">
        <v>3.81</v>
      </c>
      <c r="N188" s="10">
        <v>3.92</v>
      </c>
      <c r="O188" s="10">
        <v>4.09</v>
      </c>
      <c r="P188" s="10">
        <v>4.38</v>
      </c>
      <c r="Q188" s="10">
        <v>4.4800000000000004</v>
      </c>
      <c r="S188" s="423">
        <v>43982</v>
      </c>
    </row>
    <row r="189" spans="10:19" ht="12.6">
      <c r="J189" s="423">
        <v>44012</v>
      </c>
      <c r="K189" s="10">
        <v>4.62</v>
      </c>
      <c r="L189" s="10">
        <v>4.1399999999999997</v>
      </c>
      <c r="M189" s="10">
        <v>3.65</v>
      </c>
      <c r="N189" s="10">
        <v>3.74</v>
      </c>
      <c r="O189" s="10">
        <v>3.81</v>
      </c>
      <c r="P189" s="10">
        <v>4</v>
      </c>
      <c r="Q189" s="10">
        <v>4.12</v>
      </c>
      <c r="S189" s="423">
        <v>44012</v>
      </c>
    </row>
    <row r="190" spans="10:19" ht="12.6">
      <c r="J190" s="423">
        <v>44043</v>
      </c>
      <c r="K190" s="10">
        <v>4.5999999999999996</v>
      </c>
      <c r="L190" s="10">
        <v>4.04</v>
      </c>
      <c r="M190" s="10">
        <v>3.55</v>
      </c>
      <c r="N190" s="10">
        <v>3.7</v>
      </c>
      <c r="O190" s="10">
        <v>3.64</v>
      </c>
      <c r="P190" s="10">
        <v>3.89</v>
      </c>
      <c r="Q190" s="10">
        <v>3.98</v>
      </c>
      <c r="S190" s="423">
        <v>44043</v>
      </c>
    </row>
    <row r="191" spans="10:19" ht="12.6">
      <c r="J191" s="423">
        <v>44074</v>
      </c>
      <c r="K191" s="10">
        <v>4.5999999999999996</v>
      </c>
      <c r="L191" s="10">
        <v>4.01</v>
      </c>
      <c r="M191" s="10">
        <v>3.53</v>
      </c>
      <c r="N191" s="10">
        <v>3.68</v>
      </c>
      <c r="O191" s="10">
        <v>3.58</v>
      </c>
      <c r="P191" s="10">
        <v>3.86</v>
      </c>
      <c r="Q191" s="10">
        <v>3.97</v>
      </c>
      <c r="S191" s="423">
        <v>44074</v>
      </c>
    </row>
    <row r="192" spans="10:19" ht="12.6">
      <c r="J192" s="423">
        <v>44104</v>
      </c>
      <c r="K192" s="10">
        <v>4.5999999999999996</v>
      </c>
      <c r="L192" s="10">
        <v>3.97</v>
      </c>
      <c r="M192" s="10">
        <v>3.46</v>
      </c>
      <c r="N192" s="10">
        <v>3.63</v>
      </c>
      <c r="O192" s="10">
        <v>3.49</v>
      </c>
      <c r="P192" s="10">
        <v>3.76</v>
      </c>
      <c r="Q192" s="10">
        <v>3.85</v>
      </c>
      <c r="S192" s="423">
        <v>44104</v>
      </c>
    </row>
    <row r="193" spans="10:19" ht="12.6">
      <c r="J193" s="422">
        <v>44135</v>
      </c>
      <c r="K193" s="10">
        <v>4.54</v>
      </c>
      <c r="L193" s="10">
        <v>3.92</v>
      </c>
      <c r="M193" s="10">
        <v>3.36</v>
      </c>
      <c r="N193" s="10">
        <v>3.55</v>
      </c>
      <c r="O193" s="10">
        <v>3.37</v>
      </c>
      <c r="P193" s="10">
        <v>3.71</v>
      </c>
      <c r="Q193" s="10">
        <v>3.78</v>
      </c>
      <c r="S193" s="422">
        <v>44135</v>
      </c>
    </row>
    <row r="194" spans="10:19" ht="12.6">
      <c r="J194" s="422">
        <v>44165</v>
      </c>
      <c r="K194" s="10">
        <v>4.51</v>
      </c>
      <c r="L194" s="10">
        <v>3.9</v>
      </c>
      <c r="M194" s="10">
        <v>3.34</v>
      </c>
      <c r="N194" s="10">
        <v>3.51</v>
      </c>
      <c r="O194" s="10">
        <v>3.34</v>
      </c>
      <c r="P194" s="10">
        <v>3.7</v>
      </c>
      <c r="Q194" s="10">
        <v>3.78</v>
      </c>
      <c r="S194" s="422">
        <v>44165</v>
      </c>
    </row>
    <row r="195" spans="10:19" ht="12.6">
      <c r="J195" s="422">
        <v>44196</v>
      </c>
      <c r="K195" s="10">
        <v>4.51</v>
      </c>
      <c r="L195" s="10">
        <v>3.9</v>
      </c>
      <c r="M195" s="10">
        <v>3.34</v>
      </c>
      <c r="N195" s="10">
        <v>3.51</v>
      </c>
      <c r="O195" s="10">
        <v>3.34</v>
      </c>
      <c r="P195" s="10">
        <v>3.7</v>
      </c>
      <c r="Q195" s="10">
        <v>3.78</v>
      </c>
      <c r="S195" s="422">
        <v>44196</v>
      </c>
    </row>
    <row r="196" spans="10:19" ht="12.6">
      <c r="J196" s="423">
        <v>44227</v>
      </c>
      <c r="K196" s="10">
        <v>4.51</v>
      </c>
      <c r="L196" s="10">
        <v>3.88</v>
      </c>
      <c r="M196" s="10">
        <v>3.26</v>
      </c>
      <c r="N196" s="10">
        <v>3.49</v>
      </c>
      <c r="O196" s="10">
        <v>3.34</v>
      </c>
      <c r="P196" s="10">
        <v>3.7</v>
      </c>
      <c r="Q196" s="10">
        <v>3.78</v>
      </c>
      <c r="S196" s="423">
        <v>44227</v>
      </c>
    </row>
    <row r="197" spans="10:19" ht="12.6">
      <c r="J197" s="423">
        <v>44255</v>
      </c>
      <c r="K197" s="10">
        <v>4.51</v>
      </c>
      <c r="L197" s="10">
        <v>3.88</v>
      </c>
      <c r="M197" s="10">
        <v>3.24</v>
      </c>
      <c r="N197" s="10">
        <v>3.47</v>
      </c>
      <c r="O197" s="10">
        <v>3.33</v>
      </c>
      <c r="P197" s="10">
        <v>3.69</v>
      </c>
      <c r="Q197" s="10">
        <v>3.77</v>
      </c>
      <c r="S197" s="423">
        <v>44255</v>
      </c>
    </row>
    <row r="198" spans="10:19" ht="12.6">
      <c r="J198" s="423">
        <v>44286</v>
      </c>
      <c r="K198" s="10">
        <v>4.51</v>
      </c>
      <c r="L198" s="10">
        <v>3.88</v>
      </c>
      <c r="M198" s="10">
        <v>3.24</v>
      </c>
      <c r="N198" s="10">
        <v>3.47</v>
      </c>
      <c r="O198" s="10">
        <v>3.33</v>
      </c>
      <c r="P198" s="10">
        <v>3.71</v>
      </c>
      <c r="Q198" s="10">
        <v>3.78</v>
      </c>
      <c r="S198" s="423">
        <v>44286</v>
      </c>
    </row>
    <row r="199" spans="10:19" ht="12.6">
      <c r="J199" s="423">
        <v>44316</v>
      </c>
      <c r="K199" s="10">
        <v>4.51</v>
      </c>
      <c r="L199" s="10">
        <v>3.86</v>
      </c>
      <c r="M199" s="10">
        <v>3.23</v>
      </c>
      <c r="N199" s="10">
        <v>3.46</v>
      </c>
      <c r="O199" s="10">
        <v>3.38</v>
      </c>
      <c r="P199" s="10">
        <v>3.75</v>
      </c>
      <c r="Q199" s="10">
        <v>3.89</v>
      </c>
      <c r="S199" s="423">
        <v>44316</v>
      </c>
    </row>
    <row r="200" spans="10:19" ht="12.6">
      <c r="J200" s="423">
        <v>44347</v>
      </c>
      <c r="K200" s="10">
        <v>4.47</v>
      </c>
      <c r="L200" s="10">
        <v>3.85</v>
      </c>
      <c r="M200" s="10">
        <v>3.2</v>
      </c>
      <c r="N200" s="10">
        <v>3.47</v>
      </c>
      <c r="O200" s="10">
        <v>3.4</v>
      </c>
      <c r="P200" s="10">
        <v>3.79</v>
      </c>
      <c r="Q200" s="10">
        <v>4.0199999999999996</v>
      </c>
      <c r="S200" s="423">
        <v>44347</v>
      </c>
    </row>
    <row r="201" spans="10:19" ht="12.6">
      <c r="J201" s="423">
        <v>44377</v>
      </c>
      <c r="K201" s="10">
        <v>4.47</v>
      </c>
      <c r="L201" s="10">
        <v>3.74</v>
      </c>
      <c r="M201" s="10">
        <v>3.17</v>
      </c>
      <c r="N201" s="10">
        <v>3.47</v>
      </c>
      <c r="O201" s="10">
        <v>3.49</v>
      </c>
      <c r="P201" s="10">
        <v>3.95</v>
      </c>
      <c r="Q201" s="10">
        <v>4.22</v>
      </c>
      <c r="S201" s="423">
        <v>44377</v>
      </c>
    </row>
    <row r="202" spans="10:19" ht="12.6">
      <c r="J202" s="423">
        <v>44408</v>
      </c>
      <c r="K202" s="10">
        <v>4.5199999999999996</v>
      </c>
      <c r="L202" s="10">
        <v>3.82</v>
      </c>
      <c r="M202" s="10">
        <v>3.39</v>
      </c>
      <c r="N202" s="10">
        <v>3.67</v>
      </c>
      <c r="O202" s="10">
        <v>3.73</v>
      </c>
      <c r="P202" s="10">
        <v>4.13</v>
      </c>
      <c r="Q202" s="10">
        <v>4.42</v>
      </c>
      <c r="S202" s="423">
        <v>44408</v>
      </c>
    </row>
    <row r="203" spans="10:19" ht="12.6">
      <c r="J203" s="423">
        <v>44439</v>
      </c>
      <c r="K203" s="10">
        <v>4.5199999999999996</v>
      </c>
      <c r="L203" s="10">
        <v>3.83</v>
      </c>
      <c r="M203" s="10">
        <v>3.37</v>
      </c>
      <c r="N203" s="10">
        <v>3.69</v>
      </c>
      <c r="O203" s="10">
        <v>3.72</v>
      </c>
      <c r="P203" s="10">
        <v>4.16</v>
      </c>
      <c r="Q203" s="10">
        <v>4.4400000000000004</v>
      </c>
      <c r="S203" s="423">
        <v>44439</v>
      </c>
    </row>
    <row r="204" spans="10:19" ht="12.6">
      <c r="J204" s="423">
        <v>44469</v>
      </c>
      <c r="K204" s="10">
        <v>4.5199999999999996</v>
      </c>
      <c r="L204" s="10">
        <v>3.9</v>
      </c>
      <c r="M204" s="10">
        <v>3.54</v>
      </c>
      <c r="N204" s="10">
        <v>3.87</v>
      </c>
      <c r="O204" s="10">
        <v>3.9</v>
      </c>
      <c r="P204" s="10">
        <v>4.43</v>
      </c>
      <c r="Q204" s="10">
        <v>4.6500000000000004</v>
      </c>
      <c r="S204" s="423">
        <v>44469</v>
      </c>
    </row>
    <row r="205" spans="10:19" ht="12.6">
      <c r="J205" s="422">
        <v>44500</v>
      </c>
      <c r="K205" s="10">
        <v>4.6500000000000004</v>
      </c>
      <c r="L205" s="10">
        <v>4.17</v>
      </c>
      <c r="M205" s="10">
        <v>3.82</v>
      </c>
      <c r="N205" s="10">
        <v>4.22</v>
      </c>
      <c r="O205" s="10">
        <v>4.2699999999999996</v>
      </c>
      <c r="P205" s="10">
        <v>4.7699999999999996</v>
      </c>
      <c r="Q205" s="10">
        <v>4.96</v>
      </c>
      <c r="S205" s="422">
        <v>44500</v>
      </c>
    </row>
    <row r="206" spans="10:19" ht="12.6">
      <c r="J206" s="422">
        <v>44530</v>
      </c>
      <c r="K206" s="10">
        <v>4.83</v>
      </c>
      <c r="L206" s="10">
        <v>4.45</v>
      </c>
      <c r="M206" s="10">
        <v>4.12</v>
      </c>
      <c r="N206" s="10">
        <v>4.6500000000000004</v>
      </c>
      <c r="O206" s="10">
        <v>4.8099999999999996</v>
      </c>
      <c r="P206" s="10">
        <v>5.18</v>
      </c>
      <c r="Q206" s="10">
        <v>5.36</v>
      </c>
      <c r="S206" s="422">
        <v>44530</v>
      </c>
    </row>
    <row r="207" spans="10:19" ht="12.6">
      <c r="J207" s="422">
        <v>44561</v>
      </c>
      <c r="K207" s="10">
        <v>4.91</v>
      </c>
      <c r="L207" s="10">
        <v>4.4800000000000004</v>
      </c>
      <c r="M207" s="10">
        <v>4.2</v>
      </c>
      <c r="N207" s="10">
        <v>4.7300000000000004</v>
      </c>
      <c r="O207" s="10">
        <v>4.97</v>
      </c>
      <c r="P207" s="10">
        <v>5.25</v>
      </c>
      <c r="Q207" s="10">
        <v>5.42</v>
      </c>
      <c r="S207" s="422">
        <v>44561</v>
      </c>
    </row>
    <row r="208" spans="10:19" ht="12.6">
      <c r="J208" s="423">
        <v>44592</v>
      </c>
      <c r="K208" s="10">
        <v>4.91</v>
      </c>
      <c r="L208" s="10">
        <v>4.46</v>
      </c>
      <c r="M208" s="10">
        <v>4.18</v>
      </c>
      <c r="N208" s="10">
        <v>4.71</v>
      </c>
      <c r="O208" s="10">
        <v>4.96</v>
      </c>
      <c r="P208" s="10">
        <v>5.25</v>
      </c>
      <c r="Q208" s="10">
        <v>5.42</v>
      </c>
      <c r="S208" s="423">
        <v>44592</v>
      </c>
    </row>
    <row r="209" spans="10:19" ht="12.6">
      <c r="J209" s="423">
        <v>44620</v>
      </c>
      <c r="K209" s="10">
        <v>4.9400000000000004</v>
      </c>
      <c r="L209" s="10">
        <v>4.5</v>
      </c>
      <c r="M209" s="10">
        <v>4.26</v>
      </c>
      <c r="N209" s="10">
        <v>4.75</v>
      </c>
      <c r="O209" s="10">
        <v>5</v>
      </c>
      <c r="P209" s="10">
        <v>5.29</v>
      </c>
      <c r="Q209" s="10">
        <v>5.47</v>
      </c>
      <c r="S209" s="423">
        <v>44620</v>
      </c>
    </row>
    <row r="210" spans="10:19" ht="12.6">
      <c r="J210" s="423">
        <v>44651</v>
      </c>
      <c r="K210" s="10">
        <v>5.08</v>
      </c>
      <c r="L210" s="10">
        <v>4.7</v>
      </c>
      <c r="M210" s="10">
        <v>4.49</v>
      </c>
      <c r="N210" s="10">
        <v>5.04</v>
      </c>
      <c r="O210" s="10">
        <v>5.22</v>
      </c>
      <c r="P210" s="10">
        <v>5.54</v>
      </c>
      <c r="Q210" s="10">
        <v>5.69</v>
      </c>
      <c r="S210" s="423">
        <v>44651</v>
      </c>
    </row>
    <row r="211" spans="10:19" ht="12.6">
      <c r="J211" s="423">
        <v>44681</v>
      </c>
      <c r="K211" s="10">
        <v>5.39</v>
      </c>
      <c r="L211" s="10">
        <v>4.9400000000000004</v>
      </c>
      <c r="M211" s="10">
        <v>4.87</v>
      </c>
      <c r="N211" s="10">
        <v>5.55</v>
      </c>
      <c r="O211" s="10">
        <v>5.73</v>
      </c>
      <c r="P211" s="10">
        <v>6.14</v>
      </c>
      <c r="Q211" s="10">
        <v>6.35</v>
      </c>
      <c r="S211" s="423">
        <v>44681</v>
      </c>
    </row>
    <row r="212" spans="10:19" ht="12.6">
      <c r="J212" s="423">
        <v>44712</v>
      </c>
      <c r="K212" s="10">
        <v>5.51</v>
      </c>
      <c r="L212" s="10">
        <v>5.04</v>
      </c>
      <c r="M212" s="10">
        <v>4.96</v>
      </c>
      <c r="N212" s="10">
        <v>5.62</v>
      </c>
      <c r="O212" s="10">
        <v>5.81</v>
      </c>
      <c r="P212" s="10">
        <v>6.23</v>
      </c>
      <c r="Q212" s="10">
        <v>6.42</v>
      </c>
      <c r="S212" s="423">
        <v>44712</v>
      </c>
    </row>
    <row r="213" spans="10:19" ht="12.6">
      <c r="J213" s="423">
        <v>44742</v>
      </c>
      <c r="K213" s="10">
        <v>5.89</v>
      </c>
      <c r="L213" s="10">
        <v>5.52</v>
      </c>
      <c r="M213" s="10">
        <v>5.56</v>
      </c>
      <c r="N213" s="10">
        <v>5.99</v>
      </c>
      <c r="O213" s="10">
        <v>6.24</v>
      </c>
      <c r="P213" s="10">
        <v>6.66</v>
      </c>
      <c r="Q213" s="10">
        <v>6.77</v>
      </c>
      <c r="S213" s="423">
        <v>44742</v>
      </c>
    </row>
    <row r="214" spans="10:19" ht="12.6">
      <c r="J214" s="423">
        <v>44773</v>
      </c>
      <c r="K214" s="10">
        <v>6.22</v>
      </c>
      <c r="L214" s="10">
        <v>5.65</v>
      </c>
      <c r="M214" s="10">
        <v>5.65</v>
      </c>
      <c r="N214" s="10">
        <v>5.94</v>
      </c>
      <c r="O214" s="10">
        <v>6.25</v>
      </c>
      <c r="P214" s="10">
        <v>6.65</v>
      </c>
      <c r="Q214" s="10">
        <v>6.76</v>
      </c>
      <c r="S214" s="423">
        <v>44773</v>
      </c>
    </row>
    <row r="215" spans="10:19" ht="12.6">
      <c r="J215" s="423">
        <v>44804</v>
      </c>
      <c r="K215" s="10">
        <v>6.54</v>
      </c>
      <c r="L215" s="10">
        <v>5.56</v>
      </c>
      <c r="M215" s="10">
        <v>5.48</v>
      </c>
      <c r="N215" s="10">
        <v>5.91</v>
      </c>
      <c r="O215" s="10">
        <v>6.05</v>
      </c>
      <c r="P215" s="10">
        <v>6.38</v>
      </c>
      <c r="Q215" s="10">
        <v>6.44</v>
      </c>
      <c r="S215" s="423">
        <v>44804</v>
      </c>
    </row>
    <row r="216" spans="10:19" ht="12.6">
      <c r="J216" s="423">
        <v>44834</v>
      </c>
      <c r="K216" s="10">
        <v>6.65</v>
      </c>
      <c r="L216" s="10">
        <v>5.71</v>
      </c>
      <c r="M216" s="10">
        <v>5.72</v>
      </c>
      <c r="N216" s="10">
        <v>6.06</v>
      </c>
      <c r="O216" s="10">
        <v>6.18</v>
      </c>
      <c r="P216" s="10">
        <v>6.4</v>
      </c>
      <c r="Q216" s="10">
        <v>6.44</v>
      </c>
      <c r="S216" s="423">
        <v>44834</v>
      </c>
    </row>
    <row r="217" spans="10:19" ht="12.6">
      <c r="J217" s="422">
        <v>44865</v>
      </c>
      <c r="K217" s="10">
        <v>6.99</v>
      </c>
      <c r="L217" s="10">
        <v>6.16</v>
      </c>
      <c r="M217" s="10">
        <v>6.18</v>
      </c>
      <c r="N217" s="10">
        <v>6.47</v>
      </c>
      <c r="O217" s="10">
        <v>6.58</v>
      </c>
      <c r="P217" s="10">
        <v>6.86</v>
      </c>
      <c r="Q217" s="10">
        <v>6.9</v>
      </c>
      <c r="S217" s="422">
        <v>44865</v>
      </c>
    </row>
    <row r="218" spans="10:19" ht="12.6">
      <c r="J218" s="422">
        <v>44895</v>
      </c>
      <c r="K218" s="10">
        <v>7.33</v>
      </c>
      <c r="L218" s="10">
        <v>6.43</v>
      </c>
      <c r="M218" s="10">
        <v>6.46</v>
      </c>
      <c r="N218" s="10">
        <v>6.75</v>
      </c>
      <c r="O218" s="10">
        <v>6.69</v>
      </c>
      <c r="P218" s="10">
        <v>6.9</v>
      </c>
      <c r="Q218" s="10">
        <v>6.94</v>
      </c>
      <c r="S218" s="422">
        <v>44895</v>
      </c>
    </row>
    <row r="219" spans="10:19" ht="12.6">
      <c r="J219" s="422">
        <v>44926</v>
      </c>
      <c r="K219" s="10">
        <v>7.81</v>
      </c>
      <c r="L219" s="10">
        <v>6.85</v>
      </c>
      <c r="M219" s="10">
        <v>6.82</v>
      </c>
      <c r="N219" s="10">
        <v>7.08</v>
      </c>
      <c r="O219" s="10">
        <v>7.07</v>
      </c>
      <c r="P219" s="10">
        <v>7.28</v>
      </c>
      <c r="Q219" s="10">
        <v>7.32</v>
      </c>
      <c r="S219" s="422">
        <v>44926</v>
      </c>
    </row>
    <row r="220" spans="10:19" ht="12.6">
      <c r="J220" s="423">
        <v>44957</v>
      </c>
      <c r="K220" s="10">
        <v>7.8</v>
      </c>
      <c r="L220" s="10">
        <v>6.88</v>
      </c>
      <c r="M220" s="10">
        <v>6.86</v>
      </c>
      <c r="N220" s="10">
        <v>7.08</v>
      </c>
      <c r="O220" s="10">
        <v>7.05</v>
      </c>
      <c r="P220" s="10">
        <v>7.23</v>
      </c>
      <c r="Q220" s="10">
        <v>7.25</v>
      </c>
      <c r="S220" s="423">
        <v>44957</v>
      </c>
    </row>
    <row r="221" spans="10:19" ht="12.6">
      <c r="J221" s="423">
        <v>44985</v>
      </c>
      <c r="K221" s="10">
        <v>7.84</v>
      </c>
      <c r="L221" s="10">
        <v>6.93</v>
      </c>
      <c r="M221" s="10">
        <v>6.91</v>
      </c>
      <c r="N221" s="10">
        <v>7</v>
      </c>
      <c r="O221" s="10">
        <v>6.95</v>
      </c>
      <c r="P221" s="10">
        <v>7.08</v>
      </c>
      <c r="Q221" s="10">
        <v>7.05</v>
      </c>
      <c r="S221" s="423">
        <v>44985</v>
      </c>
    </row>
    <row r="222" spans="10:19" ht="12.6">
      <c r="J222" s="423">
        <v>45016</v>
      </c>
      <c r="K222" s="10">
        <v>7.98</v>
      </c>
      <c r="L222" s="10">
        <v>6.99</v>
      </c>
      <c r="M222" s="10">
        <v>6.97</v>
      </c>
      <c r="N222" s="10">
        <v>7.03</v>
      </c>
      <c r="O222" s="10">
        <v>6.94</v>
      </c>
      <c r="P222" s="10">
        <v>7.04</v>
      </c>
      <c r="Q222" s="10">
        <v>7.01</v>
      </c>
      <c r="S222" s="423">
        <v>45016</v>
      </c>
    </row>
    <row r="223" spans="10:19" ht="12.6">
      <c r="J223" s="423">
        <v>45046</v>
      </c>
      <c r="K223" s="10">
        <v>8.27</v>
      </c>
      <c r="L223" s="10">
        <v>7.16</v>
      </c>
      <c r="M223" s="10">
        <v>7.11</v>
      </c>
      <c r="N223" s="10">
        <v>7.07</v>
      </c>
      <c r="O223" s="10">
        <v>6.78</v>
      </c>
      <c r="P223" s="10">
        <v>6.89</v>
      </c>
      <c r="Q223" s="10">
        <v>6.87</v>
      </c>
      <c r="S223" s="423">
        <v>45046</v>
      </c>
    </row>
    <row r="224" spans="10:19" ht="12.6">
      <c r="J224" s="423">
        <v>45077</v>
      </c>
      <c r="K224" s="10">
        <v>8.3699999999999992</v>
      </c>
      <c r="L224" s="10">
        <v>7.23</v>
      </c>
      <c r="M224" s="10">
        <v>7.18</v>
      </c>
      <c r="N224" s="10">
        <v>7.1</v>
      </c>
      <c r="O224" s="10">
        <v>6.65</v>
      </c>
      <c r="P224" s="10">
        <v>6.79</v>
      </c>
      <c r="Q224" s="10">
        <v>6.78</v>
      </c>
      <c r="S224" s="423">
        <v>45077</v>
      </c>
    </row>
    <row r="225" spans="10:19" ht="12.6">
      <c r="J225" s="423">
        <v>45107</v>
      </c>
      <c r="K225" s="10">
        <v>8.4499999999999993</v>
      </c>
      <c r="L225" s="10">
        <v>7.4</v>
      </c>
      <c r="M225" s="10">
        <v>7.35</v>
      </c>
      <c r="N225" s="10">
        <v>7.15</v>
      </c>
      <c r="O225" s="10">
        <v>6.7</v>
      </c>
      <c r="P225" s="10">
        <v>6.8</v>
      </c>
      <c r="Q225" s="10">
        <v>6.78</v>
      </c>
      <c r="S225" s="423">
        <v>45107</v>
      </c>
    </row>
    <row r="226" spans="10:19" ht="12.6">
      <c r="J226" s="423">
        <v>45138</v>
      </c>
      <c r="K226" s="10">
        <v>8.51</v>
      </c>
      <c r="L226" s="10">
        <v>7.55</v>
      </c>
      <c r="M226" s="10">
        <v>7.49</v>
      </c>
      <c r="N226" s="10">
        <v>7.32</v>
      </c>
      <c r="O226" s="10">
        <v>6.86</v>
      </c>
      <c r="P226" s="10">
        <v>6.85</v>
      </c>
      <c r="Q226" s="10">
        <v>6.79</v>
      </c>
      <c r="S226" s="423">
        <v>45138</v>
      </c>
    </row>
    <row r="227" spans="10:19" ht="12.6">
      <c r="J227" s="423">
        <v>45169</v>
      </c>
      <c r="K227" s="10">
        <v>8.58</v>
      </c>
      <c r="L227" s="10">
        <v>7.65</v>
      </c>
      <c r="M227" s="10">
        <v>7.59</v>
      </c>
      <c r="N227" s="10">
        <v>7.42</v>
      </c>
      <c r="O227" s="10">
        <v>6.92</v>
      </c>
      <c r="P227" s="10">
        <v>6.98</v>
      </c>
      <c r="Q227" s="10">
        <v>6.95</v>
      </c>
      <c r="S227" s="423">
        <v>45169</v>
      </c>
    </row>
    <row r="228" spans="10:19" ht="12.6">
      <c r="J228" s="423">
        <v>45199</v>
      </c>
      <c r="K228" s="10">
        <v>8.59</v>
      </c>
      <c r="L228" s="10">
        <v>7.72</v>
      </c>
      <c r="M228" s="10">
        <v>7.64</v>
      </c>
      <c r="N228" s="10">
        <v>7.5</v>
      </c>
      <c r="O228" s="10">
        <v>7.11</v>
      </c>
      <c r="P228" s="10">
        <v>7.07</v>
      </c>
      <c r="Q228" s="10">
        <v>7.02</v>
      </c>
      <c r="S228" s="423">
        <v>45199</v>
      </c>
    </row>
    <row r="229" spans="10:19" ht="12.6">
      <c r="J229" s="422">
        <v>45230</v>
      </c>
      <c r="K229" s="10">
        <v>8.61</v>
      </c>
      <c r="L229" s="10">
        <v>7.78</v>
      </c>
      <c r="M229" s="10">
        <v>7.73</v>
      </c>
      <c r="N229" s="10">
        <v>7.6</v>
      </c>
      <c r="O229" s="10">
        <v>7.25</v>
      </c>
      <c r="P229" s="10">
        <v>7.22</v>
      </c>
      <c r="Q229" s="10">
        <v>7.19</v>
      </c>
      <c r="S229" s="422">
        <v>45230</v>
      </c>
    </row>
    <row r="230" spans="10:19" ht="12.6">
      <c r="J230" s="422">
        <v>45260</v>
      </c>
      <c r="K230" s="10">
        <v>8.61</v>
      </c>
      <c r="L230" s="10">
        <v>7.81</v>
      </c>
      <c r="M230" s="10">
        <v>7.75</v>
      </c>
      <c r="N230" s="10">
        <v>7.59</v>
      </c>
      <c r="O230" s="10">
        <v>7.25</v>
      </c>
      <c r="P230" s="10">
        <v>7.23</v>
      </c>
      <c r="Q230" s="10">
        <v>7.2</v>
      </c>
      <c r="S230" s="422">
        <v>45260</v>
      </c>
    </row>
  </sheetData>
  <conditionalFormatting sqref="J2:J230">
    <cfRule type="containsText" dxfId="13" priority="1" operator="containsText" text="2023">
      <formula>NOT(ISERROR(SEARCH(("2023"),(J2))))</formula>
    </cfRule>
    <cfRule type="containsText" dxfId="12" priority="2" operator="containsText" text="2021">
      <formula>NOT(ISERROR(SEARCH(("2021"),(J2))))</formula>
    </cfRule>
    <cfRule type="containsText" dxfId="11" priority="3" operator="containsText" text="2019">
      <formula>NOT(ISERROR(SEARCH(("2019"),(J2))))</formula>
    </cfRule>
    <cfRule type="containsText" dxfId="10" priority="4" operator="containsText" text="2017">
      <formula>NOT(ISERROR(SEARCH(("2017"),(J2))))</formula>
    </cfRule>
    <cfRule type="containsText" dxfId="9" priority="5" operator="containsText" text="2015">
      <formula>NOT(ISERROR(SEARCH(("2015"),(J2))))</formula>
    </cfRule>
    <cfRule type="containsText" dxfId="8" priority="6" operator="containsText" text="2013">
      <formula>NOT(ISERROR(SEARCH(("2013"),(J2))))</formula>
    </cfRule>
    <cfRule type="containsText" dxfId="7" priority="7" operator="containsText" text="2011">
      <formula>NOT(ISERROR(SEARCH(("2011"),(J2))))</formula>
    </cfRule>
    <cfRule type="containsText" dxfId="6" priority="8" operator="containsText" text="2009">
      <formula>NOT(ISERROR(SEARCH(("2009"),(J2))))</formula>
    </cfRule>
    <cfRule type="containsText" dxfId="5" priority="9" operator="containsText" text="2007">
      <formula>NOT(ISERROR(SEARCH(("2007"),(J2))))</formula>
    </cfRule>
    <cfRule type="containsText" dxfId="4" priority="10" operator="containsText" text="2005">
      <formula>NOT(ISERROR(SEARCH(("2005"),(J2))))</formula>
    </cfRule>
  </conditionalFormatting>
  <hyperlinks>
    <hyperlink ref="A1" r:id="rId1"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38761D"/>
  </sheetPr>
  <dimension ref="A1:GS38"/>
  <sheetViews>
    <sheetView workbookViewId="0">
      <pane xSplit="2" ySplit="10" topLeftCell="C11" activePane="bottomRight" state="frozen"/>
      <selection pane="bottomRight" activeCell="C11" sqref="C11"/>
      <selection pane="bottomLeft" activeCell="A11" sqref="A11"/>
      <selection pane="topRight" activeCell="C1" sqref="C1"/>
    </sheetView>
  </sheetViews>
  <sheetFormatPr defaultColWidth="12.5703125" defaultRowHeight="15.75" customHeight="1"/>
  <cols>
    <col min="1" max="1" width="50.5703125" customWidth="1"/>
    <col min="2" max="2" width="23.140625" customWidth="1"/>
    <col min="3" max="201" width="9.5703125" customWidth="1"/>
  </cols>
  <sheetData>
    <row r="1" spans="1:201" ht="14.25" customHeight="1">
      <c r="A1" s="496" t="s">
        <v>1594</v>
      </c>
      <c r="B1" s="497"/>
      <c r="C1" s="498"/>
      <c r="D1" s="498"/>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8"/>
      <c r="AK1" s="498"/>
      <c r="AL1" s="498"/>
      <c r="AM1" s="498"/>
      <c r="AN1" s="498"/>
      <c r="AO1" s="498"/>
      <c r="AP1" s="498"/>
      <c r="AQ1" s="498"/>
      <c r="AR1" s="498"/>
      <c r="AS1" s="498"/>
      <c r="AT1" s="498"/>
      <c r="AU1" s="498"/>
      <c r="AV1" s="498"/>
      <c r="AW1" s="498"/>
      <c r="AX1" s="498"/>
      <c r="AY1" s="498"/>
      <c r="AZ1" s="498"/>
      <c r="BA1" s="498"/>
      <c r="BB1" s="498"/>
      <c r="BC1" s="498"/>
      <c r="BD1" s="498"/>
      <c r="BE1" s="498"/>
      <c r="BF1" s="498"/>
      <c r="BG1" s="498"/>
      <c r="BH1" s="498"/>
      <c r="BI1" s="498"/>
      <c r="BJ1" s="498"/>
      <c r="BK1" s="498"/>
      <c r="BL1" s="498"/>
      <c r="BM1" s="498"/>
      <c r="BN1" s="498"/>
      <c r="BO1" s="498"/>
      <c r="BP1" s="498"/>
      <c r="BQ1" s="498"/>
      <c r="BR1" s="498"/>
      <c r="BS1" s="498"/>
      <c r="BT1" s="498"/>
      <c r="BU1" s="498"/>
      <c r="BV1" s="498"/>
      <c r="BW1" s="498"/>
      <c r="BX1" s="498"/>
      <c r="BY1" s="498"/>
      <c r="BZ1" s="498"/>
      <c r="CA1" s="498"/>
      <c r="CB1" s="498"/>
      <c r="CC1" s="498"/>
      <c r="CD1" s="498"/>
      <c r="CE1" s="498"/>
      <c r="CF1" s="498"/>
      <c r="CG1" s="498"/>
      <c r="CH1" s="498"/>
      <c r="CI1" s="498"/>
      <c r="CJ1" s="498"/>
      <c r="CK1" s="498"/>
      <c r="CL1" s="498"/>
      <c r="CM1" s="498"/>
      <c r="CN1" s="498"/>
      <c r="CO1" s="498"/>
      <c r="CP1" s="498"/>
      <c r="CQ1" s="498"/>
      <c r="CR1" s="498"/>
      <c r="CS1" s="498"/>
      <c r="CT1" s="498"/>
      <c r="CU1" s="498"/>
      <c r="CV1" s="498"/>
      <c r="CW1" s="498"/>
      <c r="CX1" s="498"/>
      <c r="CY1" s="498"/>
      <c r="CZ1" s="498"/>
      <c r="DA1" s="498"/>
      <c r="DB1" s="498"/>
      <c r="DC1" s="498"/>
      <c r="DD1" s="498"/>
      <c r="DE1" s="498"/>
      <c r="DF1" s="498"/>
      <c r="DG1" s="498"/>
      <c r="DH1" s="498"/>
      <c r="DI1" s="498"/>
      <c r="DJ1" s="498"/>
      <c r="DK1" s="498"/>
      <c r="DL1" s="498"/>
      <c r="DM1" s="498"/>
      <c r="DN1" s="498"/>
      <c r="DO1" s="498"/>
      <c r="DP1" s="498"/>
      <c r="DQ1" s="498"/>
      <c r="DR1" s="498"/>
      <c r="DS1" s="498"/>
      <c r="DT1" s="498"/>
      <c r="DU1" s="498"/>
      <c r="DV1" s="498"/>
      <c r="DW1" s="498"/>
      <c r="DX1" s="498"/>
      <c r="DY1" s="498"/>
      <c r="DZ1" s="498"/>
      <c r="EA1" s="498"/>
      <c r="EB1" s="498"/>
      <c r="EC1" s="498"/>
      <c r="ED1" s="498"/>
      <c r="EE1" s="498"/>
      <c r="EF1" s="498"/>
      <c r="EG1" s="498"/>
      <c r="EH1" s="498"/>
      <c r="EI1" s="498"/>
      <c r="EJ1" s="498"/>
      <c r="EK1" s="498"/>
      <c r="EL1" s="498"/>
      <c r="EM1" s="498"/>
      <c r="EN1" s="498"/>
      <c r="EO1" s="498"/>
      <c r="EP1" s="498"/>
      <c r="EQ1" s="498"/>
      <c r="ER1" s="498"/>
      <c r="ES1" s="498"/>
      <c r="ET1" s="498"/>
      <c r="EU1" s="498"/>
      <c r="EV1" s="498"/>
      <c r="EW1" s="498"/>
      <c r="EX1" s="498"/>
      <c r="EY1" s="498"/>
      <c r="EZ1" s="498"/>
      <c r="FA1" s="498"/>
      <c r="FB1" s="498"/>
      <c r="FC1" s="498"/>
      <c r="FD1" s="498"/>
      <c r="FE1" s="498"/>
      <c r="FF1" s="498"/>
      <c r="FG1" s="498"/>
      <c r="FH1" s="498"/>
      <c r="FI1" s="498"/>
      <c r="FJ1" s="498"/>
      <c r="FK1" s="498"/>
      <c r="FL1" s="498"/>
      <c r="FM1" s="498"/>
      <c r="FN1" s="498"/>
      <c r="FO1" s="498"/>
      <c r="FP1" s="498"/>
      <c r="FQ1" s="498"/>
      <c r="FR1" s="498"/>
      <c r="FS1" s="498"/>
      <c r="FT1" s="498"/>
      <c r="FU1" s="498"/>
      <c r="FV1" s="498"/>
      <c r="FW1" s="498"/>
      <c r="FX1" s="498"/>
      <c r="FY1" s="498"/>
      <c r="FZ1" s="498"/>
      <c r="GA1" s="498"/>
      <c r="GB1" s="498"/>
      <c r="GC1" s="498"/>
      <c r="GD1" s="498"/>
      <c r="GE1" s="498"/>
      <c r="GF1" s="498"/>
      <c r="GG1" s="498"/>
      <c r="GH1" s="498"/>
      <c r="GI1" s="498"/>
      <c r="GJ1" s="498"/>
      <c r="GK1" s="498"/>
      <c r="GL1" s="498"/>
      <c r="GM1" s="498"/>
      <c r="GN1" s="498"/>
      <c r="GO1" s="498"/>
      <c r="GP1" s="498"/>
      <c r="GQ1" s="498"/>
      <c r="GR1" s="498"/>
      <c r="GS1" s="498"/>
    </row>
    <row r="2" spans="1:201" ht="14.25" customHeight="1">
      <c r="A2" s="498"/>
      <c r="B2" s="499"/>
      <c r="C2" s="498"/>
      <c r="D2" s="498"/>
      <c r="E2" s="498"/>
      <c r="F2" s="498"/>
      <c r="G2" s="498"/>
      <c r="H2" s="498"/>
      <c r="I2" s="498"/>
      <c r="J2" s="498"/>
      <c r="K2" s="498"/>
      <c r="L2" s="498"/>
      <c r="M2" s="498"/>
      <c r="N2" s="498"/>
      <c r="O2" s="498"/>
      <c r="P2" s="498"/>
      <c r="Q2" s="498"/>
      <c r="R2" s="498"/>
      <c r="S2" s="498"/>
      <c r="T2" s="498"/>
      <c r="U2" s="498"/>
      <c r="V2" s="498"/>
      <c r="W2" s="498"/>
      <c r="X2" s="498"/>
      <c r="Y2" s="498"/>
      <c r="Z2" s="498"/>
      <c r="AA2" s="498"/>
      <c r="AB2" s="498"/>
      <c r="AC2" s="498"/>
      <c r="AD2" s="498"/>
      <c r="AE2" s="498"/>
      <c r="AF2" s="498"/>
      <c r="AG2" s="498"/>
      <c r="AH2" s="498"/>
      <c r="AI2" s="498"/>
      <c r="AJ2" s="498"/>
      <c r="AK2" s="498"/>
      <c r="AL2" s="498"/>
      <c r="AM2" s="498"/>
      <c r="AN2" s="498"/>
      <c r="AO2" s="498"/>
      <c r="AP2" s="498"/>
      <c r="AQ2" s="498"/>
      <c r="AR2" s="498"/>
      <c r="AS2" s="498"/>
      <c r="AT2" s="498"/>
      <c r="AU2" s="498"/>
      <c r="AV2" s="498"/>
      <c r="AW2" s="498"/>
      <c r="AX2" s="498"/>
      <c r="AY2" s="498"/>
      <c r="AZ2" s="498"/>
      <c r="BA2" s="498"/>
      <c r="BB2" s="498"/>
      <c r="BC2" s="498"/>
      <c r="BD2" s="498"/>
      <c r="BE2" s="498"/>
      <c r="BF2" s="498"/>
      <c r="BG2" s="498"/>
      <c r="BH2" s="498"/>
      <c r="BI2" s="498"/>
      <c r="BJ2" s="498"/>
      <c r="BK2" s="498"/>
      <c r="BL2" s="498"/>
      <c r="BM2" s="498"/>
      <c r="BN2" s="498"/>
      <c r="BO2" s="498"/>
      <c r="BP2" s="498"/>
      <c r="BQ2" s="498"/>
      <c r="BR2" s="498"/>
      <c r="BS2" s="498"/>
      <c r="BT2" s="498"/>
      <c r="BU2" s="498"/>
      <c r="BV2" s="498"/>
      <c r="BW2" s="498"/>
      <c r="BX2" s="498"/>
      <c r="BY2" s="498"/>
      <c r="BZ2" s="498"/>
      <c r="CA2" s="498"/>
      <c r="CB2" s="498"/>
      <c r="CC2" s="498"/>
      <c r="CD2" s="498"/>
      <c r="CE2" s="498"/>
      <c r="CF2" s="498"/>
      <c r="CG2" s="498"/>
      <c r="CH2" s="498"/>
      <c r="CI2" s="498"/>
      <c r="CJ2" s="498"/>
      <c r="CK2" s="498"/>
      <c r="CL2" s="498"/>
      <c r="CM2" s="498"/>
      <c r="CN2" s="498"/>
      <c r="CO2" s="498"/>
      <c r="CP2" s="498"/>
      <c r="CQ2" s="498"/>
      <c r="CR2" s="498"/>
      <c r="CS2" s="498"/>
      <c r="CT2" s="498"/>
      <c r="CU2" s="498"/>
      <c r="CV2" s="498"/>
      <c r="CW2" s="498"/>
      <c r="CX2" s="498"/>
      <c r="CY2" s="498"/>
      <c r="CZ2" s="498"/>
      <c r="DA2" s="498"/>
      <c r="DB2" s="498"/>
      <c r="DC2" s="498"/>
      <c r="DD2" s="498"/>
      <c r="DE2" s="498"/>
      <c r="DF2" s="498"/>
      <c r="DG2" s="498"/>
      <c r="DH2" s="498"/>
      <c r="DI2" s="498"/>
      <c r="DJ2" s="498"/>
      <c r="DK2" s="498"/>
      <c r="DL2" s="498"/>
      <c r="DM2" s="498"/>
      <c r="DN2" s="498"/>
      <c r="DO2" s="498"/>
      <c r="DP2" s="498"/>
      <c r="DQ2" s="498"/>
      <c r="DR2" s="498"/>
      <c r="DS2" s="498"/>
      <c r="DT2" s="498"/>
      <c r="DU2" s="498"/>
      <c r="DV2" s="498"/>
      <c r="DW2" s="498"/>
      <c r="DX2" s="498"/>
      <c r="DY2" s="498"/>
      <c r="DZ2" s="498"/>
      <c r="EA2" s="498"/>
      <c r="EB2" s="498"/>
      <c r="EC2" s="498"/>
      <c r="ED2" s="498"/>
      <c r="EE2" s="498"/>
      <c r="EF2" s="498"/>
      <c r="EG2" s="498"/>
      <c r="EH2" s="498"/>
      <c r="EI2" s="498"/>
      <c r="EJ2" s="498"/>
      <c r="EK2" s="498"/>
      <c r="EL2" s="498"/>
      <c r="EM2" s="498"/>
      <c r="EN2" s="498"/>
      <c r="EO2" s="498"/>
      <c r="EP2" s="498"/>
      <c r="EQ2" s="498"/>
      <c r="ER2" s="498"/>
      <c r="ES2" s="498"/>
      <c r="ET2" s="498"/>
      <c r="EU2" s="498"/>
      <c r="EV2" s="498"/>
      <c r="EW2" s="498"/>
      <c r="EX2" s="498"/>
      <c r="EY2" s="498"/>
      <c r="EZ2" s="498"/>
      <c r="FA2" s="498"/>
      <c r="FB2" s="498"/>
      <c r="FC2" s="498"/>
      <c r="FD2" s="498"/>
      <c r="FE2" s="498"/>
      <c r="FF2" s="498"/>
      <c r="FG2" s="498"/>
      <c r="FH2" s="498"/>
      <c r="FI2" s="498"/>
      <c r="FJ2" s="498"/>
      <c r="FK2" s="498"/>
      <c r="FL2" s="498"/>
      <c r="FM2" s="498"/>
      <c r="FN2" s="498"/>
      <c r="FO2" s="498"/>
      <c r="FP2" s="498"/>
      <c r="FQ2" s="498"/>
      <c r="FR2" s="498"/>
      <c r="FS2" s="498"/>
      <c r="FT2" s="498"/>
      <c r="FU2" s="498"/>
      <c r="FV2" s="498"/>
      <c r="FW2" s="498"/>
      <c r="FX2" s="498"/>
      <c r="FY2" s="498"/>
      <c r="FZ2" s="498"/>
      <c r="GA2" s="498"/>
      <c r="GB2" s="498"/>
      <c r="GC2" s="498"/>
      <c r="GD2" s="498"/>
      <c r="GE2" s="498"/>
      <c r="GF2" s="498"/>
      <c r="GG2" s="498"/>
      <c r="GH2" s="498"/>
      <c r="GI2" s="498"/>
      <c r="GJ2" s="498"/>
      <c r="GK2" s="498"/>
      <c r="GL2" s="498"/>
      <c r="GM2" s="498"/>
      <c r="GN2" s="498"/>
      <c r="GO2" s="498"/>
      <c r="GP2" s="498"/>
      <c r="GQ2" s="498"/>
      <c r="GR2" s="498"/>
      <c r="GS2" s="498"/>
    </row>
    <row r="3" spans="1:201" ht="14.25" customHeight="1">
      <c r="A3" s="500"/>
      <c r="B3" s="499"/>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I3" s="498"/>
      <c r="AJ3" s="498"/>
      <c r="AK3" s="498"/>
      <c r="AL3" s="498"/>
      <c r="AM3" s="498"/>
      <c r="AN3" s="498"/>
      <c r="AO3" s="498"/>
      <c r="AP3" s="498"/>
      <c r="AQ3" s="498"/>
      <c r="AR3" s="498"/>
      <c r="AS3" s="498"/>
      <c r="AT3" s="498"/>
      <c r="AU3" s="498"/>
      <c r="AV3" s="498"/>
      <c r="AW3" s="498"/>
      <c r="AX3" s="498"/>
      <c r="AY3" s="498"/>
      <c r="AZ3" s="498"/>
      <c r="BA3" s="498"/>
      <c r="BB3" s="498"/>
      <c r="BC3" s="498"/>
      <c r="BD3" s="498"/>
      <c r="BE3" s="498"/>
      <c r="BF3" s="498"/>
      <c r="BG3" s="498"/>
      <c r="BH3" s="498"/>
      <c r="BI3" s="498"/>
      <c r="BJ3" s="498"/>
      <c r="BK3" s="498"/>
      <c r="BL3" s="498"/>
      <c r="BM3" s="498"/>
      <c r="BN3" s="498"/>
      <c r="BO3" s="498"/>
      <c r="BP3" s="498"/>
      <c r="BQ3" s="498"/>
      <c r="BR3" s="498"/>
      <c r="BS3" s="498"/>
      <c r="BT3" s="498"/>
      <c r="BU3" s="498"/>
      <c r="BV3" s="498"/>
      <c r="BW3" s="498"/>
      <c r="BX3" s="498"/>
      <c r="BY3" s="498"/>
      <c r="BZ3" s="498"/>
      <c r="CA3" s="498"/>
      <c r="CB3" s="498"/>
      <c r="CC3" s="498"/>
      <c r="CD3" s="498"/>
      <c r="CE3" s="498"/>
      <c r="CF3" s="498"/>
      <c r="CG3" s="498"/>
      <c r="CH3" s="498"/>
      <c r="CI3" s="498"/>
      <c r="CJ3" s="498"/>
      <c r="CK3" s="498"/>
      <c r="CL3" s="498"/>
      <c r="CM3" s="498"/>
      <c r="CN3" s="498"/>
      <c r="CO3" s="498"/>
      <c r="CP3" s="498"/>
      <c r="CQ3" s="498"/>
      <c r="CR3" s="498"/>
      <c r="CS3" s="498"/>
      <c r="CT3" s="498"/>
      <c r="CU3" s="498"/>
      <c r="CV3" s="498"/>
      <c r="CW3" s="498"/>
      <c r="CX3" s="498"/>
      <c r="CY3" s="498"/>
      <c r="CZ3" s="498"/>
      <c r="DA3" s="498"/>
      <c r="DB3" s="498"/>
      <c r="DC3" s="498"/>
      <c r="DD3" s="498"/>
      <c r="DE3" s="498"/>
      <c r="DF3" s="498"/>
      <c r="DG3" s="498"/>
      <c r="DH3" s="498"/>
      <c r="DI3" s="498"/>
      <c r="DJ3" s="498"/>
      <c r="DK3" s="498"/>
      <c r="DL3" s="498"/>
      <c r="DM3" s="498"/>
      <c r="DN3" s="498"/>
      <c r="DO3" s="498"/>
      <c r="DP3" s="498"/>
      <c r="DQ3" s="498"/>
      <c r="DR3" s="498"/>
      <c r="DS3" s="498"/>
      <c r="DT3" s="498"/>
      <c r="DU3" s="498"/>
      <c r="DV3" s="498"/>
      <c r="DW3" s="498"/>
      <c r="DX3" s="498"/>
      <c r="DY3" s="498"/>
      <c r="DZ3" s="498"/>
      <c r="EA3" s="498"/>
      <c r="EB3" s="498"/>
      <c r="EC3" s="498"/>
      <c r="ED3" s="498"/>
      <c r="EE3" s="498"/>
      <c r="EF3" s="498"/>
      <c r="EG3" s="498"/>
      <c r="EH3" s="498"/>
      <c r="EI3" s="498"/>
      <c r="EJ3" s="498"/>
      <c r="EK3" s="498"/>
      <c r="EL3" s="498"/>
      <c r="EM3" s="498"/>
      <c r="EN3" s="498"/>
      <c r="EO3" s="498"/>
      <c r="EP3" s="498"/>
      <c r="EQ3" s="498"/>
      <c r="ER3" s="498"/>
      <c r="ES3" s="498"/>
      <c r="ET3" s="498"/>
      <c r="EU3" s="498"/>
      <c r="EV3" s="498"/>
      <c r="EW3" s="498"/>
      <c r="EX3" s="498"/>
      <c r="EY3" s="498"/>
      <c r="EZ3" s="498"/>
      <c r="FA3" s="498"/>
      <c r="FB3" s="498"/>
      <c r="FC3" s="498"/>
      <c r="FD3" s="498"/>
      <c r="FE3" s="498"/>
      <c r="FF3" s="498"/>
      <c r="FG3" s="498"/>
      <c r="FH3" s="498"/>
      <c r="FI3" s="498"/>
      <c r="FJ3" s="498"/>
      <c r="FK3" s="498"/>
      <c r="FL3" s="498"/>
      <c r="FM3" s="498"/>
      <c r="FN3" s="498"/>
      <c r="FO3" s="498"/>
      <c r="FP3" s="498"/>
      <c r="FQ3" s="498"/>
      <c r="FR3" s="498"/>
      <c r="FS3" s="498"/>
      <c r="FT3" s="498"/>
      <c r="FU3" s="498"/>
      <c r="FV3" s="498"/>
      <c r="FW3" s="498"/>
      <c r="FX3" s="498"/>
      <c r="FY3" s="498"/>
      <c r="FZ3" s="498"/>
      <c r="GA3" s="498"/>
      <c r="GB3" s="498"/>
      <c r="GC3" s="498"/>
      <c r="GD3" s="498"/>
      <c r="GE3" s="498"/>
      <c r="GF3" s="498"/>
      <c r="GG3" s="498"/>
      <c r="GH3" s="498"/>
      <c r="GI3" s="498"/>
      <c r="GJ3" s="498"/>
      <c r="GK3" s="498"/>
      <c r="GL3" s="498"/>
      <c r="GM3" s="498"/>
      <c r="GN3" s="498"/>
      <c r="GO3" s="498"/>
      <c r="GP3" s="498"/>
      <c r="GQ3" s="498"/>
      <c r="GR3" s="498"/>
      <c r="GS3" s="498"/>
    </row>
    <row r="4" spans="1:201" ht="14.25" customHeight="1">
      <c r="A4" s="500"/>
      <c r="B4" s="497"/>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8"/>
      <c r="AI4" s="498"/>
      <c r="AJ4" s="498"/>
      <c r="AK4" s="498"/>
      <c r="AL4" s="498"/>
      <c r="AM4" s="498"/>
      <c r="AN4" s="498"/>
      <c r="AO4" s="498"/>
      <c r="AP4" s="498"/>
      <c r="AQ4" s="498"/>
      <c r="AR4" s="498"/>
      <c r="AS4" s="498"/>
      <c r="AT4" s="498"/>
      <c r="AU4" s="498"/>
      <c r="AV4" s="498"/>
      <c r="AW4" s="498"/>
      <c r="AX4" s="498"/>
      <c r="AY4" s="498"/>
      <c r="AZ4" s="498"/>
      <c r="BA4" s="498"/>
      <c r="BB4" s="498"/>
      <c r="BC4" s="498"/>
      <c r="BD4" s="498"/>
      <c r="BE4" s="498"/>
      <c r="BF4" s="498"/>
      <c r="BG4" s="498"/>
      <c r="BH4" s="498"/>
      <c r="BI4" s="498"/>
      <c r="BJ4" s="498"/>
      <c r="BK4" s="498"/>
      <c r="BL4" s="498"/>
      <c r="BM4" s="498"/>
      <c r="BN4" s="498"/>
      <c r="BO4" s="498"/>
      <c r="BP4" s="498"/>
      <c r="BQ4" s="498"/>
      <c r="BR4" s="498"/>
      <c r="BS4" s="498"/>
      <c r="BT4" s="498"/>
      <c r="BU4" s="498"/>
      <c r="BV4" s="498"/>
      <c r="BW4" s="498"/>
      <c r="BX4" s="498"/>
      <c r="BY4" s="498"/>
      <c r="BZ4" s="498"/>
      <c r="CA4" s="498"/>
      <c r="CB4" s="498"/>
      <c r="CC4" s="498"/>
      <c r="CD4" s="498"/>
      <c r="CE4" s="498"/>
      <c r="CF4" s="498"/>
      <c r="CG4" s="498"/>
      <c r="CH4" s="498"/>
      <c r="CI4" s="498"/>
      <c r="CJ4" s="498"/>
      <c r="CK4" s="498"/>
      <c r="CL4" s="498"/>
      <c r="CM4" s="498"/>
      <c r="CN4" s="498"/>
      <c r="CO4" s="498"/>
      <c r="CP4" s="498"/>
      <c r="CQ4" s="498"/>
      <c r="CR4" s="498"/>
      <c r="CS4" s="498"/>
      <c r="CT4" s="498"/>
      <c r="CU4" s="498"/>
      <c r="CV4" s="498"/>
      <c r="CW4" s="498"/>
      <c r="CX4" s="498"/>
      <c r="CY4" s="498"/>
      <c r="CZ4" s="498"/>
      <c r="DA4" s="498"/>
      <c r="DB4" s="498"/>
      <c r="DC4" s="498"/>
      <c r="DD4" s="498"/>
      <c r="DE4" s="498"/>
      <c r="DF4" s="498"/>
      <c r="DG4" s="498"/>
      <c r="DH4" s="498"/>
      <c r="DI4" s="498"/>
      <c r="DJ4" s="498"/>
      <c r="DK4" s="498"/>
      <c r="DL4" s="498"/>
      <c r="DM4" s="498"/>
      <c r="DN4" s="498"/>
      <c r="DO4" s="498"/>
      <c r="DP4" s="498"/>
      <c r="DQ4" s="498"/>
      <c r="DR4" s="498"/>
      <c r="DS4" s="498"/>
      <c r="DT4" s="498"/>
      <c r="DU4" s="498"/>
      <c r="DV4" s="498"/>
      <c r="DW4" s="498"/>
      <c r="DX4" s="498"/>
      <c r="DY4" s="498"/>
      <c r="DZ4" s="498"/>
      <c r="EA4" s="498"/>
      <c r="EB4" s="498"/>
      <c r="EC4" s="498"/>
      <c r="ED4" s="498"/>
      <c r="EE4" s="498"/>
      <c r="EF4" s="498"/>
      <c r="EG4" s="498"/>
      <c r="EH4" s="498"/>
      <c r="EI4" s="498"/>
      <c r="EJ4" s="498"/>
      <c r="EK4" s="498"/>
      <c r="EL4" s="498"/>
      <c r="EM4" s="498"/>
      <c r="EN4" s="498"/>
      <c r="EO4" s="498"/>
      <c r="EP4" s="498"/>
      <c r="EQ4" s="498"/>
      <c r="ER4" s="498"/>
      <c r="ES4" s="498"/>
      <c r="ET4" s="498"/>
      <c r="EU4" s="498"/>
      <c r="EV4" s="498"/>
      <c r="EW4" s="498"/>
      <c r="EX4" s="498"/>
      <c r="EY4" s="498"/>
      <c r="EZ4" s="498"/>
      <c r="FA4" s="498"/>
      <c r="FB4" s="498"/>
      <c r="FC4" s="498"/>
      <c r="FD4" s="498"/>
      <c r="FE4" s="498"/>
      <c r="FF4" s="498"/>
      <c r="FG4" s="498"/>
      <c r="FH4" s="498"/>
      <c r="FI4" s="498"/>
      <c r="FJ4" s="498"/>
      <c r="FK4" s="498"/>
      <c r="FL4" s="498"/>
      <c r="FM4" s="498"/>
      <c r="FN4" s="498"/>
      <c r="FO4" s="498"/>
      <c r="FP4" s="498"/>
      <c r="FQ4" s="498"/>
      <c r="FR4" s="498"/>
      <c r="FS4" s="498"/>
      <c r="FT4" s="498"/>
      <c r="FU4" s="498"/>
      <c r="FV4" s="498"/>
      <c r="FW4" s="498"/>
      <c r="FX4" s="498"/>
      <c r="FY4" s="498"/>
      <c r="FZ4" s="498"/>
      <c r="GA4" s="498"/>
      <c r="GB4" s="498"/>
      <c r="GC4" s="498"/>
      <c r="GD4" s="498"/>
      <c r="GE4" s="498"/>
      <c r="GF4" s="498"/>
      <c r="GG4" s="498"/>
      <c r="GH4" s="498"/>
      <c r="GI4" s="498"/>
      <c r="GJ4" s="498"/>
      <c r="GK4" s="498"/>
      <c r="GL4" s="498"/>
      <c r="GM4" s="498"/>
      <c r="GN4" s="498"/>
      <c r="GO4" s="498"/>
      <c r="GP4" s="498"/>
      <c r="GQ4" s="498"/>
      <c r="GR4" s="498"/>
      <c r="GS4" s="498"/>
    </row>
    <row r="5" spans="1:201" ht="14.25" customHeight="1">
      <c r="A5" s="500"/>
      <c r="B5" s="497"/>
      <c r="C5" s="498"/>
      <c r="D5" s="498"/>
      <c r="E5" s="498"/>
      <c r="F5" s="498"/>
      <c r="G5" s="498"/>
      <c r="H5" s="498"/>
      <c r="I5" s="498"/>
      <c r="J5" s="498"/>
      <c r="K5" s="498"/>
      <c r="L5" s="498"/>
      <c r="M5" s="498"/>
      <c r="N5" s="498"/>
      <c r="O5" s="498"/>
      <c r="P5" s="498"/>
      <c r="Q5" s="498"/>
      <c r="R5" s="498"/>
      <c r="S5" s="498"/>
      <c r="T5" s="498"/>
      <c r="U5" s="498"/>
      <c r="V5" s="498"/>
      <c r="W5" s="498"/>
      <c r="X5" s="498"/>
      <c r="Y5" s="498"/>
      <c r="Z5" s="498"/>
      <c r="AA5" s="498"/>
      <c r="AB5" s="498"/>
      <c r="AC5" s="498"/>
      <c r="AD5" s="498"/>
      <c r="AE5" s="498"/>
      <c r="AF5" s="498"/>
      <c r="AG5" s="498"/>
      <c r="AH5" s="498"/>
      <c r="AI5" s="498"/>
      <c r="AJ5" s="498"/>
      <c r="AK5" s="498"/>
      <c r="AL5" s="498"/>
      <c r="AM5" s="498"/>
      <c r="AN5" s="498"/>
      <c r="AO5" s="498"/>
      <c r="AP5" s="498"/>
      <c r="AQ5" s="498"/>
      <c r="AR5" s="498"/>
      <c r="AS5" s="498"/>
      <c r="AT5" s="498"/>
      <c r="AU5" s="498"/>
      <c r="AV5" s="498"/>
      <c r="AW5" s="498"/>
      <c r="AX5" s="498"/>
      <c r="AY5" s="498"/>
      <c r="AZ5" s="498"/>
      <c r="BA5" s="498"/>
      <c r="BB5" s="498"/>
      <c r="BC5" s="498"/>
      <c r="BD5" s="498"/>
      <c r="BE5" s="498"/>
      <c r="BF5" s="498"/>
      <c r="BG5" s="498"/>
      <c r="BH5" s="498"/>
      <c r="BI5" s="498"/>
      <c r="BJ5" s="498"/>
      <c r="BK5" s="498"/>
      <c r="BL5" s="498"/>
      <c r="BM5" s="498"/>
      <c r="BN5" s="498"/>
      <c r="BO5" s="498"/>
      <c r="BP5" s="498"/>
      <c r="BQ5" s="498"/>
      <c r="BR5" s="498"/>
      <c r="BS5" s="498"/>
      <c r="BT5" s="498"/>
      <c r="BU5" s="498"/>
      <c r="BV5" s="498"/>
      <c r="BW5" s="498"/>
      <c r="BX5" s="498"/>
      <c r="BY5" s="498"/>
      <c r="BZ5" s="498"/>
      <c r="CA5" s="498"/>
      <c r="CB5" s="498"/>
      <c r="CC5" s="498"/>
      <c r="CD5" s="498"/>
      <c r="CE5" s="498"/>
      <c r="CF5" s="498"/>
      <c r="CG5" s="498"/>
      <c r="CH5" s="498"/>
      <c r="CI5" s="498"/>
      <c r="CJ5" s="498"/>
      <c r="CK5" s="498"/>
      <c r="CL5" s="498"/>
      <c r="CM5" s="498"/>
      <c r="CN5" s="498"/>
      <c r="CO5" s="498"/>
      <c r="CP5" s="498"/>
      <c r="CQ5" s="498"/>
      <c r="CR5" s="498"/>
      <c r="CS5" s="498"/>
      <c r="CT5" s="498"/>
      <c r="CU5" s="498"/>
      <c r="CV5" s="498"/>
      <c r="CW5" s="498"/>
      <c r="CX5" s="498"/>
      <c r="CY5" s="498"/>
      <c r="CZ5" s="498"/>
      <c r="DA5" s="498"/>
      <c r="DB5" s="498"/>
      <c r="DC5" s="498"/>
      <c r="DD5" s="498"/>
      <c r="DE5" s="498"/>
      <c r="DF5" s="498"/>
      <c r="DG5" s="498"/>
      <c r="DH5" s="498"/>
      <c r="DI5" s="498"/>
      <c r="DJ5" s="498"/>
      <c r="DK5" s="498"/>
      <c r="DL5" s="498"/>
      <c r="DM5" s="498"/>
      <c r="DN5" s="498"/>
      <c r="DO5" s="498"/>
      <c r="DP5" s="498"/>
      <c r="DQ5" s="498"/>
      <c r="DR5" s="498"/>
      <c r="DS5" s="498"/>
      <c r="DT5" s="498"/>
      <c r="DU5" s="498"/>
      <c r="DV5" s="498"/>
      <c r="DW5" s="498"/>
      <c r="DX5" s="498"/>
      <c r="DY5" s="498"/>
      <c r="DZ5" s="498"/>
      <c r="EA5" s="498"/>
      <c r="EB5" s="498"/>
      <c r="EC5" s="498"/>
      <c r="ED5" s="498"/>
      <c r="EE5" s="498"/>
      <c r="EF5" s="498"/>
      <c r="EG5" s="498"/>
      <c r="EH5" s="498"/>
      <c r="EI5" s="498"/>
      <c r="EJ5" s="498"/>
      <c r="EK5" s="498"/>
      <c r="EL5" s="498"/>
      <c r="EM5" s="498"/>
      <c r="EN5" s="498"/>
      <c r="EO5" s="498"/>
      <c r="EP5" s="498"/>
      <c r="EQ5" s="498"/>
      <c r="ER5" s="498"/>
      <c r="ES5" s="498"/>
      <c r="ET5" s="498"/>
      <c r="EU5" s="498"/>
      <c r="EV5" s="498"/>
      <c r="EW5" s="498"/>
      <c r="EX5" s="498"/>
      <c r="EY5" s="498"/>
      <c r="EZ5" s="498"/>
      <c r="FA5" s="498"/>
      <c r="FB5" s="498"/>
      <c r="FC5" s="498"/>
      <c r="FD5" s="498"/>
      <c r="FE5" s="498"/>
      <c r="FF5" s="498"/>
      <c r="FG5" s="498"/>
      <c r="FH5" s="498"/>
      <c r="FI5" s="498"/>
      <c r="FJ5" s="498"/>
      <c r="FK5" s="498"/>
      <c r="FL5" s="498"/>
      <c r="FM5" s="498"/>
      <c r="FN5" s="498"/>
      <c r="FO5" s="498"/>
      <c r="FP5" s="498"/>
      <c r="FQ5" s="498"/>
      <c r="FR5" s="498"/>
      <c r="FS5" s="498"/>
      <c r="FT5" s="498"/>
      <c r="FU5" s="498"/>
      <c r="FV5" s="498"/>
      <c r="FW5" s="498"/>
      <c r="FX5" s="498"/>
      <c r="FY5" s="498"/>
      <c r="FZ5" s="498"/>
      <c r="GA5" s="498"/>
      <c r="GB5" s="498"/>
      <c r="GC5" s="498"/>
      <c r="GD5" s="498"/>
      <c r="GE5" s="498"/>
      <c r="GF5" s="498"/>
      <c r="GG5" s="498"/>
      <c r="GH5" s="498"/>
      <c r="GI5" s="498"/>
      <c r="GJ5" s="498"/>
      <c r="GK5" s="498"/>
      <c r="GL5" s="498"/>
      <c r="GM5" s="498"/>
      <c r="GN5" s="498"/>
      <c r="GO5" s="498"/>
      <c r="GP5" s="498"/>
      <c r="GQ5" s="498"/>
      <c r="GR5" s="498"/>
      <c r="GS5" s="498"/>
    </row>
    <row r="6" spans="1:201" ht="14.25" customHeight="1">
      <c r="A6" s="500"/>
      <c r="B6" s="497"/>
      <c r="C6" s="498"/>
      <c r="D6" s="498"/>
      <c r="E6" s="498"/>
      <c r="F6" s="498"/>
      <c r="G6" s="498"/>
      <c r="H6" s="498"/>
      <c r="I6" s="498"/>
      <c r="J6" s="498"/>
      <c r="K6" s="498"/>
      <c r="L6" s="498"/>
      <c r="M6" s="498"/>
      <c r="N6" s="498"/>
      <c r="O6" s="498"/>
      <c r="P6" s="498"/>
      <c r="Q6" s="498"/>
      <c r="R6" s="498"/>
      <c r="S6" s="498"/>
      <c r="T6" s="498"/>
      <c r="U6" s="498"/>
      <c r="V6" s="498"/>
      <c r="W6" s="498"/>
      <c r="X6" s="498"/>
      <c r="Y6" s="498"/>
      <c r="Z6" s="498"/>
      <c r="AA6" s="498"/>
      <c r="AB6" s="498"/>
      <c r="AC6" s="498"/>
      <c r="AD6" s="498"/>
      <c r="AE6" s="498"/>
      <c r="AF6" s="498"/>
      <c r="AG6" s="498"/>
      <c r="AH6" s="498"/>
      <c r="AI6" s="498"/>
      <c r="AJ6" s="498"/>
      <c r="AK6" s="498"/>
      <c r="AL6" s="498"/>
      <c r="AM6" s="498"/>
      <c r="AN6" s="498"/>
      <c r="AO6" s="498"/>
      <c r="AP6" s="498"/>
      <c r="AQ6" s="498"/>
      <c r="AR6" s="498"/>
      <c r="AS6" s="498"/>
      <c r="AT6" s="498"/>
      <c r="AU6" s="498"/>
      <c r="AV6" s="498"/>
      <c r="AW6" s="498"/>
      <c r="AX6" s="498"/>
      <c r="AY6" s="498"/>
      <c r="AZ6" s="498"/>
      <c r="BA6" s="498"/>
      <c r="BB6" s="498"/>
      <c r="BC6" s="498"/>
      <c r="BD6" s="498"/>
      <c r="BE6" s="498"/>
      <c r="BF6" s="498"/>
      <c r="BG6" s="498"/>
      <c r="BH6" s="498"/>
      <c r="BI6" s="498"/>
      <c r="BJ6" s="498"/>
      <c r="BK6" s="498"/>
      <c r="BL6" s="498"/>
      <c r="BM6" s="498"/>
      <c r="BN6" s="498"/>
      <c r="BO6" s="498"/>
      <c r="BP6" s="498"/>
      <c r="BQ6" s="498"/>
      <c r="BR6" s="498"/>
      <c r="BS6" s="498"/>
      <c r="BT6" s="498"/>
      <c r="BU6" s="498"/>
      <c r="BV6" s="498"/>
      <c r="BW6" s="498"/>
      <c r="BX6" s="498"/>
      <c r="BY6" s="498"/>
      <c r="BZ6" s="498"/>
      <c r="CA6" s="498"/>
      <c r="CB6" s="498"/>
      <c r="CC6" s="498"/>
      <c r="CD6" s="498"/>
      <c r="CE6" s="498"/>
      <c r="CF6" s="498"/>
      <c r="CG6" s="498"/>
      <c r="CH6" s="498"/>
      <c r="CI6" s="498"/>
      <c r="CJ6" s="498"/>
      <c r="CK6" s="498"/>
      <c r="CL6" s="498"/>
      <c r="CM6" s="498"/>
      <c r="CN6" s="498"/>
      <c r="CO6" s="498"/>
      <c r="CP6" s="498"/>
      <c r="CQ6" s="498"/>
      <c r="CR6" s="498"/>
      <c r="CS6" s="498"/>
      <c r="CT6" s="498"/>
      <c r="CU6" s="498"/>
      <c r="CV6" s="498"/>
      <c r="CW6" s="498"/>
      <c r="CX6" s="498"/>
      <c r="CY6" s="498"/>
      <c r="CZ6" s="498"/>
      <c r="DA6" s="498"/>
      <c r="DB6" s="498"/>
      <c r="DC6" s="498"/>
      <c r="DD6" s="498"/>
      <c r="DE6" s="498"/>
      <c r="DF6" s="498"/>
      <c r="DG6" s="498"/>
      <c r="DH6" s="498"/>
      <c r="DI6" s="498"/>
      <c r="DJ6" s="498"/>
      <c r="DK6" s="498"/>
      <c r="DL6" s="498"/>
      <c r="DM6" s="498"/>
      <c r="DN6" s="498"/>
      <c r="DO6" s="498"/>
      <c r="DP6" s="498"/>
      <c r="DQ6" s="498"/>
      <c r="DR6" s="498"/>
      <c r="DS6" s="498"/>
      <c r="DT6" s="498"/>
      <c r="DU6" s="498"/>
      <c r="DV6" s="498"/>
      <c r="DW6" s="498"/>
      <c r="DX6" s="498"/>
      <c r="DY6" s="498"/>
      <c r="DZ6" s="498"/>
      <c r="EA6" s="498"/>
      <c r="EB6" s="498"/>
      <c r="EC6" s="498"/>
      <c r="ED6" s="498"/>
      <c r="EE6" s="498"/>
      <c r="EF6" s="498"/>
      <c r="EG6" s="498"/>
      <c r="EH6" s="498"/>
      <c r="EI6" s="498"/>
      <c r="EJ6" s="498"/>
      <c r="EK6" s="498"/>
      <c r="EL6" s="498"/>
      <c r="EM6" s="498"/>
      <c r="EN6" s="498"/>
      <c r="EO6" s="498"/>
      <c r="EP6" s="498"/>
      <c r="EQ6" s="498"/>
      <c r="ER6" s="498"/>
      <c r="ES6" s="498"/>
      <c r="ET6" s="498"/>
      <c r="EU6" s="498"/>
      <c r="EV6" s="498"/>
      <c r="EW6" s="498"/>
      <c r="EX6" s="498"/>
      <c r="EY6" s="498"/>
      <c r="EZ6" s="498"/>
      <c r="FA6" s="498"/>
      <c r="FB6" s="498"/>
      <c r="FC6" s="498"/>
      <c r="FD6" s="498"/>
      <c r="FE6" s="498"/>
      <c r="FF6" s="498"/>
      <c r="FG6" s="498"/>
      <c r="FH6" s="498"/>
      <c r="FI6" s="498"/>
      <c r="FJ6" s="498"/>
      <c r="FK6" s="498"/>
      <c r="FL6" s="498"/>
      <c r="FM6" s="498"/>
      <c r="FN6" s="498"/>
      <c r="FO6" s="498"/>
      <c r="FP6" s="498"/>
      <c r="FQ6" s="498"/>
      <c r="FR6" s="498"/>
      <c r="FS6" s="498"/>
      <c r="FT6" s="498"/>
      <c r="FU6" s="498"/>
      <c r="FV6" s="498"/>
      <c r="FW6" s="498"/>
      <c r="FX6" s="498"/>
      <c r="FY6" s="498"/>
      <c r="FZ6" s="498"/>
      <c r="GA6" s="498"/>
      <c r="GB6" s="498"/>
      <c r="GC6" s="498"/>
      <c r="GD6" s="498"/>
      <c r="GE6" s="498"/>
      <c r="GF6" s="498"/>
      <c r="GG6" s="498"/>
      <c r="GH6" s="498"/>
      <c r="GI6" s="498"/>
      <c r="GJ6" s="498"/>
      <c r="GK6" s="498"/>
      <c r="GL6" s="498"/>
      <c r="GM6" s="498"/>
      <c r="GN6" s="498"/>
      <c r="GO6" s="498"/>
      <c r="GP6" s="498"/>
      <c r="GQ6" s="498"/>
      <c r="GR6" s="498"/>
      <c r="GS6" s="498"/>
    </row>
    <row r="7" spans="1:201" ht="14.25" customHeight="1">
      <c r="A7" s="501"/>
      <c r="B7" s="497"/>
      <c r="C7" s="498"/>
      <c r="D7" s="498"/>
      <c r="E7" s="498"/>
      <c r="F7" s="498"/>
      <c r="G7" s="498"/>
      <c r="H7" s="498"/>
      <c r="I7" s="498"/>
      <c r="J7" s="498"/>
      <c r="K7" s="498"/>
      <c r="L7" s="498"/>
      <c r="M7" s="498"/>
      <c r="N7" s="498"/>
      <c r="O7" s="498"/>
      <c r="P7" s="498"/>
      <c r="Q7" s="498"/>
      <c r="R7" s="498"/>
      <c r="S7" s="498"/>
      <c r="T7" s="498"/>
      <c r="U7" s="498"/>
      <c r="V7" s="498"/>
      <c r="W7" s="498"/>
      <c r="X7" s="498"/>
      <c r="Y7" s="498"/>
      <c r="Z7" s="498"/>
      <c r="AA7" s="498"/>
      <c r="AB7" s="498"/>
      <c r="AC7" s="498"/>
      <c r="AD7" s="498"/>
      <c r="AE7" s="498"/>
      <c r="AF7" s="498"/>
      <c r="AG7" s="498"/>
      <c r="AH7" s="498"/>
      <c r="AI7" s="498"/>
      <c r="AJ7" s="498"/>
      <c r="AK7" s="498"/>
      <c r="AL7" s="498"/>
      <c r="AM7" s="498"/>
      <c r="AN7" s="498"/>
      <c r="AO7" s="498"/>
      <c r="AP7" s="498"/>
      <c r="AQ7" s="498"/>
      <c r="AR7" s="498"/>
      <c r="AS7" s="498"/>
      <c r="AT7" s="498"/>
      <c r="AU7" s="498"/>
      <c r="AV7" s="498"/>
      <c r="AW7" s="498"/>
      <c r="AX7" s="498"/>
      <c r="AY7" s="498"/>
      <c r="AZ7" s="498"/>
      <c r="BA7" s="498"/>
      <c r="BB7" s="498"/>
      <c r="BC7" s="498"/>
      <c r="BD7" s="498"/>
      <c r="BE7" s="498"/>
      <c r="BF7" s="498"/>
      <c r="BG7" s="498"/>
      <c r="BH7" s="498"/>
      <c r="BI7" s="498"/>
      <c r="BJ7" s="498"/>
      <c r="BK7" s="498"/>
      <c r="BL7" s="498"/>
      <c r="BM7" s="498"/>
      <c r="BN7" s="498"/>
      <c r="BO7" s="498"/>
      <c r="BP7" s="498"/>
      <c r="BQ7" s="498"/>
      <c r="BR7" s="498"/>
      <c r="BS7" s="498"/>
      <c r="BT7" s="498"/>
      <c r="BU7" s="498"/>
      <c r="BV7" s="498"/>
      <c r="BW7" s="498"/>
      <c r="BX7" s="498"/>
      <c r="BY7" s="498"/>
      <c r="BZ7" s="498"/>
      <c r="CA7" s="498"/>
      <c r="CB7" s="498"/>
      <c r="CC7" s="498"/>
      <c r="CD7" s="498"/>
      <c r="CE7" s="498"/>
      <c r="CF7" s="498"/>
      <c r="CG7" s="498"/>
      <c r="CH7" s="498"/>
      <c r="CI7" s="498"/>
      <c r="CJ7" s="498"/>
      <c r="CK7" s="498"/>
      <c r="CL7" s="498"/>
      <c r="CM7" s="498"/>
      <c r="CN7" s="498"/>
      <c r="CO7" s="498"/>
      <c r="CP7" s="498"/>
      <c r="CQ7" s="498"/>
      <c r="CR7" s="498"/>
      <c r="CS7" s="498"/>
      <c r="CT7" s="498"/>
      <c r="CU7" s="498"/>
      <c r="CV7" s="498"/>
      <c r="CW7" s="498"/>
      <c r="CX7" s="498"/>
      <c r="CY7" s="498"/>
      <c r="CZ7" s="498"/>
      <c r="DA7" s="498"/>
      <c r="DB7" s="498"/>
      <c r="DC7" s="498"/>
      <c r="DD7" s="498"/>
      <c r="DE7" s="498"/>
      <c r="DF7" s="498"/>
      <c r="DG7" s="498"/>
      <c r="DH7" s="498"/>
      <c r="DI7" s="498"/>
      <c r="DJ7" s="498"/>
      <c r="DK7" s="498"/>
      <c r="DL7" s="498"/>
      <c r="DM7" s="498"/>
      <c r="DN7" s="498"/>
      <c r="DO7" s="498"/>
      <c r="DP7" s="498"/>
      <c r="DQ7" s="498"/>
      <c r="DR7" s="498"/>
      <c r="DS7" s="498"/>
      <c r="DT7" s="498"/>
      <c r="DU7" s="498"/>
      <c r="DV7" s="498"/>
      <c r="DW7" s="498"/>
      <c r="DX7" s="498"/>
      <c r="DY7" s="498"/>
      <c r="DZ7" s="498"/>
      <c r="EA7" s="498"/>
      <c r="EB7" s="498"/>
      <c r="EC7" s="498"/>
      <c r="ED7" s="498"/>
      <c r="EE7" s="498"/>
      <c r="EF7" s="498"/>
      <c r="EG7" s="498"/>
      <c r="EH7" s="498"/>
      <c r="EI7" s="498"/>
      <c r="EJ7" s="498"/>
      <c r="EK7" s="498"/>
      <c r="EL7" s="498"/>
      <c r="EM7" s="498"/>
      <c r="EN7" s="498"/>
      <c r="EO7" s="498"/>
      <c r="EP7" s="498"/>
      <c r="EQ7" s="498"/>
      <c r="ER7" s="498"/>
      <c r="ES7" s="498"/>
      <c r="ET7" s="498"/>
      <c r="EU7" s="498"/>
      <c r="EV7" s="498"/>
      <c r="EW7" s="498"/>
      <c r="EX7" s="498"/>
      <c r="EY7" s="498"/>
      <c r="EZ7" s="498"/>
      <c r="FA7" s="498"/>
      <c r="FB7" s="498"/>
      <c r="FC7" s="498"/>
      <c r="FD7" s="498"/>
      <c r="FE7" s="498"/>
      <c r="FF7" s="498"/>
      <c r="FG7" s="498"/>
      <c r="FH7" s="498"/>
      <c r="FI7" s="498"/>
      <c r="FJ7" s="498"/>
      <c r="FK7" s="498"/>
      <c r="FL7" s="498"/>
      <c r="FM7" s="498"/>
      <c r="FN7" s="498"/>
      <c r="FO7" s="498"/>
      <c r="FP7" s="498"/>
      <c r="FQ7" s="498"/>
      <c r="FR7" s="498"/>
      <c r="FS7" s="498"/>
      <c r="FT7" s="498"/>
      <c r="FU7" s="498"/>
      <c r="FV7" s="498"/>
      <c r="FW7" s="498"/>
      <c r="FX7" s="498"/>
      <c r="FY7" s="498"/>
      <c r="FZ7" s="498"/>
      <c r="GA7" s="498"/>
      <c r="GB7" s="498"/>
      <c r="GC7" s="498"/>
      <c r="GD7" s="498"/>
      <c r="GE7" s="498"/>
      <c r="GF7" s="498"/>
      <c r="GG7" s="498"/>
      <c r="GH7" s="498"/>
      <c r="GI7" s="498"/>
      <c r="GJ7" s="498"/>
      <c r="GK7" s="498"/>
      <c r="GL7" s="498"/>
      <c r="GM7" s="498"/>
      <c r="GN7" s="498"/>
      <c r="GO7" s="498"/>
      <c r="GP7" s="498"/>
      <c r="GQ7" s="498"/>
      <c r="GR7" s="498"/>
      <c r="GS7" s="498"/>
    </row>
    <row r="8" spans="1:201" ht="14.25" customHeight="1">
      <c r="A8" s="502" t="s">
        <v>1595</v>
      </c>
      <c r="B8" s="503"/>
      <c r="C8" s="498"/>
      <c r="D8" s="498"/>
      <c r="E8" s="498"/>
      <c r="F8" s="498"/>
      <c r="G8" s="498"/>
      <c r="H8" s="498"/>
      <c r="I8" s="498"/>
      <c r="J8" s="498"/>
      <c r="K8" s="498"/>
      <c r="L8" s="498"/>
      <c r="M8" s="498"/>
      <c r="N8" s="498"/>
      <c r="O8" s="498"/>
      <c r="P8" s="498"/>
      <c r="Q8" s="498"/>
      <c r="R8" s="498"/>
      <c r="S8" s="498"/>
      <c r="T8" s="498"/>
      <c r="U8" s="498"/>
      <c r="V8" s="498"/>
      <c r="W8" s="498"/>
      <c r="X8" s="498"/>
      <c r="Y8" s="498"/>
      <c r="Z8" s="498"/>
      <c r="AA8" s="498"/>
      <c r="AB8" s="498"/>
      <c r="AC8" s="498"/>
      <c r="AD8" s="498"/>
      <c r="AE8" s="498"/>
      <c r="AF8" s="498"/>
      <c r="AG8" s="498"/>
      <c r="AH8" s="498"/>
      <c r="AI8" s="498"/>
      <c r="AJ8" s="498"/>
      <c r="AK8" s="498"/>
      <c r="AL8" s="498"/>
      <c r="AM8" s="498"/>
      <c r="AN8" s="498"/>
      <c r="AO8" s="498"/>
      <c r="AP8" s="498"/>
      <c r="AQ8" s="498"/>
      <c r="AR8" s="498"/>
      <c r="AS8" s="498"/>
      <c r="AT8" s="498"/>
      <c r="AU8" s="498"/>
      <c r="AV8" s="498"/>
      <c r="AW8" s="498"/>
      <c r="AX8" s="498"/>
      <c r="AY8" s="498"/>
      <c r="AZ8" s="498"/>
      <c r="BA8" s="498"/>
      <c r="BB8" s="498"/>
      <c r="BC8" s="498"/>
      <c r="BD8" s="498"/>
      <c r="BE8" s="498"/>
      <c r="BF8" s="498"/>
      <c r="BG8" s="498"/>
      <c r="BH8" s="498"/>
      <c r="BI8" s="498"/>
      <c r="BJ8" s="498"/>
      <c r="BK8" s="498"/>
      <c r="BL8" s="498"/>
      <c r="BM8" s="498"/>
      <c r="BN8" s="498"/>
      <c r="BO8" s="498"/>
      <c r="BP8" s="498"/>
      <c r="BQ8" s="498"/>
      <c r="BR8" s="498"/>
      <c r="BS8" s="498"/>
      <c r="BT8" s="498"/>
      <c r="BU8" s="498"/>
      <c r="BV8" s="498"/>
      <c r="BW8" s="498"/>
      <c r="BX8" s="498"/>
      <c r="BY8" s="498"/>
      <c r="BZ8" s="498"/>
      <c r="CA8" s="498"/>
      <c r="CB8" s="498"/>
      <c r="CC8" s="498"/>
      <c r="CD8" s="498"/>
      <c r="CE8" s="498"/>
      <c r="CF8" s="498"/>
      <c r="CG8" s="498"/>
      <c r="CH8" s="498"/>
      <c r="CI8" s="498"/>
      <c r="CJ8" s="498"/>
      <c r="CK8" s="498"/>
      <c r="CL8" s="498"/>
      <c r="CM8" s="498"/>
      <c r="CN8" s="498"/>
      <c r="CO8" s="498"/>
      <c r="CP8" s="498"/>
      <c r="CQ8" s="498"/>
      <c r="CR8" s="498"/>
      <c r="CS8" s="498"/>
      <c r="CT8" s="498"/>
      <c r="CU8" s="498"/>
      <c r="CV8" s="498"/>
      <c r="CW8" s="498"/>
      <c r="CX8" s="498"/>
      <c r="CY8" s="498"/>
      <c r="CZ8" s="498"/>
      <c r="DA8" s="498"/>
      <c r="DB8" s="498"/>
      <c r="DC8" s="498"/>
      <c r="DD8" s="498"/>
      <c r="DE8" s="498"/>
      <c r="DF8" s="498"/>
      <c r="DG8" s="498"/>
      <c r="DH8" s="498"/>
      <c r="DI8" s="498"/>
      <c r="DJ8" s="498"/>
      <c r="DK8" s="498"/>
      <c r="DL8" s="498"/>
      <c r="DM8" s="498"/>
      <c r="DN8" s="498"/>
      <c r="DO8" s="498"/>
      <c r="DP8" s="498"/>
      <c r="DQ8" s="498"/>
      <c r="DR8" s="498"/>
      <c r="DS8" s="498"/>
      <c r="DT8" s="498"/>
      <c r="DU8" s="498"/>
      <c r="DV8" s="498"/>
      <c r="DW8" s="498"/>
      <c r="DX8" s="498"/>
      <c r="DY8" s="498"/>
      <c r="DZ8" s="498"/>
      <c r="EA8" s="498"/>
      <c r="EB8" s="498"/>
      <c r="EC8" s="498"/>
      <c r="ED8" s="498"/>
      <c r="EE8" s="498"/>
      <c r="EF8" s="498"/>
      <c r="EG8" s="498"/>
      <c r="EH8" s="498"/>
      <c r="EI8" s="498"/>
      <c r="EJ8" s="498"/>
      <c r="EK8" s="498"/>
      <c r="EL8" s="498"/>
      <c r="EM8" s="498"/>
      <c r="EN8" s="498"/>
      <c r="EO8" s="498"/>
      <c r="EP8" s="498"/>
      <c r="EQ8" s="498"/>
      <c r="ER8" s="498"/>
      <c r="ES8" s="498"/>
      <c r="ET8" s="498"/>
      <c r="EU8" s="498"/>
      <c r="EV8" s="498"/>
      <c r="EW8" s="498"/>
      <c r="EX8" s="498"/>
      <c r="EY8" s="498"/>
      <c r="EZ8" s="498"/>
      <c r="FA8" s="498"/>
      <c r="FB8" s="498"/>
      <c r="FC8" s="498"/>
      <c r="FD8" s="498"/>
      <c r="FE8" s="498"/>
      <c r="FF8" s="498"/>
      <c r="FG8" s="498"/>
      <c r="FH8" s="498"/>
      <c r="FI8" s="498"/>
      <c r="FJ8" s="498"/>
      <c r="FK8" s="498"/>
      <c r="FL8" s="498"/>
      <c r="FM8" s="498"/>
      <c r="FN8" s="498"/>
      <c r="FO8" s="498"/>
      <c r="FP8" s="498"/>
      <c r="FQ8" s="498"/>
      <c r="FR8" s="498"/>
      <c r="FS8" s="498"/>
      <c r="FT8" s="498"/>
      <c r="FU8" s="498"/>
      <c r="FV8" s="498"/>
      <c r="FW8" s="498"/>
      <c r="FX8" s="498"/>
      <c r="FY8" s="498"/>
      <c r="FZ8" s="498"/>
      <c r="GA8" s="498"/>
      <c r="GB8" s="498"/>
      <c r="GC8" s="498"/>
      <c r="GD8" s="498"/>
      <c r="GE8" s="498"/>
      <c r="GF8" s="498"/>
      <c r="GG8" s="498"/>
      <c r="GH8" s="498"/>
      <c r="GI8" s="498"/>
      <c r="GJ8" s="498"/>
      <c r="GK8" s="498"/>
      <c r="GL8" s="498"/>
      <c r="GM8" s="498"/>
      <c r="GN8" s="498"/>
      <c r="GO8" s="498"/>
      <c r="GP8" s="498"/>
      <c r="GQ8" s="498"/>
      <c r="GR8" s="498"/>
      <c r="GS8" s="498"/>
    </row>
    <row r="9" spans="1:201" ht="14.25" customHeight="1">
      <c r="A9" s="504" t="s">
        <v>1596</v>
      </c>
      <c r="B9" s="505"/>
      <c r="C9" s="498"/>
      <c r="D9" s="498"/>
      <c r="E9" s="498"/>
      <c r="F9" s="498"/>
      <c r="G9" s="498"/>
      <c r="H9" s="498"/>
      <c r="I9" s="498"/>
      <c r="J9" s="498"/>
      <c r="K9" s="498"/>
      <c r="L9" s="498"/>
      <c r="M9" s="498"/>
      <c r="N9" s="498"/>
      <c r="O9" s="498"/>
      <c r="P9" s="498"/>
      <c r="Q9" s="498"/>
      <c r="R9" s="498"/>
      <c r="S9" s="498"/>
      <c r="T9" s="498"/>
      <c r="U9" s="498"/>
      <c r="V9" s="498"/>
      <c r="W9" s="498"/>
      <c r="X9" s="498"/>
      <c r="Y9" s="498"/>
      <c r="Z9" s="498"/>
      <c r="AA9" s="498"/>
      <c r="AB9" s="498"/>
      <c r="AC9" s="498"/>
      <c r="AD9" s="498"/>
      <c r="AE9" s="498"/>
      <c r="AF9" s="498"/>
      <c r="AG9" s="498"/>
      <c r="AH9" s="498"/>
      <c r="AI9" s="498"/>
      <c r="AJ9" s="498"/>
      <c r="AK9" s="498"/>
      <c r="AL9" s="498"/>
      <c r="AM9" s="498"/>
      <c r="AN9" s="498"/>
      <c r="AO9" s="498"/>
      <c r="AP9" s="498"/>
      <c r="AQ9" s="498"/>
      <c r="AR9" s="498"/>
      <c r="AS9" s="498"/>
      <c r="AT9" s="498"/>
      <c r="AU9" s="498"/>
      <c r="AV9" s="498"/>
      <c r="AW9" s="498"/>
      <c r="AX9" s="498"/>
      <c r="AY9" s="498"/>
      <c r="AZ9" s="498"/>
      <c r="BA9" s="498"/>
      <c r="BB9" s="498"/>
      <c r="BC9" s="498"/>
      <c r="BD9" s="498"/>
      <c r="BE9" s="498"/>
      <c r="BF9" s="498"/>
      <c r="BG9" s="498"/>
      <c r="BH9" s="498"/>
      <c r="BI9" s="498"/>
      <c r="BJ9" s="498"/>
      <c r="BK9" s="498"/>
      <c r="BL9" s="498"/>
      <c r="BM9" s="498"/>
      <c r="BN9" s="498"/>
      <c r="BO9" s="498"/>
      <c r="BP9" s="498"/>
      <c r="BQ9" s="498"/>
      <c r="BR9" s="498"/>
      <c r="BS9" s="498"/>
      <c r="BT9" s="498"/>
      <c r="BU9" s="498"/>
      <c r="BV9" s="498"/>
      <c r="BW9" s="498"/>
      <c r="BX9" s="498"/>
      <c r="BY9" s="498"/>
      <c r="BZ9" s="498"/>
      <c r="CA9" s="498"/>
      <c r="CB9" s="498"/>
      <c r="CC9" s="498"/>
      <c r="CD9" s="498"/>
      <c r="CE9" s="498"/>
      <c r="CF9" s="498"/>
      <c r="CG9" s="498"/>
      <c r="CH9" s="498"/>
      <c r="CI9" s="498"/>
      <c r="CJ9" s="498"/>
      <c r="CK9" s="498"/>
      <c r="CL9" s="498"/>
      <c r="CM9" s="498"/>
      <c r="CN9" s="498"/>
      <c r="CO9" s="498"/>
      <c r="CP9" s="498"/>
      <c r="CQ9" s="498"/>
      <c r="CR9" s="498"/>
      <c r="CS9" s="498"/>
      <c r="CT9" s="498"/>
      <c r="CU9" s="498"/>
      <c r="CV9" s="498"/>
      <c r="CW9" s="498"/>
      <c r="CX9" s="498"/>
      <c r="CY9" s="498"/>
      <c r="CZ9" s="498"/>
      <c r="DA9" s="498"/>
      <c r="DB9" s="498"/>
      <c r="DC9" s="498"/>
      <c r="DD9" s="498"/>
      <c r="DE9" s="498"/>
      <c r="DF9" s="498"/>
      <c r="DG9" s="498"/>
      <c r="DH9" s="498"/>
      <c r="DI9" s="498"/>
      <c r="DJ9" s="498"/>
      <c r="DK9" s="498"/>
      <c r="DL9" s="498"/>
      <c r="DM9" s="498"/>
      <c r="DN9" s="498"/>
      <c r="DO9" s="498"/>
      <c r="DP9" s="498"/>
      <c r="DQ9" s="498"/>
      <c r="DR9" s="498"/>
      <c r="DS9" s="498"/>
      <c r="DT9" s="498"/>
      <c r="DU9" s="498"/>
      <c r="DV9" s="498"/>
      <c r="DW9" s="498"/>
      <c r="DX9" s="498"/>
      <c r="DY9" s="498"/>
      <c r="DZ9" s="498"/>
      <c r="EA9" s="498"/>
      <c r="EB9" s="498"/>
      <c r="EC9" s="498"/>
      <c r="ED9" s="498"/>
      <c r="EE9" s="498"/>
      <c r="EF9" s="498"/>
      <c r="EG9" s="498"/>
      <c r="EH9" s="498"/>
      <c r="EI9" s="498"/>
      <c r="EJ9" s="498"/>
      <c r="EK9" s="498"/>
      <c r="EL9" s="498"/>
      <c r="EM9" s="498"/>
      <c r="EN9" s="498"/>
      <c r="EO9" s="498"/>
      <c r="EP9" s="498"/>
      <c r="EQ9" s="498"/>
      <c r="ER9" s="498"/>
      <c r="ES9" s="498"/>
      <c r="ET9" s="498"/>
      <c r="EU9" s="498"/>
      <c r="EV9" s="498"/>
      <c r="EW9" s="498"/>
      <c r="EX9" s="498"/>
      <c r="EY9" s="498"/>
      <c r="EZ9" s="498"/>
      <c r="FA9" s="498"/>
      <c r="FB9" s="498"/>
      <c r="FC9" s="498"/>
      <c r="FD9" s="498"/>
      <c r="FE9" s="498"/>
      <c r="FF9" s="498"/>
      <c r="FG9" s="498"/>
      <c r="FH9" s="498"/>
      <c r="FI9" s="498"/>
      <c r="FJ9" s="498"/>
      <c r="FK9" s="498"/>
      <c r="FL9" s="498"/>
      <c r="FM9" s="498"/>
      <c r="FN9" s="498"/>
      <c r="FO9" s="498"/>
      <c r="FP9" s="498"/>
      <c r="FQ9" s="498"/>
      <c r="FR9" s="498"/>
      <c r="FS9" s="498"/>
      <c r="FT9" s="498"/>
      <c r="FU9" s="498"/>
      <c r="FV9" s="498"/>
      <c r="FW9" s="498"/>
      <c r="FX9" s="498"/>
      <c r="FY9" s="498"/>
      <c r="FZ9" s="498"/>
      <c r="GA9" s="498"/>
      <c r="GB9" s="498"/>
      <c r="GC9" s="498"/>
      <c r="GD9" s="498"/>
      <c r="GE9" s="498"/>
      <c r="GF9" s="498"/>
      <c r="GG9" s="498"/>
      <c r="GH9" s="498"/>
      <c r="GI9" s="498"/>
      <c r="GJ9" s="498"/>
      <c r="GK9" s="498"/>
      <c r="GL9" s="498"/>
      <c r="GM9" s="498"/>
      <c r="GN9" s="498"/>
      <c r="GO9" s="498"/>
      <c r="GP9" s="498"/>
      <c r="GQ9" s="498"/>
      <c r="GR9" s="498"/>
      <c r="GS9" s="498"/>
    </row>
    <row r="10" spans="1:201" ht="14.25" customHeight="1">
      <c r="A10" s="424" t="s">
        <v>1597</v>
      </c>
      <c r="B10" s="425"/>
      <c r="C10" s="506">
        <v>27089</v>
      </c>
      <c r="D10" s="506">
        <v>27181</v>
      </c>
      <c r="E10" s="506">
        <v>27273</v>
      </c>
      <c r="F10" s="506">
        <v>27364</v>
      </c>
      <c r="G10" s="506">
        <v>27454</v>
      </c>
      <c r="H10" s="506">
        <v>27546</v>
      </c>
      <c r="I10" s="506">
        <v>27638</v>
      </c>
      <c r="J10" s="506">
        <v>27729</v>
      </c>
      <c r="K10" s="506">
        <v>27820</v>
      </c>
      <c r="L10" s="506">
        <v>27912</v>
      </c>
      <c r="M10" s="506">
        <v>28004</v>
      </c>
      <c r="N10" s="506">
        <v>28095</v>
      </c>
      <c r="O10" s="506">
        <v>28185</v>
      </c>
      <c r="P10" s="506">
        <v>28277</v>
      </c>
      <c r="Q10" s="506">
        <v>28369</v>
      </c>
      <c r="R10" s="506">
        <v>28460</v>
      </c>
      <c r="S10" s="506">
        <v>28550</v>
      </c>
      <c r="T10" s="506">
        <v>28642</v>
      </c>
      <c r="U10" s="506">
        <v>28734</v>
      </c>
      <c r="V10" s="506">
        <v>28825</v>
      </c>
      <c r="W10" s="506">
        <v>28915</v>
      </c>
      <c r="X10" s="506">
        <v>29007</v>
      </c>
      <c r="Y10" s="506">
        <v>29099</v>
      </c>
      <c r="Z10" s="506">
        <v>29190</v>
      </c>
      <c r="AA10" s="506">
        <v>29281</v>
      </c>
      <c r="AB10" s="506">
        <v>29373</v>
      </c>
      <c r="AC10" s="506">
        <v>29465</v>
      </c>
      <c r="AD10" s="506">
        <v>29556</v>
      </c>
      <c r="AE10" s="506">
        <v>29646</v>
      </c>
      <c r="AF10" s="506">
        <v>29738</v>
      </c>
      <c r="AG10" s="506">
        <v>29830</v>
      </c>
      <c r="AH10" s="506">
        <v>29921</v>
      </c>
      <c r="AI10" s="506">
        <v>30011</v>
      </c>
      <c r="AJ10" s="506">
        <v>30103</v>
      </c>
      <c r="AK10" s="506">
        <v>30195</v>
      </c>
      <c r="AL10" s="506">
        <v>30286</v>
      </c>
      <c r="AM10" s="506">
        <v>30376</v>
      </c>
      <c r="AN10" s="506">
        <v>30468</v>
      </c>
      <c r="AO10" s="506">
        <v>30560</v>
      </c>
      <c r="AP10" s="506">
        <v>30651</v>
      </c>
      <c r="AQ10" s="506">
        <v>30742</v>
      </c>
      <c r="AR10" s="506">
        <v>30834</v>
      </c>
      <c r="AS10" s="506">
        <v>30926</v>
      </c>
      <c r="AT10" s="506">
        <v>31017</v>
      </c>
      <c r="AU10" s="506">
        <v>31107</v>
      </c>
      <c r="AV10" s="506">
        <v>31199</v>
      </c>
      <c r="AW10" s="506">
        <v>31291</v>
      </c>
      <c r="AX10" s="506">
        <v>31382</v>
      </c>
      <c r="AY10" s="506">
        <v>31472</v>
      </c>
      <c r="AZ10" s="506">
        <v>31564</v>
      </c>
      <c r="BA10" s="506">
        <v>31656</v>
      </c>
      <c r="BB10" s="506">
        <v>31747</v>
      </c>
      <c r="BC10" s="506">
        <v>31837</v>
      </c>
      <c r="BD10" s="506">
        <v>31929</v>
      </c>
      <c r="BE10" s="506">
        <v>32021</v>
      </c>
      <c r="BF10" s="506">
        <v>32112</v>
      </c>
      <c r="BG10" s="506">
        <v>32203</v>
      </c>
      <c r="BH10" s="506">
        <v>32295</v>
      </c>
      <c r="BI10" s="506">
        <v>32387</v>
      </c>
      <c r="BJ10" s="506">
        <v>32478</v>
      </c>
      <c r="BK10" s="506">
        <v>32568</v>
      </c>
      <c r="BL10" s="506">
        <v>32660</v>
      </c>
      <c r="BM10" s="506">
        <v>32752</v>
      </c>
      <c r="BN10" s="506">
        <v>32843</v>
      </c>
      <c r="BO10" s="506">
        <v>32933</v>
      </c>
      <c r="BP10" s="506">
        <v>33025</v>
      </c>
      <c r="BQ10" s="506">
        <v>33117</v>
      </c>
      <c r="BR10" s="506">
        <v>33208</v>
      </c>
      <c r="BS10" s="506">
        <v>33298</v>
      </c>
      <c r="BT10" s="506">
        <v>33390</v>
      </c>
      <c r="BU10" s="506">
        <v>33482</v>
      </c>
      <c r="BV10" s="506">
        <v>33573</v>
      </c>
      <c r="BW10" s="506">
        <v>33664</v>
      </c>
      <c r="BX10" s="506">
        <v>33756</v>
      </c>
      <c r="BY10" s="506">
        <v>33848</v>
      </c>
      <c r="BZ10" s="506">
        <v>33939</v>
      </c>
      <c r="CA10" s="506">
        <v>34029</v>
      </c>
      <c r="CB10" s="506">
        <v>34121</v>
      </c>
      <c r="CC10" s="506">
        <v>34213</v>
      </c>
      <c r="CD10" s="506">
        <v>34304</v>
      </c>
      <c r="CE10" s="506">
        <v>34394</v>
      </c>
      <c r="CF10" s="506">
        <v>34486</v>
      </c>
      <c r="CG10" s="506">
        <v>34578</v>
      </c>
      <c r="CH10" s="506">
        <v>34669</v>
      </c>
      <c r="CI10" s="506">
        <v>34759</v>
      </c>
      <c r="CJ10" s="506">
        <v>34851</v>
      </c>
      <c r="CK10" s="506">
        <v>34943</v>
      </c>
      <c r="CL10" s="506">
        <v>35034</v>
      </c>
      <c r="CM10" s="506">
        <v>35125</v>
      </c>
      <c r="CN10" s="506">
        <v>35217</v>
      </c>
      <c r="CO10" s="506">
        <v>35309</v>
      </c>
      <c r="CP10" s="506">
        <v>35400</v>
      </c>
      <c r="CQ10" s="506">
        <v>35490</v>
      </c>
      <c r="CR10" s="506">
        <v>35582</v>
      </c>
      <c r="CS10" s="506">
        <v>35674</v>
      </c>
      <c r="CT10" s="506">
        <v>35765</v>
      </c>
      <c r="CU10" s="506">
        <v>35855</v>
      </c>
      <c r="CV10" s="506">
        <v>35947</v>
      </c>
      <c r="CW10" s="506">
        <v>36039</v>
      </c>
      <c r="CX10" s="506">
        <v>36130</v>
      </c>
      <c r="CY10" s="506">
        <v>36220</v>
      </c>
      <c r="CZ10" s="506">
        <v>36312</v>
      </c>
      <c r="DA10" s="506">
        <v>36404</v>
      </c>
      <c r="DB10" s="506">
        <v>36495</v>
      </c>
      <c r="DC10" s="506">
        <v>36586</v>
      </c>
      <c r="DD10" s="506">
        <v>36678</v>
      </c>
      <c r="DE10" s="506">
        <v>36770</v>
      </c>
      <c r="DF10" s="506">
        <v>36861</v>
      </c>
      <c r="DG10" s="506">
        <v>36951</v>
      </c>
      <c r="DH10" s="506">
        <v>37043</v>
      </c>
      <c r="DI10" s="506">
        <v>37135</v>
      </c>
      <c r="DJ10" s="506">
        <v>37226</v>
      </c>
      <c r="DK10" s="506">
        <v>37316</v>
      </c>
      <c r="DL10" s="506">
        <v>37408</v>
      </c>
      <c r="DM10" s="506">
        <v>37500</v>
      </c>
      <c r="DN10" s="506">
        <v>37591</v>
      </c>
      <c r="DO10" s="506">
        <v>37681</v>
      </c>
      <c r="DP10" s="506">
        <v>37773</v>
      </c>
      <c r="DQ10" s="506">
        <v>37865</v>
      </c>
      <c r="DR10" s="506">
        <v>37956</v>
      </c>
      <c r="DS10" s="506">
        <v>38047</v>
      </c>
      <c r="DT10" s="506">
        <v>38139</v>
      </c>
      <c r="DU10" s="506">
        <v>38231</v>
      </c>
      <c r="DV10" s="506">
        <v>38322</v>
      </c>
      <c r="DW10" s="506">
        <v>38412</v>
      </c>
      <c r="DX10" s="506">
        <v>38504</v>
      </c>
      <c r="DY10" s="506">
        <v>38596</v>
      </c>
      <c r="DZ10" s="506">
        <v>38687</v>
      </c>
      <c r="EA10" s="506">
        <v>38777</v>
      </c>
      <c r="EB10" s="506">
        <v>38869</v>
      </c>
      <c r="EC10" s="506">
        <v>38961</v>
      </c>
      <c r="ED10" s="506">
        <v>39052</v>
      </c>
      <c r="EE10" s="506">
        <v>39142</v>
      </c>
      <c r="EF10" s="506">
        <v>39234</v>
      </c>
      <c r="EG10" s="506">
        <v>39326</v>
      </c>
      <c r="EH10" s="506">
        <v>39417</v>
      </c>
      <c r="EI10" s="506">
        <v>39508</v>
      </c>
      <c r="EJ10" s="506">
        <v>39600</v>
      </c>
      <c r="EK10" s="506">
        <v>39692</v>
      </c>
      <c r="EL10" s="506">
        <v>39783</v>
      </c>
      <c r="EM10" s="506">
        <v>39873</v>
      </c>
      <c r="EN10" s="506">
        <v>39965</v>
      </c>
      <c r="EO10" s="506">
        <v>40057</v>
      </c>
      <c r="EP10" s="506">
        <v>40148</v>
      </c>
      <c r="EQ10" s="506">
        <v>40238</v>
      </c>
      <c r="ER10" s="506">
        <v>40330</v>
      </c>
      <c r="ES10" s="506">
        <v>40422</v>
      </c>
      <c r="ET10" s="506">
        <v>40513</v>
      </c>
      <c r="EU10" s="506">
        <v>40603</v>
      </c>
      <c r="EV10" s="506">
        <v>40695</v>
      </c>
      <c r="EW10" s="506">
        <v>40787</v>
      </c>
      <c r="EX10" s="506">
        <v>40878</v>
      </c>
      <c r="EY10" s="506">
        <v>40969</v>
      </c>
      <c r="EZ10" s="506">
        <v>41061</v>
      </c>
      <c r="FA10" s="506">
        <v>41153</v>
      </c>
      <c r="FB10" s="506">
        <v>41244</v>
      </c>
      <c r="FC10" s="506">
        <v>41334</v>
      </c>
      <c r="FD10" s="506">
        <v>41426</v>
      </c>
      <c r="FE10" s="506">
        <v>41518</v>
      </c>
      <c r="FF10" s="506">
        <v>41609</v>
      </c>
      <c r="FG10" s="506">
        <v>41699</v>
      </c>
      <c r="FH10" s="506">
        <v>41791</v>
      </c>
      <c r="FI10" s="506">
        <v>41883</v>
      </c>
      <c r="FJ10" s="506">
        <v>41974</v>
      </c>
      <c r="FK10" s="506">
        <v>42064</v>
      </c>
      <c r="FL10" s="506">
        <v>42156</v>
      </c>
      <c r="FM10" s="506">
        <v>42248</v>
      </c>
      <c r="FN10" s="506">
        <v>42339</v>
      </c>
      <c r="FO10" s="506">
        <v>42430</v>
      </c>
      <c r="FP10" s="506">
        <v>42522</v>
      </c>
      <c r="FQ10" s="506">
        <v>42614</v>
      </c>
      <c r="FR10" s="506">
        <v>42705</v>
      </c>
      <c r="FS10" s="506">
        <v>42795</v>
      </c>
      <c r="FT10" s="506">
        <v>42887</v>
      </c>
      <c r="FU10" s="506">
        <v>42979</v>
      </c>
      <c r="FV10" s="506">
        <v>43070</v>
      </c>
      <c r="FW10" s="506">
        <v>43160</v>
      </c>
      <c r="FX10" s="506">
        <v>43252</v>
      </c>
      <c r="FY10" s="506">
        <v>43344</v>
      </c>
      <c r="FZ10" s="506">
        <v>43435</v>
      </c>
      <c r="GA10" s="506">
        <v>43525</v>
      </c>
      <c r="GB10" s="506">
        <v>43617</v>
      </c>
      <c r="GC10" s="506">
        <v>43709</v>
      </c>
      <c r="GD10" s="506">
        <v>43800</v>
      </c>
      <c r="GE10" s="506">
        <v>43891</v>
      </c>
      <c r="GF10" s="506">
        <v>43983</v>
      </c>
      <c r="GG10" s="506">
        <v>44075</v>
      </c>
      <c r="GH10" s="506">
        <v>44166</v>
      </c>
      <c r="GI10" s="506">
        <v>44256</v>
      </c>
      <c r="GJ10" s="506">
        <v>44348</v>
      </c>
      <c r="GK10" s="506">
        <v>44440</v>
      </c>
      <c r="GL10" s="506">
        <v>44531</v>
      </c>
      <c r="GM10" s="506">
        <v>44621</v>
      </c>
      <c r="GN10" s="506">
        <v>44713</v>
      </c>
      <c r="GO10" s="506">
        <v>44805</v>
      </c>
      <c r="GP10" s="506">
        <v>44896</v>
      </c>
      <c r="GQ10" s="506">
        <v>44986</v>
      </c>
      <c r="GR10" s="506">
        <v>45078</v>
      </c>
      <c r="GS10" s="426">
        <v>45192</v>
      </c>
    </row>
    <row r="11" spans="1:201" ht="14.25" customHeight="1">
      <c r="A11" s="507"/>
      <c r="B11" s="508" t="s">
        <v>1598</v>
      </c>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509"/>
      <c r="AE11" s="509"/>
      <c r="AF11" s="509"/>
      <c r="AG11" s="509"/>
      <c r="AH11" s="509"/>
      <c r="AI11" s="509"/>
      <c r="AJ11" s="509"/>
      <c r="AK11" s="509"/>
      <c r="AL11" s="509"/>
      <c r="AM11" s="509"/>
      <c r="AN11" s="510"/>
      <c r="AO11" s="510"/>
      <c r="AP11" s="510"/>
      <c r="AQ11" s="510"/>
      <c r="AR11" s="510"/>
      <c r="AS11" s="510"/>
      <c r="AT11" s="510"/>
      <c r="AU11" s="510"/>
      <c r="AV11" s="510"/>
      <c r="AW11" s="510"/>
      <c r="AX11" s="510"/>
      <c r="AY11" s="510"/>
      <c r="AZ11" s="510"/>
      <c r="BA11" s="510"/>
      <c r="BB11" s="510"/>
      <c r="BC11" s="510"/>
      <c r="BD11" s="510"/>
      <c r="BE11" s="510"/>
      <c r="BF11" s="510"/>
      <c r="BG11" s="510"/>
      <c r="BH11" s="510"/>
      <c r="BI11" s="510"/>
      <c r="BJ11" s="510"/>
      <c r="BK11" s="510"/>
      <c r="BL11" s="510"/>
      <c r="BM11" s="510"/>
      <c r="BN11" s="510"/>
      <c r="BO11" s="510"/>
      <c r="BP11" s="510"/>
      <c r="BQ11" s="510"/>
      <c r="BR11" s="510"/>
      <c r="BS11" s="510"/>
      <c r="BT11" s="510"/>
      <c r="BU11" s="510"/>
      <c r="BV11" s="510"/>
      <c r="BW11" s="510"/>
      <c r="BX11" s="510"/>
      <c r="BY11" s="510"/>
      <c r="BZ11" s="510"/>
      <c r="CA11" s="510"/>
      <c r="CB11" s="510"/>
      <c r="CC11" s="510"/>
      <c r="CD11" s="510"/>
      <c r="CE11" s="510"/>
      <c r="CF11" s="510"/>
      <c r="CG11" s="510"/>
      <c r="CH11" s="510"/>
      <c r="CI11" s="510"/>
      <c r="CJ11" s="510"/>
      <c r="CK11" s="510"/>
      <c r="CL11" s="510"/>
      <c r="CM11" s="510"/>
      <c r="CN11" s="510"/>
      <c r="CO11" s="510"/>
      <c r="CP11" s="510"/>
      <c r="CQ11" s="510"/>
      <c r="CR11" s="510"/>
      <c r="CS11" s="510"/>
      <c r="CT11" s="510"/>
      <c r="CU11" s="510"/>
      <c r="CV11" s="510"/>
      <c r="CW11" s="510"/>
      <c r="CX11" s="510"/>
      <c r="CY11" s="510"/>
      <c r="CZ11" s="510"/>
      <c r="DA11" s="510"/>
      <c r="DB11" s="510"/>
      <c r="DC11" s="510"/>
      <c r="DD11" s="510"/>
      <c r="DE11" s="510"/>
      <c r="DF11" s="510"/>
      <c r="DG11" s="510"/>
      <c r="DH11" s="510"/>
      <c r="DI11" s="510"/>
      <c r="DJ11" s="510"/>
      <c r="DK11" s="510"/>
      <c r="DL11" s="510"/>
      <c r="DM11" s="510"/>
      <c r="DN11" s="510"/>
      <c r="DO11" s="510"/>
      <c r="DP11" s="510"/>
      <c r="DQ11" s="510"/>
      <c r="DR11" s="510"/>
      <c r="DS11" s="510"/>
      <c r="DT11" s="510"/>
      <c r="DU11" s="510"/>
      <c r="DV11" s="510"/>
      <c r="DW11" s="510"/>
      <c r="DX11" s="510"/>
      <c r="DY11" s="510"/>
      <c r="DZ11" s="510"/>
      <c r="EA11" s="510"/>
      <c r="EB11" s="510"/>
      <c r="EC11" s="510"/>
      <c r="ED11" s="510"/>
      <c r="EE11" s="510"/>
      <c r="EF11" s="510"/>
      <c r="EG11" s="510"/>
      <c r="EH11" s="510"/>
      <c r="EI11" s="510"/>
      <c r="EJ11" s="510"/>
      <c r="EK11" s="510"/>
      <c r="EL11" s="510"/>
      <c r="EM11" s="510"/>
      <c r="EN11" s="510"/>
      <c r="EO11" s="510"/>
      <c r="EP11" s="510"/>
      <c r="EQ11" s="510"/>
      <c r="ER11" s="510"/>
      <c r="ES11" s="510"/>
      <c r="ET11" s="510"/>
      <c r="EU11" s="510"/>
      <c r="EV11" s="510"/>
      <c r="EW11" s="510"/>
      <c r="EX11" s="510"/>
      <c r="EY11" s="510"/>
      <c r="EZ11" s="510"/>
      <c r="FA11" s="510"/>
      <c r="FB11" s="510"/>
      <c r="FC11" s="510"/>
      <c r="FD11" s="510"/>
      <c r="FE11" s="510"/>
      <c r="FF11" s="510"/>
      <c r="FG11" s="510"/>
      <c r="FH11" s="510"/>
      <c r="FI11" s="510"/>
      <c r="FJ11" s="510"/>
      <c r="FK11" s="510"/>
      <c r="FL11" s="510"/>
      <c r="FM11" s="510"/>
      <c r="FN11" s="510"/>
      <c r="FO11" s="510"/>
      <c r="FP11" s="510"/>
      <c r="FQ11" s="510"/>
      <c r="FR11" s="510"/>
      <c r="FS11" s="510"/>
      <c r="FT11" s="510"/>
      <c r="FU11" s="510"/>
      <c r="FV11" s="510"/>
      <c r="FW11" s="510"/>
      <c r="FX11" s="510"/>
      <c r="FY11" s="510"/>
      <c r="FZ11" s="510"/>
      <c r="GA11" s="510"/>
      <c r="GB11" s="510"/>
      <c r="GC11" s="510"/>
      <c r="GD11" s="510"/>
      <c r="GE11" s="510"/>
      <c r="GF11" s="510"/>
      <c r="GG11" s="510"/>
      <c r="GH11" s="510"/>
      <c r="GI11" s="510"/>
      <c r="GJ11" s="510"/>
      <c r="GK11" s="510"/>
      <c r="GL11" s="510"/>
      <c r="GM11" s="510"/>
      <c r="GN11" s="510"/>
      <c r="GO11" s="510"/>
      <c r="GP11" s="510"/>
      <c r="GQ11" s="510"/>
      <c r="GR11" s="510"/>
      <c r="GS11" s="427"/>
    </row>
    <row r="12" spans="1:201" ht="14.25" customHeight="1">
      <c r="A12" s="511" t="s">
        <v>1599</v>
      </c>
      <c r="B12" s="512" t="s">
        <v>1600</v>
      </c>
      <c r="C12" s="513">
        <v>12.120849292758692</v>
      </c>
      <c r="D12" s="513">
        <v>14.5</v>
      </c>
      <c r="E12" s="513">
        <v>15.139424408140663</v>
      </c>
      <c r="F12" s="513">
        <v>15.136358142493638</v>
      </c>
      <c r="G12" s="513">
        <v>15.943255396758955</v>
      </c>
      <c r="H12" s="513">
        <v>19.071790894321673</v>
      </c>
      <c r="I12" s="513">
        <v>21.934655697002416</v>
      </c>
      <c r="J12" s="513">
        <v>22.329879311296793</v>
      </c>
      <c r="K12" s="513">
        <v>26.940183722804193</v>
      </c>
      <c r="L12" s="513">
        <v>26.945268680389731</v>
      </c>
      <c r="M12" s="513">
        <v>26.947196850472128</v>
      </c>
      <c r="N12" s="513">
        <v>26.943191958372971</v>
      </c>
      <c r="O12" s="513">
        <v>26.943110755321154</v>
      </c>
      <c r="P12" s="513">
        <v>29.558294331907515</v>
      </c>
      <c r="Q12" s="513">
        <v>29.558429910234725</v>
      </c>
      <c r="R12" s="513">
        <v>29.552496876573368</v>
      </c>
      <c r="S12" s="513">
        <v>29.556565942874137</v>
      </c>
      <c r="T12" s="513">
        <v>30.317283418314823</v>
      </c>
      <c r="U12" s="513">
        <v>31.56503750266825</v>
      </c>
      <c r="V12" s="513">
        <v>31.560500806656275</v>
      </c>
      <c r="W12" s="513">
        <v>31.561666062728996</v>
      </c>
      <c r="X12" s="513">
        <v>34.015379678614345</v>
      </c>
      <c r="Y12" s="513">
        <v>38.842182765853764</v>
      </c>
      <c r="Z12" s="513">
        <v>40.72972836878759</v>
      </c>
      <c r="AA12" s="513">
        <v>46.307243480145452</v>
      </c>
      <c r="AB12" s="513">
        <v>50.653724969256906</v>
      </c>
      <c r="AC12" s="513">
        <v>53.251164050625285</v>
      </c>
      <c r="AD12" s="513">
        <v>53.937777204625952</v>
      </c>
      <c r="AE12" s="513">
        <v>55.319274984523716</v>
      </c>
      <c r="AF12" s="513">
        <v>57.955481223490466</v>
      </c>
      <c r="AG12" s="513">
        <v>59.946822900499612</v>
      </c>
      <c r="AH12" s="513">
        <v>60.92145461759371</v>
      </c>
      <c r="AI12" s="513">
        <v>61.954308770982664</v>
      </c>
      <c r="AJ12" s="513">
        <v>65.242680702695068</v>
      </c>
      <c r="AK12" s="513">
        <v>69.94725303349324</v>
      </c>
      <c r="AL12" s="513">
        <v>70.939613047686791</v>
      </c>
      <c r="AM12" s="513">
        <v>70.94683236349681</v>
      </c>
      <c r="AN12" s="513">
        <v>70.952107545914004</v>
      </c>
      <c r="AO12" s="513">
        <v>70.928553090922179</v>
      </c>
      <c r="AP12" s="513">
        <v>70.725927902152264</v>
      </c>
      <c r="AQ12" s="513">
        <v>70.722139198248982</v>
      </c>
      <c r="AR12" s="513">
        <v>70.758640592511284</v>
      </c>
      <c r="AS12" s="513">
        <v>81.749750246090031</v>
      </c>
      <c r="AT12" s="513">
        <v>88.934468351074628</v>
      </c>
      <c r="AU12" s="513">
        <v>89.747849694756212</v>
      </c>
      <c r="AV12" s="513">
        <v>96</v>
      </c>
      <c r="AW12" s="513">
        <v>95.475093804121002</v>
      </c>
      <c r="AX12" s="513">
        <v>89.786160541883945</v>
      </c>
      <c r="AY12" s="513">
        <v>89.540377955427616</v>
      </c>
      <c r="AZ12" s="513">
        <v>83.660169118990822</v>
      </c>
      <c r="BA12" s="513">
        <v>77.80239095239213</v>
      </c>
      <c r="BB12" s="513">
        <v>83.37670822198406</v>
      </c>
      <c r="BC12" s="513">
        <v>87.952769275809146</v>
      </c>
      <c r="BD12" s="513">
        <v>91.884289034040961</v>
      </c>
      <c r="BE12" s="513">
        <v>91.883943022914394</v>
      </c>
      <c r="BF12" s="513">
        <v>91.857458691050539</v>
      </c>
      <c r="BG12" s="513">
        <v>91.723571218147001</v>
      </c>
      <c r="BH12" s="513">
        <v>90.122896699940355</v>
      </c>
      <c r="BI12" s="513">
        <v>89.144802834423203</v>
      </c>
      <c r="BJ12" s="513">
        <v>88.048400152008597</v>
      </c>
      <c r="BK12" s="513">
        <v>87.544219416324609</v>
      </c>
      <c r="BL12" s="513">
        <v>91.006607201829027</v>
      </c>
      <c r="BM12" s="513">
        <v>91.071907685630492</v>
      </c>
      <c r="BN12" s="513">
        <v>90.939076123272187</v>
      </c>
      <c r="BO12" s="513">
        <v>91.807518478394741</v>
      </c>
      <c r="BP12" s="513">
        <v>92.219703245425464</v>
      </c>
      <c r="BQ12" s="513">
        <v>93.681596300688284</v>
      </c>
      <c r="BR12" s="513">
        <v>106.65817178315091</v>
      </c>
      <c r="BS12" s="513">
        <v>101.51184071796688</v>
      </c>
      <c r="BT12" s="513">
        <v>95.862533452845895</v>
      </c>
      <c r="BU12" s="513">
        <v>96.358890560991625</v>
      </c>
      <c r="BV12" s="513">
        <v>99.043346575089686</v>
      </c>
      <c r="BW12" s="513">
        <v>97.568771964076532</v>
      </c>
      <c r="BX12" s="513">
        <v>97.613056721419611</v>
      </c>
      <c r="BY12" s="513">
        <v>99.642323890294563</v>
      </c>
      <c r="BZ12" s="513">
        <v>101.87266685911899</v>
      </c>
      <c r="CA12" s="513">
        <v>101.19836814984814</v>
      </c>
      <c r="CB12" s="513">
        <v>99.95790365915397</v>
      </c>
      <c r="CC12" s="513">
        <v>96.43805161207338</v>
      </c>
      <c r="CD12" s="513">
        <v>94.57982619853027</v>
      </c>
      <c r="CE12" s="513">
        <v>91.251333875935472</v>
      </c>
      <c r="CF12" s="513">
        <v>91.331858584576835</v>
      </c>
      <c r="CG12" s="513">
        <v>94.094324297229022</v>
      </c>
      <c r="CH12" s="513">
        <v>94.297983661638739</v>
      </c>
      <c r="CI12" s="513">
        <v>93.555681018101438</v>
      </c>
      <c r="CJ12" s="513">
        <v>93.547964373092896</v>
      </c>
      <c r="CK12" s="513">
        <v>91.532988957400605</v>
      </c>
      <c r="CL12" s="513">
        <v>91.603257319218045</v>
      </c>
      <c r="CM12" s="513">
        <v>92.194634803916756</v>
      </c>
      <c r="CN12" s="513">
        <v>91.800703250619904</v>
      </c>
      <c r="CO12" s="513">
        <v>91.695450505400856</v>
      </c>
      <c r="CP12" s="513">
        <v>92.543610950007903</v>
      </c>
      <c r="CQ12" s="513">
        <v>92.337996622638798</v>
      </c>
      <c r="CR12" s="513">
        <v>91.584047216040801</v>
      </c>
      <c r="CS12" s="513">
        <v>91.555108838973851</v>
      </c>
      <c r="CT12" s="513">
        <v>92.366290229683983</v>
      </c>
      <c r="CU12" s="513">
        <v>90.354757457459328</v>
      </c>
      <c r="CV12" s="513">
        <v>85.18609419850722</v>
      </c>
      <c r="CW12" s="513">
        <v>85.100405767864089</v>
      </c>
      <c r="CX12" s="513">
        <v>84.071260023152078</v>
      </c>
      <c r="CY12" s="513">
        <v>82.181605765111271</v>
      </c>
      <c r="CZ12" s="513">
        <v>81.685565340678778</v>
      </c>
      <c r="DA12" s="513">
        <v>88.036422156078984</v>
      </c>
      <c r="DB12" s="513">
        <v>93.771304746126788</v>
      </c>
      <c r="DC12" s="513">
        <v>98.226683362575429</v>
      </c>
      <c r="DD12" s="513">
        <v>102.46947391722517</v>
      </c>
      <c r="DE12" s="513">
        <v>115.8886010402194</v>
      </c>
      <c r="DF12" s="513">
        <v>115.62932968322806</v>
      </c>
      <c r="DG12" s="513">
        <v>105.46658642069319</v>
      </c>
      <c r="DH12" s="513">
        <v>112.3122452065566</v>
      </c>
      <c r="DI12" s="513">
        <v>107.69727839372558</v>
      </c>
      <c r="DJ12" s="513">
        <v>97.793846069340901</v>
      </c>
      <c r="DK12" s="513">
        <v>98.141379234407083</v>
      </c>
      <c r="DL12" s="513">
        <v>107.91887161556753</v>
      </c>
      <c r="DM12" s="513">
        <v>105.34238341968913</v>
      </c>
      <c r="DN12" s="513">
        <v>104.7233382147908</v>
      </c>
      <c r="DO12" s="513">
        <v>111.38199169881409</v>
      </c>
      <c r="DP12" s="513">
        <v>100.48170822843514</v>
      </c>
      <c r="DQ12" s="513">
        <v>107.59946277401082</v>
      </c>
      <c r="DR12" s="513">
        <v>105.41710659616464</v>
      </c>
      <c r="DS12" s="513">
        <v>111.15514380647686</v>
      </c>
      <c r="DT12" s="513">
        <v>119.77904854968634</v>
      </c>
      <c r="DU12" s="513">
        <v>120.55206299138381</v>
      </c>
      <c r="DV12" s="513">
        <v>119.60704323142554</v>
      </c>
      <c r="DW12" s="513">
        <v>119.52673629429304</v>
      </c>
      <c r="DX12" s="513">
        <v>127.98957765243267</v>
      </c>
      <c r="DY12" s="513">
        <v>144.80964456546258</v>
      </c>
      <c r="DZ12" s="513">
        <v>140.45483166340614</v>
      </c>
      <c r="EA12" s="513">
        <v>147.48276591979862</v>
      </c>
      <c r="EB12" s="513">
        <v>169.12274905346359</v>
      </c>
      <c r="EC12" s="513">
        <v>167.72391254670003</v>
      </c>
      <c r="ED12" s="513">
        <v>142.13510450768069</v>
      </c>
      <c r="EE12" s="513">
        <v>143.44342685164122</v>
      </c>
      <c r="EF12" s="513">
        <v>154.98116554800714</v>
      </c>
      <c r="EG12" s="513">
        <v>157.79313098663457</v>
      </c>
      <c r="EH12" s="513">
        <v>166.21426407863993</v>
      </c>
      <c r="EI12" s="513">
        <v>172.85037402514723</v>
      </c>
      <c r="EJ12" s="513">
        <v>194.94363116789799</v>
      </c>
      <c r="EK12" s="513">
        <v>203.76070305263025</v>
      </c>
      <c r="EL12" s="513">
        <v>158.22986281454183</v>
      </c>
      <c r="EM12" s="513">
        <v>156.95619639307927</v>
      </c>
      <c r="EN12" s="513">
        <v>161.86084512428062</v>
      </c>
      <c r="EO12" s="513">
        <v>165.1285382850954</v>
      </c>
      <c r="EP12" s="513">
        <v>163.61213546902746</v>
      </c>
      <c r="EQ12" s="513">
        <v>174.95530487340727</v>
      </c>
      <c r="ER12" s="513">
        <v>177.25052699588997</v>
      </c>
      <c r="ES12" s="513">
        <v>174.82979153442963</v>
      </c>
      <c r="ET12" s="513">
        <v>186.72125502178403</v>
      </c>
      <c r="EU12" s="513">
        <v>204.73547031359055</v>
      </c>
      <c r="EV12" s="513">
        <v>212.79158091041154</v>
      </c>
      <c r="EW12" s="513">
        <v>205.57929289944897</v>
      </c>
      <c r="EX12" s="513">
        <v>207.53710918932137</v>
      </c>
      <c r="EY12" s="513">
        <v>212.31496727657202</v>
      </c>
      <c r="EZ12" s="513">
        <v>213.12680763271257</v>
      </c>
      <c r="FA12" s="513">
        <v>211.09300509285978</v>
      </c>
      <c r="FB12" s="513">
        <v>209.54005308853999</v>
      </c>
      <c r="FC12" s="513">
        <v>212.7471926099673</v>
      </c>
      <c r="FD12" s="513">
        <v>207.31586146977614</v>
      </c>
      <c r="FE12" s="513">
        <v>218.80532780252454</v>
      </c>
      <c r="FF12" s="513">
        <v>211.41806812999152</v>
      </c>
      <c r="FG12" s="513">
        <v>213.41647918480385</v>
      </c>
      <c r="FH12" s="513">
        <v>213.02859771591864</v>
      </c>
      <c r="FI12" s="513">
        <v>215.04070452189544</v>
      </c>
      <c r="FJ12" s="513">
        <v>203.05825081309422</v>
      </c>
      <c r="FK12" s="513">
        <v>181.56341832161246</v>
      </c>
      <c r="FL12" s="513">
        <v>197.41206047632153</v>
      </c>
      <c r="FM12" s="513">
        <v>200.64718264418551</v>
      </c>
      <c r="FN12" s="513">
        <v>186.65119290163696</v>
      </c>
      <c r="FO12" s="513">
        <v>172.2751662216051</v>
      </c>
      <c r="FP12" s="513">
        <v>181.60068226855131</v>
      </c>
      <c r="FQ12" s="513">
        <v>178.52788873053606</v>
      </c>
      <c r="FR12" s="513">
        <v>185.83517252775712</v>
      </c>
      <c r="FS12" s="513">
        <v>193.46905876052301</v>
      </c>
      <c r="FT12" s="513">
        <v>189.72390327576801</v>
      </c>
      <c r="FU12" s="513">
        <v>186.55925412639846</v>
      </c>
      <c r="FV12" s="513">
        <v>197.8836581985498</v>
      </c>
      <c r="FW12" s="513">
        <v>203.15881039498038</v>
      </c>
      <c r="FX12" s="513">
        <v>209.47576571688964</v>
      </c>
      <c r="FY12" s="513">
        <v>221.15609749907776</v>
      </c>
      <c r="FZ12" s="513">
        <v>219.61156688550744</v>
      </c>
      <c r="GA12" s="513">
        <v>204.47330774158678</v>
      </c>
      <c r="GB12" s="513">
        <v>216.27733495084263</v>
      </c>
      <c r="GC12" s="513">
        <v>214.52248514191393</v>
      </c>
      <c r="GD12" s="513">
        <v>217.9948017211882</v>
      </c>
      <c r="GE12" s="513">
        <v>212.87344208160812</v>
      </c>
      <c r="GF12" s="513">
        <v>187.29483836414386</v>
      </c>
      <c r="GG12" s="513">
        <v>190.48947781314314</v>
      </c>
      <c r="GH12" s="513">
        <v>191.33491445217041</v>
      </c>
      <c r="GI12" s="513">
        <v>205.19842548027188</v>
      </c>
      <c r="GJ12" s="513">
        <v>217.70878100662688</v>
      </c>
      <c r="GK12" s="513">
        <v>231.67343448754062</v>
      </c>
      <c r="GL12" s="513">
        <v>249.49127392684815</v>
      </c>
      <c r="GM12" s="513">
        <v>271.13028077023279</v>
      </c>
      <c r="GN12" s="513">
        <v>288.15974014529183</v>
      </c>
      <c r="GO12" s="513">
        <v>276.13775544997026</v>
      </c>
      <c r="GP12" s="513">
        <v>256.34029159550857</v>
      </c>
      <c r="GQ12" s="513">
        <v>249.78856936636174</v>
      </c>
      <c r="GR12" s="513">
        <v>246.57662323546253</v>
      </c>
      <c r="GS12" s="428">
        <v>287.01</v>
      </c>
    </row>
    <row r="13" spans="1:201" ht="14.25" customHeight="1">
      <c r="A13" s="514" t="s">
        <v>1601</v>
      </c>
      <c r="B13" s="515" t="s">
        <v>1600</v>
      </c>
      <c r="C13" s="516">
        <v>12.1</v>
      </c>
      <c r="D13" s="516">
        <v>14.5</v>
      </c>
      <c r="E13" s="516">
        <v>15.2</v>
      </c>
      <c r="F13" s="516">
        <v>15.2</v>
      </c>
      <c r="G13" s="516">
        <v>15.9</v>
      </c>
      <c r="H13" s="516">
        <v>18.899999999999999</v>
      </c>
      <c r="I13" s="516">
        <v>22</v>
      </c>
      <c r="J13" s="516">
        <v>22</v>
      </c>
      <c r="K13" s="516">
        <v>27</v>
      </c>
      <c r="L13" s="516">
        <v>27</v>
      </c>
      <c r="M13" s="516">
        <v>27</v>
      </c>
      <c r="N13" s="516">
        <v>27</v>
      </c>
      <c r="O13" s="516">
        <v>27</v>
      </c>
      <c r="P13" s="516">
        <v>29.6</v>
      </c>
      <c r="Q13" s="516">
        <v>29.6</v>
      </c>
      <c r="R13" s="516">
        <v>29.6</v>
      </c>
      <c r="S13" s="516">
        <v>29.6</v>
      </c>
      <c r="T13" s="516">
        <v>30.3</v>
      </c>
      <c r="U13" s="516">
        <v>31.6</v>
      </c>
      <c r="V13" s="516">
        <v>31.6</v>
      </c>
      <c r="W13" s="516">
        <v>31.6</v>
      </c>
      <c r="X13" s="516">
        <v>33.9</v>
      </c>
      <c r="Y13" s="516">
        <v>38.9</v>
      </c>
      <c r="Z13" s="516">
        <v>40.700000000000003</v>
      </c>
      <c r="AA13" s="516">
        <v>46.3</v>
      </c>
      <c r="AB13" s="516">
        <v>50.7</v>
      </c>
      <c r="AC13" s="516">
        <v>53.3</v>
      </c>
      <c r="AD13" s="516">
        <v>54</v>
      </c>
      <c r="AE13" s="516">
        <v>55.3</v>
      </c>
      <c r="AF13" s="516">
        <v>58</v>
      </c>
      <c r="AG13" s="516">
        <v>60</v>
      </c>
      <c r="AH13" s="516">
        <v>61</v>
      </c>
      <c r="AI13" s="516">
        <v>62</v>
      </c>
      <c r="AJ13" s="516">
        <v>65.3</v>
      </c>
      <c r="AK13" s="516">
        <v>70</v>
      </c>
      <c r="AL13" s="516">
        <v>71</v>
      </c>
      <c r="AM13" s="516">
        <v>71</v>
      </c>
      <c r="AN13" s="516">
        <v>71</v>
      </c>
      <c r="AO13" s="516">
        <v>71</v>
      </c>
      <c r="AP13" s="516">
        <v>71</v>
      </c>
      <c r="AQ13" s="516">
        <v>71</v>
      </c>
      <c r="AR13" s="516">
        <v>71</v>
      </c>
      <c r="AS13" s="516">
        <v>82</v>
      </c>
      <c r="AT13" s="516">
        <v>89.2</v>
      </c>
      <c r="AU13" s="516">
        <v>90</v>
      </c>
      <c r="AV13" s="516">
        <v>96</v>
      </c>
      <c r="AW13" s="516">
        <v>95.7</v>
      </c>
      <c r="AX13" s="516">
        <v>90</v>
      </c>
      <c r="AY13" s="516">
        <v>89.8</v>
      </c>
      <c r="AZ13" s="516">
        <v>84</v>
      </c>
      <c r="BA13" s="516">
        <v>78</v>
      </c>
      <c r="BB13" s="516">
        <v>83.6</v>
      </c>
      <c r="BC13" s="516">
        <v>88.099000000000004</v>
      </c>
      <c r="BD13" s="516">
        <v>92.004000000000005</v>
      </c>
      <c r="BE13" s="516">
        <v>92.004000000000005</v>
      </c>
      <c r="BF13" s="516">
        <v>92.004000000000005</v>
      </c>
      <c r="BG13" s="516">
        <v>91.905000000000001</v>
      </c>
      <c r="BH13" s="516">
        <v>90.299000000000007</v>
      </c>
      <c r="BI13" s="516">
        <v>89.298000000000002</v>
      </c>
      <c r="BJ13" s="516">
        <v>88.197999999999993</v>
      </c>
      <c r="BK13" s="516">
        <v>87.703000000000003</v>
      </c>
      <c r="BL13" s="516">
        <v>91.200999999999993</v>
      </c>
      <c r="BM13" s="516">
        <v>91.305000000000007</v>
      </c>
      <c r="BN13" s="516">
        <v>91.203749999999999</v>
      </c>
      <c r="BO13" s="516">
        <v>92.1</v>
      </c>
      <c r="BP13" s="516">
        <v>92.6</v>
      </c>
      <c r="BQ13" s="516">
        <v>94</v>
      </c>
      <c r="BR13" s="516">
        <v>107</v>
      </c>
      <c r="BS13" s="516">
        <v>103</v>
      </c>
      <c r="BT13" s="516">
        <v>97.4</v>
      </c>
      <c r="BU13" s="516">
        <v>98</v>
      </c>
      <c r="BV13" s="516">
        <v>100.6</v>
      </c>
      <c r="BW13" s="516">
        <v>99</v>
      </c>
      <c r="BX13" s="516">
        <v>99</v>
      </c>
      <c r="BY13" s="516">
        <v>101.1</v>
      </c>
      <c r="BZ13" s="516">
        <v>103.4</v>
      </c>
      <c r="CA13" s="516">
        <v>102.8</v>
      </c>
      <c r="CB13" s="516">
        <v>101.6</v>
      </c>
      <c r="CC13" s="516">
        <v>98.4</v>
      </c>
      <c r="CD13" s="516">
        <v>96.7</v>
      </c>
      <c r="CE13" s="516">
        <v>93.3</v>
      </c>
      <c r="CF13" s="516">
        <v>93.5</v>
      </c>
      <c r="CG13" s="516">
        <v>96.4</v>
      </c>
      <c r="CH13" s="516">
        <v>96.6</v>
      </c>
      <c r="CI13" s="516">
        <v>95.9</v>
      </c>
      <c r="CJ13" s="516">
        <v>95.9</v>
      </c>
      <c r="CK13" s="516">
        <v>94</v>
      </c>
      <c r="CL13" s="516">
        <v>94.2</v>
      </c>
      <c r="CM13" s="516">
        <v>95.2</v>
      </c>
      <c r="CN13" s="516">
        <v>95.3</v>
      </c>
      <c r="CO13" s="516">
        <v>95.2</v>
      </c>
      <c r="CP13" s="516">
        <v>96.1</v>
      </c>
      <c r="CQ13" s="516">
        <v>95.9</v>
      </c>
      <c r="CR13" s="516">
        <v>95.2</v>
      </c>
      <c r="CS13" s="516">
        <v>95.2</v>
      </c>
      <c r="CT13" s="516">
        <v>96.1</v>
      </c>
      <c r="CU13" s="516">
        <v>94.1</v>
      </c>
      <c r="CV13" s="516">
        <v>88.8</v>
      </c>
      <c r="CW13" s="516">
        <v>88.8</v>
      </c>
      <c r="CX13" s="516">
        <v>87.7</v>
      </c>
      <c r="CY13" s="516">
        <v>85.9</v>
      </c>
      <c r="CZ13" s="516">
        <v>85.4</v>
      </c>
      <c r="DA13" s="516">
        <v>91.7</v>
      </c>
      <c r="DB13" s="516">
        <v>97.3</v>
      </c>
      <c r="DC13" s="516">
        <v>101.7</v>
      </c>
      <c r="DD13" s="516">
        <v>105.9</v>
      </c>
      <c r="DE13" s="516">
        <v>119.3</v>
      </c>
      <c r="DF13" s="516">
        <v>119.3</v>
      </c>
      <c r="DG13" s="516">
        <v>109.2</v>
      </c>
      <c r="DH13" s="516">
        <v>116.2</v>
      </c>
      <c r="DI13" s="516">
        <v>111.6</v>
      </c>
      <c r="DJ13" s="516">
        <v>101.7</v>
      </c>
      <c r="DK13" s="516">
        <v>102.1</v>
      </c>
      <c r="DL13" s="516">
        <v>111.9</v>
      </c>
      <c r="DM13" s="516">
        <v>109.4</v>
      </c>
      <c r="DN13" s="516">
        <v>108.7</v>
      </c>
      <c r="DO13" s="516">
        <v>115.6</v>
      </c>
      <c r="DP13" s="516">
        <v>104.7</v>
      </c>
      <c r="DQ13" s="516">
        <v>111.9</v>
      </c>
      <c r="DR13" s="516">
        <v>109.7</v>
      </c>
      <c r="DS13" s="516">
        <v>115.4</v>
      </c>
      <c r="DT13" s="516">
        <v>124.1</v>
      </c>
      <c r="DU13" s="516">
        <v>124.9</v>
      </c>
      <c r="DV13" s="516">
        <v>124.1</v>
      </c>
      <c r="DW13" s="516">
        <v>124</v>
      </c>
      <c r="DX13" s="516">
        <v>132.5</v>
      </c>
      <c r="DY13" s="516">
        <v>149.5</v>
      </c>
      <c r="DZ13" s="516">
        <v>145</v>
      </c>
      <c r="EA13" s="516">
        <v>153</v>
      </c>
      <c r="EB13" s="516">
        <v>173.9</v>
      </c>
      <c r="EC13" s="516">
        <v>172.5</v>
      </c>
      <c r="ED13" s="516">
        <v>147.1</v>
      </c>
      <c r="EE13" s="516">
        <v>147.9</v>
      </c>
      <c r="EF13" s="516">
        <v>159.69999999999999</v>
      </c>
      <c r="EG13" s="516">
        <v>162.6</v>
      </c>
      <c r="EH13" s="516">
        <v>171.1</v>
      </c>
      <c r="EI13" s="516">
        <v>177.9</v>
      </c>
      <c r="EJ13" s="516">
        <v>200.3</v>
      </c>
      <c r="EK13" s="516">
        <v>209.2</v>
      </c>
      <c r="EL13" s="516">
        <v>163.6</v>
      </c>
      <c r="EM13" s="516">
        <v>162.19999999999999</v>
      </c>
      <c r="EN13" s="516">
        <v>167.6</v>
      </c>
      <c r="EO13" s="516">
        <v>171.6</v>
      </c>
      <c r="EP13" s="516">
        <v>170.3</v>
      </c>
      <c r="EQ13" s="516">
        <v>181.8</v>
      </c>
      <c r="ER13" s="516">
        <v>184.2</v>
      </c>
      <c r="ES13" s="516">
        <v>181.8</v>
      </c>
      <c r="ET13" s="516">
        <v>193.5</v>
      </c>
      <c r="EU13" s="516">
        <v>211.9</v>
      </c>
      <c r="EV13" s="516">
        <v>220.2</v>
      </c>
      <c r="EW13" s="516">
        <v>213.5</v>
      </c>
      <c r="EX13" s="516">
        <v>216</v>
      </c>
      <c r="EY13" s="516">
        <v>220.6</v>
      </c>
      <c r="EZ13" s="516">
        <v>221.6</v>
      </c>
      <c r="FA13" s="516">
        <v>219.9</v>
      </c>
      <c r="FB13" s="516">
        <v>219</v>
      </c>
      <c r="FC13" s="516">
        <v>221.7</v>
      </c>
      <c r="FD13" s="516">
        <v>216.3</v>
      </c>
      <c r="FE13" s="516">
        <v>228.1</v>
      </c>
      <c r="FF13" s="516">
        <v>220.8</v>
      </c>
      <c r="FG13" s="516">
        <v>222.3</v>
      </c>
      <c r="FH13" s="516">
        <v>223</v>
      </c>
      <c r="FI13" s="516">
        <v>225.5</v>
      </c>
      <c r="FJ13" s="516">
        <v>213.4</v>
      </c>
      <c r="FK13" s="516">
        <v>192.1</v>
      </c>
      <c r="FL13" s="516">
        <v>208.1</v>
      </c>
      <c r="FM13" s="516">
        <v>211.1</v>
      </c>
      <c r="FN13" s="516">
        <v>198.4</v>
      </c>
      <c r="FO13" s="516">
        <v>184.2</v>
      </c>
      <c r="FP13" s="516">
        <v>193.9</v>
      </c>
      <c r="FQ13" s="516">
        <v>190</v>
      </c>
      <c r="FR13" s="516">
        <v>197.9</v>
      </c>
      <c r="FS13" s="516">
        <v>206.6</v>
      </c>
      <c r="FT13" s="516">
        <v>202.5</v>
      </c>
      <c r="FU13" s="516">
        <v>198.1</v>
      </c>
      <c r="FV13" s="516">
        <v>210.4</v>
      </c>
      <c r="FW13" s="516">
        <v>214.1</v>
      </c>
      <c r="FX13" s="516">
        <v>221.5</v>
      </c>
      <c r="FY13" s="516">
        <v>233.4</v>
      </c>
      <c r="FZ13" s="516">
        <v>231.1</v>
      </c>
      <c r="GA13" s="516">
        <v>216.5</v>
      </c>
      <c r="GB13" s="516">
        <v>228</v>
      </c>
      <c r="GC13" s="516">
        <v>227</v>
      </c>
      <c r="GD13" s="516">
        <v>232.5</v>
      </c>
      <c r="GE13" s="516">
        <v>227.5</v>
      </c>
      <c r="GF13" s="516">
        <v>202.6</v>
      </c>
      <c r="GG13" s="516">
        <v>204.5</v>
      </c>
      <c r="GH13" s="516">
        <v>206.5</v>
      </c>
      <c r="GI13" s="516">
        <v>221.3</v>
      </c>
      <c r="GJ13" s="516">
        <v>233.8</v>
      </c>
      <c r="GK13" s="516">
        <v>246.3</v>
      </c>
      <c r="GL13" s="516">
        <v>263.3</v>
      </c>
      <c r="GM13" s="516">
        <v>285.8</v>
      </c>
      <c r="GN13" s="516">
        <v>303.60000000000002</v>
      </c>
      <c r="GO13" s="516">
        <v>291</v>
      </c>
      <c r="GP13" s="516">
        <v>270.7</v>
      </c>
      <c r="GQ13" s="516">
        <v>265.60000000000002</v>
      </c>
      <c r="GR13" s="516">
        <v>262.39999999999998</v>
      </c>
      <c r="GS13" s="427">
        <v>302.10000000000002</v>
      </c>
    </row>
    <row r="14" spans="1:201" ht="14.25" customHeight="1">
      <c r="A14" s="514" t="s">
        <v>1602</v>
      </c>
      <c r="B14" s="515" t="s">
        <v>1600</v>
      </c>
      <c r="C14" s="516">
        <v>12.3</v>
      </c>
      <c r="D14" s="516">
        <v>14.5</v>
      </c>
      <c r="E14" s="516">
        <v>14.5</v>
      </c>
      <c r="F14" s="516">
        <v>14.5</v>
      </c>
      <c r="G14" s="516">
        <v>16.399999999999999</v>
      </c>
      <c r="H14" s="516">
        <v>21.1</v>
      </c>
      <c r="I14" s="516">
        <v>21.1</v>
      </c>
      <c r="J14" s="516">
        <v>26.1</v>
      </c>
      <c r="K14" s="516">
        <v>26.1</v>
      </c>
      <c r="L14" s="516">
        <v>26.1</v>
      </c>
      <c r="M14" s="516">
        <v>26.1</v>
      </c>
      <c r="N14" s="516">
        <v>26.1</v>
      </c>
      <c r="O14" s="516">
        <v>26.1</v>
      </c>
      <c r="P14" s="516">
        <v>28.7</v>
      </c>
      <c r="Q14" s="516">
        <v>28.7</v>
      </c>
      <c r="R14" s="516">
        <v>28.7</v>
      </c>
      <c r="S14" s="516">
        <v>28.7</v>
      </c>
      <c r="T14" s="516">
        <v>30.7</v>
      </c>
      <c r="U14" s="516">
        <v>30.7</v>
      </c>
      <c r="V14" s="516">
        <v>30.7</v>
      </c>
      <c r="W14" s="516">
        <v>30.7</v>
      </c>
      <c r="X14" s="516">
        <v>37.1</v>
      </c>
      <c r="Y14" s="516">
        <v>37.1</v>
      </c>
      <c r="Z14" s="516">
        <v>41.5</v>
      </c>
      <c r="AA14" s="516">
        <v>46.5</v>
      </c>
      <c r="AB14" s="516">
        <v>49.166666669999998</v>
      </c>
      <c r="AC14" s="516">
        <v>51.5</v>
      </c>
      <c r="AD14" s="516">
        <v>52</v>
      </c>
      <c r="AE14" s="516">
        <v>56</v>
      </c>
      <c r="AF14" s="516">
        <v>56</v>
      </c>
      <c r="AG14" s="516">
        <v>57.333333330000002</v>
      </c>
      <c r="AH14" s="516">
        <v>58</v>
      </c>
      <c r="AI14" s="516">
        <v>60</v>
      </c>
      <c r="AJ14" s="516">
        <v>62.333333330000002</v>
      </c>
      <c r="AK14" s="516">
        <v>67</v>
      </c>
      <c r="AL14" s="516">
        <v>68</v>
      </c>
      <c r="AM14" s="516">
        <v>68</v>
      </c>
      <c r="AN14" s="516">
        <v>68</v>
      </c>
      <c r="AO14" s="516">
        <v>68</v>
      </c>
      <c r="AP14" s="516">
        <v>68</v>
      </c>
      <c r="AQ14" s="516">
        <v>68</v>
      </c>
      <c r="AR14" s="516">
        <v>68</v>
      </c>
      <c r="AS14" s="516">
        <v>79</v>
      </c>
      <c r="AT14" s="516">
        <v>86.166666669999998</v>
      </c>
      <c r="AU14" s="516">
        <v>87</v>
      </c>
      <c r="AV14" s="516">
        <v>96</v>
      </c>
      <c r="AW14" s="516">
        <v>92.666666669999998</v>
      </c>
      <c r="AX14" s="516">
        <v>87</v>
      </c>
      <c r="AY14" s="516">
        <v>86.333333330000002</v>
      </c>
      <c r="AZ14" s="516">
        <v>79</v>
      </c>
      <c r="BA14" s="516">
        <v>75</v>
      </c>
      <c r="BB14" s="516">
        <v>80.3</v>
      </c>
      <c r="BC14" s="516">
        <v>85</v>
      </c>
      <c r="BD14" s="516">
        <v>89</v>
      </c>
      <c r="BE14" s="516">
        <v>89</v>
      </c>
      <c r="BF14" s="516">
        <v>89</v>
      </c>
      <c r="BG14" s="516">
        <v>89</v>
      </c>
      <c r="BH14" s="516">
        <v>87.7</v>
      </c>
      <c r="BI14" s="516">
        <v>87.2</v>
      </c>
      <c r="BJ14" s="516">
        <v>86.4</v>
      </c>
      <c r="BK14" s="516">
        <v>85.9</v>
      </c>
      <c r="BL14" s="516">
        <v>89.2</v>
      </c>
      <c r="BM14" s="516">
        <v>89.3</v>
      </c>
      <c r="BN14" s="516">
        <v>89.2</v>
      </c>
      <c r="BO14" s="516">
        <v>90.1</v>
      </c>
      <c r="BP14" s="516">
        <v>90.4</v>
      </c>
      <c r="BQ14" s="516">
        <v>92.5</v>
      </c>
      <c r="BR14" s="516">
        <v>105.6</v>
      </c>
      <c r="BS14" s="516">
        <v>97.7</v>
      </c>
      <c r="BT14" s="516">
        <v>92.3</v>
      </c>
      <c r="BU14" s="516">
        <v>92.9</v>
      </c>
      <c r="BV14" s="516">
        <v>96</v>
      </c>
      <c r="BW14" s="516">
        <v>94.8</v>
      </c>
      <c r="BX14" s="516">
        <v>95</v>
      </c>
      <c r="BY14" s="516">
        <v>97.1</v>
      </c>
      <c r="BZ14" s="516">
        <v>99.4</v>
      </c>
      <c r="CA14" s="516">
        <v>98.7</v>
      </c>
      <c r="CB14" s="516">
        <v>97.5</v>
      </c>
      <c r="CC14" s="516">
        <v>93.7</v>
      </c>
      <c r="CD14" s="516">
        <v>91.7</v>
      </c>
      <c r="CE14" s="516">
        <v>88.3</v>
      </c>
      <c r="CF14" s="516">
        <v>88.6</v>
      </c>
      <c r="CG14" s="516">
        <v>91.3</v>
      </c>
      <c r="CH14" s="516">
        <v>91.6</v>
      </c>
      <c r="CI14" s="516">
        <v>90.9</v>
      </c>
      <c r="CJ14" s="516">
        <v>90.9</v>
      </c>
      <c r="CK14" s="516">
        <v>89</v>
      </c>
      <c r="CL14" s="516">
        <v>89.2</v>
      </c>
      <c r="CM14" s="516">
        <v>90.1</v>
      </c>
      <c r="CN14" s="516">
        <v>90.2</v>
      </c>
      <c r="CO14" s="516">
        <v>90.2</v>
      </c>
      <c r="CP14" s="516">
        <v>91.1</v>
      </c>
      <c r="CQ14" s="516">
        <v>90.9</v>
      </c>
      <c r="CR14" s="516">
        <v>90.2</v>
      </c>
      <c r="CS14" s="516">
        <v>90.2</v>
      </c>
      <c r="CT14" s="516">
        <v>91</v>
      </c>
      <c r="CU14" s="516">
        <v>89</v>
      </c>
      <c r="CV14" s="516">
        <v>83.9</v>
      </c>
      <c r="CW14" s="516">
        <v>83.8</v>
      </c>
      <c r="CX14" s="516">
        <v>82.8</v>
      </c>
      <c r="CY14" s="516">
        <v>80.900000000000006</v>
      </c>
      <c r="CZ14" s="516">
        <v>80.400000000000006</v>
      </c>
      <c r="DA14" s="516">
        <v>86.8</v>
      </c>
      <c r="DB14" s="516">
        <v>92.6</v>
      </c>
      <c r="DC14" s="516">
        <v>97.1</v>
      </c>
      <c r="DD14" s="516">
        <v>101.4</v>
      </c>
      <c r="DE14" s="516">
        <v>114.9</v>
      </c>
      <c r="DF14" s="516">
        <v>114.6</v>
      </c>
      <c r="DG14" s="516">
        <v>104.4</v>
      </c>
      <c r="DH14" s="516">
        <v>111.2</v>
      </c>
      <c r="DI14" s="516">
        <v>106.6</v>
      </c>
      <c r="DJ14" s="516">
        <v>96.7</v>
      </c>
      <c r="DK14" s="516">
        <v>97</v>
      </c>
      <c r="DL14" s="516">
        <v>106.8</v>
      </c>
      <c r="DM14" s="516">
        <v>104.2</v>
      </c>
      <c r="DN14" s="516">
        <v>103.6</v>
      </c>
      <c r="DO14" s="516">
        <v>110.2</v>
      </c>
      <c r="DP14" s="516">
        <v>99.3</v>
      </c>
      <c r="DQ14" s="516">
        <v>106.4</v>
      </c>
      <c r="DR14" s="516">
        <v>104.2</v>
      </c>
      <c r="DS14" s="516">
        <v>109.8</v>
      </c>
      <c r="DT14" s="516">
        <v>118.4</v>
      </c>
      <c r="DU14" s="516">
        <v>119.2</v>
      </c>
      <c r="DV14" s="516">
        <v>118.4</v>
      </c>
      <c r="DW14" s="516">
        <v>118.3</v>
      </c>
      <c r="DX14" s="516">
        <v>126.8</v>
      </c>
      <c r="DY14" s="516">
        <v>143.6</v>
      </c>
      <c r="DZ14" s="516">
        <v>139.30000000000001</v>
      </c>
      <c r="EA14" s="516">
        <v>146.1</v>
      </c>
      <c r="EB14" s="516">
        <v>167.9</v>
      </c>
      <c r="EC14" s="516">
        <v>166.6</v>
      </c>
      <c r="ED14" s="516">
        <v>140.9</v>
      </c>
      <c r="EE14" s="516">
        <v>142.30000000000001</v>
      </c>
      <c r="EF14" s="516">
        <v>153.80000000000001</v>
      </c>
      <c r="EG14" s="516">
        <v>156.6</v>
      </c>
      <c r="EH14" s="516">
        <v>165</v>
      </c>
      <c r="EI14" s="516">
        <v>171.6</v>
      </c>
      <c r="EJ14" s="516">
        <v>193.7</v>
      </c>
      <c r="EK14" s="516">
        <v>202.5</v>
      </c>
      <c r="EL14" s="516">
        <v>156.9</v>
      </c>
      <c r="EM14" s="516">
        <v>155.5</v>
      </c>
      <c r="EN14" s="516">
        <v>160.4</v>
      </c>
      <c r="EO14" s="516">
        <v>163.5</v>
      </c>
      <c r="EP14" s="516">
        <v>161.9</v>
      </c>
      <c r="EQ14" s="516">
        <v>173.2</v>
      </c>
      <c r="ER14" s="516">
        <v>175.5</v>
      </c>
      <c r="ES14" s="516">
        <v>173.1</v>
      </c>
      <c r="ET14" s="516">
        <v>185</v>
      </c>
      <c r="EU14" s="516">
        <v>203</v>
      </c>
      <c r="EV14" s="516">
        <v>211.1</v>
      </c>
      <c r="EW14" s="516">
        <v>203.8</v>
      </c>
      <c r="EX14" s="516">
        <v>205.5</v>
      </c>
      <c r="EY14" s="516">
        <v>210.3</v>
      </c>
      <c r="EZ14" s="516">
        <v>211.1</v>
      </c>
      <c r="FA14" s="516">
        <v>209</v>
      </c>
      <c r="FB14" s="516">
        <v>207.2</v>
      </c>
      <c r="FC14" s="516">
        <v>210.5</v>
      </c>
      <c r="FD14" s="516">
        <v>205.1</v>
      </c>
      <c r="FE14" s="516">
        <v>216.6</v>
      </c>
      <c r="FF14" s="516">
        <v>209.1</v>
      </c>
      <c r="FG14" s="516">
        <v>211.2</v>
      </c>
      <c r="FH14" s="516">
        <v>210.5</v>
      </c>
      <c r="FI14" s="516">
        <v>212.4</v>
      </c>
      <c r="FJ14" s="516">
        <v>200.4</v>
      </c>
      <c r="FK14" s="516">
        <v>178.8</v>
      </c>
      <c r="FL14" s="516">
        <v>194.6</v>
      </c>
      <c r="FM14" s="516">
        <v>197.9</v>
      </c>
      <c r="FN14" s="516">
        <v>183.5</v>
      </c>
      <c r="FO14" s="516">
        <v>169</v>
      </c>
      <c r="FP14" s="516">
        <v>178.1</v>
      </c>
      <c r="FQ14" s="516">
        <v>175.3</v>
      </c>
      <c r="FR14" s="516">
        <v>182.4</v>
      </c>
      <c r="FS14" s="516">
        <v>189.8</v>
      </c>
      <c r="FT14" s="516">
        <v>186.1</v>
      </c>
      <c r="FU14" s="516">
        <v>183.2</v>
      </c>
      <c r="FV14" s="516">
        <v>194.3</v>
      </c>
      <c r="FW14" s="516">
        <v>200</v>
      </c>
      <c r="FX14" s="516">
        <v>206.1</v>
      </c>
      <c r="FY14" s="516">
        <v>217.8</v>
      </c>
      <c r="FZ14" s="516">
        <v>216.6</v>
      </c>
      <c r="GA14" s="516">
        <v>201.2</v>
      </c>
      <c r="GB14" s="516">
        <v>213.1</v>
      </c>
      <c r="GC14" s="516">
        <v>211.2</v>
      </c>
      <c r="GD14" s="516">
        <v>214</v>
      </c>
      <c r="GE14" s="516">
        <v>208.9</v>
      </c>
      <c r="GF14" s="516">
        <v>183</v>
      </c>
      <c r="GG14" s="516">
        <v>186.4</v>
      </c>
      <c r="GH14" s="516">
        <v>186.8</v>
      </c>
      <c r="GI14" s="516">
        <v>200.3</v>
      </c>
      <c r="GJ14" s="516">
        <v>212.9</v>
      </c>
      <c r="GK14" s="516">
        <v>227.4</v>
      </c>
      <c r="GL14" s="516">
        <v>245.4</v>
      </c>
      <c r="GM14" s="516">
        <v>266.8</v>
      </c>
      <c r="GN14" s="516">
        <v>283.7</v>
      </c>
      <c r="GO14" s="516">
        <v>271.89999999999998</v>
      </c>
      <c r="GP14" s="516">
        <v>252.1</v>
      </c>
      <c r="GQ14" s="516">
        <v>245.1</v>
      </c>
      <c r="GR14" s="516">
        <v>241.9</v>
      </c>
      <c r="GS14" s="427">
        <v>282.8</v>
      </c>
    </row>
    <row r="15" spans="1:201" ht="14.25" customHeight="1">
      <c r="A15" s="517"/>
      <c r="B15" s="518"/>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0"/>
      <c r="AO15" s="510"/>
      <c r="AP15" s="510"/>
      <c r="AQ15" s="510"/>
      <c r="AR15" s="510"/>
      <c r="AS15" s="510"/>
      <c r="AT15" s="510"/>
      <c r="AU15" s="510"/>
      <c r="AV15" s="510"/>
      <c r="AW15" s="510"/>
      <c r="AX15" s="510"/>
      <c r="AY15" s="510"/>
      <c r="AZ15" s="510"/>
      <c r="BA15" s="510"/>
      <c r="BB15" s="510"/>
      <c r="BC15" s="510"/>
      <c r="BD15" s="510"/>
      <c r="BE15" s="510"/>
      <c r="BF15" s="510"/>
      <c r="BG15" s="510"/>
      <c r="BH15" s="510"/>
      <c r="BI15" s="510"/>
      <c r="BJ15" s="510"/>
      <c r="BK15" s="510"/>
      <c r="BL15" s="510"/>
      <c r="BM15" s="510"/>
      <c r="BN15" s="510"/>
      <c r="BO15" s="510"/>
      <c r="BP15" s="510"/>
      <c r="BQ15" s="510"/>
      <c r="BR15" s="510"/>
      <c r="BS15" s="510"/>
      <c r="BT15" s="510"/>
      <c r="BU15" s="510"/>
      <c r="BV15" s="510"/>
      <c r="BW15" s="510"/>
      <c r="BX15" s="510"/>
      <c r="BY15" s="510"/>
      <c r="BZ15" s="510"/>
      <c r="CA15" s="510"/>
      <c r="CB15" s="510"/>
      <c r="CC15" s="510"/>
      <c r="CD15" s="510"/>
      <c r="CE15" s="510"/>
      <c r="CF15" s="510"/>
      <c r="CG15" s="510"/>
      <c r="CH15" s="510"/>
      <c r="CI15" s="510"/>
      <c r="CJ15" s="510"/>
      <c r="CK15" s="510"/>
      <c r="CL15" s="510"/>
      <c r="CM15" s="510"/>
      <c r="CN15" s="510"/>
      <c r="CO15" s="510"/>
      <c r="CP15" s="510"/>
      <c r="CQ15" s="510"/>
      <c r="CR15" s="510"/>
      <c r="CS15" s="510"/>
      <c r="CT15" s="510"/>
      <c r="CU15" s="510"/>
      <c r="CV15" s="510"/>
      <c r="CW15" s="510"/>
      <c r="CX15" s="510"/>
      <c r="CY15" s="510"/>
      <c r="CZ15" s="510"/>
      <c r="DA15" s="510"/>
      <c r="DB15" s="510"/>
      <c r="DC15" s="510"/>
      <c r="DD15" s="510"/>
      <c r="DE15" s="510"/>
      <c r="DF15" s="510"/>
      <c r="DG15" s="510"/>
      <c r="DH15" s="510"/>
      <c r="DI15" s="510"/>
      <c r="DJ15" s="510"/>
      <c r="DK15" s="510"/>
      <c r="DL15" s="510"/>
      <c r="DM15" s="510"/>
      <c r="DN15" s="510"/>
      <c r="DO15" s="510"/>
      <c r="DP15" s="510"/>
      <c r="DQ15" s="510"/>
      <c r="DR15" s="510"/>
      <c r="DS15" s="510"/>
      <c r="DT15" s="510"/>
      <c r="DU15" s="510"/>
      <c r="DV15" s="510"/>
      <c r="DW15" s="510"/>
      <c r="DX15" s="510"/>
      <c r="DY15" s="510"/>
      <c r="DZ15" s="510"/>
      <c r="EA15" s="510"/>
      <c r="EB15" s="510"/>
      <c r="EC15" s="510"/>
      <c r="ED15" s="510"/>
      <c r="EE15" s="510"/>
      <c r="EF15" s="510"/>
      <c r="EG15" s="510"/>
      <c r="EH15" s="510"/>
      <c r="EI15" s="510"/>
      <c r="EJ15" s="510"/>
      <c r="EK15" s="510"/>
      <c r="EL15" s="510"/>
      <c r="EM15" s="510"/>
      <c r="EN15" s="510"/>
      <c r="EO15" s="510"/>
      <c r="EP15" s="510"/>
      <c r="EQ15" s="510"/>
      <c r="ER15" s="510"/>
      <c r="ES15" s="510"/>
      <c r="ET15" s="510"/>
      <c r="EU15" s="510"/>
      <c r="EV15" s="510"/>
      <c r="EW15" s="510"/>
      <c r="EX15" s="510"/>
      <c r="EY15" s="510"/>
      <c r="EZ15" s="510"/>
      <c r="FA15" s="510"/>
      <c r="FB15" s="510"/>
      <c r="FC15" s="510"/>
      <c r="FD15" s="510"/>
      <c r="FE15" s="510"/>
      <c r="FF15" s="510"/>
      <c r="FG15" s="510"/>
      <c r="FH15" s="510"/>
      <c r="FI15" s="510"/>
      <c r="FJ15" s="510"/>
      <c r="FK15" s="510"/>
      <c r="FL15" s="510"/>
      <c r="FM15" s="510"/>
      <c r="FN15" s="510"/>
      <c r="FO15" s="510"/>
      <c r="FP15" s="510"/>
      <c r="FQ15" s="510"/>
      <c r="FR15" s="510"/>
      <c r="FS15" s="510"/>
      <c r="FT15" s="510"/>
      <c r="FU15" s="510"/>
      <c r="FV15" s="510"/>
      <c r="FW15" s="510"/>
      <c r="FX15" s="510"/>
      <c r="FY15" s="510"/>
      <c r="FZ15" s="510"/>
      <c r="GA15" s="510"/>
      <c r="GB15" s="510"/>
      <c r="GC15" s="510"/>
      <c r="GD15" s="510"/>
      <c r="GE15" s="510"/>
      <c r="GF15" s="510"/>
      <c r="GG15" s="510"/>
      <c r="GH15" s="510"/>
      <c r="GI15" s="510"/>
      <c r="GJ15" s="510"/>
      <c r="GK15" s="510"/>
      <c r="GL15" s="510"/>
      <c r="GM15" s="510"/>
      <c r="GN15" s="510"/>
      <c r="GO15" s="510"/>
      <c r="GP15" s="510"/>
      <c r="GQ15" s="510"/>
      <c r="GR15" s="510"/>
      <c r="GS15" s="427"/>
    </row>
    <row r="16" spans="1:201" ht="14.25" customHeight="1">
      <c r="A16" s="511" t="s">
        <v>1603</v>
      </c>
      <c r="B16" s="512"/>
      <c r="C16" s="516"/>
      <c r="D16" s="516"/>
      <c r="E16" s="516"/>
      <c r="F16" s="516"/>
      <c r="G16" s="516"/>
      <c r="H16" s="516"/>
      <c r="I16" s="516"/>
      <c r="J16" s="516"/>
      <c r="K16" s="516"/>
      <c r="L16" s="516"/>
      <c r="M16" s="516"/>
      <c r="N16" s="516"/>
      <c r="O16" s="516"/>
      <c r="P16" s="516"/>
      <c r="Q16" s="516"/>
      <c r="R16" s="513"/>
      <c r="S16" s="513"/>
      <c r="T16" s="513"/>
      <c r="U16" s="513"/>
      <c r="V16" s="513"/>
      <c r="W16" s="513"/>
      <c r="X16" s="513"/>
      <c r="Y16" s="513"/>
      <c r="Z16" s="513"/>
      <c r="AA16" s="513"/>
      <c r="AB16" s="513"/>
      <c r="AC16" s="513"/>
      <c r="AD16" s="513"/>
      <c r="AE16" s="513"/>
      <c r="AF16" s="513"/>
      <c r="AG16" s="513"/>
      <c r="AH16" s="513"/>
      <c r="AI16" s="513"/>
      <c r="AJ16" s="513"/>
      <c r="AK16" s="513"/>
      <c r="AL16" s="513"/>
      <c r="AM16" s="513"/>
      <c r="AN16" s="510"/>
      <c r="AO16" s="510"/>
      <c r="AP16" s="510"/>
      <c r="AQ16" s="510"/>
      <c r="AR16" s="510"/>
      <c r="AS16" s="510"/>
      <c r="AT16" s="510"/>
      <c r="AU16" s="510"/>
      <c r="AV16" s="510"/>
      <c r="AW16" s="510"/>
      <c r="AX16" s="510"/>
      <c r="AY16" s="510"/>
      <c r="AZ16" s="510"/>
      <c r="BA16" s="510"/>
      <c r="BB16" s="510"/>
      <c r="BC16" s="510"/>
      <c r="BD16" s="510"/>
      <c r="BE16" s="510"/>
      <c r="BF16" s="510"/>
      <c r="BG16" s="510"/>
      <c r="BH16" s="510"/>
      <c r="BI16" s="510"/>
      <c r="BJ16" s="510"/>
      <c r="BK16" s="510"/>
      <c r="BL16" s="510"/>
      <c r="BM16" s="510"/>
      <c r="BN16" s="510"/>
      <c r="BO16" s="510"/>
      <c r="BP16" s="510"/>
      <c r="BQ16" s="510"/>
      <c r="BR16" s="510"/>
      <c r="BS16" s="510"/>
      <c r="BT16" s="510"/>
      <c r="BU16" s="510"/>
      <c r="BV16" s="510"/>
      <c r="BW16" s="510"/>
      <c r="BX16" s="510"/>
      <c r="BY16" s="510"/>
      <c r="BZ16" s="510"/>
      <c r="CA16" s="510"/>
      <c r="CB16" s="510"/>
      <c r="CC16" s="510"/>
      <c r="CD16" s="510"/>
      <c r="CE16" s="510"/>
      <c r="CF16" s="510"/>
      <c r="CG16" s="510"/>
      <c r="CH16" s="510"/>
      <c r="CI16" s="510"/>
      <c r="CJ16" s="510"/>
      <c r="CK16" s="510"/>
      <c r="CL16" s="510"/>
      <c r="CM16" s="510"/>
      <c r="CN16" s="510"/>
      <c r="CO16" s="510"/>
      <c r="CP16" s="510"/>
      <c r="CQ16" s="510"/>
      <c r="CR16" s="510"/>
      <c r="CS16" s="510"/>
      <c r="CT16" s="510"/>
      <c r="CU16" s="510"/>
      <c r="CV16" s="510"/>
      <c r="CW16" s="510"/>
      <c r="CX16" s="510"/>
      <c r="CY16" s="510"/>
      <c r="CZ16" s="510"/>
      <c r="DA16" s="510"/>
      <c r="DB16" s="510"/>
      <c r="DC16" s="510"/>
      <c r="DD16" s="510"/>
      <c r="DE16" s="510"/>
      <c r="DF16" s="510"/>
      <c r="DG16" s="510"/>
      <c r="DH16" s="510"/>
      <c r="DI16" s="510"/>
      <c r="DJ16" s="510"/>
      <c r="DK16" s="510"/>
      <c r="DL16" s="510"/>
      <c r="DM16" s="510"/>
      <c r="DN16" s="510"/>
      <c r="DO16" s="510"/>
      <c r="DP16" s="510"/>
      <c r="DQ16" s="510"/>
      <c r="DR16" s="510"/>
      <c r="DS16" s="510"/>
      <c r="DT16" s="510"/>
      <c r="DU16" s="510"/>
      <c r="DV16" s="510"/>
      <c r="DW16" s="510"/>
      <c r="DX16" s="510"/>
      <c r="DY16" s="510"/>
      <c r="DZ16" s="510"/>
      <c r="EA16" s="510"/>
      <c r="EB16" s="510"/>
      <c r="EC16" s="510"/>
      <c r="ED16" s="510"/>
      <c r="EE16" s="510"/>
      <c r="EF16" s="510"/>
      <c r="EG16" s="510"/>
      <c r="EH16" s="510"/>
      <c r="EI16" s="510"/>
      <c r="EJ16" s="510"/>
      <c r="EK16" s="510"/>
      <c r="EL16" s="510"/>
      <c r="EM16" s="510"/>
      <c r="EN16" s="510"/>
      <c r="EO16" s="510"/>
      <c r="EP16" s="510"/>
      <c r="EQ16" s="510"/>
      <c r="ER16" s="510"/>
      <c r="ES16" s="510"/>
      <c r="ET16" s="510"/>
      <c r="EU16" s="510"/>
      <c r="EV16" s="510"/>
      <c r="EW16" s="510"/>
      <c r="EX16" s="510"/>
      <c r="EY16" s="510"/>
      <c r="EZ16" s="510"/>
      <c r="FA16" s="510"/>
      <c r="FB16" s="510"/>
      <c r="FC16" s="510"/>
      <c r="FD16" s="510"/>
      <c r="FE16" s="510"/>
      <c r="FF16" s="510"/>
      <c r="FG16" s="510"/>
      <c r="FH16" s="510"/>
      <c r="FI16" s="510"/>
      <c r="FJ16" s="510"/>
      <c r="FK16" s="510"/>
      <c r="FL16" s="510"/>
      <c r="FM16" s="510"/>
      <c r="FN16" s="510"/>
      <c r="FO16" s="510"/>
      <c r="FP16" s="510"/>
      <c r="FQ16" s="510"/>
      <c r="FR16" s="510"/>
      <c r="FS16" s="510"/>
      <c r="FT16" s="510"/>
      <c r="FU16" s="510"/>
      <c r="FV16" s="510"/>
      <c r="FW16" s="510"/>
      <c r="FX16" s="510"/>
      <c r="FY16" s="510"/>
      <c r="FZ16" s="510"/>
      <c r="GA16" s="510"/>
      <c r="GB16" s="510"/>
      <c r="GC16" s="510"/>
      <c r="GD16" s="510"/>
      <c r="GE16" s="510"/>
      <c r="GF16" s="510"/>
      <c r="GG16" s="510"/>
      <c r="GH16" s="510"/>
      <c r="GI16" s="510"/>
      <c r="GJ16" s="510"/>
      <c r="GK16" s="510"/>
      <c r="GL16" s="510"/>
      <c r="GM16" s="510"/>
      <c r="GN16" s="510"/>
      <c r="GO16" s="510"/>
      <c r="GP16" s="510"/>
      <c r="GQ16" s="510"/>
      <c r="GR16" s="510"/>
      <c r="GS16" s="427"/>
    </row>
    <row r="17" spans="1:201" ht="14.25" customHeight="1">
      <c r="A17" s="514" t="s">
        <v>464</v>
      </c>
      <c r="B17" s="515" t="s">
        <v>1600</v>
      </c>
      <c r="C17" s="516">
        <v>6.2322580649999999</v>
      </c>
      <c r="D17" s="516">
        <v>8.9600000000000009</v>
      </c>
      <c r="E17" s="516">
        <v>9.5</v>
      </c>
      <c r="F17" s="516">
        <v>9.5</v>
      </c>
      <c r="G17" s="516">
        <v>9.7583333329999995</v>
      </c>
      <c r="H17" s="516">
        <v>10.199999999999999</v>
      </c>
      <c r="I17" s="516">
        <v>10.199999999999999</v>
      </c>
      <c r="J17" s="516">
        <v>10.958064520000001</v>
      </c>
      <c r="K17" s="516">
        <v>14.9</v>
      </c>
      <c r="L17" s="516">
        <v>14.9</v>
      </c>
      <c r="M17" s="516">
        <v>14.9</v>
      </c>
      <c r="N17" s="516">
        <v>14.9</v>
      </c>
      <c r="O17" s="516">
        <v>14.9</v>
      </c>
      <c r="P17" s="516">
        <v>17.2</v>
      </c>
      <c r="Q17" s="516">
        <v>17.2</v>
      </c>
      <c r="R17" s="516">
        <v>17.2</v>
      </c>
      <c r="S17" s="516">
        <v>17.2</v>
      </c>
      <c r="T17" s="516">
        <v>17.2</v>
      </c>
      <c r="U17" s="516">
        <v>17.2</v>
      </c>
      <c r="V17" s="516">
        <v>17.2</v>
      </c>
      <c r="W17" s="516">
        <v>17.2</v>
      </c>
      <c r="X17" s="516">
        <v>18.23924731</v>
      </c>
      <c r="Y17" s="516">
        <v>20.03870968</v>
      </c>
      <c r="Z17" s="516">
        <v>23.017777779999999</v>
      </c>
      <c r="AA17" s="516">
        <v>30</v>
      </c>
      <c r="AB17" s="516">
        <v>33.675268819999999</v>
      </c>
      <c r="AC17" s="516">
        <v>37.219354840000001</v>
      </c>
      <c r="AD17" s="516">
        <v>38.799999999999997</v>
      </c>
      <c r="AE17" s="516">
        <v>40.017857139999997</v>
      </c>
      <c r="AF17" s="516">
        <v>41.9</v>
      </c>
      <c r="AG17" s="516">
        <v>43.705376340000001</v>
      </c>
      <c r="AH17" s="516">
        <v>44.2</v>
      </c>
      <c r="AI17" s="516">
        <v>46.009523809999997</v>
      </c>
      <c r="AJ17" s="516">
        <v>50.8</v>
      </c>
      <c r="AK17" s="516">
        <v>58.5</v>
      </c>
      <c r="AL17" s="516">
        <v>58.5</v>
      </c>
      <c r="AM17" s="516">
        <v>58.5</v>
      </c>
      <c r="AN17" s="516">
        <v>58.5</v>
      </c>
      <c r="AO17" s="516">
        <v>58.5</v>
      </c>
      <c r="AP17" s="516">
        <v>58.5</v>
      </c>
      <c r="AQ17" s="516">
        <v>58.5</v>
      </c>
      <c r="AR17" s="516">
        <v>58.5</v>
      </c>
      <c r="AS17" s="516">
        <v>64.521505379999994</v>
      </c>
      <c r="AT17" s="516">
        <v>68.5</v>
      </c>
      <c r="AU17" s="516">
        <v>68.5</v>
      </c>
      <c r="AV17" s="516">
        <v>75.577777780000005</v>
      </c>
      <c r="AW17" s="516">
        <v>75.719354839999994</v>
      </c>
      <c r="AX17" s="516">
        <v>69.902150539999994</v>
      </c>
      <c r="AY17" s="516">
        <v>69.149462369999995</v>
      </c>
      <c r="AZ17" s="516">
        <v>63.166666669999998</v>
      </c>
      <c r="BA17" s="516">
        <v>58.633333329999999</v>
      </c>
      <c r="BB17" s="516">
        <v>62.7</v>
      </c>
      <c r="BC17" s="516">
        <v>66.150000000000006</v>
      </c>
      <c r="BD17" s="516">
        <v>69</v>
      </c>
      <c r="BE17" s="516">
        <v>69</v>
      </c>
      <c r="BF17" s="516">
        <v>69</v>
      </c>
      <c r="BG17" s="516">
        <v>70.819999999999993</v>
      </c>
      <c r="BH17" s="516">
        <v>70.819999999999993</v>
      </c>
      <c r="BI17" s="516">
        <v>70.819999999999993</v>
      </c>
      <c r="BJ17" s="516">
        <v>70.290000000000006</v>
      </c>
      <c r="BK17" s="516">
        <v>69.06</v>
      </c>
      <c r="BL17" s="516">
        <v>69.06</v>
      </c>
      <c r="BM17" s="516">
        <v>69.06</v>
      </c>
      <c r="BN17" s="516">
        <v>62.71</v>
      </c>
      <c r="BO17" s="516">
        <v>64.18449339</v>
      </c>
      <c r="BP17" s="516">
        <v>64.117530680000002</v>
      </c>
      <c r="BQ17" s="516">
        <v>75.106088760000006</v>
      </c>
      <c r="BR17" s="516">
        <v>78.717750699999996</v>
      </c>
      <c r="BS17" s="516">
        <v>62.625354680000001</v>
      </c>
      <c r="BT17" s="516">
        <v>52.493978859999999</v>
      </c>
      <c r="BU17" s="516">
        <v>51.993447570000001</v>
      </c>
      <c r="BV17" s="516">
        <v>57.10473854</v>
      </c>
      <c r="BW17" s="516">
        <v>53.931754849999997</v>
      </c>
      <c r="BX17" s="516">
        <v>55.761746340000002</v>
      </c>
      <c r="BY17" s="516">
        <v>58.054782209999999</v>
      </c>
      <c r="BZ17" s="516">
        <v>58.514725669999997</v>
      </c>
      <c r="CA17" s="516">
        <v>57.449564850000002</v>
      </c>
      <c r="CB17" s="516">
        <v>55.883052550000002</v>
      </c>
      <c r="CC17" s="516">
        <v>55.110428300000002</v>
      </c>
      <c r="CD17" s="516">
        <v>52.804626149999997</v>
      </c>
      <c r="CE17" s="516">
        <v>51</v>
      </c>
      <c r="CF17" s="516">
        <v>51.1</v>
      </c>
      <c r="CG17" s="516">
        <v>52.2</v>
      </c>
      <c r="CH17" s="516">
        <v>52.2</v>
      </c>
      <c r="CI17" s="516">
        <v>51.6</v>
      </c>
      <c r="CJ17" s="516">
        <v>51.5</v>
      </c>
      <c r="CK17" s="516">
        <v>50.1</v>
      </c>
      <c r="CL17" s="516">
        <v>49.8</v>
      </c>
      <c r="CM17" s="516">
        <v>52.4</v>
      </c>
      <c r="CN17" s="516">
        <v>52.7</v>
      </c>
      <c r="CO17" s="516">
        <v>53</v>
      </c>
      <c r="CP17" s="516">
        <v>55</v>
      </c>
      <c r="CQ17" s="516">
        <v>56.4</v>
      </c>
      <c r="CR17" s="516">
        <v>54.8</v>
      </c>
      <c r="CS17" s="516">
        <v>53.9</v>
      </c>
      <c r="CT17" s="516">
        <v>55.4</v>
      </c>
      <c r="CU17" s="516">
        <v>53</v>
      </c>
      <c r="CV17" s="516">
        <v>47</v>
      </c>
      <c r="CW17" s="516">
        <v>46.8</v>
      </c>
      <c r="CX17" s="516">
        <v>46.3</v>
      </c>
      <c r="CY17" s="516">
        <v>45.5</v>
      </c>
      <c r="CZ17" s="516">
        <v>45.2</v>
      </c>
      <c r="DA17" s="516">
        <v>51.5</v>
      </c>
      <c r="DB17" s="516">
        <v>57.2</v>
      </c>
      <c r="DC17" s="516">
        <v>60.5</v>
      </c>
      <c r="DD17" s="516">
        <v>65.3</v>
      </c>
      <c r="DE17" s="516">
        <v>77</v>
      </c>
      <c r="DF17" s="516">
        <v>88.8</v>
      </c>
      <c r="DG17" s="516">
        <v>70.2</v>
      </c>
      <c r="DH17" s="516">
        <v>73</v>
      </c>
      <c r="DI17" s="516">
        <v>75.900000000000006</v>
      </c>
      <c r="DJ17" s="516">
        <v>69</v>
      </c>
      <c r="DK17" s="516">
        <v>61.452198320000001</v>
      </c>
      <c r="DL17" s="516">
        <v>65.599999999999994</v>
      </c>
      <c r="DM17" s="516">
        <v>64.5</v>
      </c>
      <c r="DN17" s="516">
        <v>65.400000000000006</v>
      </c>
      <c r="DO17" s="516">
        <v>70.8</v>
      </c>
      <c r="DP17" s="516">
        <v>59.3</v>
      </c>
      <c r="DQ17" s="516">
        <v>60.2</v>
      </c>
      <c r="DR17" s="516">
        <v>58.2</v>
      </c>
      <c r="DS17" s="516">
        <v>63.7</v>
      </c>
      <c r="DT17" s="516">
        <v>71.599999999999994</v>
      </c>
      <c r="DU17" s="516">
        <v>76.400000000000006</v>
      </c>
      <c r="DV17" s="516">
        <v>80.2</v>
      </c>
      <c r="DW17" s="516">
        <v>79</v>
      </c>
      <c r="DX17" s="516">
        <v>86.2</v>
      </c>
      <c r="DY17" s="516">
        <v>97.5</v>
      </c>
      <c r="DZ17" s="516">
        <v>98</v>
      </c>
      <c r="EA17" s="516">
        <v>106</v>
      </c>
      <c r="EB17" s="516">
        <v>125.5</v>
      </c>
      <c r="EC17" s="516">
        <v>121.9</v>
      </c>
      <c r="ED17" s="516">
        <v>99.8</v>
      </c>
      <c r="EE17" s="516">
        <v>94.8</v>
      </c>
      <c r="EF17" s="516">
        <v>99.3</v>
      </c>
      <c r="EG17" s="516">
        <v>105.8</v>
      </c>
      <c r="EH17" s="516">
        <v>118.5</v>
      </c>
      <c r="EI17" s="516">
        <v>125.5</v>
      </c>
      <c r="EJ17" s="516">
        <v>161.80000000000001</v>
      </c>
      <c r="EK17" s="516">
        <v>170.2</v>
      </c>
      <c r="EL17" s="516">
        <v>124.4</v>
      </c>
      <c r="EM17" s="516">
        <v>100.5</v>
      </c>
      <c r="EN17" s="516">
        <v>99.8</v>
      </c>
      <c r="EO17" s="516">
        <v>104.1</v>
      </c>
      <c r="EP17" s="516">
        <v>103.5</v>
      </c>
      <c r="EQ17" s="516">
        <v>110.6</v>
      </c>
      <c r="ER17" s="516">
        <v>116.7</v>
      </c>
      <c r="ES17" s="516">
        <v>116.8</v>
      </c>
      <c r="ET17" s="516">
        <v>124.7</v>
      </c>
      <c r="EU17" s="516">
        <v>143.69999999999999</v>
      </c>
      <c r="EV17" s="516">
        <v>155.30000000000001</v>
      </c>
      <c r="EW17" s="516">
        <v>143.30000000000001</v>
      </c>
      <c r="EX17" s="516">
        <v>151.80000000000001</v>
      </c>
      <c r="EY17" s="516">
        <v>152.1</v>
      </c>
      <c r="EZ17" s="516">
        <v>149.6</v>
      </c>
      <c r="FA17" s="516">
        <v>149.1</v>
      </c>
      <c r="FB17" s="516">
        <v>150</v>
      </c>
      <c r="FC17" s="516">
        <v>147.69999999999999</v>
      </c>
      <c r="FD17" s="516">
        <v>141.19999999999999</v>
      </c>
      <c r="FE17" s="516">
        <v>150.6</v>
      </c>
      <c r="FF17" s="516">
        <v>148.9</v>
      </c>
      <c r="FG17" s="516">
        <v>146.1</v>
      </c>
      <c r="FH17" s="516">
        <v>144.19999999999999</v>
      </c>
      <c r="FI17" s="516">
        <v>143.30000000000001</v>
      </c>
      <c r="FJ17" s="516">
        <v>132.30000000000001</v>
      </c>
      <c r="FK17" s="516">
        <v>109.8</v>
      </c>
      <c r="FL17" s="516">
        <v>121.6</v>
      </c>
      <c r="FM17" s="516">
        <v>118.8</v>
      </c>
      <c r="FN17" s="516">
        <v>108.2</v>
      </c>
      <c r="FO17" s="516">
        <v>89</v>
      </c>
      <c r="FP17" s="516">
        <v>100.9</v>
      </c>
      <c r="FQ17" s="516">
        <v>102.8</v>
      </c>
      <c r="FR17" s="516">
        <v>111.5</v>
      </c>
      <c r="FS17" s="516">
        <v>118.9</v>
      </c>
      <c r="FT17" s="516">
        <v>115.4</v>
      </c>
      <c r="FU17" s="516">
        <v>112.2</v>
      </c>
      <c r="FV17" s="516">
        <v>124.6</v>
      </c>
      <c r="FW17" s="516">
        <v>131.30000000000001</v>
      </c>
      <c r="FX17" s="516">
        <v>137.6</v>
      </c>
      <c r="FY17" s="516">
        <v>150.30000000000001</v>
      </c>
      <c r="FZ17" s="516">
        <v>153.9</v>
      </c>
      <c r="GA17" s="516">
        <v>145.19999999999999</v>
      </c>
      <c r="GB17" s="516">
        <v>151.1</v>
      </c>
      <c r="GC17" s="516">
        <v>142.19999999999999</v>
      </c>
      <c r="GD17" s="516">
        <v>142</v>
      </c>
      <c r="GE17" s="516">
        <v>138.19999999999999</v>
      </c>
      <c r="GF17" s="516">
        <v>116.2</v>
      </c>
      <c r="GG17" s="516">
        <v>114.3</v>
      </c>
      <c r="GH17" s="516">
        <v>113.7</v>
      </c>
      <c r="GI17" s="516">
        <v>128</v>
      </c>
      <c r="GJ17" s="516">
        <v>139.6</v>
      </c>
      <c r="GK17" s="516">
        <v>152.19999999999999</v>
      </c>
      <c r="GL17" s="516">
        <v>170.5</v>
      </c>
      <c r="GM17" s="516">
        <v>198.4</v>
      </c>
      <c r="GN17" s="516">
        <v>257.2</v>
      </c>
      <c r="GO17" s="516">
        <v>263.60000000000002</v>
      </c>
      <c r="GP17" s="516">
        <v>252.7</v>
      </c>
      <c r="GQ17" s="516">
        <v>224.1</v>
      </c>
      <c r="GR17" s="516">
        <v>196.6</v>
      </c>
      <c r="GS17" s="427">
        <v>211.8</v>
      </c>
    </row>
    <row r="18" spans="1:201" ht="14.25" customHeight="1">
      <c r="A18" s="514" t="s">
        <v>1604</v>
      </c>
      <c r="B18" s="515" t="s">
        <v>1605</v>
      </c>
      <c r="C18" s="516"/>
      <c r="D18" s="516"/>
      <c r="E18" s="516"/>
      <c r="F18" s="516"/>
      <c r="G18" s="516"/>
      <c r="H18" s="516"/>
      <c r="I18" s="516"/>
      <c r="J18" s="516"/>
      <c r="K18" s="516"/>
      <c r="L18" s="516"/>
      <c r="M18" s="516"/>
      <c r="N18" s="516"/>
      <c r="O18" s="516"/>
      <c r="P18" s="516"/>
      <c r="Q18" s="516"/>
      <c r="R18" s="516"/>
      <c r="S18" s="516"/>
      <c r="T18" s="516"/>
      <c r="U18" s="516"/>
      <c r="V18" s="516"/>
      <c r="W18" s="516"/>
      <c r="X18" s="516"/>
      <c r="Y18" s="516"/>
      <c r="Z18" s="516"/>
      <c r="AA18" s="516"/>
      <c r="AB18" s="516"/>
      <c r="AC18" s="516"/>
      <c r="AD18" s="516"/>
      <c r="AE18" s="516"/>
      <c r="AF18" s="516"/>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v>49.064071650000002</v>
      </c>
      <c r="BO18" s="516">
        <v>50.217709820000003</v>
      </c>
      <c r="BP18" s="516">
        <v>50.165318450000001</v>
      </c>
      <c r="BQ18" s="516">
        <v>58.762725570000001</v>
      </c>
      <c r="BR18" s="516">
        <v>61.588476499999999</v>
      </c>
      <c r="BS18" s="516">
        <v>48.997845470000001</v>
      </c>
      <c r="BT18" s="516">
        <v>41.230325280000002</v>
      </c>
      <c r="BU18" s="516">
        <v>40.697399910000001</v>
      </c>
      <c r="BV18" s="516">
        <v>44.58820669</v>
      </c>
      <c r="BW18" s="516">
        <v>42.140897359999997</v>
      </c>
      <c r="BX18" s="516">
        <v>43.705034169999998</v>
      </c>
      <c r="BY18" s="516">
        <v>45.620988259999997</v>
      </c>
      <c r="BZ18" s="516">
        <v>45.980661519999998</v>
      </c>
      <c r="CA18" s="516">
        <v>44.832410639999999</v>
      </c>
      <c r="CB18" s="516">
        <v>43.68781362</v>
      </c>
      <c r="CC18" s="516">
        <v>42.984055619999999</v>
      </c>
      <c r="CD18" s="516">
        <v>41.256483719999999</v>
      </c>
      <c r="CE18" s="516">
        <v>40.022494020000003</v>
      </c>
      <c r="CF18" s="516">
        <v>39.78824333</v>
      </c>
      <c r="CG18" s="516">
        <v>41.417956220000001</v>
      </c>
      <c r="CH18" s="516">
        <v>41.586792760000002</v>
      </c>
      <c r="CI18" s="516">
        <v>41.248703159999998</v>
      </c>
      <c r="CJ18" s="516">
        <v>42.192735190000001</v>
      </c>
      <c r="CK18" s="516">
        <v>40.61865375</v>
      </c>
      <c r="CL18" s="516">
        <v>40.818196110000002</v>
      </c>
      <c r="CM18" s="516">
        <v>41.912470059999997</v>
      </c>
      <c r="CN18" s="516">
        <v>41.10928947</v>
      </c>
      <c r="CO18" s="516">
        <v>41.968130080000002</v>
      </c>
      <c r="CP18" s="516">
        <v>44.050241939999999</v>
      </c>
      <c r="CQ18" s="516">
        <v>44.583220429999997</v>
      </c>
      <c r="CR18" s="516">
        <v>42.158177700000003</v>
      </c>
      <c r="CS18" s="516">
        <v>41.86570262</v>
      </c>
      <c r="CT18" s="516">
        <v>42.637647690000001</v>
      </c>
      <c r="CU18" s="516">
        <v>41.803160920000003</v>
      </c>
      <c r="CV18" s="516">
        <v>38.276536159999999</v>
      </c>
      <c r="CW18" s="516">
        <v>38.467457619999998</v>
      </c>
      <c r="CX18" s="516">
        <v>38.293408159999998</v>
      </c>
      <c r="CY18" s="516">
        <v>39.066068639999997</v>
      </c>
      <c r="CZ18" s="516">
        <v>38.155408739999999</v>
      </c>
      <c r="DA18" s="516">
        <v>42.594462540000002</v>
      </c>
      <c r="DB18" s="516">
        <v>47.742625799999999</v>
      </c>
      <c r="DC18" s="516">
        <v>51.967341359999999</v>
      </c>
      <c r="DD18" s="516">
        <v>55.573232609999998</v>
      </c>
      <c r="DE18" s="516">
        <v>66.15004252</v>
      </c>
      <c r="DF18" s="516">
        <v>71.110156610000004</v>
      </c>
      <c r="DG18" s="516">
        <v>59.685734189999998</v>
      </c>
      <c r="DH18" s="516">
        <v>62.71708263</v>
      </c>
      <c r="DI18" s="516">
        <v>65.910962409999996</v>
      </c>
      <c r="DJ18" s="516">
        <v>56.085088949999999</v>
      </c>
      <c r="DK18" s="516">
        <v>54.168316490000002</v>
      </c>
      <c r="DL18" s="516">
        <v>56.649536040000001</v>
      </c>
      <c r="DM18" s="516">
        <v>56.46580144</v>
      </c>
      <c r="DN18" s="516">
        <v>57.355814359999997</v>
      </c>
      <c r="DO18" s="516">
        <v>60.974818919999997</v>
      </c>
      <c r="DP18" s="516">
        <v>53.375673280000001</v>
      </c>
      <c r="DQ18" s="516">
        <v>54.546278559999998</v>
      </c>
      <c r="DR18" s="516">
        <v>53.413711079999999</v>
      </c>
      <c r="DS18" s="516">
        <v>56.977686990000002</v>
      </c>
      <c r="DT18" s="516">
        <v>63.08775267</v>
      </c>
      <c r="DU18" s="516">
        <v>68.014841660000002</v>
      </c>
      <c r="DV18" s="516">
        <v>72.469976169999995</v>
      </c>
      <c r="DW18" s="516">
        <v>70.462130160000001</v>
      </c>
      <c r="DX18" s="516">
        <v>77.776240950000002</v>
      </c>
      <c r="DY18" s="516">
        <v>85.701449969999999</v>
      </c>
      <c r="DZ18" s="516">
        <v>84.092325059999993</v>
      </c>
      <c r="EA18" s="516">
        <v>88.271220959999994</v>
      </c>
      <c r="EB18" s="516">
        <v>107.6132307</v>
      </c>
      <c r="EC18" s="516">
        <v>103.86270740000001</v>
      </c>
      <c r="ED18" s="516">
        <v>86.301015530000001</v>
      </c>
      <c r="EE18" s="516">
        <v>81.83804791</v>
      </c>
      <c r="EF18" s="516">
        <v>87.232520039999997</v>
      </c>
      <c r="EG18" s="516">
        <v>90.757405680000005</v>
      </c>
      <c r="EH18" s="516">
        <v>102.2294546</v>
      </c>
      <c r="EI18" s="516">
        <v>111.4355188</v>
      </c>
      <c r="EJ18" s="516">
        <v>143.63298560000001</v>
      </c>
      <c r="EK18" s="516">
        <v>149.39895050000001</v>
      </c>
      <c r="EL18" s="516">
        <v>109.6053871</v>
      </c>
      <c r="EM18" s="516">
        <v>93.407902469999996</v>
      </c>
      <c r="EN18" s="516">
        <v>85.634432380000007</v>
      </c>
      <c r="EO18" s="516">
        <v>89.387169259999993</v>
      </c>
      <c r="EP18" s="516">
        <v>89.241068499999997</v>
      </c>
      <c r="EQ18" s="516">
        <v>93.926416040000007</v>
      </c>
      <c r="ER18" s="516">
        <v>103.32095700000001</v>
      </c>
      <c r="ES18" s="516">
        <v>96.810661350000004</v>
      </c>
      <c r="ET18" s="516">
        <v>99.281339500000001</v>
      </c>
      <c r="EU18" s="516">
        <v>111.8425953</v>
      </c>
      <c r="EV18" s="516">
        <v>128.0140763</v>
      </c>
      <c r="EW18" s="516">
        <v>111.3196374</v>
      </c>
      <c r="EX18" s="516">
        <v>118.1408869</v>
      </c>
      <c r="EY18" s="516">
        <v>119.36278369999999</v>
      </c>
      <c r="EZ18" s="516">
        <v>117.604043</v>
      </c>
      <c r="FA18" s="516">
        <v>118.94490589999999</v>
      </c>
      <c r="FB18" s="516">
        <v>116.69713710000001</v>
      </c>
      <c r="FC18" s="516">
        <v>116.8297675</v>
      </c>
      <c r="FD18" s="516">
        <v>108.9227163</v>
      </c>
      <c r="FE18" s="516">
        <v>118.01213799999999</v>
      </c>
      <c r="FF18" s="516">
        <v>113.95063519999999</v>
      </c>
      <c r="FG18" s="516">
        <v>111.0606324</v>
      </c>
      <c r="FH18" s="516">
        <v>108.07005119999999</v>
      </c>
      <c r="FI18" s="516">
        <v>105.57072669999999</v>
      </c>
      <c r="FJ18" s="516">
        <v>96.671793170000001</v>
      </c>
      <c r="FK18" s="516">
        <v>82.294284899999994</v>
      </c>
      <c r="FL18" s="516">
        <v>84.637391429999994</v>
      </c>
      <c r="FM18" s="516">
        <v>83.628284149999999</v>
      </c>
      <c r="FN18" s="516">
        <v>75.174166380000003</v>
      </c>
      <c r="FO18" s="516">
        <v>57.180418727357697</v>
      </c>
      <c r="FP18" s="516">
        <v>53.563594583082903</v>
      </c>
      <c r="FQ18" s="516">
        <v>63.940710368515397</v>
      </c>
      <c r="FR18" s="516">
        <v>68.156695042229103</v>
      </c>
      <c r="FS18" s="516">
        <v>74.453159733519996</v>
      </c>
      <c r="FT18" s="516">
        <v>72.290399296739295</v>
      </c>
      <c r="FU18" s="516">
        <v>72.338454090421706</v>
      </c>
      <c r="FV18" s="516">
        <v>87.125572513751607</v>
      </c>
      <c r="FW18" s="516">
        <v>94.881698920495296</v>
      </c>
      <c r="FX18" s="516">
        <v>102.135239242241</v>
      </c>
      <c r="FY18" s="516">
        <v>109.69429687622601</v>
      </c>
      <c r="FZ18" s="516">
        <v>104.322280446329</v>
      </c>
      <c r="GA18" s="516">
        <v>94.589257079205794</v>
      </c>
      <c r="GB18" s="516">
        <v>101.558691022635</v>
      </c>
      <c r="GC18" s="516">
        <v>101.50466296688001</v>
      </c>
      <c r="GD18" s="516">
        <v>99.468778508491496</v>
      </c>
      <c r="GE18" s="516">
        <v>91.430660175381405</v>
      </c>
      <c r="GF18" s="516">
        <v>65.849843411513604</v>
      </c>
      <c r="GG18" s="516">
        <v>73.671369549613402</v>
      </c>
      <c r="GH18" s="516">
        <v>71.267806218998999</v>
      </c>
      <c r="GI18" s="516">
        <v>90.480638032893594</v>
      </c>
      <c r="GJ18" s="516">
        <v>91.651857137627204</v>
      </c>
      <c r="GK18" s="516">
        <v>102.600841107934</v>
      </c>
      <c r="GL18" s="516">
        <v>117.488151702577</v>
      </c>
      <c r="GM18" s="516">
        <v>141.76683065875</v>
      </c>
      <c r="GN18" s="516">
        <v>192.133402108718</v>
      </c>
      <c r="GO18" s="516">
        <v>200.11938812538099</v>
      </c>
      <c r="GP18" s="516">
        <v>185.079328539968</v>
      </c>
      <c r="GQ18" s="516">
        <v>154.91671921196101</v>
      </c>
      <c r="GR18" s="516">
        <v>135.735753369192</v>
      </c>
      <c r="GS18" s="427">
        <v>159.88999999999999</v>
      </c>
    </row>
    <row r="19" spans="1:201" ht="14.25" customHeight="1">
      <c r="A19" s="517"/>
      <c r="B19" s="518"/>
      <c r="C19" s="516"/>
      <c r="D19" s="516"/>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6"/>
      <c r="AJ19" s="516"/>
      <c r="AK19" s="516"/>
      <c r="AL19" s="516"/>
      <c r="AM19" s="516"/>
      <c r="AN19" s="510"/>
      <c r="AO19" s="510"/>
      <c r="AP19" s="510"/>
      <c r="AQ19" s="510"/>
      <c r="AR19" s="510"/>
      <c r="AS19" s="510"/>
      <c r="AT19" s="510"/>
      <c r="AU19" s="510"/>
      <c r="AV19" s="510"/>
      <c r="AW19" s="510"/>
      <c r="AX19" s="510"/>
      <c r="AY19" s="510"/>
      <c r="AZ19" s="510"/>
      <c r="BA19" s="510"/>
      <c r="BB19" s="510"/>
      <c r="BC19" s="510"/>
      <c r="BD19" s="510"/>
      <c r="BE19" s="510"/>
      <c r="BF19" s="510"/>
      <c r="BG19" s="510"/>
      <c r="BH19" s="510"/>
      <c r="BI19" s="510"/>
      <c r="BJ19" s="510"/>
      <c r="BK19" s="510"/>
      <c r="BL19" s="510"/>
      <c r="BM19" s="510"/>
      <c r="BN19" s="510"/>
      <c r="BO19" s="510"/>
      <c r="BP19" s="510"/>
      <c r="BQ19" s="510"/>
      <c r="BR19" s="510"/>
      <c r="BS19" s="510"/>
      <c r="BT19" s="510"/>
      <c r="BU19" s="510"/>
      <c r="BV19" s="510"/>
      <c r="BW19" s="510"/>
      <c r="BX19" s="510"/>
      <c r="BY19" s="510"/>
      <c r="BZ19" s="510"/>
      <c r="CA19" s="510"/>
      <c r="CB19" s="510"/>
      <c r="CC19" s="510"/>
      <c r="CD19" s="510"/>
      <c r="CE19" s="510"/>
      <c r="CF19" s="510"/>
      <c r="CG19" s="510"/>
      <c r="CH19" s="510"/>
      <c r="CI19" s="510"/>
      <c r="CJ19" s="510"/>
      <c r="CK19" s="510"/>
      <c r="CL19" s="510"/>
      <c r="CM19" s="510"/>
      <c r="CN19" s="510"/>
      <c r="CO19" s="510"/>
      <c r="CP19" s="510"/>
      <c r="CQ19" s="510"/>
      <c r="CR19" s="510"/>
      <c r="CS19" s="510"/>
      <c r="CT19" s="510"/>
      <c r="CU19" s="510"/>
      <c r="CV19" s="510"/>
      <c r="CW19" s="510"/>
      <c r="CX19" s="510"/>
      <c r="CY19" s="510"/>
      <c r="CZ19" s="510"/>
      <c r="DA19" s="510"/>
      <c r="DB19" s="510"/>
      <c r="DC19" s="510"/>
      <c r="DD19" s="510"/>
      <c r="DE19" s="510"/>
      <c r="DF19" s="510"/>
      <c r="DG19" s="510"/>
      <c r="DH19" s="510"/>
      <c r="DI19" s="510"/>
      <c r="DJ19" s="510"/>
      <c r="DK19" s="510"/>
      <c r="DL19" s="510"/>
      <c r="DM19" s="510"/>
      <c r="DN19" s="510"/>
      <c r="DO19" s="510"/>
      <c r="DP19" s="510"/>
      <c r="DQ19" s="510"/>
      <c r="DR19" s="510"/>
      <c r="DS19" s="510"/>
      <c r="DT19" s="510"/>
      <c r="DU19" s="510"/>
      <c r="DV19" s="510"/>
      <c r="DW19" s="510"/>
      <c r="DX19" s="510"/>
      <c r="DY19" s="510"/>
      <c r="DZ19" s="510"/>
      <c r="EA19" s="510"/>
      <c r="EB19" s="510"/>
      <c r="EC19" s="510"/>
      <c r="ED19" s="510"/>
      <c r="EE19" s="510"/>
      <c r="EF19" s="510"/>
      <c r="EG19" s="510"/>
      <c r="EH19" s="510"/>
      <c r="EI19" s="510"/>
      <c r="EJ19" s="510"/>
      <c r="EK19" s="510"/>
      <c r="EL19" s="510"/>
      <c r="EM19" s="510"/>
      <c r="EN19" s="510"/>
      <c r="EO19" s="510"/>
      <c r="EP19" s="510"/>
      <c r="EQ19" s="510"/>
      <c r="ER19" s="510"/>
      <c r="ES19" s="510"/>
      <c r="ET19" s="510"/>
      <c r="EU19" s="510"/>
      <c r="EV19" s="510"/>
      <c r="EW19" s="510"/>
      <c r="EX19" s="510"/>
      <c r="EY19" s="510"/>
      <c r="EZ19" s="510"/>
      <c r="FA19" s="510"/>
      <c r="FB19" s="510"/>
      <c r="FC19" s="510"/>
      <c r="FD19" s="510"/>
      <c r="FE19" s="510"/>
      <c r="FF19" s="510"/>
      <c r="FG19" s="510"/>
      <c r="FH19" s="510"/>
      <c r="FI19" s="510"/>
      <c r="FJ19" s="510"/>
      <c r="FK19" s="510"/>
      <c r="FL19" s="510"/>
      <c r="FM19" s="510"/>
      <c r="FN19" s="510"/>
      <c r="FO19" s="510"/>
      <c r="FP19" s="510"/>
      <c r="FQ19" s="510"/>
      <c r="FR19" s="510"/>
      <c r="FS19" s="510"/>
      <c r="FT19" s="510"/>
      <c r="FU19" s="510"/>
      <c r="FV19" s="510"/>
      <c r="FW19" s="510"/>
      <c r="FX19" s="510"/>
      <c r="FY19" s="510"/>
      <c r="FZ19" s="510"/>
      <c r="GA19" s="510"/>
      <c r="GB19" s="510"/>
      <c r="GC19" s="510"/>
      <c r="GD19" s="510"/>
      <c r="GE19" s="510"/>
      <c r="GF19" s="510"/>
      <c r="GG19" s="510"/>
      <c r="GH19" s="510"/>
      <c r="GI19" s="510"/>
      <c r="GJ19" s="510"/>
      <c r="GK19" s="510"/>
      <c r="GL19" s="510"/>
      <c r="GM19" s="510"/>
      <c r="GN19" s="510"/>
      <c r="GO19" s="510"/>
      <c r="GP19" s="510"/>
      <c r="GQ19" s="510"/>
      <c r="GR19" s="510"/>
      <c r="GS19" s="427"/>
    </row>
    <row r="20" spans="1:201" ht="14.25" customHeight="1">
      <c r="A20" s="511" t="s">
        <v>1606</v>
      </c>
      <c r="B20" s="512" t="s">
        <v>1605</v>
      </c>
      <c r="C20" s="513"/>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v>35.050104415154337</v>
      </c>
      <c r="BO20" s="513">
        <v>32.528169330032753</v>
      </c>
      <c r="BP20" s="513">
        <v>33.200687152078252</v>
      </c>
      <c r="BQ20" s="513">
        <v>37.361649171389153</v>
      </c>
      <c r="BR20" s="513">
        <v>43.832608075970214</v>
      </c>
      <c r="BS20" s="513">
        <v>41.917200765304202</v>
      </c>
      <c r="BT20" s="513">
        <v>39.523501404863424</v>
      </c>
      <c r="BU20" s="513">
        <v>37.406128721707503</v>
      </c>
      <c r="BV20" s="513">
        <v>38.123996506804339</v>
      </c>
      <c r="BW20" s="513">
        <v>37.330600688154902</v>
      </c>
      <c r="BX20" s="513">
        <v>34.812947071187963</v>
      </c>
      <c r="BY20" s="513">
        <v>35.472791767992078</v>
      </c>
      <c r="BZ20" s="513">
        <v>36.129308900309134</v>
      </c>
      <c r="CA20" s="513">
        <v>36.224016614811745</v>
      </c>
      <c r="CB20" s="513">
        <v>32.849984148704351</v>
      </c>
      <c r="CC20" s="513">
        <v>34.703380734831242</v>
      </c>
      <c r="CD20" s="513">
        <v>31.254278576133469</v>
      </c>
      <c r="CE20" s="513">
        <v>32.252361470506706</v>
      </c>
      <c r="CF20" s="513">
        <v>34.451625767764625</v>
      </c>
      <c r="CG20" s="513">
        <v>32.514672602491579</v>
      </c>
      <c r="CH20" s="513">
        <v>34.665886531235699</v>
      </c>
      <c r="CI20" s="513">
        <v>32.64778778448774</v>
      </c>
      <c r="CJ20" s="513">
        <v>30.704056700598116</v>
      </c>
      <c r="CK20" s="513">
        <v>31.104649141895376</v>
      </c>
      <c r="CL20" s="513">
        <v>33.342108284867933</v>
      </c>
      <c r="CM20" s="513">
        <v>33.021009178330921</v>
      </c>
      <c r="CN20" s="513">
        <v>33.855431659032988</v>
      </c>
      <c r="CO20" s="513">
        <v>30.68584198090263</v>
      </c>
      <c r="CP20" s="513">
        <v>31.269821660388693</v>
      </c>
      <c r="CQ20" s="513">
        <v>31.017057944582906</v>
      </c>
      <c r="CR20" s="513">
        <v>30.245282987162764</v>
      </c>
      <c r="CS20" s="513">
        <v>32.473241059902321</v>
      </c>
      <c r="CT20" s="513">
        <v>33.021142949736287</v>
      </c>
      <c r="CU20" s="513">
        <v>30.238136622478024</v>
      </c>
      <c r="CV20" s="513">
        <v>31.152593935728923</v>
      </c>
      <c r="CW20" s="513">
        <v>33.373603447017089</v>
      </c>
      <c r="CX20" s="513">
        <v>31.290572132840396</v>
      </c>
      <c r="CY20" s="513">
        <v>34.518036197620582</v>
      </c>
      <c r="CZ20" s="513">
        <v>30.663723149774675</v>
      </c>
      <c r="DA20" s="513">
        <v>34.00767701683916</v>
      </c>
      <c r="DB20" s="513">
        <v>36.845254895320373</v>
      </c>
      <c r="DC20" s="513">
        <v>44.393782051474865</v>
      </c>
      <c r="DD20" s="513">
        <v>51.233222475616927</v>
      </c>
      <c r="DE20" s="513">
        <v>59.173798552173693</v>
      </c>
      <c r="DF20" s="513">
        <v>63.480849457030011</v>
      </c>
      <c r="DG20" s="513">
        <v>52.728922273621613</v>
      </c>
      <c r="DH20" s="513">
        <v>47.557937206690852</v>
      </c>
      <c r="DI20" s="513">
        <v>44.352279231050318</v>
      </c>
      <c r="DJ20" s="513">
        <v>38.693755344829384</v>
      </c>
      <c r="DK20" s="513">
        <v>41.168311858263209</v>
      </c>
      <c r="DL20" s="513">
        <v>45.146509179019503</v>
      </c>
      <c r="DM20" s="513">
        <v>47.577158257802793</v>
      </c>
      <c r="DN20" s="513">
        <v>45.750081812334365</v>
      </c>
      <c r="DO20" s="513">
        <v>45.394376297762477</v>
      </c>
      <c r="DP20" s="513">
        <v>40.04319733494011</v>
      </c>
      <c r="DQ20" s="513">
        <v>38.63135020331093</v>
      </c>
      <c r="DR20" s="513">
        <v>35.999758249329574</v>
      </c>
      <c r="DS20" s="513">
        <v>37.666076324343152</v>
      </c>
      <c r="DT20" s="513">
        <v>43.023998596500036</v>
      </c>
      <c r="DU20" s="513">
        <v>43.511398675438272</v>
      </c>
      <c r="DV20" s="513">
        <v>46.688096160901239</v>
      </c>
      <c r="DW20" s="513">
        <v>48.000425516560639</v>
      </c>
      <c r="DX20" s="513">
        <v>45.773846731178949</v>
      </c>
      <c r="DY20" s="513">
        <v>47.780334215352255</v>
      </c>
      <c r="DZ20" s="513">
        <v>50.830028760442971</v>
      </c>
      <c r="EA20" s="513">
        <v>56.572031343677743</v>
      </c>
      <c r="EB20" s="513">
        <v>63.73680998306881</v>
      </c>
      <c r="EC20" s="513">
        <v>64.269724954812517</v>
      </c>
      <c r="ED20" s="513">
        <v>53.675277548394405</v>
      </c>
      <c r="EE20" s="513">
        <v>50.970068369680838</v>
      </c>
      <c r="EF20" s="513">
        <v>56.267101917619897</v>
      </c>
      <c r="EG20" s="513">
        <v>60.22507872455018</v>
      </c>
      <c r="EH20" s="513">
        <v>71.379234361777279</v>
      </c>
      <c r="EI20" s="513">
        <v>71.18792280681869</v>
      </c>
      <c r="EJ20" s="513">
        <v>84.394384810384835</v>
      </c>
      <c r="EK20" s="513">
        <v>101.05385792339996</v>
      </c>
      <c r="EL20" s="513">
        <v>71.317678368740701</v>
      </c>
      <c r="EM20" s="513">
        <v>77.497514955340023</v>
      </c>
      <c r="EN20" s="513">
        <v>71.462648431843263</v>
      </c>
      <c r="EO20" s="513">
        <v>81.267200502397131</v>
      </c>
      <c r="EP20" s="513">
        <v>74.662026000729114</v>
      </c>
      <c r="EQ20" s="513">
        <v>80.488601477995815</v>
      </c>
      <c r="ER20" s="513">
        <v>82.782455408459015</v>
      </c>
      <c r="ES20" s="513">
        <v>70.665650230892552</v>
      </c>
      <c r="ET20" s="513">
        <v>71.24355003849152</v>
      </c>
      <c r="EU20" s="513">
        <v>84.609506708017761</v>
      </c>
      <c r="EV20" s="513">
        <v>85.139563067425684</v>
      </c>
      <c r="EW20" s="513">
        <v>82.950194828537605</v>
      </c>
      <c r="EX20" s="513">
        <v>69.719729386042872</v>
      </c>
      <c r="EY20" s="513">
        <v>91.45618772008298</v>
      </c>
      <c r="EZ20" s="513">
        <v>89.035987301178011</v>
      </c>
      <c r="FA20" s="513">
        <v>85.687566223950824</v>
      </c>
      <c r="FB20" s="513">
        <v>81.272755000010733</v>
      </c>
      <c r="FC20" s="513">
        <v>82.052380049089948</v>
      </c>
      <c r="FD20" s="513">
        <v>80.134425373196677</v>
      </c>
      <c r="FE20" s="513">
        <v>80.907483341803783</v>
      </c>
      <c r="FF20" s="513">
        <v>81.017901049553117</v>
      </c>
      <c r="FG20" s="513">
        <v>81.252939721800544</v>
      </c>
      <c r="FH20" s="513">
        <v>78.06985013748303</v>
      </c>
      <c r="FI20" s="513">
        <v>78.577377876021018</v>
      </c>
      <c r="FJ20" s="513">
        <v>69.91430867359837</v>
      </c>
      <c r="FK20" s="513">
        <v>57.824998501579202</v>
      </c>
      <c r="FL20" s="513">
        <v>59.613975922710644</v>
      </c>
      <c r="FM20" s="513">
        <v>56.838918642105497</v>
      </c>
      <c r="FN20" s="513">
        <v>47.462891571701959</v>
      </c>
      <c r="FO20" s="513">
        <v>34.399734456367071</v>
      </c>
      <c r="FP20" s="513">
        <v>39.251202700633499</v>
      </c>
      <c r="FQ20" s="513">
        <v>47.014051793529056</v>
      </c>
      <c r="FR20" s="513">
        <v>52.169521654062031</v>
      </c>
      <c r="FS20" s="513">
        <v>56.740005095364893</v>
      </c>
      <c r="FT20" s="513">
        <v>55.278255406497742</v>
      </c>
      <c r="FU20" s="513">
        <v>56.245539531911675</v>
      </c>
      <c r="FV20" s="513">
        <v>62.952620061465431</v>
      </c>
      <c r="FW20" s="513">
        <v>63.566016758847518</v>
      </c>
      <c r="FX20" s="513">
        <v>69.697979058862501</v>
      </c>
      <c r="FY20" s="513">
        <v>80.025029706459961</v>
      </c>
      <c r="FZ20" s="513">
        <v>75.433355501248471</v>
      </c>
      <c r="GA20" s="513">
        <v>67.950440662129694</v>
      </c>
      <c r="GB20" s="513">
        <v>71.823693533540833</v>
      </c>
      <c r="GC20" s="513">
        <v>75.820693079121867</v>
      </c>
      <c r="GD20" s="513">
        <v>58.97126418516379</v>
      </c>
      <c r="GE20" s="513">
        <v>62.413805593857873</v>
      </c>
      <c r="GF20" s="513">
        <v>42.546923804656331</v>
      </c>
      <c r="GG20" s="513">
        <v>58.544063383887412</v>
      </c>
      <c r="GH20" s="513">
        <v>56.06690720039461</v>
      </c>
      <c r="GI20" s="516" t="s">
        <v>1607</v>
      </c>
      <c r="GJ20" s="516" t="s">
        <v>1607</v>
      </c>
      <c r="GK20" s="516" t="s">
        <v>1607</v>
      </c>
      <c r="GL20" s="516" t="s">
        <v>1607</v>
      </c>
      <c r="GM20" s="516" t="s">
        <v>1607</v>
      </c>
      <c r="GN20" s="516" t="s">
        <v>1607</v>
      </c>
      <c r="GO20" s="516" t="s">
        <v>1607</v>
      </c>
      <c r="GP20" s="516" t="s">
        <v>1607</v>
      </c>
      <c r="GQ20" s="516" t="s">
        <v>1607</v>
      </c>
      <c r="GR20" s="516" t="s">
        <v>1607</v>
      </c>
      <c r="GS20" s="427" t="s">
        <v>1607</v>
      </c>
    </row>
    <row r="21" spans="1:201" ht="14.25" customHeight="1">
      <c r="A21" s="500" t="s">
        <v>1608</v>
      </c>
      <c r="B21" s="497" t="s">
        <v>1605</v>
      </c>
      <c r="C21" s="516"/>
      <c r="D21" s="516"/>
      <c r="E21" s="516"/>
      <c r="F21" s="516"/>
      <c r="G21" s="516"/>
      <c r="H21" s="516"/>
      <c r="I21" s="516"/>
      <c r="J21" s="516"/>
      <c r="K21" s="516"/>
      <c r="L21" s="516"/>
      <c r="M21" s="516"/>
      <c r="N21" s="516"/>
      <c r="O21" s="516"/>
      <c r="P21" s="516"/>
      <c r="Q21" s="516"/>
      <c r="R21" s="516"/>
      <c r="S21" s="516"/>
      <c r="T21" s="516"/>
      <c r="U21" s="516"/>
      <c r="V21" s="516"/>
      <c r="W21" s="516"/>
      <c r="X21" s="516"/>
      <c r="Y21" s="516"/>
      <c r="Z21" s="516"/>
      <c r="AA21" s="516"/>
      <c r="AB21" s="516"/>
      <c r="AC21" s="516"/>
      <c r="AD21" s="516"/>
      <c r="AE21" s="516"/>
      <c r="AF21" s="516"/>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v>34.861867070000002</v>
      </c>
      <c r="BO21" s="516">
        <v>32.869007770000003</v>
      </c>
      <c r="BP21" s="516">
        <v>33.713369630000003</v>
      </c>
      <c r="BQ21" s="516">
        <v>37.559368810000002</v>
      </c>
      <c r="BR21" s="516">
        <v>45.654164940000001</v>
      </c>
      <c r="BS21" s="516">
        <v>42.774008600000002</v>
      </c>
      <c r="BT21" s="516">
        <v>41.654873340000002</v>
      </c>
      <c r="BU21" s="516">
        <v>38.897842650000001</v>
      </c>
      <c r="BV21" s="516">
        <v>39.166657809999997</v>
      </c>
      <c r="BW21" s="516">
        <v>38.738616129999997</v>
      </c>
      <c r="BX21" s="516">
        <v>38.026692439999998</v>
      </c>
      <c r="BY21" s="516">
        <v>38.035327639999998</v>
      </c>
      <c r="BZ21" s="516">
        <v>38.582403020000001</v>
      </c>
      <c r="CA21" s="516">
        <v>36.553260719999997</v>
      </c>
      <c r="CB21" s="516">
        <v>34.816261859999997</v>
      </c>
      <c r="CC21" s="516">
        <v>35.34490169</v>
      </c>
      <c r="CD21" s="516">
        <v>35.246839649999998</v>
      </c>
      <c r="CE21" s="516">
        <v>34.86111167</v>
      </c>
      <c r="CF21" s="516">
        <v>33.918431089999999</v>
      </c>
      <c r="CG21" s="516">
        <v>34.215642729999999</v>
      </c>
      <c r="CH21" s="516">
        <v>33.226296220000002</v>
      </c>
      <c r="CI21" s="516">
        <v>33.233126329999997</v>
      </c>
      <c r="CJ21" s="516">
        <v>34.015417829999997</v>
      </c>
      <c r="CK21" s="516">
        <v>34.186941609999998</v>
      </c>
      <c r="CL21" s="516">
        <v>34.206773679999998</v>
      </c>
      <c r="CM21" s="516">
        <v>34.294926879999998</v>
      </c>
      <c r="CN21" s="516">
        <v>34.26884459</v>
      </c>
      <c r="CO21" s="516">
        <v>34.292027959999999</v>
      </c>
      <c r="CP21" s="516">
        <v>34.660551220000002</v>
      </c>
      <c r="CQ21" s="516">
        <v>35.16175896</v>
      </c>
      <c r="CR21" s="516">
        <v>35.202292890000003</v>
      </c>
      <c r="CS21" s="516">
        <v>34.629466280000003</v>
      </c>
      <c r="CT21" s="516">
        <v>35.097006149999999</v>
      </c>
      <c r="CU21" s="516">
        <v>34.078415929999998</v>
      </c>
      <c r="CV21" s="516">
        <v>33.927951450000002</v>
      </c>
      <c r="CW21" s="516">
        <v>34.457362140000001</v>
      </c>
      <c r="CX21" s="516">
        <v>33.775469430000001</v>
      </c>
      <c r="CY21" s="516">
        <v>34.275194419999998</v>
      </c>
      <c r="CZ21" s="516">
        <v>34.137280230000002</v>
      </c>
      <c r="DA21" s="516">
        <v>38.489813830000003</v>
      </c>
      <c r="DB21" s="516">
        <v>42.274571940000001</v>
      </c>
      <c r="DC21" s="516">
        <v>48.021992539999999</v>
      </c>
      <c r="DD21" s="516">
        <v>47.755482610000001</v>
      </c>
      <c r="DE21" s="516">
        <v>55.548347769999999</v>
      </c>
      <c r="DF21" s="516">
        <v>59.468918080000002</v>
      </c>
      <c r="DG21" s="516">
        <v>52.08934284</v>
      </c>
      <c r="DH21" s="516">
        <v>55.141293419999997</v>
      </c>
      <c r="DI21" s="516">
        <v>56.727865479999998</v>
      </c>
      <c r="DJ21" s="516">
        <v>57.553230560000003</v>
      </c>
      <c r="DK21" s="516">
        <v>52.043351829999999</v>
      </c>
      <c r="DL21" s="516">
        <v>54.080825390000001</v>
      </c>
      <c r="DM21" s="516">
        <v>54.300340210000002</v>
      </c>
      <c r="DN21" s="516">
        <v>50.512934549999997</v>
      </c>
      <c r="DO21" s="516">
        <v>50.70315695</v>
      </c>
      <c r="DP21" s="516">
        <v>46.273998140000003</v>
      </c>
      <c r="DQ21" s="516">
        <v>45.532171259999998</v>
      </c>
      <c r="DR21" s="516">
        <v>44.103226050000004</v>
      </c>
      <c r="DS21" s="516">
        <v>44.606757109999997</v>
      </c>
      <c r="DT21" s="516">
        <v>48.683696390000001</v>
      </c>
      <c r="DU21" s="516">
        <v>44.256642419999999</v>
      </c>
      <c r="DV21" s="516">
        <v>47.033238320000002</v>
      </c>
      <c r="DW21" s="516">
        <v>44.106386829999998</v>
      </c>
      <c r="DX21" s="516">
        <v>51.16488648</v>
      </c>
      <c r="DY21" s="516">
        <v>56.857914149999999</v>
      </c>
      <c r="DZ21" s="516">
        <v>59.45929873</v>
      </c>
      <c r="EA21" s="516">
        <v>65.512354799999997</v>
      </c>
      <c r="EB21" s="516">
        <v>71.936823180000005</v>
      </c>
      <c r="EC21" s="516">
        <v>75.268211249999993</v>
      </c>
      <c r="ED21" s="516">
        <v>61.096511999999997</v>
      </c>
      <c r="EE21" s="516">
        <v>57.682400639999997</v>
      </c>
      <c r="EF21" s="516">
        <v>63.16058203</v>
      </c>
      <c r="EG21" s="516">
        <v>67.007548499999999</v>
      </c>
      <c r="EH21" s="516">
        <v>76.396411819999997</v>
      </c>
      <c r="EI21" s="516">
        <v>77.844532229999999</v>
      </c>
      <c r="EJ21" s="516">
        <v>97.913298850000004</v>
      </c>
      <c r="EK21" s="516">
        <v>116.4626536</v>
      </c>
      <c r="EL21" s="516">
        <v>85.799072280000004</v>
      </c>
      <c r="EM21" s="516">
        <v>65.110940839999998</v>
      </c>
      <c r="EN21" s="516">
        <v>64.186635980000005</v>
      </c>
      <c r="EO21" s="516">
        <v>73.802022980000004</v>
      </c>
      <c r="EP21" s="516">
        <v>73.100832359999998</v>
      </c>
      <c r="EQ21" s="516">
        <v>78.665201859999996</v>
      </c>
      <c r="ER21" s="516">
        <v>81.027352680000007</v>
      </c>
      <c r="ES21" s="516">
        <v>79.271874190000005</v>
      </c>
      <c r="ET21" s="516">
        <v>81.218994899999998</v>
      </c>
      <c r="EU21" s="516">
        <v>92.972993000000002</v>
      </c>
      <c r="EV21" s="516">
        <v>100.4261193</v>
      </c>
      <c r="EW21" s="516">
        <v>95.760682549999999</v>
      </c>
      <c r="EX21" s="516">
        <v>101.12180069999999</v>
      </c>
      <c r="EY21" s="516">
        <v>101.6211117</v>
      </c>
      <c r="EZ21" s="516">
        <v>97.143936280000005</v>
      </c>
      <c r="FA21" s="516">
        <v>94.691814570000005</v>
      </c>
      <c r="FB21" s="516">
        <v>87.81777194</v>
      </c>
      <c r="FC21" s="516">
        <v>92.059966360000004</v>
      </c>
      <c r="FD21" s="516">
        <v>87.402164099999993</v>
      </c>
      <c r="FE21" s="516">
        <v>91.608231439999997</v>
      </c>
      <c r="FF21" s="516">
        <v>88.44718623</v>
      </c>
      <c r="FG21" s="516">
        <v>90.129858139999996</v>
      </c>
      <c r="FH21" s="516">
        <v>84.885726809999994</v>
      </c>
      <c r="FI21" s="516">
        <v>88.008709499999995</v>
      </c>
      <c r="FJ21" s="516">
        <v>80.46253523</v>
      </c>
      <c r="FK21" s="516">
        <v>72.754353449999996</v>
      </c>
      <c r="FL21" s="516">
        <v>65.636391090000004</v>
      </c>
      <c r="FM21" s="516">
        <v>62.284595600000003</v>
      </c>
      <c r="FN21" s="516">
        <v>52.67827698</v>
      </c>
      <c r="FO21" s="516">
        <v>39.334888838246698</v>
      </c>
      <c r="FP21" s="516">
        <v>51.002545126924197</v>
      </c>
      <c r="FQ21" s="516">
        <v>56.208401210991099</v>
      </c>
      <c r="FR21" s="516">
        <v>62.026482014159797</v>
      </c>
      <c r="FS21" s="516">
        <v>67.571078545461603</v>
      </c>
      <c r="FT21" s="516">
        <v>65.169137342009606</v>
      </c>
      <c r="FU21" s="516">
        <v>66.378949485373298</v>
      </c>
      <c r="FV21" s="516">
        <v>74.207963464265106</v>
      </c>
      <c r="FW21" s="516">
        <v>77.754098649798095</v>
      </c>
      <c r="FX21" s="516">
        <v>87.699834092501604</v>
      </c>
      <c r="FY21" s="516">
        <v>92.387519013586797</v>
      </c>
      <c r="FZ21" s="516">
        <v>88.530682425370003</v>
      </c>
      <c r="GA21" s="516">
        <v>78.229338937024906</v>
      </c>
      <c r="GB21" s="516">
        <v>85.761573595731505</v>
      </c>
      <c r="GC21" s="516">
        <v>81.058901739386798</v>
      </c>
      <c r="GD21" s="516">
        <v>71.479917580289595</v>
      </c>
      <c r="GE21" s="516">
        <v>67.824094510176096</v>
      </c>
      <c r="GF21" s="516">
        <v>52.707959645002099</v>
      </c>
      <c r="GG21" s="516">
        <v>61.233210119678397</v>
      </c>
      <c r="GH21" s="516">
        <v>63.411023728767098</v>
      </c>
      <c r="GI21" s="516">
        <v>74.009036262125093</v>
      </c>
      <c r="GJ21" s="516">
        <v>79.654429618829596</v>
      </c>
      <c r="GK21" s="516">
        <v>87.105720188383401</v>
      </c>
      <c r="GL21" s="516">
        <v>55.805542556107</v>
      </c>
      <c r="GM21" s="516" t="s">
        <v>1607</v>
      </c>
      <c r="GN21" s="516" t="s">
        <v>1607</v>
      </c>
      <c r="GO21" s="516" t="s">
        <v>1607</v>
      </c>
      <c r="GP21" s="516" t="s">
        <v>1607</v>
      </c>
      <c r="GQ21" s="516" t="s">
        <v>1607</v>
      </c>
      <c r="GR21" s="516" t="s">
        <v>1607</v>
      </c>
      <c r="GS21" s="427" t="s">
        <v>1607</v>
      </c>
    </row>
    <row r="22" spans="1:201" ht="14.25" customHeight="1">
      <c r="A22" s="500" t="s">
        <v>1609</v>
      </c>
      <c r="B22" s="499" t="s">
        <v>1605</v>
      </c>
      <c r="C22" s="516"/>
      <c r="D22" s="516"/>
      <c r="E22" s="516"/>
      <c r="F22" s="516"/>
      <c r="G22" s="516"/>
      <c r="H22" s="516"/>
      <c r="I22" s="516"/>
      <c r="J22" s="516"/>
      <c r="K22" s="516"/>
      <c r="L22" s="516"/>
      <c r="M22" s="516"/>
      <c r="N22" s="516"/>
      <c r="O22" s="516"/>
      <c r="P22" s="516"/>
      <c r="Q22" s="516"/>
      <c r="R22" s="516"/>
      <c r="S22" s="516"/>
      <c r="T22" s="516"/>
      <c r="U22" s="516"/>
      <c r="V22" s="516"/>
      <c r="W22" s="516"/>
      <c r="X22" s="516"/>
      <c r="Y22" s="516"/>
      <c r="Z22" s="516"/>
      <c r="AA22" s="516"/>
      <c r="AB22" s="516"/>
      <c r="AC22" s="516"/>
      <c r="AD22" s="516"/>
      <c r="AE22" s="516"/>
      <c r="AF22" s="516"/>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v>35.158613969999998</v>
      </c>
      <c r="BO22" s="516">
        <v>32.37786998</v>
      </c>
      <c r="BP22" s="516">
        <v>32.934405890000001</v>
      </c>
      <c r="BQ22" s="516">
        <v>37.278606869999997</v>
      </c>
      <c r="BR22" s="516">
        <v>43.358868960000002</v>
      </c>
      <c r="BS22" s="516">
        <v>41.539804590000003</v>
      </c>
      <c r="BT22" s="516">
        <v>38.274035670000004</v>
      </c>
      <c r="BU22" s="516">
        <v>36.574666780000001</v>
      </c>
      <c r="BV22" s="516">
        <v>37.663596140000003</v>
      </c>
      <c r="BW22" s="516">
        <v>36.655839690000001</v>
      </c>
      <c r="BX22" s="516">
        <v>33.35014615</v>
      </c>
      <c r="BY22" s="516">
        <v>34.46776113</v>
      </c>
      <c r="BZ22" s="516">
        <v>34.390858889999997</v>
      </c>
      <c r="CA22" s="516">
        <v>35.996439180000003</v>
      </c>
      <c r="CB22" s="516">
        <v>31.872757279999998</v>
      </c>
      <c r="CC22" s="516">
        <v>34.225915710000002</v>
      </c>
      <c r="CD22" s="516">
        <v>29.575186420000001</v>
      </c>
      <c r="CE22" s="516">
        <v>31.246031120000001</v>
      </c>
      <c r="CF22" s="516">
        <v>34.663588320000002</v>
      </c>
      <c r="CG22" s="516">
        <v>31.432951259999999</v>
      </c>
      <c r="CH22" s="516">
        <v>35.557738960000002</v>
      </c>
      <c r="CI22" s="516">
        <v>32.232309690000001</v>
      </c>
      <c r="CJ22" s="516">
        <v>28.587274740000002</v>
      </c>
      <c r="CK22" s="516">
        <v>29.12579874</v>
      </c>
      <c r="CL22" s="516">
        <v>32.926968019999997</v>
      </c>
      <c r="CM22" s="516">
        <v>32.34494419</v>
      </c>
      <c r="CN22" s="516">
        <v>33.603202959999997</v>
      </c>
      <c r="CO22" s="516">
        <v>28.26836788</v>
      </c>
      <c r="CP22" s="516">
        <v>29.456289510000001</v>
      </c>
      <c r="CQ22" s="516">
        <v>28.691293630000001</v>
      </c>
      <c r="CR22" s="516">
        <v>27.285018180000002</v>
      </c>
      <c r="CS22" s="516">
        <v>31.13944957</v>
      </c>
      <c r="CT22" s="516">
        <v>31.706916960000001</v>
      </c>
      <c r="CU22" s="516">
        <v>28.36029641</v>
      </c>
      <c r="CV22" s="516">
        <v>29.88664996</v>
      </c>
      <c r="CW22" s="516">
        <v>32.709593779999999</v>
      </c>
      <c r="CX22" s="516">
        <v>29.6952943</v>
      </c>
      <c r="CY22" s="516">
        <v>34.651342620000001</v>
      </c>
      <c r="CZ22" s="516">
        <v>28.707105649999999</v>
      </c>
      <c r="DA22" s="516">
        <v>30.836826070000001</v>
      </c>
      <c r="DB22" s="516">
        <v>34.12830812</v>
      </c>
      <c r="DC22" s="516">
        <v>42.892831970000003</v>
      </c>
      <c r="DD22" s="516">
        <v>52.997593469999998</v>
      </c>
      <c r="DE22" s="516">
        <v>61.500990420000001</v>
      </c>
      <c r="DF22" s="516">
        <v>65.367605580000003</v>
      </c>
      <c r="DG22" s="516">
        <v>53.004463180000002</v>
      </c>
      <c r="DH22" s="516">
        <v>44.072861670000002</v>
      </c>
      <c r="DI22" s="516">
        <v>37.901960129999999</v>
      </c>
      <c r="DJ22" s="516">
        <v>30.237522250000001</v>
      </c>
      <c r="DK22" s="516">
        <v>37.214235479999999</v>
      </c>
      <c r="DL22" s="516">
        <v>42.373683329999999</v>
      </c>
      <c r="DM22" s="516">
        <v>44.733233830000003</v>
      </c>
      <c r="DN22" s="516">
        <v>43.858209170000002</v>
      </c>
      <c r="DO22" s="516">
        <v>43.5790601</v>
      </c>
      <c r="DP22" s="516">
        <v>37.434734519999999</v>
      </c>
      <c r="DQ22" s="516">
        <v>35.53298032</v>
      </c>
      <c r="DR22" s="516">
        <v>32.716878459999997</v>
      </c>
      <c r="DS22" s="516">
        <v>34.746401830000003</v>
      </c>
      <c r="DT22" s="516">
        <v>40.431152500000003</v>
      </c>
      <c r="DU22" s="516">
        <v>43.206619570000001</v>
      </c>
      <c r="DV22" s="516">
        <v>46.56579705</v>
      </c>
      <c r="DW22" s="516">
        <v>49.582960989999997</v>
      </c>
      <c r="DX22" s="516">
        <v>44.12401277</v>
      </c>
      <c r="DY22" s="516">
        <v>43.701748379999998</v>
      </c>
      <c r="DZ22" s="516">
        <v>46.821923660000003</v>
      </c>
      <c r="EA22" s="516">
        <v>51.975710370000002</v>
      </c>
      <c r="EB22" s="516">
        <v>59.104856050000002</v>
      </c>
      <c r="EC22" s="516">
        <v>56.280042209999998</v>
      </c>
      <c r="ED22" s="516">
        <v>49.177082040000002</v>
      </c>
      <c r="EE22" s="516">
        <v>47.119597630000001</v>
      </c>
      <c r="EF22" s="516">
        <v>52.047118820000001</v>
      </c>
      <c r="EG22" s="516">
        <v>55.496422129999999</v>
      </c>
      <c r="EH22" s="516">
        <v>67.418740929999998</v>
      </c>
      <c r="EI22" s="516">
        <v>68.112875790000004</v>
      </c>
      <c r="EJ22" s="516">
        <v>79.479034200000001</v>
      </c>
      <c r="EK22" s="516">
        <v>96.031284929999998</v>
      </c>
      <c r="EL22" s="516">
        <v>65.934536929999993</v>
      </c>
      <c r="EM22" s="516">
        <v>81.246124350000002</v>
      </c>
      <c r="EN22" s="516">
        <v>75.032027869999993</v>
      </c>
      <c r="EO22" s="516">
        <v>85.213300200000006</v>
      </c>
      <c r="EP22" s="516">
        <v>75.533903260000002</v>
      </c>
      <c r="EQ22" s="516">
        <v>81.525614259999998</v>
      </c>
      <c r="ER22" s="516">
        <v>83.545549609999995</v>
      </c>
      <c r="ES22" s="516">
        <v>66.113039189999995</v>
      </c>
      <c r="ET22" s="516">
        <v>67.749642219999998</v>
      </c>
      <c r="EU22" s="516">
        <v>81.547165140000004</v>
      </c>
      <c r="EV22" s="516">
        <v>77.553930379999997</v>
      </c>
      <c r="EW22" s="516">
        <v>76.052727540000006</v>
      </c>
      <c r="EX22" s="516">
        <v>54.422146239999996</v>
      </c>
      <c r="EY22" s="516">
        <v>88.279926639999999</v>
      </c>
      <c r="EZ22" s="516">
        <v>84.834333790000002</v>
      </c>
      <c r="FA22" s="516">
        <v>80.066062349999996</v>
      </c>
      <c r="FB22" s="516">
        <v>78.56940367</v>
      </c>
      <c r="FC22" s="516">
        <v>79.112595229999997</v>
      </c>
      <c r="FD22" s="516">
        <v>78.190574710000007</v>
      </c>
      <c r="FE22" s="516">
        <v>76.503528119999999</v>
      </c>
      <c r="FF22" s="516">
        <v>78.227449809999996</v>
      </c>
      <c r="FG22" s="516">
        <v>78.342988730000002</v>
      </c>
      <c r="FH22" s="516">
        <v>74.74982163</v>
      </c>
      <c r="FI22" s="516">
        <v>73.964617219999994</v>
      </c>
      <c r="FJ22" s="516">
        <v>67.365542959999999</v>
      </c>
      <c r="FK22" s="516">
        <v>51.845670550000001</v>
      </c>
      <c r="FL22" s="516">
        <v>57.80362453</v>
      </c>
      <c r="FM22" s="516">
        <v>53.997804549999998</v>
      </c>
      <c r="FN22" s="516">
        <v>46.140162670000002</v>
      </c>
      <c r="FO22" s="516">
        <v>32.797789513665101</v>
      </c>
      <c r="FP22" s="516">
        <v>35.379948823553804</v>
      </c>
      <c r="FQ22" s="516">
        <v>43.100743538819302</v>
      </c>
      <c r="FR22" s="516">
        <v>48.982207375123402</v>
      </c>
      <c r="FS22" s="516">
        <v>53.840044252953703</v>
      </c>
      <c r="FT22" s="516">
        <v>51.904767475633903</v>
      </c>
      <c r="FU22" s="516">
        <v>52.0579236729154</v>
      </c>
      <c r="FV22" s="516">
        <v>60.076191701663198</v>
      </c>
      <c r="FW22" s="516">
        <v>59.5791738562219</v>
      </c>
      <c r="FX22" s="516">
        <v>64.552135175329596</v>
      </c>
      <c r="FY22" s="516">
        <v>77.696422623703199</v>
      </c>
      <c r="FZ22" s="516">
        <v>72.453987258195198</v>
      </c>
      <c r="GA22" s="516">
        <v>65.829023199015197</v>
      </c>
      <c r="GB22" s="516">
        <v>68.348957519777102</v>
      </c>
      <c r="GC22" s="516">
        <v>74.220365700869806</v>
      </c>
      <c r="GD22" s="516">
        <v>55.820733477872203</v>
      </c>
      <c r="GE22" s="516">
        <v>60.382959719007999</v>
      </c>
      <c r="GF22" s="516">
        <v>37.021015767462899</v>
      </c>
      <c r="GG22" s="516">
        <v>56.283611041419597</v>
      </c>
      <c r="GH22" s="516">
        <v>46.974935953805797</v>
      </c>
      <c r="GI22" s="516" t="s">
        <v>1607</v>
      </c>
      <c r="GJ22" s="516" t="s">
        <v>1607</v>
      </c>
      <c r="GK22" s="516" t="s">
        <v>1607</v>
      </c>
      <c r="GL22" s="516" t="s">
        <v>1607</v>
      </c>
      <c r="GM22" s="516" t="s">
        <v>1607</v>
      </c>
      <c r="GN22" s="516" t="s">
        <v>1607</v>
      </c>
      <c r="GO22" s="516" t="s">
        <v>1607</v>
      </c>
      <c r="GP22" s="516" t="s">
        <v>1607</v>
      </c>
      <c r="GQ22" s="516" t="s">
        <v>1607</v>
      </c>
      <c r="GR22" s="516" t="s">
        <v>1607</v>
      </c>
      <c r="GS22" s="427" t="s">
        <v>1607</v>
      </c>
    </row>
    <row r="23" spans="1:201" ht="14.25" customHeight="1">
      <c r="A23" s="498"/>
      <c r="B23" s="499"/>
      <c r="C23" s="510"/>
      <c r="D23" s="510"/>
      <c r="E23" s="510"/>
      <c r="F23" s="510"/>
      <c r="G23" s="510"/>
      <c r="H23" s="510"/>
      <c r="I23" s="510"/>
      <c r="J23" s="510"/>
      <c r="K23" s="510"/>
      <c r="L23" s="510"/>
      <c r="M23" s="510"/>
      <c r="N23" s="510"/>
      <c r="O23" s="510"/>
      <c r="P23" s="510"/>
      <c r="Q23" s="510"/>
      <c r="R23" s="510"/>
      <c r="S23" s="510"/>
      <c r="T23" s="510"/>
      <c r="U23" s="510"/>
      <c r="V23" s="510"/>
      <c r="W23" s="510"/>
      <c r="X23" s="510"/>
      <c r="Y23" s="510"/>
      <c r="Z23" s="510"/>
      <c r="AA23" s="510"/>
      <c r="AB23" s="510"/>
      <c r="AC23" s="510"/>
      <c r="AD23" s="510"/>
      <c r="AE23" s="510"/>
      <c r="AF23" s="510"/>
      <c r="AG23" s="510"/>
      <c r="AH23" s="510"/>
      <c r="AI23" s="510"/>
      <c r="AJ23" s="510"/>
      <c r="AK23" s="510"/>
      <c r="AL23" s="510"/>
      <c r="AM23" s="510"/>
      <c r="AN23" s="510"/>
      <c r="AO23" s="510"/>
      <c r="AP23" s="510"/>
      <c r="AQ23" s="510"/>
      <c r="AR23" s="510"/>
      <c r="AS23" s="510"/>
      <c r="AT23" s="510"/>
      <c r="AU23" s="510"/>
      <c r="AV23" s="510"/>
      <c r="AW23" s="510"/>
      <c r="AX23" s="510"/>
      <c r="AY23" s="510"/>
      <c r="AZ23" s="510"/>
      <c r="BA23" s="510"/>
      <c r="BB23" s="510"/>
      <c r="BC23" s="510"/>
      <c r="BD23" s="510"/>
      <c r="BE23" s="510"/>
      <c r="BF23" s="510"/>
      <c r="BG23" s="510"/>
      <c r="BH23" s="510"/>
      <c r="BI23" s="510"/>
      <c r="BJ23" s="510"/>
      <c r="BK23" s="510"/>
      <c r="BL23" s="510"/>
      <c r="BM23" s="510"/>
      <c r="BN23" s="510"/>
      <c r="BO23" s="510"/>
      <c r="BP23" s="510"/>
      <c r="BQ23" s="510"/>
      <c r="BR23" s="510"/>
      <c r="BS23" s="510"/>
      <c r="BT23" s="510"/>
      <c r="BU23" s="510"/>
      <c r="BV23" s="510"/>
      <c r="BW23" s="510"/>
      <c r="BX23" s="510"/>
      <c r="BY23" s="510"/>
      <c r="BZ23" s="510"/>
      <c r="CA23" s="510"/>
      <c r="CB23" s="510"/>
      <c r="CC23" s="510"/>
      <c r="CD23" s="510"/>
      <c r="CE23" s="510"/>
      <c r="CF23" s="510"/>
      <c r="CG23" s="510"/>
      <c r="CH23" s="510"/>
      <c r="CI23" s="510"/>
      <c r="CJ23" s="510"/>
      <c r="CK23" s="510"/>
      <c r="CL23" s="510"/>
      <c r="CM23" s="510"/>
      <c r="CN23" s="510"/>
      <c r="CO23" s="510"/>
      <c r="CP23" s="510"/>
      <c r="CQ23" s="510"/>
      <c r="CR23" s="510"/>
      <c r="CS23" s="510"/>
      <c r="CT23" s="510"/>
      <c r="CU23" s="510"/>
      <c r="CV23" s="510"/>
      <c r="CW23" s="510"/>
      <c r="CX23" s="510"/>
      <c r="CY23" s="510"/>
      <c r="CZ23" s="510"/>
      <c r="DA23" s="510"/>
      <c r="DB23" s="510"/>
      <c r="DC23" s="510"/>
      <c r="DD23" s="510"/>
      <c r="DE23" s="510"/>
      <c r="DF23" s="510"/>
      <c r="DG23" s="510"/>
      <c r="DH23" s="510"/>
      <c r="DI23" s="510"/>
      <c r="DJ23" s="510"/>
      <c r="DK23" s="510"/>
      <c r="DL23" s="510"/>
      <c r="DM23" s="510"/>
      <c r="DN23" s="510"/>
      <c r="DO23" s="510"/>
      <c r="DP23" s="510"/>
      <c r="DQ23" s="510"/>
      <c r="DR23" s="510"/>
      <c r="DS23" s="510"/>
      <c r="DT23" s="510"/>
      <c r="DU23" s="510"/>
      <c r="DV23" s="510"/>
      <c r="DW23" s="510"/>
      <c r="DX23" s="510"/>
      <c r="DY23" s="510"/>
      <c r="DZ23" s="510"/>
      <c r="EA23" s="510"/>
      <c r="EB23" s="510"/>
      <c r="EC23" s="510"/>
      <c r="ED23" s="510"/>
      <c r="EE23" s="510"/>
      <c r="EF23" s="510"/>
      <c r="EG23" s="510"/>
      <c r="EH23" s="510"/>
      <c r="EI23" s="510"/>
      <c r="EJ23" s="510"/>
      <c r="EK23" s="510"/>
      <c r="EL23" s="510"/>
      <c r="EM23" s="510"/>
      <c r="EN23" s="510"/>
      <c r="EO23" s="510"/>
      <c r="EP23" s="510"/>
      <c r="EQ23" s="510"/>
      <c r="ER23" s="510"/>
      <c r="ES23" s="510"/>
      <c r="ET23" s="510"/>
      <c r="EU23" s="510"/>
      <c r="EV23" s="510"/>
      <c r="EW23" s="510"/>
      <c r="EX23" s="510"/>
      <c r="EY23" s="510"/>
      <c r="EZ23" s="510"/>
      <c r="FA23" s="510"/>
      <c r="FB23" s="510"/>
      <c r="FC23" s="510"/>
      <c r="FD23" s="510"/>
      <c r="FE23" s="510"/>
      <c r="FF23" s="510"/>
      <c r="FG23" s="510"/>
      <c r="FH23" s="510"/>
      <c r="FI23" s="510"/>
      <c r="FJ23" s="510"/>
      <c r="FK23" s="510"/>
      <c r="FL23" s="510"/>
      <c r="FM23" s="510"/>
      <c r="FN23" s="510"/>
      <c r="FO23" s="510"/>
      <c r="FP23" s="510"/>
      <c r="FQ23" s="510"/>
      <c r="FR23" s="510"/>
      <c r="FS23" s="510"/>
      <c r="FT23" s="510"/>
      <c r="FU23" s="510"/>
      <c r="FV23" s="510"/>
      <c r="FW23" s="510"/>
      <c r="FX23" s="519"/>
      <c r="FY23" s="519"/>
      <c r="FZ23" s="519"/>
      <c r="GA23" s="519"/>
      <c r="GB23" s="519"/>
      <c r="GC23" s="519"/>
      <c r="GD23" s="519"/>
      <c r="GE23" s="519"/>
      <c r="GF23" s="519"/>
      <c r="GG23" s="519"/>
      <c r="GH23" s="519"/>
      <c r="GI23" s="519"/>
      <c r="GJ23" s="519"/>
      <c r="GK23" s="519"/>
      <c r="GL23" s="519"/>
      <c r="GM23" s="519"/>
      <c r="GN23" s="519"/>
      <c r="GO23" s="519"/>
      <c r="GP23" s="519"/>
      <c r="GQ23" s="519"/>
      <c r="GR23" s="519"/>
      <c r="GS23" s="427"/>
    </row>
    <row r="24" spans="1:201" ht="14.25" customHeight="1">
      <c r="A24" s="511" t="s">
        <v>1610</v>
      </c>
      <c r="B24" s="520"/>
      <c r="C24" s="510"/>
      <c r="D24" s="510"/>
      <c r="E24" s="510"/>
      <c r="F24" s="510"/>
      <c r="G24" s="510"/>
      <c r="H24" s="510"/>
      <c r="I24" s="510"/>
      <c r="J24" s="510"/>
      <c r="K24" s="510"/>
      <c r="L24" s="510"/>
      <c r="M24" s="510"/>
      <c r="N24" s="510"/>
      <c r="O24" s="510"/>
      <c r="P24" s="510"/>
      <c r="Q24" s="510"/>
      <c r="R24" s="510"/>
      <c r="S24" s="510"/>
      <c r="T24" s="510"/>
      <c r="U24" s="510"/>
      <c r="V24" s="510"/>
      <c r="W24" s="510"/>
      <c r="X24" s="510"/>
      <c r="Y24" s="510"/>
      <c r="Z24" s="510"/>
      <c r="AA24" s="510"/>
      <c r="AB24" s="510"/>
      <c r="AC24" s="510"/>
      <c r="AD24" s="510"/>
      <c r="AE24" s="510"/>
      <c r="AF24" s="510"/>
      <c r="AG24" s="510"/>
      <c r="AH24" s="510"/>
      <c r="AI24" s="510"/>
      <c r="AJ24" s="510"/>
      <c r="AK24" s="510"/>
      <c r="AL24" s="510"/>
      <c r="AM24" s="510"/>
      <c r="AN24" s="510"/>
      <c r="AO24" s="510"/>
      <c r="AP24" s="510"/>
      <c r="AQ24" s="510"/>
      <c r="AR24" s="510"/>
      <c r="AS24" s="510"/>
      <c r="AT24" s="510"/>
      <c r="AU24" s="510"/>
      <c r="AV24" s="510"/>
      <c r="AW24" s="510"/>
      <c r="AX24" s="510"/>
      <c r="AY24" s="510"/>
      <c r="AZ24" s="510"/>
      <c r="BA24" s="510"/>
      <c r="BB24" s="510"/>
      <c r="BC24" s="510"/>
      <c r="BD24" s="510"/>
      <c r="BE24" s="510"/>
      <c r="BF24" s="510"/>
      <c r="BG24" s="510"/>
      <c r="BH24" s="510"/>
      <c r="BI24" s="510"/>
      <c r="BJ24" s="510"/>
      <c r="BK24" s="510"/>
      <c r="BL24" s="510"/>
      <c r="BM24" s="510"/>
      <c r="BN24" s="510"/>
      <c r="BO24" s="510"/>
      <c r="BP24" s="510"/>
      <c r="BQ24" s="510"/>
      <c r="BR24" s="510"/>
      <c r="BS24" s="510"/>
      <c r="BT24" s="510"/>
      <c r="BU24" s="510"/>
      <c r="BV24" s="510"/>
      <c r="BW24" s="510"/>
      <c r="BX24" s="510"/>
      <c r="BY24" s="510"/>
      <c r="BZ24" s="510"/>
      <c r="CA24" s="510"/>
      <c r="CB24" s="510"/>
      <c r="CC24" s="510"/>
      <c r="CD24" s="510"/>
      <c r="CE24" s="510"/>
      <c r="CF24" s="510"/>
      <c r="CG24" s="510"/>
      <c r="CH24" s="510"/>
      <c r="CI24" s="510"/>
      <c r="CJ24" s="510"/>
      <c r="CK24" s="510"/>
      <c r="CL24" s="510"/>
      <c r="CM24" s="510"/>
      <c r="CN24" s="510"/>
      <c r="CO24" s="510"/>
      <c r="CP24" s="510"/>
      <c r="CQ24" s="510"/>
      <c r="CR24" s="510"/>
      <c r="CS24" s="510"/>
      <c r="CT24" s="510"/>
      <c r="CU24" s="510"/>
      <c r="CV24" s="510"/>
      <c r="CW24" s="510"/>
      <c r="CX24" s="510"/>
      <c r="CY24" s="510"/>
      <c r="CZ24" s="510"/>
      <c r="DA24" s="510"/>
      <c r="DB24" s="510"/>
      <c r="DC24" s="510"/>
      <c r="DD24" s="510"/>
      <c r="DE24" s="510"/>
      <c r="DF24" s="510"/>
      <c r="DG24" s="510"/>
      <c r="DH24" s="510"/>
      <c r="DI24" s="510"/>
      <c r="DJ24" s="510"/>
      <c r="DK24" s="510"/>
      <c r="DL24" s="510"/>
      <c r="DM24" s="510"/>
      <c r="DN24" s="510"/>
      <c r="DO24" s="510"/>
      <c r="DP24" s="510"/>
      <c r="DQ24" s="510"/>
      <c r="DR24" s="510"/>
      <c r="DS24" s="510"/>
      <c r="DT24" s="510"/>
      <c r="DU24" s="510"/>
      <c r="DV24" s="510"/>
      <c r="DW24" s="510"/>
      <c r="DX24" s="510"/>
      <c r="DY24" s="510"/>
      <c r="DZ24" s="510"/>
      <c r="EA24" s="510"/>
      <c r="EB24" s="510"/>
      <c r="EC24" s="510"/>
      <c r="ED24" s="510"/>
      <c r="EE24" s="510"/>
      <c r="EF24" s="510"/>
      <c r="EG24" s="510"/>
      <c r="EH24" s="510"/>
      <c r="EI24" s="510"/>
      <c r="EJ24" s="510"/>
      <c r="EK24" s="510"/>
      <c r="EL24" s="510"/>
      <c r="EM24" s="510"/>
      <c r="EN24" s="510"/>
      <c r="EO24" s="510"/>
      <c r="EP24" s="510"/>
      <c r="EQ24" s="510"/>
      <c r="ER24" s="510"/>
      <c r="ES24" s="510"/>
      <c r="ET24" s="510"/>
      <c r="EU24" s="510"/>
      <c r="EV24" s="510"/>
      <c r="EW24" s="510"/>
      <c r="EX24" s="510"/>
      <c r="EY24" s="510"/>
      <c r="EZ24" s="510"/>
      <c r="FA24" s="510"/>
      <c r="FB24" s="510"/>
      <c r="FC24" s="510"/>
      <c r="FD24" s="510"/>
      <c r="FE24" s="510"/>
      <c r="FF24" s="510"/>
      <c r="FG24" s="510"/>
      <c r="FH24" s="510"/>
      <c r="FI24" s="510"/>
      <c r="FJ24" s="510"/>
      <c r="FK24" s="510"/>
      <c r="FL24" s="510"/>
      <c r="FM24" s="510"/>
      <c r="FN24" s="510"/>
      <c r="FO24" s="510"/>
      <c r="FP24" s="510"/>
      <c r="FQ24" s="510"/>
      <c r="FR24" s="510"/>
      <c r="FS24" s="510"/>
      <c r="FT24" s="510"/>
      <c r="FU24" s="510"/>
      <c r="FV24" s="510"/>
      <c r="FW24" s="510"/>
      <c r="FX24" s="510"/>
      <c r="FY24" s="510"/>
      <c r="FZ24" s="510"/>
      <c r="GA24" s="510"/>
      <c r="GB24" s="510"/>
      <c r="GC24" s="510"/>
      <c r="GD24" s="510"/>
      <c r="GE24" s="510"/>
      <c r="GF24" s="510"/>
      <c r="GG24" s="510"/>
      <c r="GH24" s="510"/>
      <c r="GI24" s="510"/>
      <c r="GJ24" s="510"/>
      <c r="GK24" s="510"/>
      <c r="GL24" s="510"/>
      <c r="GM24" s="510"/>
      <c r="GN24" s="510"/>
      <c r="GO24" s="510"/>
      <c r="GP24" s="510"/>
      <c r="GQ24" s="510"/>
      <c r="GR24" s="510"/>
      <c r="GS24" s="427"/>
    </row>
    <row r="25" spans="1:201" ht="14.25" customHeight="1">
      <c r="A25" s="500" t="s">
        <v>1611</v>
      </c>
      <c r="B25" s="497" t="s">
        <v>1600</v>
      </c>
      <c r="C25" s="510" t="s">
        <v>1612</v>
      </c>
      <c r="D25" s="510" t="s">
        <v>1612</v>
      </c>
      <c r="E25" s="510" t="s">
        <v>1612</v>
      </c>
      <c r="F25" s="510" t="s">
        <v>1612</v>
      </c>
      <c r="G25" s="510" t="s">
        <v>1612</v>
      </c>
      <c r="H25" s="510" t="s">
        <v>1612</v>
      </c>
      <c r="I25" s="510" t="s">
        <v>1612</v>
      </c>
      <c r="J25" s="510" t="s">
        <v>1612</v>
      </c>
      <c r="K25" s="510" t="s">
        <v>1612</v>
      </c>
      <c r="L25" s="510" t="s">
        <v>1612</v>
      </c>
      <c r="M25" s="510" t="s">
        <v>1612</v>
      </c>
      <c r="N25" s="510" t="s">
        <v>1612</v>
      </c>
      <c r="O25" s="510" t="s">
        <v>1612</v>
      </c>
      <c r="P25" s="510" t="s">
        <v>1612</v>
      </c>
      <c r="Q25" s="510" t="s">
        <v>1612</v>
      </c>
      <c r="R25" s="510" t="s">
        <v>1612</v>
      </c>
      <c r="S25" s="510" t="s">
        <v>1612</v>
      </c>
      <c r="T25" s="510" t="s">
        <v>1612</v>
      </c>
      <c r="U25" s="510" t="s">
        <v>1612</v>
      </c>
      <c r="V25" s="510" t="s">
        <v>1612</v>
      </c>
      <c r="W25" s="510">
        <v>1.5821152192799999</v>
      </c>
      <c r="X25" s="510">
        <v>1.5821152192799999</v>
      </c>
      <c r="Y25" s="510">
        <v>1.9518486670799999</v>
      </c>
      <c r="Z25" s="510">
        <v>1.9518486670799999</v>
      </c>
      <c r="AA25" s="510">
        <v>1.99484092872</v>
      </c>
      <c r="AB25" s="510">
        <v>1.99484092872</v>
      </c>
      <c r="AC25" s="510">
        <v>1.99484092872</v>
      </c>
      <c r="AD25" s="510">
        <v>2.23559759232</v>
      </c>
      <c r="AE25" s="510">
        <v>2.23559759232</v>
      </c>
      <c r="AF25" s="510">
        <v>2.23559759232</v>
      </c>
      <c r="AG25" s="510">
        <v>2.23559759232</v>
      </c>
      <c r="AH25" s="510">
        <v>2.3723989682399997</v>
      </c>
      <c r="AI25" s="510">
        <v>2.3723989682399997</v>
      </c>
      <c r="AJ25" s="510">
        <v>2.3723989682399997</v>
      </c>
      <c r="AK25" s="510">
        <v>2.3723989682399997</v>
      </c>
      <c r="AL25" s="510">
        <v>2.3723989682399997</v>
      </c>
      <c r="AM25" s="510">
        <v>2.3723989682399997</v>
      </c>
      <c r="AN25" s="510">
        <v>2.3723989682399997</v>
      </c>
      <c r="AO25" s="510">
        <v>2.3723989682399997</v>
      </c>
      <c r="AP25" s="510">
        <v>2.3723989682399997</v>
      </c>
      <c r="AQ25" s="510">
        <v>2.3723989682399997</v>
      </c>
      <c r="AR25" s="510">
        <v>1.8806534823599999</v>
      </c>
      <c r="AS25" s="510">
        <v>1.8806534823599999</v>
      </c>
      <c r="AT25" s="510">
        <v>1.8806534823599999</v>
      </c>
      <c r="AU25" s="510">
        <v>1.8986242474799999</v>
      </c>
      <c r="AV25" s="510">
        <v>1.9872742906799998</v>
      </c>
      <c r="AW25" s="510">
        <v>2.0847807396000002</v>
      </c>
      <c r="AX25" s="510">
        <v>2.0847807396000002</v>
      </c>
      <c r="AY25" s="510">
        <v>2.0847807396000002</v>
      </c>
      <c r="AZ25" s="510">
        <v>2.2684436801999999</v>
      </c>
      <c r="BA25" s="510">
        <v>2.2684436801999999</v>
      </c>
      <c r="BB25" s="510">
        <v>2.81788478064</v>
      </c>
      <c r="BC25" s="510">
        <v>2.81788478064</v>
      </c>
      <c r="BD25" s="510">
        <v>2.81788478064</v>
      </c>
      <c r="BE25" s="510">
        <v>2.81788478064</v>
      </c>
      <c r="BF25" s="510">
        <v>3.0527944970399998</v>
      </c>
      <c r="BG25" s="510">
        <v>3.0527944970399998</v>
      </c>
      <c r="BH25" s="510">
        <v>3.0527944970399998</v>
      </c>
      <c r="BI25" s="510">
        <v>3.0527944970399998</v>
      </c>
      <c r="BJ25" s="510">
        <v>2.7215821151999999</v>
      </c>
      <c r="BK25" s="510">
        <v>2.8980223559999998</v>
      </c>
      <c r="BL25" s="510">
        <v>2.8980223559999998</v>
      </c>
      <c r="BM25" s="510">
        <v>3.2214101461200002</v>
      </c>
      <c r="BN25" s="510">
        <v>3.3193465174799996</v>
      </c>
      <c r="BO25" s="510">
        <v>3.3193465174799996</v>
      </c>
      <c r="BP25" s="510">
        <v>3.3193465174799996</v>
      </c>
      <c r="BQ25" s="510">
        <v>3.3193465174799996</v>
      </c>
      <c r="BR25" s="510">
        <v>3.3905417025599998</v>
      </c>
      <c r="BS25" s="510">
        <v>3.7840068791999997</v>
      </c>
      <c r="BT25" s="510">
        <v>3.7840068791999997</v>
      </c>
      <c r="BU25" s="510">
        <v>3.7841788475999998</v>
      </c>
      <c r="BV25" s="510">
        <v>3.7841788475999998</v>
      </c>
      <c r="BW25" s="510">
        <v>3.7841788475999998</v>
      </c>
      <c r="BX25" s="510">
        <v>3.7841788475999998</v>
      </c>
      <c r="BY25" s="510">
        <v>3.8357695620000003</v>
      </c>
      <c r="BZ25" s="510">
        <v>3.8357695620000003</v>
      </c>
      <c r="CA25" s="510">
        <v>3.8357695620000003</v>
      </c>
      <c r="CB25" s="510">
        <v>4.0687876188000001</v>
      </c>
      <c r="CC25" s="510">
        <v>4.1220980208000002</v>
      </c>
      <c r="CD25" s="510">
        <v>4.147893378</v>
      </c>
      <c r="CE25" s="510">
        <v>4.147893378</v>
      </c>
      <c r="CF25" s="510">
        <v>4.2923473775999996</v>
      </c>
      <c r="CG25" s="510">
        <v>4.3946689607999998</v>
      </c>
      <c r="CH25" s="510">
        <v>4.4041272588</v>
      </c>
      <c r="CI25" s="510">
        <v>4.5803955275999995</v>
      </c>
      <c r="CJ25" s="510">
        <v>4.7798796204</v>
      </c>
      <c r="CK25" s="510">
        <v>4.8029129099999999</v>
      </c>
      <c r="CL25" s="510">
        <v>4.8970305612000002</v>
      </c>
      <c r="CM25" s="510">
        <v>5.0194647791999998</v>
      </c>
      <c r="CN25" s="510">
        <v>5.1184083563999998</v>
      </c>
      <c r="CO25" s="510">
        <v>5.2241661287999994</v>
      </c>
      <c r="CP25" s="510">
        <v>5.4892883448000003</v>
      </c>
      <c r="CQ25" s="510">
        <v>5.5073936591999999</v>
      </c>
      <c r="CR25" s="510">
        <v>5.5073936591999999</v>
      </c>
      <c r="CS25" s="510">
        <v>5.7904702343999999</v>
      </c>
      <c r="CT25" s="510">
        <v>5.9723534195999992</v>
      </c>
      <c r="CU25" s="510">
        <v>6.0447572459999996</v>
      </c>
      <c r="CV25" s="510">
        <v>6.1219225116000002</v>
      </c>
      <c r="CW25" s="510">
        <v>6.1289694935999997</v>
      </c>
      <c r="CX25" s="510">
        <v>6.143063454</v>
      </c>
      <c r="CY25" s="510">
        <v>5.3088390718008123</v>
      </c>
      <c r="CZ25" s="510">
        <v>5.7031007033921393</v>
      </c>
      <c r="DA25" s="510">
        <v>6.1567328374482599</v>
      </c>
      <c r="DB25" s="510">
        <v>5.975321812518132</v>
      </c>
      <c r="DC25" s="510">
        <v>4.5268323023383559</v>
      </c>
      <c r="DD25" s="510">
        <v>5.0226157567380953</v>
      </c>
      <c r="DE25" s="510">
        <v>4.2620188830855836</v>
      </c>
      <c r="DF25" s="510">
        <v>4.9153184425447201</v>
      </c>
      <c r="DG25" s="510">
        <v>4.585014420205284</v>
      </c>
      <c r="DH25" s="510">
        <v>4.9817048147374674</v>
      </c>
      <c r="DI25" s="510">
        <v>4.3726657292085234</v>
      </c>
      <c r="DJ25" s="510">
        <v>4.9578476334981119</v>
      </c>
      <c r="DK25" s="510">
        <v>4.8713169047942522</v>
      </c>
      <c r="DL25" s="510">
        <v>5.6156939312331602</v>
      </c>
      <c r="DM25" s="510">
        <v>4.5097456911018838</v>
      </c>
      <c r="DN25" s="510">
        <v>4.3206737738813645</v>
      </c>
      <c r="DO25" s="510">
        <v>5.7842623574144643</v>
      </c>
      <c r="DP25" s="510">
        <v>8.349842829076632</v>
      </c>
      <c r="DQ25" s="510">
        <v>5.2248485370051725</v>
      </c>
      <c r="DR25" s="510">
        <v>8.5779087075167411</v>
      </c>
      <c r="DS25" s="510">
        <v>11.523729404271167</v>
      </c>
      <c r="DT25" s="510">
        <v>8.4582150795007554</v>
      </c>
      <c r="DU25" s="510">
        <v>7.99346942809452</v>
      </c>
      <c r="DV25" s="510">
        <v>8.9386197254702644</v>
      </c>
      <c r="DW25" s="510">
        <v>13.09968454258674</v>
      </c>
      <c r="DX25" s="510">
        <v>9.1403812397147401</v>
      </c>
      <c r="DY25" s="510">
        <v>9.270724009901004</v>
      </c>
      <c r="DZ25" s="510">
        <v>10.892598084240911</v>
      </c>
      <c r="EA25" s="510">
        <v>13.00107858412518</v>
      </c>
      <c r="EB25" s="510">
        <v>8.2646847963788748</v>
      </c>
      <c r="EC25" s="510">
        <v>9.1542934010532964</v>
      </c>
      <c r="ED25" s="510">
        <v>13.510328919526007</v>
      </c>
      <c r="EE25" s="510">
        <v>18.527816702990737</v>
      </c>
      <c r="EF25" s="510">
        <v>11.205833983667748</v>
      </c>
      <c r="EG25" s="510">
        <v>9.4096574667230044</v>
      </c>
      <c r="EH25" s="510">
        <v>18.106113633306084</v>
      </c>
      <c r="EI25" s="510">
        <v>20.266781940427212</v>
      </c>
      <c r="EJ25" s="510">
        <v>13.316902167602088</v>
      </c>
      <c r="EK25" s="510">
        <v>12.136797872954027</v>
      </c>
      <c r="EL25" s="510">
        <v>16.695628977018924</v>
      </c>
      <c r="EM25" s="510">
        <v>19.466289368623404</v>
      </c>
      <c r="EN25" s="510">
        <v>10.073005966701972</v>
      </c>
      <c r="EO25" s="510">
        <v>10.6526666746953</v>
      </c>
      <c r="EP25" s="510">
        <v>12.311101249804583</v>
      </c>
      <c r="EQ25" s="510">
        <v>14.09102250427512</v>
      </c>
      <c r="ER25" s="510">
        <v>11.41405061068404</v>
      </c>
      <c r="ES25" s="510">
        <v>10.558088944904556</v>
      </c>
      <c r="ET25" s="510">
        <v>13.887815236614466</v>
      </c>
      <c r="EU25" s="510">
        <v>16.1629277603679</v>
      </c>
      <c r="EV25" s="510">
        <v>12.827866967242379</v>
      </c>
      <c r="EW25" s="510">
        <v>11.614099676586445</v>
      </c>
      <c r="EX25" s="510">
        <v>14.531050588593455</v>
      </c>
      <c r="EY25" s="510">
        <v>17.218344514174415</v>
      </c>
      <c r="EZ25" s="510">
        <v>12.876956777984327</v>
      </c>
      <c r="FA25" s="510">
        <v>12.037753399721149</v>
      </c>
      <c r="FB25" s="510">
        <v>13.673593907355166</v>
      </c>
      <c r="FC25" s="510">
        <v>19.224819028935755</v>
      </c>
      <c r="FD25" s="510">
        <v>11.985623115703524</v>
      </c>
      <c r="FE25" s="510">
        <v>11.98952146074636</v>
      </c>
      <c r="FF25" s="510">
        <v>15.650259660401652</v>
      </c>
      <c r="FG25" s="510">
        <v>17.312197348264643</v>
      </c>
      <c r="FH25" s="510">
        <v>13.290491426376816</v>
      </c>
      <c r="FI25" s="510">
        <v>11.383958991403548</v>
      </c>
      <c r="FJ25" s="510">
        <v>13.955553425980224</v>
      </c>
      <c r="FK25" s="510">
        <v>18.776117338623468</v>
      </c>
      <c r="FL25" s="510">
        <v>13.071843722954485</v>
      </c>
      <c r="FM25" s="510">
        <v>11.237966073458209</v>
      </c>
      <c r="FN25" s="510">
        <v>14.227802788084126</v>
      </c>
      <c r="FO25" s="510">
        <v>19.955155615499017</v>
      </c>
      <c r="FP25" s="510">
        <v>14.203525702919869</v>
      </c>
      <c r="FQ25" s="510">
        <v>11.49183885626586</v>
      </c>
      <c r="FR25" s="510">
        <v>14.119997883361847</v>
      </c>
      <c r="FS25" s="510">
        <v>10.081854933380063</v>
      </c>
      <c r="FT25" s="510">
        <v>12.932320139682624</v>
      </c>
      <c r="FU25" s="510">
        <v>12.098634676338239</v>
      </c>
      <c r="FV25" s="510">
        <v>15.88114323252144</v>
      </c>
      <c r="FW25" s="510">
        <v>22.230324290345507</v>
      </c>
      <c r="FX25" s="510">
        <v>13.808171307255696</v>
      </c>
      <c r="FY25" s="510">
        <v>12.158205135349966</v>
      </c>
      <c r="FZ25" s="510">
        <v>14.601892712728608</v>
      </c>
      <c r="GA25" s="510">
        <v>20.645740376691336</v>
      </c>
      <c r="GB25" s="510">
        <v>15.084629701806456</v>
      </c>
      <c r="GC25" s="510">
        <v>12.265075632346559</v>
      </c>
      <c r="GD25" s="510">
        <v>13.920300918521567</v>
      </c>
      <c r="GE25" s="510">
        <v>19.595474729967851</v>
      </c>
      <c r="GF25" s="510">
        <v>13.877133097315465</v>
      </c>
      <c r="GG25" s="510">
        <v>11.826921654910619</v>
      </c>
      <c r="GH25" s="510">
        <v>15.423213036088331</v>
      </c>
      <c r="GI25" s="510">
        <v>19.121641999502327</v>
      </c>
      <c r="GJ25" s="510">
        <v>14.603496173564002</v>
      </c>
      <c r="GK25" s="510">
        <v>12.063807376040447</v>
      </c>
      <c r="GL25" s="510">
        <v>15.265662438573072</v>
      </c>
      <c r="GM25" s="510">
        <v>21.9603010076784</v>
      </c>
      <c r="GN25" s="510">
        <v>16.585666056018074</v>
      </c>
      <c r="GO25" s="510">
        <v>10.521112215723516</v>
      </c>
      <c r="GP25" s="510">
        <v>16.849981369426246</v>
      </c>
      <c r="GQ25" s="510">
        <v>22.02240643879302</v>
      </c>
      <c r="GR25" s="510">
        <v>18.015803188046458</v>
      </c>
      <c r="GS25" s="427">
        <v>13.67</v>
      </c>
    </row>
    <row r="26" spans="1:201" ht="14.25" customHeight="1">
      <c r="A26" s="500" t="s">
        <v>1604</v>
      </c>
      <c r="B26" s="497" t="s">
        <v>1605</v>
      </c>
      <c r="C26" s="510" t="s">
        <v>1612</v>
      </c>
      <c r="D26" s="510" t="s">
        <v>1612</v>
      </c>
      <c r="E26" s="510" t="s">
        <v>1612</v>
      </c>
      <c r="F26" s="510" t="s">
        <v>1612</v>
      </c>
      <c r="G26" s="510" t="s">
        <v>1612</v>
      </c>
      <c r="H26" s="510" t="s">
        <v>1612</v>
      </c>
      <c r="I26" s="510" t="s">
        <v>1612</v>
      </c>
      <c r="J26" s="510" t="s">
        <v>1612</v>
      </c>
      <c r="K26" s="510" t="s">
        <v>1612</v>
      </c>
      <c r="L26" s="510" t="s">
        <v>1612</v>
      </c>
      <c r="M26" s="510" t="s">
        <v>1612</v>
      </c>
      <c r="N26" s="510" t="s">
        <v>1612</v>
      </c>
      <c r="O26" s="510" t="s">
        <v>1612</v>
      </c>
      <c r="P26" s="510" t="s">
        <v>1612</v>
      </c>
      <c r="Q26" s="510" t="s">
        <v>1612</v>
      </c>
      <c r="R26" s="510" t="s">
        <v>1612</v>
      </c>
      <c r="S26" s="510" t="s">
        <v>1612</v>
      </c>
      <c r="T26" s="510" t="s">
        <v>1612</v>
      </c>
      <c r="U26" s="510" t="s">
        <v>1612</v>
      </c>
      <c r="V26" s="510" t="s">
        <v>1612</v>
      </c>
      <c r="W26" s="510">
        <v>0.85984522775999994</v>
      </c>
      <c r="X26" s="510">
        <v>0.85984522775999994</v>
      </c>
      <c r="Y26" s="510">
        <v>0.85984522775999994</v>
      </c>
      <c r="Z26" s="510">
        <v>0.85984522775999994</v>
      </c>
      <c r="AA26" s="510">
        <v>1.11779879616</v>
      </c>
      <c r="AB26" s="510">
        <v>1.11779879616</v>
      </c>
      <c r="AC26" s="510">
        <v>1.28976784164</v>
      </c>
      <c r="AD26" s="510">
        <v>1.28976784164</v>
      </c>
      <c r="AE26" s="510">
        <v>1.28976784164</v>
      </c>
      <c r="AF26" s="510">
        <v>1.28976784164</v>
      </c>
      <c r="AG26" s="510">
        <v>1.28976784164</v>
      </c>
      <c r="AH26" s="510">
        <v>1.32665520204</v>
      </c>
      <c r="AI26" s="510">
        <v>1.32665520204</v>
      </c>
      <c r="AJ26" s="510">
        <v>1.3258813413599999</v>
      </c>
      <c r="AK26" s="510">
        <v>1.3247635424399999</v>
      </c>
      <c r="AL26" s="510">
        <v>1.32502149612</v>
      </c>
      <c r="AM26" s="510">
        <v>1.32502149612</v>
      </c>
      <c r="AN26" s="510">
        <v>1.32502149612</v>
      </c>
      <c r="AO26" s="510">
        <v>1.32502149612</v>
      </c>
      <c r="AP26" s="510">
        <v>1.32502149612</v>
      </c>
      <c r="AQ26" s="510">
        <v>1.32502149612</v>
      </c>
      <c r="AR26" s="510">
        <v>1.48796216676</v>
      </c>
      <c r="AS26" s="510">
        <v>1.48796216676</v>
      </c>
      <c r="AT26" s="510">
        <v>1.48796216676</v>
      </c>
      <c r="AU26" s="510">
        <v>1.5312123817199998</v>
      </c>
      <c r="AV26" s="510">
        <v>1.5877042131600001</v>
      </c>
      <c r="AW26" s="510">
        <v>1.7712811695599999</v>
      </c>
      <c r="AX26" s="510">
        <v>1.7712811695599999</v>
      </c>
      <c r="AY26" s="510">
        <v>1.7712811695599999</v>
      </c>
      <c r="AZ26" s="510">
        <v>1.8228718832400002</v>
      </c>
      <c r="BA26" s="510">
        <v>1.8228718832400002</v>
      </c>
      <c r="BB26" s="510">
        <v>2.0448682873199999</v>
      </c>
      <c r="BC26" s="510">
        <v>2.0448682873199999</v>
      </c>
      <c r="BD26" s="510">
        <v>2.0448682873199999</v>
      </c>
      <c r="BE26" s="510">
        <v>2.0448682873199999</v>
      </c>
      <c r="BF26" s="510">
        <v>2.6378488234799997</v>
      </c>
      <c r="BG26" s="510">
        <v>2.6378488234799997</v>
      </c>
      <c r="BH26" s="510">
        <v>2.6378488234799997</v>
      </c>
      <c r="BI26" s="510">
        <v>2.6378488234799997</v>
      </c>
      <c r="BJ26" s="510">
        <v>2.3792699131199999</v>
      </c>
      <c r="BK26" s="510">
        <v>2.5428750098399999</v>
      </c>
      <c r="BL26" s="510">
        <v>2.5428750098399999</v>
      </c>
      <c r="BM26" s="510">
        <v>2.4389032197599998</v>
      </c>
      <c r="BN26" s="510">
        <v>2.4664946976</v>
      </c>
      <c r="BO26" s="510">
        <v>2.4664946976</v>
      </c>
      <c r="BP26" s="510">
        <v>2.4664946976</v>
      </c>
      <c r="BQ26" s="510">
        <v>2.4664946976</v>
      </c>
      <c r="BR26" s="510">
        <v>2.4723034297200002</v>
      </c>
      <c r="BS26" s="510">
        <v>2.6261584027199998</v>
      </c>
      <c r="BT26" s="510">
        <v>2.6261584027199998</v>
      </c>
      <c r="BU26" s="510">
        <v>2.6261584027199998</v>
      </c>
      <c r="BV26" s="510">
        <v>2.6261584027199998</v>
      </c>
      <c r="BW26" s="510">
        <v>2.6261584027199998</v>
      </c>
      <c r="BX26" s="510">
        <v>2.6261584027199998</v>
      </c>
      <c r="BY26" s="510">
        <v>2.6299799369999999</v>
      </c>
      <c r="BZ26" s="510">
        <v>2.6299799369999999</v>
      </c>
      <c r="CA26" s="510">
        <v>2.6299799369999999</v>
      </c>
      <c r="CB26" s="510">
        <v>2.6070507309600002</v>
      </c>
      <c r="CC26" s="510">
        <v>2.5932932071199999</v>
      </c>
      <c r="CD26" s="510">
        <v>2.5810642972799998</v>
      </c>
      <c r="CE26" s="510">
        <v>2.5810642972799998</v>
      </c>
      <c r="CF26" s="510">
        <v>2.6223368680800001</v>
      </c>
      <c r="CG26" s="510">
        <v>2.6299799369999999</v>
      </c>
      <c r="CH26" s="510">
        <v>2.6354829463200002</v>
      </c>
      <c r="CI26" s="510">
        <v>2.6483233017599996</v>
      </c>
      <c r="CJ26" s="510">
        <v>2.6587943060399999</v>
      </c>
      <c r="CK26" s="510">
        <v>2.6587669111199999</v>
      </c>
      <c r="CL26" s="510">
        <v>2.67540051852</v>
      </c>
      <c r="CM26" s="510">
        <v>2.7102942579599998</v>
      </c>
      <c r="CN26" s="510">
        <v>2.7090520743599997</v>
      </c>
      <c r="CO26" s="510">
        <v>2.7090991886400002</v>
      </c>
      <c r="CP26" s="510">
        <v>2.7336417847200001</v>
      </c>
      <c r="CQ26" s="510">
        <v>2.74464858816</v>
      </c>
      <c r="CR26" s="510">
        <v>2.74464858816</v>
      </c>
      <c r="CS26" s="510">
        <v>2.7836927982000002</v>
      </c>
      <c r="CT26" s="510">
        <v>3.2797431716399998</v>
      </c>
      <c r="CU26" s="510">
        <v>3.3774218470799999</v>
      </c>
      <c r="CV26" s="510">
        <v>3.3595089026399996</v>
      </c>
      <c r="CW26" s="510">
        <v>3.3595089026399996</v>
      </c>
      <c r="CX26" s="510">
        <v>3.3595089026399996</v>
      </c>
      <c r="CY26" s="510">
        <v>4.0553782380948604</v>
      </c>
      <c r="CZ26" s="510">
        <v>4.008805288405128</v>
      </c>
      <c r="DA26" s="510">
        <v>4.574253551608332</v>
      </c>
      <c r="DB26" s="510">
        <v>4.2183496902854154</v>
      </c>
      <c r="DC26" s="510">
        <v>3.1921368071079961</v>
      </c>
      <c r="DD26" s="510">
        <v>3.2381246800694554</v>
      </c>
      <c r="DE26" s="510">
        <v>3.1259289131345191</v>
      </c>
      <c r="DF26" s="510">
        <v>3.424027521515645</v>
      </c>
      <c r="DG26" s="510">
        <v>3.243117766279108</v>
      </c>
      <c r="DH26" s="510">
        <v>3.0338249756792544</v>
      </c>
      <c r="DI26" s="510">
        <v>3.2525460495686769</v>
      </c>
      <c r="DJ26" s="510">
        <v>3.3047864083252549</v>
      </c>
      <c r="DK26" s="510">
        <v>3.5102376009154366</v>
      </c>
      <c r="DL26" s="510">
        <v>3.1384568198196252</v>
      </c>
      <c r="DM26" s="510">
        <v>3.3279990726509316</v>
      </c>
      <c r="DN26" s="510">
        <v>3.5479459729023799</v>
      </c>
      <c r="DO26" s="510">
        <v>4.1025389149982159</v>
      </c>
      <c r="DP26" s="510">
        <v>3.9681234380093398</v>
      </c>
      <c r="DQ26" s="510">
        <v>3.3971292645153119</v>
      </c>
      <c r="DR26" s="510">
        <v>3.5476211035316485</v>
      </c>
      <c r="DS26" s="510">
        <v>3.4329899110849418</v>
      </c>
      <c r="DT26" s="510">
        <v>3.2699412037202</v>
      </c>
      <c r="DU26" s="510">
        <v>3.5801310796826504</v>
      </c>
      <c r="DV26" s="510">
        <v>3.4563042967832818</v>
      </c>
      <c r="DW26" s="510">
        <v>4.3039188243527038</v>
      </c>
      <c r="DX26" s="510">
        <v>3.9328488025735675</v>
      </c>
      <c r="DY26" s="510">
        <v>4.2703462109955606</v>
      </c>
      <c r="DZ26" s="510">
        <v>4.5079625182050362</v>
      </c>
      <c r="EA26" s="510">
        <v>5.0602871981921398</v>
      </c>
      <c r="EB26" s="510">
        <v>4.979803647486384</v>
      </c>
      <c r="EC26" s="510">
        <v>5.0601177025603921</v>
      </c>
      <c r="ED26" s="510">
        <v>5.9802416918429042</v>
      </c>
      <c r="EE26" s="510">
        <v>6.3396586570405686</v>
      </c>
      <c r="EF26" s="510">
        <v>5.3376902091542879</v>
      </c>
      <c r="EG26" s="510">
        <v>5.2857761896292397</v>
      </c>
      <c r="EH26" s="510">
        <v>6.9333557429694599</v>
      </c>
      <c r="EI26" s="510">
        <v>6.2926444949307845</v>
      </c>
      <c r="EJ26" s="510">
        <v>5.6749199419476</v>
      </c>
      <c r="EK26" s="510">
        <v>5.6606272516546916</v>
      </c>
      <c r="EL26" s="510">
        <v>6.9050848278227042</v>
      </c>
      <c r="EM26" s="510">
        <v>6.3698662263159003</v>
      </c>
      <c r="EN26" s="510">
        <v>5.5976440455038512</v>
      </c>
      <c r="EO26" s="510">
        <v>5.7796915715143564</v>
      </c>
      <c r="EP26" s="510">
        <v>5.9837838993664922</v>
      </c>
      <c r="EQ26" s="510">
        <v>5.9494175917532273</v>
      </c>
      <c r="ER26" s="510">
        <v>5.4923144259254757</v>
      </c>
      <c r="ES26" s="510">
        <v>5.8405470588835557</v>
      </c>
      <c r="ET26" s="510">
        <v>5.4448480367704075</v>
      </c>
      <c r="EU26" s="510">
        <v>6.0887330088673677</v>
      </c>
      <c r="EV26" s="510">
        <v>5.8172793169678556</v>
      </c>
      <c r="EW26" s="510">
        <v>6.3436632285090235</v>
      </c>
      <c r="EX26" s="510">
        <v>6.0948611340575392</v>
      </c>
      <c r="EY26" s="510">
        <v>5.9795765091028796</v>
      </c>
      <c r="EZ26" s="510">
        <v>5.5628336972761918</v>
      </c>
      <c r="FA26" s="510">
        <v>5.6540634551783633</v>
      </c>
      <c r="FB26" s="510">
        <v>5.6674060521566041</v>
      </c>
      <c r="FC26" s="510">
        <v>6.0043949410139277</v>
      </c>
      <c r="FD26" s="510">
        <v>5.9566075993758592</v>
      </c>
      <c r="FE26" s="510">
        <v>6.0177839335863474</v>
      </c>
      <c r="FF26" s="510">
        <v>7.5263634170855633</v>
      </c>
      <c r="FG26" s="510">
        <v>5.6043192066439671</v>
      </c>
      <c r="FH26" s="510">
        <v>5.2314666413059072</v>
      </c>
      <c r="FI26" s="510">
        <v>5.2123945151706472</v>
      </c>
      <c r="FJ26" s="510">
        <v>5.7568148526807361</v>
      </c>
      <c r="FK26" s="510">
        <v>5.6654065193961243</v>
      </c>
      <c r="FL26" s="510">
        <v>5.1157616245706876</v>
      </c>
      <c r="FM26" s="510">
        <v>5.1901006575898441</v>
      </c>
      <c r="FN26" s="510">
        <v>5.6388692733603838</v>
      </c>
      <c r="FO26" s="510">
        <v>5.7642677304766563</v>
      </c>
      <c r="FP26" s="510">
        <v>5.2262532997698958</v>
      </c>
      <c r="FQ26" s="510">
        <v>5.1308620545477233</v>
      </c>
      <c r="FR26" s="510">
        <v>6.3990676712016716</v>
      </c>
      <c r="FS26" s="510">
        <v>6.0450512280019559</v>
      </c>
      <c r="FT26" s="510">
        <v>5.1568758813033719</v>
      </c>
      <c r="FU26" s="510">
        <v>5.2590597522533997</v>
      </c>
      <c r="FV26" s="510">
        <v>5.6800753694332915</v>
      </c>
      <c r="FW26" s="510">
        <v>5.6905688607245999</v>
      </c>
      <c r="FX26" s="510">
        <v>4.8049423066099441</v>
      </c>
      <c r="FY26" s="510">
        <v>4.9236440450929919</v>
      </c>
      <c r="FZ26" s="510">
        <v>4.9797610585394398</v>
      </c>
      <c r="GA26" s="510">
        <v>5.805412649981748</v>
      </c>
      <c r="GB26" s="510">
        <v>5.0325319084197959</v>
      </c>
      <c r="GC26" s="510">
        <v>4.8343772796465236</v>
      </c>
      <c r="GD26" s="510">
        <v>5.1716873499558842</v>
      </c>
      <c r="GE26" s="510">
        <v>5.3068290160488116</v>
      </c>
      <c r="GF26" s="510">
        <v>5.2213633418407319</v>
      </c>
      <c r="GG26" s="510">
        <v>5.5104050559188522</v>
      </c>
      <c r="GH26" s="510">
        <v>6.0272801209270446</v>
      </c>
      <c r="GI26" s="510">
        <v>6.3680815448001002</v>
      </c>
      <c r="GJ26" s="510">
        <v>5.930603408064024</v>
      </c>
      <c r="GK26" s="510">
        <v>5.9288517821267277</v>
      </c>
      <c r="GL26" s="510">
        <v>7.9599355198892994</v>
      </c>
      <c r="GM26" s="510">
        <v>8.8447701939615353</v>
      </c>
      <c r="GN26" s="510">
        <v>8.4489394648474434</v>
      </c>
      <c r="GO26" s="510">
        <v>8.2096916562923035</v>
      </c>
      <c r="GP26" s="510">
        <v>8.6564828871636834</v>
      </c>
      <c r="GQ26" s="510">
        <v>9.3515333123604965</v>
      </c>
      <c r="GR26" s="510">
        <v>9.1290332101037759</v>
      </c>
      <c r="GS26" s="427">
        <v>8.41</v>
      </c>
    </row>
    <row r="27" spans="1:201" ht="14.25" customHeight="1">
      <c r="A27" s="500" t="s">
        <v>1613</v>
      </c>
      <c r="B27" s="497" t="s">
        <v>1605</v>
      </c>
      <c r="C27" s="510" t="s">
        <v>1612</v>
      </c>
      <c r="D27" s="510" t="s">
        <v>1612</v>
      </c>
      <c r="E27" s="510" t="s">
        <v>1612</v>
      </c>
      <c r="F27" s="510" t="s">
        <v>1612</v>
      </c>
      <c r="G27" s="510" t="s">
        <v>1612</v>
      </c>
      <c r="H27" s="510" t="s">
        <v>1612</v>
      </c>
      <c r="I27" s="510" t="s">
        <v>1612</v>
      </c>
      <c r="J27" s="510" t="s">
        <v>1612</v>
      </c>
      <c r="K27" s="510" t="s">
        <v>1612</v>
      </c>
      <c r="L27" s="510" t="s">
        <v>1612</v>
      </c>
      <c r="M27" s="510" t="s">
        <v>1612</v>
      </c>
      <c r="N27" s="510" t="s">
        <v>1612</v>
      </c>
      <c r="O27" s="510" t="s">
        <v>1612</v>
      </c>
      <c r="P27" s="510" t="s">
        <v>1612</v>
      </c>
      <c r="Q27" s="510" t="s">
        <v>1612</v>
      </c>
      <c r="R27" s="510" t="s">
        <v>1612</v>
      </c>
      <c r="S27" s="510" t="s">
        <v>1612</v>
      </c>
      <c r="T27" s="510" t="s">
        <v>1612</v>
      </c>
      <c r="U27" s="510" t="s">
        <v>1612</v>
      </c>
      <c r="V27" s="510" t="s">
        <v>1612</v>
      </c>
      <c r="W27" s="510" t="s">
        <v>1612</v>
      </c>
      <c r="X27" s="510" t="s">
        <v>1612</v>
      </c>
      <c r="Y27" s="510" t="s">
        <v>1612</v>
      </c>
      <c r="Z27" s="510" t="s">
        <v>1612</v>
      </c>
      <c r="AA27" s="510" t="s">
        <v>1612</v>
      </c>
      <c r="AB27" s="510" t="s">
        <v>1612</v>
      </c>
      <c r="AC27" s="510" t="s">
        <v>1612</v>
      </c>
      <c r="AD27" s="510" t="s">
        <v>1612</v>
      </c>
      <c r="AE27" s="510" t="s">
        <v>1612</v>
      </c>
      <c r="AF27" s="510" t="s">
        <v>1612</v>
      </c>
      <c r="AG27" s="510" t="s">
        <v>1612</v>
      </c>
      <c r="AH27" s="510" t="s">
        <v>1612</v>
      </c>
      <c r="AI27" s="510" t="s">
        <v>1612</v>
      </c>
      <c r="AJ27" s="510" t="s">
        <v>1612</v>
      </c>
      <c r="AK27" s="510" t="s">
        <v>1612</v>
      </c>
      <c r="AL27" s="510" t="s">
        <v>1612</v>
      </c>
      <c r="AM27" s="510" t="s">
        <v>1612</v>
      </c>
      <c r="AN27" s="510" t="s">
        <v>1612</v>
      </c>
      <c r="AO27" s="510" t="s">
        <v>1612</v>
      </c>
      <c r="AP27" s="510" t="s">
        <v>1612</v>
      </c>
      <c r="AQ27" s="510" t="s">
        <v>1612</v>
      </c>
      <c r="AR27" s="510" t="s">
        <v>1612</v>
      </c>
      <c r="AS27" s="510" t="s">
        <v>1612</v>
      </c>
      <c r="AT27" s="510" t="s">
        <v>1612</v>
      </c>
      <c r="AU27" s="510" t="s">
        <v>1612</v>
      </c>
      <c r="AV27" s="510" t="s">
        <v>1612</v>
      </c>
      <c r="AW27" s="510" t="s">
        <v>1612</v>
      </c>
      <c r="AX27" s="510" t="s">
        <v>1612</v>
      </c>
      <c r="AY27" s="510" t="s">
        <v>1612</v>
      </c>
      <c r="AZ27" s="510" t="s">
        <v>1612</v>
      </c>
      <c r="BA27" s="510" t="s">
        <v>1612</v>
      </c>
      <c r="BB27" s="510" t="s">
        <v>1612</v>
      </c>
      <c r="BC27" s="510" t="s">
        <v>1612</v>
      </c>
      <c r="BD27" s="510" t="s">
        <v>1612</v>
      </c>
      <c r="BE27" s="510" t="s">
        <v>1612</v>
      </c>
      <c r="BF27" s="510" t="s">
        <v>1612</v>
      </c>
      <c r="BG27" s="510" t="s">
        <v>1612</v>
      </c>
      <c r="BH27" s="510" t="s">
        <v>1612</v>
      </c>
      <c r="BI27" s="510" t="s">
        <v>1612</v>
      </c>
      <c r="BJ27" s="510" t="s">
        <v>1612</v>
      </c>
      <c r="BK27" s="510" t="s">
        <v>1612</v>
      </c>
      <c r="BL27" s="510" t="s">
        <v>1612</v>
      </c>
      <c r="BM27" s="510" t="s">
        <v>1612</v>
      </c>
      <c r="BN27" s="510" t="s">
        <v>1612</v>
      </c>
      <c r="BO27" s="510" t="s">
        <v>1612</v>
      </c>
      <c r="BP27" s="510" t="s">
        <v>1612</v>
      </c>
      <c r="BQ27" s="510" t="s">
        <v>1612</v>
      </c>
      <c r="BR27" s="510" t="s">
        <v>1612</v>
      </c>
      <c r="BS27" s="510" t="s">
        <v>1612</v>
      </c>
      <c r="BT27" s="510" t="s">
        <v>1612</v>
      </c>
      <c r="BU27" s="510" t="s">
        <v>1612</v>
      </c>
      <c r="BV27" s="510" t="s">
        <v>1612</v>
      </c>
      <c r="BW27" s="510" t="s">
        <v>1612</v>
      </c>
      <c r="BX27" s="510" t="s">
        <v>1612</v>
      </c>
      <c r="BY27" s="510" t="s">
        <v>1612</v>
      </c>
      <c r="BZ27" s="510" t="s">
        <v>1612</v>
      </c>
      <c r="CA27" s="510" t="s">
        <v>1612</v>
      </c>
      <c r="CB27" s="510" t="s">
        <v>1612</v>
      </c>
      <c r="CC27" s="510" t="s">
        <v>1612</v>
      </c>
      <c r="CD27" s="510" t="s">
        <v>1612</v>
      </c>
      <c r="CE27" s="510" t="s">
        <v>1612</v>
      </c>
      <c r="CF27" s="510" t="s">
        <v>1612</v>
      </c>
      <c r="CG27" s="510" t="s">
        <v>1612</v>
      </c>
      <c r="CH27" s="510" t="s">
        <v>1612</v>
      </c>
      <c r="CI27" s="510" t="s">
        <v>1612</v>
      </c>
      <c r="CJ27" s="510" t="s">
        <v>1612</v>
      </c>
      <c r="CK27" s="510" t="s">
        <v>1612</v>
      </c>
      <c r="CL27" s="510" t="s">
        <v>1612</v>
      </c>
      <c r="CM27" s="510" t="s">
        <v>1612</v>
      </c>
      <c r="CN27" s="510" t="s">
        <v>1612</v>
      </c>
      <c r="CO27" s="510" t="s">
        <v>1612</v>
      </c>
      <c r="CP27" s="510" t="s">
        <v>1612</v>
      </c>
      <c r="CQ27" s="510" t="s">
        <v>1612</v>
      </c>
      <c r="CR27" s="510" t="s">
        <v>1612</v>
      </c>
      <c r="CS27" s="510" t="s">
        <v>1612</v>
      </c>
      <c r="CT27" s="510" t="s">
        <v>1612</v>
      </c>
      <c r="CU27" s="510" t="s">
        <v>1612</v>
      </c>
      <c r="CV27" s="510" t="s">
        <v>1612</v>
      </c>
      <c r="CW27" s="510" t="s">
        <v>1612</v>
      </c>
      <c r="CX27" s="510" t="s">
        <v>1612</v>
      </c>
      <c r="CY27" s="510">
        <v>1.2485437029137592</v>
      </c>
      <c r="CZ27" s="510">
        <v>1.3997283053111855</v>
      </c>
      <c r="DA27" s="510">
        <v>1.4356460560487581</v>
      </c>
      <c r="DB27" s="510">
        <v>1.2254814218201795</v>
      </c>
      <c r="DC27" s="510">
        <v>1.3410520056275761</v>
      </c>
      <c r="DD27" s="510">
        <v>1.340167312375254</v>
      </c>
      <c r="DE27" s="510">
        <v>1.1671317745358543</v>
      </c>
      <c r="DF27" s="510">
        <v>1.2491129096014608</v>
      </c>
      <c r="DG27" s="510">
        <v>1.2360581290391941</v>
      </c>
      <c r="DH27" s="510">
        <v>1.2882770242680133</v>
      </c>
      <c r="DI27" s="510">
        <v>1.325584223876934</v>
      </c>
      <c r="DJ27" s="510">
        <v>1.4154536410026011</v>
      </c>
      <c r="DK27" s="510">
        <v>1.4588366389878096</v>
      </c>
      <c r="DL27" s="510">
        <v>1.1304602249528266</v>
      </c>
      <c r="DM27" s="510">
        <v>1.3137856545826152</v>
      </c>
      <c r="DN27" s="510">
        <v>1.4182605106091495</v>
      </c>
      <c r="DO27" s="510">
        <v>1.6286917327551791</v>
      </c>
      <c r="DP27" s="510">
        <v>1.6820720071291944</v>
      </c>
      <c r="DQ27" s="510">
        <v>1.6292397886581744</v>
      </c>
      <c r="DR27" s="510">
        <v>1.6843051185586377</v>
      </c>
      <c r="DS27" s="510">
        <v>1.355949966998016</v>
      </c>
      <c r="DT27" s="510">
        <v>1.6164133899637068</v>
      </c>
      <c r="DU27" s="510">
        <v>1.9418502001143527</v>
      </c>
      <c r="DV27" s="510">
        <v>2.1263914388291183</v>
      </c>
      <c r="DW27" s="510">
        <v>2.2328537028678754</v>
      </c>
      <c r="DX27" s="510">
        <v>2.5347564398815163</v>
      </c>
      <c r="DY27" s="510">
        <v>2.5771029260074596</v>
      </c>
      <c r="DZ27" s="510">
        <v>2.7300915102923677</v>
      </c>
      <c r="EA27" s="510">
        <v>2.9266958059943042</v>
      </c>
      <c r="EB27" s="510">
        <v>3.0227135349279242</v>
      </c>
      <c r="EC27" s="510">
        <v>2.9023855753250083</v>
      </c>
      <c r="ED27" s="510">
        <v>2.7268423784374427</v>
      </c>
      <c r="EE27" s="510">
        <v>2.8050707015789795</v>
      </c>
      <c r="EF27" s="510">
        <v>3.3976880000097371</v>
      </c>
      <c r="EG27" s="510">
        <v>3.2338526035735509</v>
      </c>
      <c r="EH27" s="510">
        <v>3.0081477223834918</v>
      </c>
      <c r="EI27" s="510">
        <v>2.8759217447749896</v>
      </c>
      <c r="EJ27" s="510">
        <v>2.8686130985625158</v>
      </c>
      <c r="EK27" s="510">
        <v>3.0507454870917337</v>
      </c>
      <c r="EL27" s="510">
        <v>3.1923616036572247</v>
      </c>
      <c r="EM27" s="510">
        <v>2.993422574135765</v>
      </c>
      <c r="EN27" s="510">
        <v>3.5900202223615136</v>
      </c>
      <c r="EO27" s="510">
        <v>3.3784791990634759</v>
      </c>
      <c r="EP27" s="510">
        <v>3.2571729422513211</v>
      </c>
      <c r="EQ27" s="510">
        <v>3.0459528421772002</v>
      </c>
      <c r="ER27" s="510">
        <v>2.9101945225087977</v>
      </c>
      <c r="ES27" s="510">
        <v>2.9412709120598222</v>
      </c>
      <c r="ET27" s="510">
        <v>2.7349909826499395</v>
      </c>
      <c r="EU27" s="510">
        <v>2.745182207980807</v>
      </c>
      <c r="EV27" s="510">
        <v>2.6152206335033146</v>
      </c>
      <c r="EW27" s="510">
        <v>2.7593491015150953</v>
      </c>
      <c r="EX27" s="510">
        <v>2.8155359215307012</v>
      </c>
      <c r="EY27" s="510">
        <v>2.7704175594020062</v>
      </c>
      <c r="EZ27" s="510">
        <v>2.8769121788432543</v>
      </c>
      <c r="FA27" s="510">
        <v>2.8573488244540224</v>
      </c>
      <c r="FB27" s="510">
        <v>2.7562358021340239</v>
      </c>
      <c r="FC27" s="510">
        <v>2.9443716194718417</v>
      </c>
      <c r="FD27" s="510">
        <v>2.822818688984952</v>
      </c>
      <c r="FE27" s="510">
        <v>2.9337739201495907</v>
      </c>
      <c r="FF27" s="510">
        <v>2.8783175118042634</v>
      </c>
      <c r="FG27" s="510">
        <v>2.9749787718494973</v>
      </c>
      <c r="FH27" s="510">
        <v>2.4812257514847729</v>
      </c>
      <c r="FI27" s="510">
        <v>2.6234526588871177</v>
      </c>
      <c r="FJ27" s="510">
        <v>2.6563268554363511</v>
      </c>
      <c r="FK27" s="510">
        <v>2.4692568948325944</v>
      </c>
      <c r="FL27" s="510">
        <v>2.6405238283962551</v>
      </c>
      <c r="FM27" s="510">
        <v>2.6573496695802934</v>
      </c>
      <c r="FN27" s="510">
        <v>2.3724298424708818</v>
      </c>
      <c r="FO27" s="510">
        <v>2.198196699877724</v>
      </c>
      <c r="FP27" s="510">
        <v>2.1472091129432629</v>
      </c>
      <c r="FQ27" s="510">
        <v>2.1412191373248493</v>
      </c>
      <c r="FR27" s="510">
        <v>2.3665821881332967</v>
      </c>
      <c r="FS27" s="510">
        <v>2.52014463840605</v>
      </c>
      <c r="FT27" s="510">
        <v>2.46306210130395</v>
      </c>
      <c r="FU27" s="510">
        <v>2.4488455897297259</v>
      </c>
      <c r="FV27" s="510">
        <v>2.6096259693093478</v>
      </c>
      <c r="FW27" s="510">
        <v>2.5495879465033848</v>
      </c>
      <c r="FX27" s="510">
        <v>2.9425231364122477</v>
      </c>
      <c r="FY27" s="510">
        <v>2.6141931885117131</v>
      </c>
      <c r="FZ27" s="510">
        <v>2.584174576215517</v>
      </c>
      <c r="GA27" s="510">
        <v>2.3405508374475885</v>
      </c>
      <c r="GB27" s="510">
        <v>2.4614634665760948</v>
      </c>
      <c r="GC27" s="510">
        <v>2.4417590362628219</v>
      </c>
      <c r="GD27" s="510">
        <v>2.5524590575861117</v>
      </c>
      <c r="GE27" s="510">
        <v>2.5013972813223995</v>
      </c>
      <c r="GF27" s="510">
        <v>2.331797568441325</v>
      </c>
      <c r="GG27" s="510">
        <v>2.5879890692332261</v>
      </c>
      <c r="GH27" s="510">
        <v>2.8445214698557488</v>
      </c>
      <c r="GI27" s="510">
        <v>2.9556632513940264</v>
      </c>
      <c r="GJ27" s="510">
        <v>3.1722898897400076</v>
      </c>
      <c r="GK27" s="510">
        <v>3.3084453221393364</v>
      </c>
      <c r="GL27" s="510">
        <v>3.3265882559128066</v>
      </c>
      <c r="GM27" s="510">
        <v>3.5468850274839103</v>
      </c>
      <c r="GN27" s="510">
        <v>3.6280212048538201</v>
      </c>
      <c r="GO27" s="510">
        <v>4.1998204889971555</v>
      </c>
      <c r="GP27" s="510">
        <v>5.5718040138739555</v>
      </c>
      <c r="GQ27" s="510">
        <v>3.5489385873143457</v>
      </c>
      <c r="GR27" s="510">
        <v>3.6019661301603358</v>
      </c>
      <c r="GS27" s="427">
        <v>3.82</v>
      </c>
    </row>
    <row r="28" spans="1:201" ht="14.25" customHeight="1">
      <c r="A28" s="500" t="s">
        <v>1614</v>
      </c>
      <c r="B28" s="497" t="s">
        <v>1605</v>
      </c>
      <c r="C28" s="510" t="s">
        <v>1612</v>
      </c>
      <c r="D28" s="510" t="s">
        <v>1612</v>
      </c>
      <c r="E28" s="510" t="s">
        <v>1612</v>
      </c>
      <c r="F28" s="510" t="s">
        <v>1612</v>
      </c>
      <c r="G28" s="510" t="s">
        <v>1612</v>
      </c>
      <c r="H28" s="510" t="s">
        <v>1612</v>
      </c>
      <c r="I28" s="510" t="s">
        <v>1612</v>
      </c>
      <c r="J28" s="510" t="s">
        <v>1612</v>
      </c>
      <c r="K28" s="510" t="s">
        <v>1612</v>
      </c>
      <c r="L28" s="510" t="s">
        <v>1612</v>
      </c>
      <c r="M28" s="510" t="s">
        <v>1612</v>
      </c>
      <c r="N28" s="510" t="s">
        <v>1612</v>
      </c>
      <c r="O28" s="510" t="s">
        <v>1612</v>
      </c>
      <c r="P28" s="510" t="s">
        <v>1612</v>
      </c>
      <c r="Q28" s="510" t="s">
        <v>1612</v>
      </c>
      <c r="R28" s="510" t="s">
        <v>1612</v>
      </c>
      <c r="S28" s="510" t="s">
        <v>1612</v>
      </c>
      <c r="T28" s="510" t="s">
        <v>1612</v>
      </c>
      <c r="U28" s="510" t="s">
        <v>1612</v>
      </c>
      <c r="V28" s="510" t="s">
        <v>1612</v>
      </c>
      <c r="W28" s="510" t="s">
        <v>1612</v>
      </c>
      <c r="X28" s="510" t="s">
        <v>1612</v>
      </c>
      <c r="Y28" s="510" t="s">
        <v>1612</v>
      </c>
      <c r="Z28" s="510" t="s">
        <v>1612</v>
      </c>
      <c r="AA28" s="510" t="s">
        <v>1612</v>
      </c>
      <c r="AB28" s="510" t="s">
        <v>1612</v>
      </c>
      <c r="AC28" s="510" t="s">
        <v>1612</v>
      </c>
      <c r="AD28" s="510" t="s">
        <v>1612</v>
      </c>
      <c r="AE28" s="510" t="s">
        <v>1612</v>
      </c>
      <c r="AF28" s="510" t="s">
        <v>1612</v>
      </c>
      <c r="AG28" s="510" t="s">
        <v>1612</v>
      </c>
      <c r="AH28" s="510" t="s">
        <v>1612</v>
      </c>
      <c r="AI28" s="510" t="s">
        <v>1612</v>
      </c>
      <c r="AJ28" s="510" t="s">
        <v>1612</v>
      </c>
      <c r="AK28" s="510" t="s">
        <v>1612</v>
      </c>
      <c r="AL28" s="510" t="s">
        <v>1612</v>
      </c>
      <c r="AM28" s="510" t="s">
        <v>1612</v>
      </c>
      <c r="AN28" s="510" t="s">
        <v>1612</v>
      </c>
      <c r="AO28" s="510" t="s">
        <v>1612</v>
      </c>
      <c r="AP28" s="510" t="s">
        <v>1612</v>
      </c>
      <c r="AQ28" s="510" t="s">
        <v>1612</v>
      </c>
      <c r="AR28" s="510" t="s">
        <v>1612</v>
      </c>
      <c r="AS28" s="510" t="s">
        <v>1612</v>
      </c>
      <c r="AT28" s="510" t="s">
        <v>1612</v>
      </c>
      <c r="AU28" s="510" t="s">
        <v>1612</v>
      </c>
      <c r="AV28" s="510" t="s">
        <v>1612</v>
      </c>
      <c r="AW28" s="510" t="s">
        <v>1612</v>
      </c>
      <c r="AX28" s="510" t="s">
        <v>1612</v>
      </c>
      <c r="AY28" s="510" t="s">
        <v>1612</v>
      </c>
      <c r="AZ28" s="510" t="s">
        <v>1612</v>
      </c>
      <c r="BA28" s="510" t="s">
        <v>1612</v>
      </c>
      <c r="BB28" s="510" t="s">
        <v>1612</v>
      </c>
      <c r="BC28" s="510" t="s">
        <v>1612</v>
      </c>
      <c r="BD28" s="510" t="s">
        <v>1612</v>
      </c>
      <c r="BE28" s="510" t="s">
        <v>1612</v>
      </c>
      <c r="BF28" s="510" t="s">
        <v>1612</v>
      </c>
      <c r="BG28" s="510" t="s">
        <v>1612</v>
      </c>
      <c r="BH28" s="510" t="s">
        <v>1612</v>
      </c>
      <c r="BI28" s="510" t="s">
        <v>1612</v>
      </c>
      <c r="BJ28" s="510" t="s">
        <v>1612</v>
      </c>
      <c r="BK28" s="510" t="s">
        <v>1612</v>
      </c>
      <c r="BL28" s="510" t="s">
        <v>1612</v>
      </c>
      <c r="BM28" s="510" t="s">
        <v>1612</v>
      </c>
      <c r="BN28" s="510" t="s">
        <v>1612</v>
      </c>
      <c r="BO28" s="510" t="s">
        <v>1612</v>
      </c>
      <c r="BP28" s="510" t="s">
        <v>1612</v>
      </c>
      <c r="BQ28" s="510" t="s">
        <v>1612</v>
      </c>
      <c r="BR28" s="510" t="s">
        <v>1612</v>
      </c>
      <c r="BS28" s="510" t="s">
        <v>1612</v>
      </c>
      <c r="BT28" s="510" t="s">
        <v>1612</v>
      </c>
      <c r="BU28" s="510" t="s">
        <v>1612</v>
      </c>
      <c r="BV28" s="510" t="s">
        <v>1612</v>
      </c>
      <c r="BW28" s="510" t="s">
        <v>1612</v>
      </c>
      <c r="BX28" s="510" t="s">
        <v>1612</v>
      </c>
      <c r="BY28" s="510" t="s">
        <v>1612</v>
      </c>
      <c r="BZ28" s="510" t="s">
        <v>1612</v>
      </c>
      <c r="CA28" s="510" t="s">
        <v>1612</v>
      </c>
      <c r="CB28" s="510" t="s">
        <v>1612</v>
      </c>
      <c r="CC28" s="510" t="s">
        <v>1612</v>
      </c>
      <c r="CD28" s="510" t="s">
        <v>1612</v>
      </c>
      <c r="CE28" s="510" t="s">
        <v>1612</v>
      </c>
      <c r="CF28" s="510" t="s">
        <v>1612</v>
      </c>
      <c r="CG28" s="510" t="s">
        <v>1612</v>
      </c>
      <c r="CH28" s="510" t="s">
        <v>1612</v>
      </c>
      <c r="CI28" s="510" t="s">
        <v>1612</v>
      </c>
      <c r="CJ28" s="510" t="s">
        <v>1612</v>
      </c>
      <c r="CK28" s="510" t="s">
        <v>1612</v>
      </c>
      <c r="CL28" s="510" t="s">
        <v>1612</v>
      </c>
      <c r="CM28" s="510" t="s">
        <v>1612</v>
      </c>
      <c r="CN28" s="510" t="s">
        <v>1612</v>
      </c>
      <c r="CO28" s="510" t="s">
        <v>1612</v>
      </c>
      <c r="CP28" s="510" t="s">
        <v>1612</v>
      </c>
      <c r="CQ28" s="510" t="s">
        <v>1612</v>
      </c>
      <c r="CR28" s="510" t="s">
        <v>1612</v>
      </c>
      <c r="CS28" s="510" t="s">
        <v>1612</v>
      </c>
      <c r="CT28" s="510" t="s">
        <v>1612</v>
      </c>
      <c r="CU28" s="510" t="s">
        <v>1612</v>
      </c>
      <c r="CV28" s="510" t="s">
        <v>1612</v>
      </c>
      <c r="CW28" s="510" t="s">
        <v>1612</v>
      </c>
      <c r="CX28" s="510" t="s">
        <v>1612</v>
      </c>
      <c r="CY28" s="510">
        <v>1.0388535847868412</v>
      </c>
      <c r="CZ28" s="510">
        <v>1.0572493595423904</v>
      </c>
      <c r="DA28" s="510">
        <v>0.97147776154307042</v>
      </c>
      <c r="DB28" s="510">
        <v>1.017942153415009</v>
      </c>
      <c r="DC28" s="510">
        <v>1.0336476847275431</v>
      </c>
      <c r="DD28" s="510">
        <v>0.97896994872208909</v>
      </c>
      <c r="DE28" s="510">
        <v>0.9290865814525584</v>
      </c>
      <c r="DF28" s="510">
        <v>0.99916509312339841</v>
      </c>
      <c r="DG28" s="510">
        <v>0.97275979274611324</v>
      </c>
      <c r="DH28" s="510">
        <v>0.97244304791830194</v>
      </c>
      <c r="DI28" s="510">
        <v>0.96100306136030889</v>
      </c>
      <c r="DJ28" s="510">
        <v>1.0845680677184015</v>
      </c>
      <c r="DK28" s="510">
        <v>1.0888652020427063</v>
      </c>
      <c r="DL28" s="510">
        <v>1.028298625923906</v>
      </c>
      <c r="DM28" s="510">
        <v>1.0924508378605859</v>
      </c>
      <c r="DN28" s="510">
        <v>1.0888918152350076</v>
      </c>
      <c r="DO28" s="510">
        <v>1.1311760303559466</v>
      </c>
      <c r="DP28" s="510">
        <v>1.1250242676825049</v>
      </c>
      <c r="DQ28" s="510">
        <v>1.1491167937386133</v>
      </c>
      <c r="DR28" s="510">
        <v>1.3098690364826953</v>
      </c>
      <c r="DS28" s="510">
        <v>1.4116589253832104</v>
      </c>
      <c r="DT28" s="510">
        <v>1.2383050951356516</v>
      </c>
      <c r="DU28" s="510">
        <v>1.2131825527489535</v>
      </c>
      <c r="DV28" s="510">
        <v>1.3383474288091775</v>
      </c>
      <c r="DW28" s="510">
        <v>1.3133169223445809</v>
      </c>
      <c r="DX28" s="510">
        <v>1.242873493314048</v>
      </c>
      <c r="DY28" s="510">
        <v>1.1977340698153114</v>
      </c>
      <c r="DZ28" s="510">
        <v>1.5642099142510606</v>
      </c>
      <c r="EA28" s="510">
        <v>1.5725715080469802</v>
      </c>
      <c r="EB28" s="510">
        <v>1.5968159104394375</v>
      </c>
      <c r="EC28" s="510">
        <v>1.6473050274446279</v>
      </c>
      <c r="ED28" s="510">
        <v>1.7934743289076345</v>
      </c>
      <c r="EE28" s="510">
        <v>1.8568891768478253</v>
      </c>
      <c r="EF28" s="510">
        <v>1.8995157423770794</v>
      </c>
      <c r="EG28" s="510">
        <v>1.951515252292626</v>
      </c>
      <c r="EH28" s="510">
        <v>1.8441847860915133</v>
      </c>
      <c r="EI28" s="510">
        <v>1.7863333881556571</v>
      </c>
      <c r="EJ28" s="510">
        <v>1.8302430797141831</v>
      </c>
      <c r="EK28" s="510">
        <v>2.0043493582943483</v>
      </c>
      <c r="EL28" s="510">
        <v>2.0775452014340927</v>
      </c>
      <c r="EM28" s="510">
        <v>2.4262136626150834</v>
      </c>
      <c r="EN28" s="510">
        <v>2.5442256871224718</v>
      </c>
      <c r="EO28" s="510">
        <v>2.4954223724775395</v>
      </c>
      <c r="EP28" s="510">
        <v>2.4769371116077559</v>
      </c>
      <c r="EQ28" s="510">
        <v>2.5914212928987661</v>
      </c>
      <c r="ER28" s="510">
        <v>2.3047856150583992</v>
      </c>
      <c r="ES28" s="510">
        <v>2.6725858628590653</v>
      </c>
      <c r="ET28" s="510">
        <v>2.7395009857501345</v>
      </c>
      <c r="EU28" s="510">
        <v>2.6280730475869283</v>
      </c>
      <c r="EV28" s="510">
        <v>2.5926354672930287</v>
      </c>
      <c r="EW28" s="510">
        <v>2.6357129111808866</v>
      </c>
      <c r="EX28" s="510">
        <v>2.2574704605450404</v>
      </c>
      <c r="EY28" s="510">
        <v>2.3703307765188368</v>
      </c>
      <c r="EZ28" s="510">
        <v>2.4434653571938618</v>
      </c>
      <c r="FA28" s="510">
        <v>2.4218564284920525</v>
      </c>
      <c r="FB28" s="510">
        <v>2.2380084673233585</v>
      </c>
      <c r="FC28" s="510">
        <v>2.4789700680417468</v>
      </c>
      <c r="FD28" s="510">
        <v>2.4898794841403462</v>
      </c>
      <c r="FE28" s="510">
        <v>2.5385554587863917</v>
      </c>
      <c r="FF28" s="510">
        <v>2.5799656243368023</v>
      </c>
      <c r="FG28" s="510">
        <v>2.4664522481836308</v>
      </c>
      <c r="FH28" s="510">
        <v>2.3247081956626667</v>
      </c>
      <c r="FI28" s="510">
        <v>2.5705678634330975</v>
      </c>
      <c r="FJ28" s="510">
        <v>2.480403443562313</v>
      </c>
      <c r="FK28" s="510">
        <v>2.2236004080113938</v>
      </c>
      <c r="FL28" s="510">
        <v>2.3014591404477227</v>
      </c>
      <c r="FM28" s="510">
        <v>2.3079828971818976</v>
      </c>
      <c r="FN28" s="510">
        <v>2.0517153387561722</v>
      </c>
      <c r="FO28" s="510">
        <v>2.1154432752680181</v>
      </c>
      <c r="FP28" s="510">
        <v>2.1073592054078354</v>
      </c>
      <c r="FQ28" s="510">
        <v>2.0839390629734482</v>
      </c>
      <c r="FR28" s="510">
        <v>1.9272402839887703</v>
      </c>
      <c r="FS28" s="510">
        <v>2.360627533761912</v>
      </c>
      <c r="FT28" s="510">
        <v>1.9904603894377342</v>
      </c>
      <c r="FU28" s="510">
        <v>2.2372306983953711</v>
      </c>
      <c r="FV28" s="510">
        <v>2.3190002824709084</v>
      </c>
      <c r="FW28" s="510">
        <v>2.2052138543158031</v>
      </c>
      <c r="FX28" s="510">
        <v>2.2484765861495277</v>
      </c>
      <c r="FY28" s="510">
        <v>2.4677218639427148</v>
      </c>
      <c r="FZ28" s="510">
        <v>2.5661054018472802</v>
      </c>
      <c r="GA28" s="510">
        <v>2.3715108178710622</v>
      </c>
      <c r="GB28" s="510">
        <v>2.4897646969832699</v>
      </c>
      <c r="GC28" s="510">
        <v>2.3824397050197912</v>
      </c>
      <c r="GD28" s="510">
        <v>2.5000435940559442</v>
      </c>
      <c r="GE28" s="510">
        <v>2.4294101197075091</v>
      </c>
      <c r="GF28" s="510">
        <v>2.2603653740301373</v>
      </c>
      <c r="GG28" s="510">
        <v>2.3738986709377885</v>
      </c>
      <c r="GH28" s="510">
        <v>2.457040853550672</v>
      </c>
      <c r="GI28" s="510">
        <v>2.6691429905637265</v>
      </c>
      <c r="GJ28" s="510">
        <v>3.2759331820622459</v>
      </c>
      <c r="GK28" s="510">
        <v>3.2955338267660448</v>
      </c>
      <c r="GL28" s="510">
        <v>2.8179596179726056</v>
      </c>
      <c r="GM28" s="510">
        <v>2.7869537329347236</v>
      </c>
      <c r="GN28" s="510">
        <v>2.9164481614411919</v>
      </c>
      <c r="GO28" s="510">
        <v>3.6433552250470318</v>
      </c>
      <c r="GP28" s="510">
        <v>3.6159004139550839</v>
      </c>
      <c r="GQ28" s="510">
        <v>3.4519701858227281</v>
      </c>
      <c r="GR28" s="510">
        <v>3.2811897196281024</v>
      </c>
      <c r="GS28" s="427">
        <v>3.24</v>
      </c>
    </row>
    <row r="29" spans="1:201" ht="14.25" customHeight="1">
      <c r="A29" s="498"/>
      <c r="B29" s="499"/>
      <c r="C29" s="510"/>
      <c r="D29" s="510"/>
      <c r="E29" s="510"/>
      <c r="F29" s="510"/>
      <c r="G29" s="510"/>
      <c r="H29" s="510"/>
      <c r="I29" s="510"/>
      <c r="J29" s="510"/>
      <c r="K29" s="510"/>
      <c r="L29" s="510"/>
      <c r="M29" s="510"/>
      <c r="N29" s="510"/>
      <c r="O29" s="510"/>
      <c r="P29" s="510"/>
      <c r="Q29" s="510"/>
      <c r="R29" s="510"/>
      <c r="S29" s="510"/>
      <c r="T29" s="510"/>
      <c r="U29" s="510"/>
      <c r="V29" s="510"/>
      <c r="W29" s="510"/>
      <c r="X29" s="510"/>
      <c r="Y29" s="510"/>
      <c r="Z29" s="510"/>
      <c r="AA29" s="510"/>
      <c r="AB29" s="510"/>
      <c r="AC29" s="510"/>
      <c r="AD29" s="510"/>
      <c r="AE29" s="510"/>
      <c r="AF29" s="510"/>
      <c r="AG29" s="510"/>
      <c r="AH29" s="510"/>
      <c r="AI29" s="510"/>
      <c r="AJ29" s="510"/>
      <c r="AK29" s="510"/>
      <c r="AL29" s="510"/>
      <c r="AM29" s="510"/>
      <c r="AN29" s="510"/>
      <c r="AO29" s="510"/>
      <c r="AP29" s="510"/>
      <c r="AQ29" s="510"/>
      <c r="AR29" s="510"/>
      <c r="AS29" s="510"/>
      <c r="AT29" s="510"/>
      <c r="AU29" s="510"/>
      <c r="AV29" s="510"/>
      <c r="AW29" s="510"/>
      <c r="AX29" s="510"/>
      <c r="AY29" s="510"/>
      <c r="AZ29" s="510"/>
      <c r="BA29" s="510"/>
      <c r="BB29" s="510"/>
      <c r="BC29" s="510"/>
      <c r="BD29" s="510"/>
      <c r="BE29" s="510"/>
      <c r="BF29" s="510"/>
      <c r="BG29" s="510"/>
      <c r="BH29" s="510"/>
      <c r="BI29" s="510"/>
      <c r="BJ29" s="510"/>
      <c r="BK29" s="510"/>
      <c r="BL29" s="510"/>
      <c r="BM29" s="510"/>
      <c r="BN29" s="510"/>
      <c r="BO29" s="510"/>
      <c r="BP29" s="510"/>
      <c r="BQ29" s="510"/>
      <c r="BR29" s="510"/>
      <c r="BS29" s="510"/>
      <c r="BT29" s="510"/>
      <c r="BU29" s="510"/>
      <c r="BV29" s="510"/>
      <c r="BW29" s="510"/>
      <c r="BX29" s="510"/>
      <c r="BY29" s="510"/>
      <c r="BZ29" s="510"/>
      <c r="CA29" s="510"/>
      <c r="CB29" s="510"/>
      <c r="CC29" s="510"/>
      <c r="CD29" s="510"/>
      <c r="CE29" s="510"/>
      <c r="CF29" s="510"/>
      <c r="CG29" s="510"/>
      <c r="CH29" s="510"/>
      <c r="CI29" s="510"/>
      <c r="CJ29" s="510"/>
      <c r="CK29" s="510"/>
      <c r="CL29" s="510"/>
      <c r="CM29" s="510"/>
      <c r="CN29" s="510"/>
      <c r="CO29" s="510"/>
      <c r="CP29" s="510"/>
      <c r="CQ29" s="510"/>
      <c r="CR29" s="510"/>
      <c r="CS29" s="510"/>
      <c r="CT29" s="510"/>
      <c r="CU29" s="510"/>
      <c r="CV29" s="510"/>
      <c r="CW29" s="510"/>
      <c r="CX29" s="510"/>
      <c r="CY29" s="510"/>
      <c r="CZ29" s="510"/>
      <c r="DA29" s="510"/>
      <c r="DB29" s="510"/>
      <c r="DC29" s="510"/>
      <c r="DD29" s="510"/>
      <c r="DE29" s="510"/>
      <c r="DF29" s="510"/>
      <c r="DG29" s="510"/>
      <c r="DH29" s="510"/>
      <c r="DI29" s="510"/>
      <c r="DJ29" s="510"/>
      <c r="DK29" s="510"/>
      <c r="DL29" s="510"/>
      <c r="DM29" s="510"/>
      <c r="DN29" s="510"/>
      <c r="DO29" s="510"/>
      <c r="DP29" s="510"/>
      <c r="DQ29" s="510"/>
      <c r="DR29" s="510"/>
      <c r="DS29" s="510"/>
      <c r="DT29" s="510"/>
      <c r="DU29" s="510"/>
      <c r="DV29" s="510"/>
      <c r="DW29" s="510"/>
      <c r="DX29" s="510"/>
      <c r="DY29" s="510"/>
      <c r="DZ29" s="510"/>
      <c r="EA29" s="510"/>
      <c r="EB29" s="510"/>
      <c r="EC29" s="510"/>
      <c r="ED29" s="510"/>
      <c r="EE29" s="510"/>
      <c r="EF29" s="510"/>
      <c r="EG29" s="510"/>
      <c r="EH29" s="510"/>
      <c r="EI29" s="510"/>
      <c r="EJ29" s="510"/>
      <c r="EK29" s="510"/>
      <c r="EL29" s="510"/>
      <c r="EM29" s="510"/>
      <c r="EN29" s="510"/>
      <c r="EO29" s="510"/>
      <c r="EP29" s="510"/>
      <c r="EQ29" s="510"/>
      <c r="ER29" s="510"/>
      <c r="ES29" s="510"/>
      <c r="ET29" s="510"/>
      <c r="EU29" s="510"/>
      <c r="EV29" s="510"/>
      <c r="EW29" s="510"/>
      <c r="EX29" s="510"/>
      <c r="EY29" s="510"/>
      <c r="EZ29" s="510"/>
      <c r="FA29" s="510"/>
      <c r="FB29" s="510"/>
      <c r="FC29" s="510"/>
      <c r="FD29" s="510"/>
      <c r="FE29" s="510"/>
      <c r="FF29" s="510"/>
      <c r="FG29" s="510"/>
      <c r="FH29" s="510"/>
      <c r="FI29" s="510"/>
      <c r="FJ29" s="510"/>
      <c r="FK29" s="510"/>
      <c r="FL29" s="510"/>
      <c r="FM29" s="510"/>
      <c r="FN29" s="510"/>
      <c r="FO29" s="510"/>
      <c r="FP29" s="510"/>
      <c r="FQ29" s="510"/>
      <c r="FR29" s="510"/>
      <c r="FS29" s="510"/>
      <c r="FT29" s="510"/>
      <c r="FU29" s="510"/>
      <c r="FV29" s="510"/>
      <c r="FW29" s="510"/>
      <c r="FX29" s="510"/>
      <c r="FY29" s="510"/>
      <c r="FZ29" s="510"/>
      <c r="GA29" s="510"/>
      <c r="GB29" s="510"/>
      <c r="GC29" s="510"/>
      <c r="GD29" s="510"/>
      <c r="GE29" s="510"/>
      <c r="GF29" s="510"/>
      <c r="GG29" s="510"/>
      <c r="GH29" s="510"/>
      <c r="GI29" s="510"/>
      <c r="GJ29" s="510"/>
      <c r="GK29" s="510"/>
      <c r="GL29" s="510"/>
      <c r="GM29" s="510"/>
      <c r="GN29" s="510"/>
      <c r="GO29" s="510"/>
      <c r="GP29" s="510"/>
      <c r="GQ29" s="510"/>
      <c r="GR29" s="510"/>
      <c r="GS29" s="427"/>
    </row>
    <row r="30" spans="1:201" ht="14.25" customHeight="1">
      <c r="A30" s="521" t="s">
        <v>1615</v>
      </c>
      <c r="B30" s="499"/>
      <c r="C30" s="510"/>
      <c r="D30" s="510"/>
      <c r="E30" s="510"/>
      <c r="F30" s="510"/>
      <c r="G30" s="510"/>
      <c r="H30" s="510"/>
      <c r="I30" s="510"/>
      <c r="J30" s="510"/>
      <c r="K30" s="510"/>
      <c r="L30" s="510"/>
      <c r="M30" s="510"/>
      <c r="N30" s="510"/>
      <c r="O30" s="510"/>
      <c r="P30" s="510"/>
      <c r="Q30" s="510"/>
      <c r="R30" s="510"/>
      <c r="S30" s="510"/>
      <c r="T30" s="510"/>
      <c r="U30" s="510"/>
      <c r="V30" s="510"/>
      <c r="W30" s="510"/>
      <c r="X30" s="510"/>
      <c r="Y30" s="510"/>
      <c r="Z30" s="510"/>
      <c r="AA30" s="510"/>
      <c r="AB30" s="510"/>
      <c r="AC30" s="510"/>
      <c r="AD30" s="510"/>
      <c r="AE30" s="510"/>
      <c r="AF30" s="510"/>
      <c r="AG30" s="510"/>
      <c r="AH30" s="510"/>
      <c r="AI30" s="510"/>
      <c r="AJ30" s="510"/>
      <c r="AK30" s="510"/>
      <c r="AL30" s="510"/>
      <c r="AM30" s="510"/>
      <c r="AN30" s="510"/>
      <c r="AO30" s="510"/>
      <c r="AP30" s="510"/>
      <c r="AQ30" s="510"/>
      <c r="AR30" s="510"/>
      <c r="AS30" s="510"/>
      <c r="AT30" s="510"/>
      <c r="AU30" s="510"/>
      <c r="AV30" s="510"/>
      <c r="AW30" s="510"/>
      <c r="AX30" s="510"/>
      <c r="AY30" s="510"/>
      <c r="AZ30" s="510"/>
      <c r="BA30" s="510"/>
      <c r="BB30" s="510"/>
      <c r="BC30" s="510"/>
      <c r="BD30" s="510"/>
      <c r="BE30" s="510"/>
      <c r="BF30" s="510"/>
      <c r="BG30" s="510"/>
      <c r="BH30" s="510"/>
      <c r="BI30" s="510"/>
      <c r="BJ30" s="510"/>
      <c r="BK30" s="510"/>
      <c r="BL30" s="510"/>
      <c r="BM30" s="510"/>
      <c r="BN30" s="510"/>
      <c r="BO30" s="510"/>
      <c r="BP30" s="510"/>
      <c r="BQ30" s="510"/>
      <c r="BR30" s="510"/>
      <c r="BS30" s="510"/>
      <c r="BT30" s="510"/>
      <c r="BU30" s="510"/>
      <c r="BV30" s="510"/>
      <c r="BW30" s="510"/>
      <c r="BX30" s="510"/>
      <c r="BY30" s="510"/>
      <c r="BZ30" s="510"/>
      <c r="CA30" s="510"/>
      <c r="CB30" s="510"/>
      <c r="CC30" s="510"/>
      <c r="CD30" s="510"/>
      <c r="CE30" s="510"/>
      <c r="CF30" s="510"/>
      <c r="CG30" s="510"/>
      <c r="CH30" s="510"/>
      <c r="CI30" s="510"/>
      <c r="CJ30" s="510"/>
      <c r="CK30" s="510"/>
      <c r="CL30" s="510"/>
      <c r="CM30" s="510"/>
      <c r="CN30" s="510"/>
      <c r="CO30" s="510"/>
      <c r="CP30" s="510"/>
      <c r="CQ30" s="510"/>
      <c r="CR30" s="510"/>
      <c r="CS30" s="510"/>
      <c r="CT30" s="510"/>
      <c r="CU30" s="510"/>
      <c r="CV30" s="510"/>
      <c r="CW30" s="510"/>
      <c r="CX30" s="510"/>
      <c r="CY30" s="510"/>
      <c r="CZ30" s="510"/>
      <c r="DA30" s="510"/>
      <c r="DB30" s="510"/>
      <c r="DC30" s="510"/>
      <c r="DD30" s="510"/>
      <c r="DE30" s="510"/>
      <c r="DF30" s="510"/>
      <c r="DG30" s="510"/>
      <c r="DH30" s="510"/>
      <c r="DI30" s="510"/>
      <c r="DJ30" s="510"/>
      <c r="DK30" s="510"/>
      <c r="DL30" s="510"/>
      <c r="DM30" s="510"/>
      <c r="DN30" s="510"/>
      <c r="DO30" s="510"/>
      <c r="DP30" s="510"/>
      <c r="DQ30" s="510"/>
      <c r="DR30" s="510"/>
      <c r="DS30" s="510"/>
      <c r="DT30" s="510"/>
      <c r="DU30" s="510"/>
      <c r="DV30" s="510"/>
      <c r="DW30" s="510"/>
      <c r="DX30" s="510"/>
      <c r="DY30" s="510"/>
      <c r="DZ30" s="510"/>
      <c r="EA30" s="510"/>
      <c r="EB30" s="510"/>
      <c r="EC30" s="510"/>
      <c r="ED30" s="510"/>
      <c r="EE30" s="510"/>
      <c r="EF30" s="510"/>
      <c r="EG30" s="510"/>
      <c r="EH30" s="510"/>
      <c r="EI30" s="510"/>
      <c r="EJ30" s="510"/>
      <c r="EK30" s="510"/>
      <c r="EL30" s="510"/>
      <c r="EM30" s="510"/>
      <c r="EN30" s="510"/>
      <c r="EO30" s="510"/>
      <c r="EP30" s="510"/>
      <c r="EQ30" s="510"/>
      <c r="ER30" s="510"/>
      <c r="ES30" s="510"/>
      <c r="ET30" s="510"/>
      <c r="EU30" s="510"/>
      <c r="EV30" s="510"/>
      <c r="EW30" s="510"/>
      <c r="EX30" s="510"/>
      <c r="EY30" s="510"/>
      <c r="EZ30" s="510"/>
      <c r="FA30" s="510"/>
      <c r="FB30" s="510"/>
      <c r="FC30" s="510"/>
      <c r="FD30" s="510"/>
      <c r="FE30" s="510"/>
      <c r="FF30" s="510"/>
      <c r="FG30" s="510"/>
      <c r="FH30" s="510"/>
      <c r="FI30" s="510"/>
      <c r="FJ30" s="510"/>
      <c r="FK30" s="510"/>
      <c r="FL30" s="510"/>
      <c r="FM30" s="510"/>
      <c r="FN30" s="510"/>
      <c r="FO30" s="510"/>
      <c r="FP30" s="510"/>
      <c r="FQ30" s="510"/>
      <c r="FR30" s="510"/>
      <c r="FS30" s="510"/>
      <c r="FT30" s="510"/>
      <c r="FU30" s="510"/>
      <c r="FV30" s="510"/>
      <c r="FW30" s="510"/>
      <c r="FX30" s="510"/>
      <c r="FY30" s="510"/>
      <c r="FZ30" s="510"/>
      <c r="GA30" s="510"/>
      <c r="GB30" s="510"/>
      <c r="GC30" s="510"/>
      <c r="GD30" s="510"/>
      <c r="GE30" s="510"/>
      <c r="GF30" s="510"/>
      <c r="GG30" s="510"/>
      <c r="GH30" s="510"/>
      <c r="GI30" s="510"/>
      <c r="GJ30" s="510"/>
      <c r="GK30" s="510"/>
      <c r="GL30" s="510"/>
      <c r="GM30" s="510"/>
      <c r="GN30" s="510"/>
      <c r="GO30" s="510"/>
      <c r="GP30" s="510"/>
      <c r="GQ30" s="510"/>
      <c r="GR30" s="510"/>
      <c r="GS30" s="427"/>
    </row>
    <row r="31" spans="1:201" ht="14.25" customHeight="1">
      <c r="A31" s="522" t="s">
        <v>1616</v>
      </c>
      <c r="B31" s="499" t="s">
        <v>1600</v>
      </c>
      <c r="C31" s="510"/>
      <c r="D31" s="510"/>
      <c r="E31" s="510"/>
      <c r="F31" s="510"/>
      <c r="G31" s="510"/>
      <c r="H31" s="510"/>
      <c r="I31" s="510"/>
      <c r="J31" s="510"/>
      <c r="K31" s="510"/>
      <c r="L31" s="510"/>
      <c r="M31" s="510"/>
      <c r="N31" s="510"/>
      <c r="O31" s="510"/>
      <c r="P31" s="510"/>
      <c r="Q31" s="510"/>
      <c r="R31" s="510"/>
      <c r="S31" s="510"/>
      <c r="T31" s="510"/>
      <c r="U31" s="510"/>
      <c r="V31" s="510"/>
      <c r="W31" s="510"/>
      <c r="X31" s="510"/>
      <c r="Y31" s="510"/>
      <c r="Z31" s="510"/>
      <c r="AA31" s="510"/>
      <c r="AB31" s="510"/>
      <c r="AC31" s="510"/>
      <c r="AD31" s="510"/>
      <c r="AE31" s="510"/>
      <c r="AF31" s="510"/>
      <c r="AG31" s="510"/>
      <c r="AH31" s="510"/>
      <c r="AI31" s="510"/>
      <c r="AJ31" s="510"/>
      <c r="AK31" s="510"/>
      <c r="AL31" s="510"/>
      <c r="AM31" s="510"/>
      <c r="AN31" s="510"/>
      <c r="AO31" s="510"/>
      <c r="AP31" s="510"/>
      <c r="AQ31" s="510"/>
      <c r="AR31" s="510"/>
      <c r="AS31" s="510"/>
      <c r="AT31" s="510"/>
      <c r="AU31" s="510"/>
      <c r="AV31" s="510"/>
      <c r="AW31" s="510"/>
      <c r="AX31" s="510"/>
      <c r="AY31" s="510"/>
      <c r="AZ31" s="510"/>
      <c r="BA31" s="510"/>
      <c r="BB31" s="510"/>
      <c r="BC31" s="510"/>
      <c r="BD31" s="510"/>
      <c r="BE31" s="510"/>
      <c r="BF31" s="510"/>
      <c r="BG31" s="510"/>
      <c r="BH31" s="510"/>
      <c r="BI31" s="510"/>
      <c r="BJ31" s="510"/>
      <c r="BK31" s="510"/>
      <c r="BL31" s="510"/>
      <c r="BM31" s="510"/>
      <c r="BN31" s="510"/>
      <c r="BO31" s="510"/>
      <c r="BP31" s="510"/>
      <c r="BQ31" s="510"/>
      <c r="BR31" s="510"/>
      <c r="BS31" s="510"/>
      <c r="BT31" s="510"/>
      <c r="BU31" s="510"/>
      <c r="BV31" s="510"/>
      <c r="BW31" s="510"/>
      <c r="BX31" s="510"/>
      <c r="BY31" s="510"/>
      <c r="BZ31" s="510"/>
      <c r="CA31" s="510"/>
      <c r="CB31" s="510"/>
      <c r="CC31" s="510"/>
      <c r="CD31" s="510"/>
      <c r="CE31" s="510"/>
      <c r="CF31" s="510"/>
      <c r="CG31" s="510"/>
      <c r="CH31" s="510"/>
      <c r="CI31" s="510"/>
      <c r="CJ31" s="510"/>
      <c r="CK31" s="510"/>
      <c r="CL31" s="510"/>
      <c r="CM31" s="510"/>
      <c r="CN31" s="510"/>
      <c r="CO31" s="510"/>
      <c r="CP31" s="510"/>
      <c r="CQ31" s="510"/>
      <c r="CR31" s="510"/>
      <c r="CS31" s="510"/>
      <c r="CT31" s="510"/>
      <c r="CU31" s="510"/>
      <c r="CV31" s="510"/>
      <c r="CW31" s="510"/>
      <c r="CX31" s="510"/>
      <c r="CY31" s="510"/>
      <c r="CZ31" s="510"/>
      <c r="DA31" s="510"/>
      <c r="DB31" s="510"/>
      <c r="DC31" s="510"/>
      <c r="DD31" s="510"/>
      <c r="DE31" s="510"/>
      <c r="DF31" s="510"/>
      <c r="DG31" s="510"/>
      <c r="DH31" s="510"/>
      <c r="DI31" s="510"/>
      <c r="DJ31" s="510"/>
      <c r="DK31" s="510"/>
      <c r="DL31" s="510"/>
      <c r="DM31" s="510"/>
      <c r="DN31" s="510"/>
      <c r="DO31" s="510"/>
      <c r="DP31" s="510"/>
      <c r="DQ31" s="510"/>
      <c r="DR31" s="510"/>
      <c r="DS31" s="510"/>
      <c r="DT31" s="510"/>
      <c r="DU31" s="510"/>
      <c r="DV31" s="510"/>
      <c r="DW31" s="510"/>
      <c r="DX31" s="510"/>
      <c r="DY31" s="510"/>
      <c r="DZ31" s="510"/>
      <c r="EA31" s="510"/>
      <c r="EB31" s="510"/>
      <c r="EC31" s="510"/>
      <c r="ED31" s="510"/>
      <c r="EE31" s="510"/>
      <c r="EF31" s="510"/>
      <c r="EG31" s="510"/>
      <c r="EH31" s="510"/>
      <c r="EI31" s="510"/>
      <c r="EJ31" s="510"/>
      <c r="EK31" s="510"/>
      <c r="EL31" s="510"/>
      <c r="EM31" s="510"/>
      <c r="EN31" s="510"/>
      <c r="EO31" s="510"/>
      <c r="EP31" s="510"/>
      <c r="EQ31" s="510"/>
      <c r="ER31" s="510"/>
      <c r="ES31" s="510"/>
      <c r="ET31" s="510"/>
      <c r="EU31" s="510"/>
      <c r="EV31" s="510"/>
      <c r="EW31" s="510"/>
      <c r="EX31" s="510"/>
      <c r="EY31" s="510"/>
      <c r="EZ31" s="510"/>
      <c r="FA31" s="510"/>
      <c r="FB31" s="510"/>
      <c r="FC31" s="510"/>
      <c r="FD31" s="510">
        <v>27.909213250029499</v>
      </c>
      <c r="FE31" s="510">
        <v>26.780274188955602</v>
      </c>
      <c r="FF31" s="510">
        <v>28.2100441888551</v>
      </c>
      <c r="FG31" s="510">
        <v>28.948027176272699</v>
      </c>
      <c r="FH31" s="510">
        <v>28.593080065291801</v>
      </c>
      <c r="FI31" s="510">
        <v>27.810742956193501</v>
      </c>
      <c r="FJ31" s="510">
        <v>28.8657641396962</v>
      </c>
      <c r="FK31" s="510">
        <v>29.6075114728398</v>
      </c>
      <c r="FL31" s="510">
        <v>28.177496729418799</v>
      </c>
      <c r="FM31" s="510">
        <v>27.123733501108099</v>
      </c>
      <c r="FN31" s="510">
        <v>28.220364877516399</v>
      </c>
      <c r="FO31" s="510">
        <v>29.577989858117402</v>
      </c>
      <c r="FP31" s="510">
        <v>28.955691307548001</v>
      </c>
      <c r="FQ31" s="510">
        <v>27.7124275013275</v>
      </c>
      <c r="FR31" s="510">
        <v>28.812062438363402</v>
      </c>
      <c r="FS31" s="510">
        <v>29.877425684743699</v>
      </c>
      <c r="FT31" s="510">
        <v>28.9292858877455</v>
      </c>
      <c r="FU31" s="510">
        <v>27.938250886457698</v>
      </c>
      <c r="FV31" s="510">
        <v>29.218778797884401</v>
      </c>
      <c r="FW31" s="510">
        <v>30.383209316103699</v>
      </c>
      <c r="FX31" s="510">
        <v>29.140914743929098</v>
      </c>
      <c r="FY31" s="510">
        <v>28.067740720252001</v>
      </c>
      <c r="FZ31" s="510">
        <v>29.2051765841668</v>
      </c>
      <c r="GA31" s="510">
        <v>30.540491626211299</v>
      </c>
      <c r="GB31" s="510">
        <v>29.394211680033301</v>
      </c>
      <c r="GC31" s="510">
        <v>27.9062830837245</v>
      </c>
      <c r="GD31" s="510">
        <v>29.131632366958598</v>
      </c>
      <c r="GE31" s="510">
        <v>30.749703336864201</v>
      </c>
      <c r="GF31" s="510">
        <v>29.358868013674901</v>
      </c>
      <c r="GG31" s="510">
        <v>28.384519266441899</v>
      </c>
      <c r="GH31" s="510">
        <v>29.531292555659601</v>
      </c>
      <c r="GI31" s="510">
        <v>30.770510427378699</v>
      </c>
      <c r="GJ31" s="510">
        <v>30.1168642975714</v>
      </c>
      <c r="GK31" s="510">
        <v>29.163623987094699</v>
      </c>
      <c r="GL31" s="510">
        <v>30.504235849975299</v>
      </c>
      <c r="GM31" s="510">
        <v>31.790157874800698</v>
      </c>
      <c r="GN31" s="510">
        <v>31.468792756686799</v>
      </c>
      <c r="GO31" s="510">
        <v>30.252892023527099</v>
      </c>
      <c r="GP31" s="510">
        <v>31.706304314009099</v>
      </c>
      <c r="GQ31" s="510">
        <v>33.166058397196302</v>
      </c>
      <c r="GR31" s="510">
        <v>32.832120309245497</v>
      </c>
      <c r="GS31" s="429">
        <v>31.51</v>
      </c>
    </row>
    <row r="33" spans="1:2" ht="14.25" customHeight="1">
      <c r="A33" s="511" t="s">
        <v>1617</v>
      </c>
      <c r="B33" s="523"/>
    </row>
    <row r="34" spans="1:2" ht="30" customHeight="1">
      <c r="A34" s="601" t="s">
        <v>1618</v>
      </c>
      <c r="B34" s="620"/>
    </row>
    <row r="35" spans="1:2" ht="30" customHeight="1">
      <c r="A35" s="602" t="s">
        <v>1619</v>
      </c>
      <c r="B35" s="620"/>
    </row>
    <row r="36" spans="1:2" ht="30" customHeight="1">
      <c r="A36" s="602" t="s">
        <v>1620</v>
      </c>
      <c r="B36" s="620"/>
    </row>
    <row r="37" spans="1:2" ht="30" customHeight="1">
      <c r="A37" s="602" t="s">
        <v>1621</v>
      </c>
      <c r="B37" s="620"/>
    </row>
    <row r="38" spans="1:2" ht="75" customHeight="1">
      <c r="A38" s="601" t="s">
        <v>1622</v>
      </c>
      <c r="B38" s="620"/>
    </row>
  </sheetData>
  <mergeCells count="5">
    <mergeCell ref="A34:B34"/>
    <mergeCell ref="A35:B35"/>
    <mergeCell ref="A36:B36"/>
    <mergeCell ref="A37:B37"/>
    <mergeCell ref="A38:B38"/>
  </mergeCells>
  <conditionalFormatting sqref="FW20:GH20">
    <cfRule type="expression" dxfId="3" priority="1">
      <formula>AND(U2=MIN($C2:$AO2),U2&lt;ABS(#REF!*AVERAGE($C2:$AO2)),U2&gt;0)</formula>
    </cfRule>
    <cfRule type="expression" dxfId="2" priority="2">
      <formula>AND(U2=MAX($C2:$AO2),U2&gt;$B$3*AVERAGE($C2:$AO2),U2&gt;0)</formula>
    </cfRule>
  </conditionalFormatting>
  <conditionalFormatting sqref="FW12:GR12">
    <cfRule type="expression" dxfId="1" priority="3">
      <formula>AND(U1048544=MIN($C1048544:$AO1048544),U1048544&lt;ABS(#REF!*AVERAGE($C1048544:$AO1048544)),U1048544&gt;0)</formula>
    </cfRule>
    <cfRule type="expression" dxfId="0" priority="4">
      <formula>AND(U1048544=MAX($C1048544:$AO1048544),U1048544&gt;$B$3*AVERAGE($C1048544:$AO1048544),U1048544&gt;0)</formula>
    </cfRule>
  </conditionalFormatting>
  <hyperlinks>
    <hyperlink ref="A1" location="null!A1" display=" Return to contents " xr:uid="{00000000-0004-0000-1100-000000000000}"/>
  </hyperlinks>
  <pageMargins left="0.7" right="0.7" top="0.75" bottom="0.75" header="0" footer="0"/>
  <pageSetup paperSize="9"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38761D"/>
    <outlinePr summaryBelow="0" summaryRight="0"/>
  </sheetPr>
  <dimension ref="A1:GS117"/>
  <sheetViews>
    <sheetView workbookViewId="0">
      <pane xSplit="1" topLeftCell="B1" activePane="topRight" state="frozen"/>
      <selection pane="topRight" activeCell="C2" sqref="C2"/>
    </sheetView>
  </sheetViews>
  <sheetFormatPr defaultColWidth="12.5703125" defaultRowHeight="15.75" customHeight="1"/>
  <cols>
    <col min="1" max="1" width="52" customWidth="1"/>
  </cols>
  <sheetData>
    <row r="1" spans="1:201" ht="12.95">
      <c r="A1" s="481" t="s">
        <v>1623</v>
      </c>
      <c r="B1" s="10"/>
      <c r="C1" s="10"/>
      <c r="D1" s="10"/>
      <c r="E1" s="1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c r="BW1" s="430"/>
      <c r="BX1" s="430"/>
      <c r="BY1" s="430"/>
      <c r="BZ1" s="430"/>
      <c r="CA1" s="430"/>
      <c r="CB1" s="430"/>
      <c r="CC1" s="430"/>
      <c r="CD1" s="430"/>
      <c r="CE1" s="430"/>
      <c r="CF1" s="430"/>
      <c r="CG1" s="430"/>
      <c r="CH1" s="430"/>
      <c r="CI1" s="430"/>
      <c r="CJ1" s="430"/>
      <c r="CK1" s="430"/>
      <c r="CL1" s="430"/>
      <c r="CM1" s="430"/>
      <c r="CN1" s="430"/>
      <c r="CO1" s="430"/>
      <c r="CP1" s="430"/>
      <c r="CQ1" s="430"/>
      <c r="CR1" s="430"/>
      <c r="CS1" s="430"/>
      <c r="CT1" s="430"/>
      <c r="CU1" s="430"/>
      <c r="CV1" s="430"/>
      <c r="CW1" s="430"/>
      <c r="CX1" s="430"/>
      <c r="CY1" s="430"/>
      <c r="CZ1" s="430"/>
      <c r="DA1" s="430"/>
      <c r="DB1" s="430"/>
      <c r="DC1" s="430"/>
      <c r="DD1" s="430"/>
      <c r="DE1" s="430"/>
      <c r="DF1" s="430"/>
      <c r="DG1" s="430"/>
      <c r="DH1" s="430"/>
      <c r="DI1" s="430"/>
      <c r="DJ1" s="430"/>
      <c r="DK1" s="430"/>
      <c r="DL1" s="430"/>
      <c r="DM1" s="430"/>
      <c r="DN1" s="430"/>
      <c r="DO1" s="430"/>
      <c r="DP1" s="430"/>
      <c r="DQ1" s="430"/>
      <c r="DR1" s="430"/>
      <c r="DS1" s="430"/>
      <c r="DT1" s="430"/>
      <c r="DU1" s="430"/>
      <c r="DV1" s="430"/>
      <c r="DW1" s="430"/>
      <c r="DX1" s="430"/>
      <c r="DY1" s="430"/>
      <c r="DZ1" s="430"/>
      <c r="EA1" s="430"/>
      <c r="EB1" s="430"/>
      <c r="EC1" s="430"/>
      <c r="ED1" s="430"/>
      <c r="EE1" s="430"/>
      <c r="EF1" s="430"/>
      <c r="EG1" s="430"/>
      <c r="EH1" s="430"/>
      <c r="EI1" s="430"/>
      <c r="EJ1" s="430"/>
      <c r="EK1" s="430"/>
      <c r="EL1" s="430"/>
      <c r="EM1" s="430"/>
      <c r="EN1" s="430"/>
      <c r="EO1" s="430"/>
      <c r="EP1" s="430"/>
      <c r="EQ1" s="430"/>
      <c r="ER1" s="430"/>
      <c r="ES1" s="430"/>
      <c r="ET1" s="430"/>
      <c r="EU1" s="430"/>
      <c r="EV1" s="430"/>
      <c r="EW1" s="430"/>
      <c r="EX1" s="430"/>
      <c r="EY1" s="430"/>
      <c r="EZ1" s="430"/>
      <c r="FA1" s="430"/>
      <c r="FB1" s="430"/>
      <c r="FC1" s="430"/>
      <c r="FD1" s="430"/>
      <c r="FE1" s="430"/>
      <c r="FF1" s="430"/>
      <c r="FG1" s="430"/>
      <c r="FH1" s="430"/>
      <c r="FI1" s="430"/>
      <c r="FJ1" s="430"/>
      <c r="FK1" s="430"/>
      <c r="FL1" s="430"/>
      <c r="FM1" s="430"/>
      <c r="FN1" s="430"/>
      <c r="FO1" s="430"/>
      <c r="FP1" s="430"/>
      <c r="FQ1" s="430"/>
      <c r="FR1" s="430"/>
      <c r="FS1" s="430"/>
      <c r="FT1" s="430"/>
      <c r="FU1" s="430"/>
      <c r="FV1" s="430"/>
      <c r="FW1" s="430"/>
      <c r="FX1" s="430"/>
      <c r="FY1" s="430"/>
      <c r="FZ1" s="430"/>
      <c r="GA1" s="430"/>
      <c r="GB1" s="430"/>
      <c r="GC1" s="430"/>
      <c r="GD1" s="430"/>
      <c r="GE1" s="430"/>
      <c r="GF1" s="430"/>
      <c r="GG1" s="430"/>
      <c r="GH1" s="430"/>
      <c r="GI1" s="430"/>
      <c r="GJ1" s="430"/>
      <c r="GK1" s="430"/>
      <c r="GL1" s="430"/>
      <c r="GM1" s="430"/>
      <c r="GN1" s="430"/>
      <c r="GO1" s="430"/>
      <c r="GP1" s="430"/>
      <c r="GQ1" s="430"/>
      <c r="GR1" s="430"/>
      <c r="GS1" s="430"/>
    </row>
    <row r="2" spans="1:201" ht="12.95">
      <c r="A2" s="431" t="s">
        <v>1624</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0"/>
      <c r="EB2" s="430"/>
      <c r="EC2" s="430"/>
      <c r="ED2" s="430"/>
      <c r="EE2" s="430"/>
      <c r="EF2" s="430"/>
      <c r="EG2" s="430"/>
      <c r="EH2" s="430"/>
      <c r="EI2" s="430"/>
      <c r="EJ2" s="430"/>
      <c r="EK2" s="430"/>
      <c r="EL2" s="430"/>
      <c r="EM2" s="430"/>
      <c r="EN2" s="430"/>
      <c r="EO2" s="430"/>
      <c r="EP2" s="430"/>
      <c r="EQ2" s="430"/>
      <c r="ER2" s="430"/>
      <c r="ES2" s="430"/>
      <c r="ET2" s="430"/>
      <c r="EU2" s="430"/>
      <c r="EV2" s="430"/>
      <c r="EW2" s="430"/>
      <c r="EX2" s="430"/>
      <c r="EY2" s="430"/>
      <c r="EZ2" s="430"/>
      <c r="FA2" s="430"/>
      <c r="FB2" s="430"/>
      <c r="FC2" s="430"/>
      <c r="FD2" s="430"/>
      <c r="FE2" s="430"/>
      <c r="FF2" s="430"/>
      <c r="FG2" s="430"/>
      <c r="FH2" s="430"/>
      <c r="FI2" s="430"/>
      <c r="FJ2" s="430"/>
      <c r="FK2" s="430"/>
      <c r="FL2" s="430"/>
      <c r="FM2" s="430"/>
      <c r="FN2" s="430"/>
      <c r="FO2" s="430"/>
      <c r="FP2" s="430"/>
      <c r="FQ2" s="430"/>
      <c r="FR2" s="430"/>
      <c r="FS2" s="430"/>
      <c r="FT2" s="430"/>
      <c r="FU2" s="430"/>
      <c r="FV2" s="430"/>
      <c r="FW2" s="430"/>
      <c r="FX2" s="430"/>
      <c r="FY2" s="430"/>
      <c r="FZ2" s="430"/>
      <c r="GA2" s="430"/>
      <c r="GB2" s="430"/>
      <c r="GC2" s="430"/>
      <c r="GD2" s="430"/>
      <c r="GE2" s="430"/>
      <c r="GF2" s="430"/>
      <c r="GG2" s="430"/>
      <c r="GH2" s="430"/>
      <c r="GI2" s="430"/>
      <c r="GJ2" s="430"/>
      <c r="GK2" s="430"/>
      <c r="GL2" s="430"/>
      <c r="GM2" s="430"/>
      <c r="GN2" s="430"/>
      <c r="GO2" s="430"/>
      <c r="GP2" s="430"/>
      <c r="GQ2" s="430"/>
      <c r="GR2" s="430"/>
      <c r="GS2" s="430"/>
    </row>
    <row r="3" spans="1:201" ht="12.95">
      <c r="A3" s="51"/>
      <c r="B3" s="10" t="s">
        <v>1625</v>
      </c>
      <c r="C3" s="10" t="s">
        <v>1626</v>
      </c>
      <c r="D3" s="10" t="s">
        <v>1627</v>
      </c>
      <c r="E3" s="10" t="s">
        <v>1628</v>
      </c>
      <c r="F3" s="430" t="s">
        <v>1629</v>
      </c>
      <c r="G3" s="430" t="s">
        <v>1630</v>
      </c>
      <c r="H3" s="430" t="s">
        <v>1631</v>
      </c>
      <c r="I3" s="430" t="s">
        <v>1632</v>
      </c>
      <c r="J3" s="430" t="s">
        <v>1633</v>
      </c>
      <c r="K3" s="430" t="s">
        <v>1634</v>
      </c>
      <c r="L3" s="430" t="s">
        <v>1635</v>
      </c>
      <c r="M3" s="430" t="s">
        <v>1636</v>
      </c>
      <c r="N3" s="430" t="s">
        <v>1637</v>
      </c>
      <c r="O3" s="430" t="s">
        <v>1638</v>
      </c>
      <c r="P3" s="430" t="s">
        <v>1639</v>
      </c>
      <c r="Q3" s="430" t="s">
        <v>1640</v>
      </c>
      <c r="R3" s="430" t="s">
        <v>1641</v>
      </c>
      <c r="S3" s="430" t="s">
        <v>1642</v>
      </c>
      <c r="T3" s="430" t="s">
        <v>1643</v>
      </c>
      <c r="U3" s="430" t="s">
        <v>1644</v>
      </c>
      <c r="V3" s="430" t="s">
        <v>1645</v>
      </c>
      <c r="W3" s="430" t="s">
        <v>1646</v>
      </c>
      <c r="X3" s="430" t="s">
        <v>1647</v>
      </c>
      <c r="Y3" s="430" t="s">
        <v>1648</v>
      </c>
      <c r="Z3" s="430" t="s">
        <v>1649</v>
      </c>
      <c r="AA3" s="430" t="s">
        <v>1650</v>
      </c>
      <c r="AB3" s="430" t="s">
        <v>1651</v>
      </c>
      <c r="AC3" s="430" t="s">
        <v>1652</v>
      </c>
      <c r="AD3" s="430" t="s">
        <v>1653</v>
      </c>
      <c r="AE3" s="430" t="s">
        <v>1654</v>
      </c>
      <c r="AF3" s="430" t="s">
        <v>1655</v>
      </c>
      <c r="AG3" s="430" t="s">
        <v>1656</v>
      </c>
      <c r="AH3" s="430" t="s">
        <v>1657</v>
      </c>
      <c r="AI3" s="430" t="s">
        <v>1658</v>
      </c>
      <c r="AJ3" s="430" t="s">
        <v>1659</v>
      </c>
      <c r="AK3" s="430" t="s">
        <v>1660</v>
      </c>
      <c r="AL3" s="430" t="s">
        <v>1661</v>
      </c>
      <c r="AM3" s="430" t="s">
        <v>1662</v>
      </c>
      <c r="AN3" s="430" t="s">
        <v>1663</v>
      </c>
      <c r="AO3" s="430" t="s">
        <v>1664</v>
      </c>
      <c r="AP3" s="430" t="s">
        <v>1665</v>
      </c>
      <c r="AQ3" s="430" t="s">
        <v>1666</v>
      </c>
      <c r="AR3" s="430" t="s">
        <v>1667</v>
      </c>
      <c r="AS3" s="430" t="s">
        <v>1668</v>
      </c>
      <c r="AT3" s="430" t="s">
        <v>1669</v>
      </c>
      <c r="AU3" s="430" t="s">
        <v>1670</v>
      </c>
      <c r="AV3" s="430" t="s">
        <v>1671</v>
      </c>
      <c r="AW3" s="430" t="s">
        <v>1672</v>
      </c>
      <c r="AX3" s="430" t="s">
        <v>1673</v>
      </c>
      <c r="AY3" s="430" t="s">
        <v>1674</v>
      </c>
      <c r="AZ3" s="430" t="s">
        <v>1675</v>
      </c>
      <c r="BA3" s="430" t="s">
        <v>1676</v>
      </c>
      <c r="BB3" s="430" t="s">
        <v>1677</v>
      </c>
      <c r="BC3" s="430" t="s">
        <v>1678</v>
      </c>
      <c r="BD3" s="430" t="s">
        <v>1679</v>
      </c>
      <c r="BE3" s="430" t="s">
        <v>1680</v>
      </c>
      <c r="BF3" s="430" t="s">
        <v>1681</v>
      </c>
      <c r="BG3" s="430" t="s">
        <v>1682</v>
      </c>
      <c r="BH3" s="430" t="s">
        <v>1683</v>
      </c>
      <c r="BI3" s="430" t="s">
        <v>1684</v>
      </c>
      <c r="BJ3" s="430" t="s">
        <v>1685</v>
      </c>
      <c r="BK3" s="430" t="s">
        <v>1686</v>
      </c>
      <c r="BL3" s="430" t="s">
        <v>1687</v>
      </c>
      <c r="BM3" s="430" t="s">
        <v>1688</v>
      </c>
      <c r="BN3" s="430" t="s">
        <v>1689</v>
      </c>
      <c r="BO3" s="430" t="s">
        <v>1690</v>
      </c>
      <c r="BP3" s="430" t="s">
        <v>1691</v>
      </c>
      <c r="BQ3" s="430" t="s">
        <v>1692</v>
      </c>
      <c r="BR3" s="430" t="s">
        <v>1693</v>
      </c>
      <c r="BS3" s="430" t="s">
        <v>1694</v>
      </c>
      <c r="BT3" s="430" t="s">
        <v>1695</v>
      </c>
      <c r="BU3" s="430" t="s">
        <v>1696</v>
      </c>
      <c r="BV3" s="430" t="s">
        <v>1697</v>
      </c>
      <c r="BW3" s="430" t="s">
        <v>1698</v>
      </c>
      <c r="BX3" s="430" t="s">
        <v>1699</v>
      </c>
      <c r="BY3" s="430" t="s">
        <v>1700</v>
      </c>
      <c r="BZ3" s="430" t="s">
        <v>1701</v>
      </c>
      <c r="CA3" s="430" t="s">
        <v>1702</v>
      </c>
      <c r="CB3" s="430" t="s">
        <v>1703</v>
      </c>
      <c r="CC3" s="430" t="s">
        <v>1704</v>
      </c>
      <c r="CD3" s="430" t="s">
        <v>1705</v>
      </c>
      <c r="CE3" s="430" t="s">
        <v>1706</v>
      </c>
      <c r="CF3" s="430" t="s">
        <v>1707</v>
      </c>
      <c r="CG3" s="430" t="s">
        <v>1708</v>
      </c>
      <c r="CH3" s="430" t="s">
        <v>1709</v>
      </c>
      <c r="CI3" s="430" t="s">
        <v>1710</v>
      </c>
      <c r="CJ3" s="430" t="s">
        <v>1711</v>
      </c>
      <c r="CK3" s="430" t="s">
        <v>1712</v>
      </c>
      <c r="CL3" s="430" t="s">
        <v>1713</v>
      </c>
      <c r="CM3" s="430" t="s">
        <v>1714</v>
      </c>
      <c r="CN3" s="430" t="s">
        <v>1715</v>
      </c>
      <c r="CO3" s="430" t="s">
        <v>1716</v>
      </c>
      <c r="CP3" s="430" t="s">
        <v>1717</v>
      </c>
      <c r="CQ3" s="430" t="s">
        <v>1718</v>
      </c>
      <c r="CR3" s="430" t="s">
        <v>1719</v>
      </c>
      <c r="CS3" s="430" t="s">
        <v>1720</v>
      </c>
      <c r="CT3" s="430" t="s">
        <v>1721</v>
      </c>
      <c r="CU3" s="430" t="s">
        <v>1722</v>
      </c>
      <c r="CV3" s="430" t="s">
        <v>1723</v>
      </c>
      <c r="CW3" s="430" t="s">
        <v>1724</v>
      </c>
      <c r="CX3" s="430" t="s">
        <v>1725</v>
      </c>
      <c r="CY3" s="430" t="s">
        <v>1726</v>
      </c>
      <c r="CZ3" s="430" t="s">
        <v>1727</v>
      </c>
      <c r="DA3" s="430" t="s">
        <v>1728</v>
      </c>
      <c r="DB3" s="430" t="s">
        <v>1729</v>
      </c>
      <c r="DC3" s="430" t="s">
        <v>1730</v>
      </c>
      <c r="DD3" s="430" t="s">
        <v>1731</v>
      </c>
      <c r="DE3" s="430" t="s">
        <v>1732</v>
      </c>
      <c r="DF3" s="430" t="s">
        <v>1733</v>
      </c>
      <c r="DG3" s="430" t="s">
        <v>1734</v>
      </c>
      <c r="DH3" s="430" t="s">
        <v>1735</v>
      </c>
      <c r="DI3" s="430" t="s">
        <v>1736</v>
      </c>
      <c r="DJ3" s="430" t="s">
        <v>1737</v>
      </c>
      <c r="DK3" s="430" t="s">
        <v>1738</v>
      </c>
      <c r="DL3" s="430" t="s">
        <v>1739</v>
      </c>
      <c r="DM3" s="430" t="s">
        <v>1740</v>
      </c>
      <c r="DN3" s="430" t="s">
        <v>1741</v>
      </c>
      <c r="DO3" s="430" t="s">
        <v>1742</v>
      </c>
      <c r="DP3" s="430" t="s">
        <v>1743</v>
      </c>
      <c r="DQ3" s="430" t="s">
        <v>1744</v>
      </c>
      <c r="DR3" s="430" t="s">
        <v>1745</v>
      </c>
      <c r="DS3" s="430" t="s">
        <v>1746</v>
      </c>
      <c r="DT3" s="430" t="s">
        <v>1747</v>
      </c>
      <c r="DU3" s="430" t="s">
        <v>1748</v>
      </c>
      <c r="DV3" s="430" t="s">
        <v>1749</v>
      </c>
      <c r="DW3" s="430" t="s">
        <v>1750</v>
      </c>
      <c r="DX3" s="430" t="s">
        <v>1751</v>
      </c>
      <c r="DY3" s="430" t="s">
        <v>1752</v>
      </c>
      <c r="DZ3" s="430" t="s">
        <v>1753</v>
      </c>
      <c r="EA3" s="430" t="s">
        <v>1754</v>
      </c>
      <c r="EB3" s="430" t="s">
        <v>1755</v>
      </c>
      <c r="EC3" s="430" t="s">
        <v>1756</v>
      </c>
      <c r="ED3" s="430" t="s">
        <v>1757</v>
      </c>
      <c r="EE3" s="430" t="s">
        <v>1758</v>
      </c>
      <c r="EF3" s="430" t="s">
        <v>1759</v>
      </c>
      <c r="EG3" s="430" t="s">
        <v>1760</v>
      </c>
      <c r="EH3" s="430" t="s">
        <v>1761</v>
      </c>
      <c r="EI3" s="430" t="s">
        <v>1762</v>
      </c>
      <c r="EJ3" s="430" t="s">
        <v>1763</v>
      </c>
      <c r="EK3" s="430" t="s">
        <v>1764</v>
      </c>
      <c r="EL3" s="430" t="s">
        <v>1765</v>
      </c>
      <c r="EM3" s="430" t="s">
        <v>1766</v>
      </c>
      <c r="EN3" s="430" t="s">
        <v>1767</v>
      </c>
      <c r="EO3" s="430" t="s">
        <v>1768</v>
      </c>
      <c r="EP3" s="430" t="s">
        <v>1769</v>
      </c>
      <c r="EQ3" s="430" t="s">
        <v>1770</v>
      </c>
      <c r="ER3" s="430" t="s">
        <v>1771</v>
      </c>
      <c r="ES3" s="430" t="s">
        <v>1772</v>
      </c>
      <c r="ET3" s="430" t="s">
        <v>1773</v>
      </c>
      <c r="EU3" s="430" t="s">
        <v>1774</v>
      </c>
      <c r="EV3" s="430" t="s">
        <v>1775</v>
      </c>
      <c r="EW3" s="430" t="s">
        <v>1776</v>
      </c>
      <c r="EX3" s="430" t="s">
        <v>1777</v>
      </c>
      <c r="EY3" s="430" t="s">
        <v>1778</v>
      </c>
      <c r="EZ3" s="430" t="s">
        <v>1779</v>
      </c>
      <c r="FA3" s="430" t="s">
        <v>1780</v>
      </c>
      <c r="FB3" s="430" t="s">
        <v>1781</v>
      </c>
      <c r="FC3" s="430" t="s">
        <v>1782</v>
      </c>
      <c r="FD3" s="430" t="s">
        <v>1783</v>
      </c>
      <c r="FE3" s="430" t="s">
        <v>1784</v>
      </c>
      <c r="FF3" s="430" t="s">
        <v>1785</v>
      </c>
      <c r="FG3" s="430" t="s">
        <v>1786</v>
      </c>
      <c r="FH3" s="430" t="s">
        <v>1787</v>
      </c>
      <c r="FI3" s="430" t="s">
        <v>1788</v>
      </c>
      <c r="FJ3" s="430" t="s">
        <v>1789</v>
      </c>
      <c r="FK3" s="430" t="s">
        <v>1790</v>
      </c>
      <c r="FL3" s="430" t="s">
        <v>1791</v>
      </c>
      <c r="FM3" s="430" t="s">
        <v>1792</v>
      </c>
      <c r="FN3" s="430" t="s">
        <v>1793</v>
      </c>
      <c r="FO3" s="430" t="s">
        <v>1794</v>
      </c>
      <c r="FP3" s="430" t="s">
        <v>1795</v>
      </c>
      <c r="FQ3" s="430" t="s">
        <v>1796</v>
      </c>
      <c r="FR3" s="430" t="s">
        <v>1797</v>
      </c>
      <c r="FS3" s="430" t="s">
        <v>1798</v>
      </c>
      <c r="FT3" s="430" t="s">
        <v>1799</v>
      </c>
      <c r="FU3" s="430" t="s">
        <v>1800</v>
      </c>
      <c r="FV3" s="430" t="s">
        <v>1801</v>
      </c>
      <c r="FW3" s="430" t="s">
        <v>1802</v>
      </c>
      <c r="FX3" s="430" t="s">
        <v>1803</v>
      </c>
      <c r="FY3" s="430" t="s">
        <v>1804</v>
      </c>
      <c r="FZ3" s="430" t="s">
        <v>1805</v>
      </c>
      <c r="GA3" s="430" t="s">
        <v>1806</v>
      </c>
      <c r="GB3" s="430" t="s">
        <v>1807</v>
      </c>
      <c r="GC3" s="430" t="s">
        <v>1808</v>
      </c>
      <c r="GD3" s="430" t="s">
        <v>1809</v>
      </c>
      <c r="GE3" s="430" t="s">
        <v>1810</v>
      </c>
      <c r="GF3" s="430" t="s">
        <v>1811</v>
      </c>
      <c r="GG3" s="430" t="s">
        <v>1812</v>
      </c>
      <c r="GH3" s="430" t="s">
        <v>1813</v>
      </c>
      <c r="GI3" s="430" t="s">
        <v>1814</v>
      </c>
      <c r="GJ3" s="430" t="s">
        <v>1815</v>
      </c>
      <c r="GK3" s="430" t="s">
        <v>1816</v>
      </c>
      <c r="GL3" s="430" t="s">
        <v>1817</v>
      </c>
      <c r="GM3" s="430" t="s">
        <v>1818</v>
      </c>
      <c r="GN3" s="430" t="s">
        <v>1819</v>
      </c>
      <c r="GO3" s="430" t="s">
        <v>1820</v>
      </c>
      <c r="GP3" s="430" t="s">
        <v>1821</v>
      </c>
      <c r="GQ3" s="430" t="s">
        <v>1822</v>
      </c>
      <c r="GR3" s="430" t="s">
        <v>1823</v>
      </c>
      <c r="GS3" s="430" t="s">
        <v>1824</v>
      </c>
    </row>
    <row r="4" spans="1:201" ht="15.75" customHeight="1">
      <c r="A4" s="51" t="s">
        <v>1825</v>
      </c>
      <c r="B4" s="10"/>
      <c r="C4" s="10"/>
      <c r="D4" s="10"/>
      <c r="E4" s="10"/>
      <c r="F4" s="10">
        <v>97.586476000000005</v>
      </c>
      <c r="G4" s="10">
        <v>100.61165699999999</v>
      </c>
      <c r="H4" s="10">
        <v>104.612703</v>
      </c>
      <c r="I4" s="10">
        <v>108.418575</v>
      </c>
      <c r="J4" s="10">
        <v>112.90755299999999</v>
      </c>
      <c r="K4" s="10">
        <v>117.884463</v>
      </c>
      <c r="L4" s="10">
        <v>123.154133</v>
      </c>
      <c r="M4" s="10">
        <v>127.057592</v>
      </c>
      <c r="N4" s="10">
        <v>130.570706</v>
      </c>
      <c r="O4" s="10">
        <v>133.986232</v>
      </c>
      <c r="P4" s="10">
        <v>140.42694</v>
      </c>
      <c r="Q4" s="10">
        <v>145.40385000000001</v>
      </c>
      <c r="R4" s="10">
        <v>150.57593299999999</v>
      </c>
      <c r="S4" s="10">
        <v>153.58745200000001</v>
      </c>
      <c r="T4" s="10">
        <v>157.65300199999999</v>
      </c>
      <c r="U4" s="10">
        <v>161.56797599999999</v>
      </c>
      <c r="V4" s="10">
        <v>165.78410199999999</v>
      </c>
      <c r="W4" s="10">
        <v>169.54850099999999</v>
      </c>
      <c r="X4" s="10">
        <v>177.22787400000001</v>
      </c>
      <c r="Y4" s="10">
        <v>186.111853</v>
      </c>
      <c r="Z4" s="10">
        <v>193.18892299999999</v>
      </c>
      <c r="AA4" s="10">
        <v>200.71771899999999</v>
      </c>
      <c r="AB4" s="10">
        <v>208.99939499999999</v>
      </c>
      <c r="AC4" s="10">
        <v>216.52819199999999</v>
      </c>
      <c r="AD4" s="10">
        <v>224.35813999999999</v>
      </c>
      <c r="AE4" s="10">
        <v>231.313243</v>
      </c>
      <c r="AF4" s="10">
        <v>240.51192699999999</v>
      </c>
      <c r="AG4" s="10">
        <v>249.934968</v>
      </c>
      <c r="AH4" s="10">
        <v>259.58236900000003</v>
      </c>
      <c r="AI4" s="10">
        <v>267.88362000000001</v>
      </c>
      <c r="AJ4" s="10">
        <v>281.34510799999998</v>
      </c>
      <c r="AK4" s="10">
        <v>291.44122399999998</v>
      </c>
      <c r="AL4" s="10">
        <v>299.29375900000002</v>
      </c>
      <c r="AM4" s="10">
        <v>301.76169900000002</v>
      </c>
      <c r="AN4" s="10">
        <v>304.67835500000001</v>
      </c>
      <c r="AO4" s="10">
        <v>307.14629400000001</v>
      </c>
      <c r="AP4" s="10">
        <v>310.06295</v>
      </c>
      <c r="AQ4" s="10">
        <v>312.23339099999998</v>
      </c>
      <c r="AR4" s="10">
        <v>319.054776</v>
      </c>
      <c r="AS4" s="10">
        <v>328.66672699999998</v>
      </c>
      <c r="AT4" s="10">
        <v>339.208867</v>
      </c>
      <c r="AU4" s="10">
        <v>354.09188899999998</v>
      </c>
      <c r="AV4" s="10">
        <v>372.07553999999999</v>
      </c>
      <c r="AW4" s="10">
        <v>382.30761699999999</v>
      </c>
      <c r="AX4" s="10">
        <v>390.98937999999998</v>
      </c>
      <c r="AY4" s="10">
        <v>399.98120599999999</v>
      </c>
      <c r="AZ4" s="10">
        <v>410.83340900000002</v>
      </c>
      <c r="BA4" s="10">
        <v>424.476179</v>
      </c>
      <c r="BB4" s="10">
        <v>462.30385799999999</v>
      </c>
      <c r="BC4" s="10">
        <v>473.15606200000002</v>
      </c>
      <c r="BD4" s="10">
        <v>488.65920899999998</v>
      </c>
      <c r="BE4" s="10">
        <v>496.41078299999998</v>
      </c>
      <c r="BF4" s="10">
        <v>506.64286099999998</v>
      </c>
      <c r="BG4" s="10">
        <v>515.63468599999999</v>
      </c>
      <c r="BH4" s="10">
        <v>519.66550400000006</v>
      </c>
      <c r="BI4" s="10">
        <v>524.31644900000003</v>
      </c>
      <c r="BJ4" s="10">
        <v>530.51770699999997</v>
      </c>
      <c r="BK4" s="10">
        <v>536.35340199999996</v>
      </c>
      <c r="BL4" s="10">
        <v>542.71961499999998</v>
      </c>
      <c r="BM4" s="10">
        <v>561.81825200000003</v>
      </c>
      <c r="BN4" s="10">
        <v>568.71498199999996</v>
      </c>
      <c r="BO4" s="10">
        <v>574.02015900000004</v>
      </c>
      <c r="BP4" s="10">
        <v>584.09999600000003</v>
      </c>
      <c r="BQ4" s="10">
        <v>589.93569100000002</v>
      </c>
      <c r="BR4" s="10">
        <v>596.30190300000004</v>
      </c>
      <c r="BS4" s="10">
        <v>600.01552700000002</v>
      </c>
      <c r="BT4" s="10">
        <v>600.54604500000005</v>
      </c>
      <c r="BU4" s="10">
        <v>602.66811600000005</v>
      </c>
      <c r="BV4" s="10">
        <v>602.13759800000003</v>
      </c>
      <c r="BW4" s="10">
        <v>604.79018699999995</v>
      </c>
      <c r="BX4" s="10">
        <v>606.38174000000004</v>
      </c>
      <c r="BY4" s="10">
        <v>608.50381000000004</v>
      </c>
      <c r="BZ4" s="10">
        <v>610.09536400000002</v>
      </c>
      <c r="CA4" s="10">
        <v>610.62588100000005</v>
      </c>
      <c r="CB4" s="10">
        <v>614.33950500000003</v>
      </c>
      <c r="CC4" s="10">
        <v>617.52261199999998</v>
      </c>
      <c r="CD4" s="10">
        <v>618.58364700000004</v>
      </c>
      <c r="CE4" s="10">
        <v>618.58364700000004</v>
      </c>
      <c r="CF4" s="10">
        <v>621.05798100000004</v>
      </c>
      <c r="CG4" s="10">
        <v>628.48098500000003</v>
      </c>
      <c r="CH4" s="10">
        <v>635.90398900000002</v>
      </c>
      <c r="CI4" s="10">
        <v>643.32699300000002</v>
      </c>
      <c r="CJ4" s="10">
        <v>649.51283000000001</v>
      </c>
      <c r="CK4" s="10">
        <v>650.74999700000001</v>
      </c>
      <c r="CL4" s="10">
        <v>654.46149800000001</v>
      </c>
      <c r="CM4" s="10">
        <v>657.55441699999994</v>
      </c>
      <c r="CN4" s="10">
        <v>662.50308600000005</v>
      </c>
      <c r="CO4" s="10">
        <v>666.21458700000005</v>
      </c>
      <c r="CP4" s="10">
        <v>671.16325700000004</v>
      </c>
      <c r="CQ4" s="10">
        <v>669.30750599999999</v>
      </c>
      <c r="CR4" s="10">
        <v>669.92609000000004</v>
      </c>
      <c r="CS4" s="10">
        <v>673.01900699999999</v>
      </c>
      <c r="CT4" s="10">
        <v>676.73050999999998</v>
      </c>
      <c r="CU4" s="10">
        <v>677.96767699999998</v>
      </c>
      <c r="CV4" s="10">
        <v>681.06059500000003</v>
      </c>
      <c r="CW4" s="10">
        <v>684.77209700000003</v>
      </c>
      <c r="CX4" s="10">
        <v>679.20484399999998</v>
      </c>
      <c r="CY4" s="10">
        <v>677.34909300000004</v>
      </c>
      <c r="CZ4" s="10">
        <v>678.58626000000004</v>
      </c>
      <c r="DA4" s="10">
        <v>681.30060500000002</v>
      </c>
      <c r="DB4" s="10">
        <v>682.65777800000001</v>
      </c>
      <c r="DC4" s="10">
        <v>687.40788199999997</v>
      </c>
      <c r="DD4" s="10">
        <v>692.15798600000005</v>
      </c>
      <c r="DE4" s="10">
        <v>701.65819299999998</v>
      </c>
      <c r="DF4" s="10">
        <v>709.80122800000004</v>
      </c>
      <c r="DG4" s="10">
        <v>708.44405600000005</v>
      </c>
      <c r="DH4" s="10">
        <v>714.551332</v>
      </c>
      <c r="DI4" s="10">
        <v>718.62284999999997</v>
      </c>
      <c r="DJ4" s="10">
        <v>722.69436800000005</v>
      </c>
      <c r="DK4" s="10">
        <v>726.76588500000003</v>
      </c>
      <c r="DL4" s="10">
        <v>734.23033399999997</v>
      </c>
      <c r="DM4" s="10">
        <v>737.62326499999995</v>
      </c>
      <c r="DN4" s="10">
        <v>742.37336900000003</v>
      </c>
      <c r="DO4" s="10">
        <v>745.08771400000001</v>
      </c>
      <c r="DP4" s="10">
        <v>745.08771400000001</v>
      </c>
      <c r="DQ4" s="10">
        <v>748.48064499999998</v>
      </c>
      <c r="DR4" s="10">
        <v>753.90933500000006</v>
      </c>
      <c r="DS4" s="10">
        <v>756.62368000000004</v>
      </c>
      <c r="DT4" s="10">
        <v>762.73095699999999</v>
      </c>
      <c r="DU4" s="10">
        <v>767.48105999999996</v>
      </c>
      <c r="DV4" s="10">
        <v>774.26692300000002</v>
      </c>
      <c r="DW4" s="10">
        <v>777.65985499999999</v>
      </c>
      <c r="DX4" s="10">
        <v>784.44571699999995</v>
      </c>
      <c r="DY4" s="10">
        <v>793.267338</v>
      </c>
      <c r="DZ4" s="10">
        <v>798.69602899999995</v>
      </c>
      <c r="EA4" s="10">
        <v>803.44613200000003</v>
      </c>
      <c r="EB4" s="10">
        <v>815.66068499999994</v>
      </c>
      <c r="EC4" s="10">
        <v>821.37031000000002</v>
      </c>
      <c r="ED4" s="10">
        <v>819.73898899999995</v>
      </c>
      <c r="EE4" s="10">
        <v>823.81729199999995</v>
      </c>
      <c r="EF4" s="10">
        <v>831.97389899999996</v>
      </c>
      <c r="EG4" s="10">
        <v>836.05220199999997</v>
      </c>
      <c r="EH4" s="10">
        <v>845.84013100000004</v>
      </c>
      <c r="EI4" s="10">
        <v>851.549755</v>
      </c>
      <c r="EJ4" s="10">
        <v>865.41598699999997</v>
      </c>
      <c r="EK4" s="10">
        <v>878.46655799999996</v>
      </c>
      <c r="EL4" s="10">
        <v>874.38825399999996</v>
      </c>
      <c r="EM4" s="10">
        <v>876.83523700000001</v>
      </c>
      <c r="EN4" s="10">
        <v>881.72920099999999</v>
      </c>
      <c r="EO4" s="10">
        <v>893.14845000000003</v>
      </c>
      <c r="EP4" s="10">
        <v>891.51712899999995</v>
      </c>
      <c r="EQ4" s="10">
        <v>894.77977199999998</v>
      </c>
      <c r="ER4" s="10">
        <v>896.41109300000005</v>
      </c>
      <c r="ES4" s="10">
        <v>906.19902100000002</v>
      </c>
      <c r="ET4" s="10">
        <v>927.40619900000002</v>
      </c>
      <c r="EU4" s="10">
        <v>934.74714500000005</v>
      </c>
      <c r="EV4" s="10">
        <v>943.71941300000003</v>
      </c>
      <c r="EW4" s="10">
        <v>947.79771600000004</v>
      </c>
      <c r="EX4" s="10">
        <v>944.53507300000001</v>
      </c>
      <c r="EY4" s="10">
        <v>949.42903799999999</v>
      </c>
      <c r="EZ4" s="10">
        <v>952.69168000000002</v>
      </c>
      <c r="FA4" s="10">
        <v>955.13866199999995</v>
      </c>
      <c r="FB4" s="10">
        <v>953.507341</v>
      </c>
      <c r="FC4" s="10">
        <v>957.585644</v>
      </c>
      <c r="FD4" s="10">
        <v>959.21696599999996</v>
      </c>
      <c r="FE4" s="10">
        <v>968.18923299999994</v>
      </c>
      <c r="FF4" s="10">
        <v>969.00489400000004</v>
      </c>
      <c r="FG4" s="10">
        <v>972.26753699999995</v>
      </c>
      <c r="FH4" s="10">
        <v>974.714519</v>
      </c>
      <c r="FI4" s="10">
        <v>977.97716200000002</v>
      </c>
      <c r="FJ4" s="10">
        <v>976.34583999999995</v>
      </c>
      <c r="FK4" s="10">
        <v>974.714519</v>
      </c>
      <c r="FL4" s="10">
        <v>978.792822</v>
      </c>
      <c r="FM4" s="10">
        <v>982.05546500000003</v>
      </c>
      <c r="FN4" s="10">
        <v>977.16150100000004</v>
      </c>
      <c r="FO4" s="10">
        <v>978.792822</v>
      </c>
      <c r="FP4" s="10">
        <v>982.871126</v>
      </c>
      <c r="FQ4" s="10">
        <v>986.13376800000003</v>
      </c>
      <c r="FR4" s="10">
        <v>990.21207200000003</v>
      </c>
      <c r="FS4" s="10">
        <v>1000</v>
      </c>
      <c r="FT4" s="10">
        <v>1000</v>
      </c>
      <c r="FU4" s="10">
        <v>1004.893964</v>
      </c>
      <c r="FV4" s="10">
        <v>1006</v>
      </c>
      <c r="FW4" s="10">
        <v>1011</v>
      </c>
      <c r="FX4" s="10">
        <v>1015</v>
      </c>
      <c r="FY4" s="10">
        <v>1024</v>
      </c>
      <c r="FZ4" s="10">
        <v>1025</v>
      </c>
      <c r="GA4" s="10">
        <v>1026</v>
      </c>
      <c r="GB4" s="10">
        <v>1032</v>
      </c>
      <c r="GC4" s="10">
        <v>1039</v>
      </c>
      <c r="GD4" s="10">
        <v>1044</v>
      </c>
      <c r="GE4" s="10">
        <v>1052</v>
      </c>
      <c r="GF4" s="10">
        <v>1047</v>
      </c>
      <c r="GG4" s="10">
        <v>1054</v>
      </c>
      <c r="GH4" s="10">
        <v>1059</v>
      </c>
      <c r="GI4" s="10">
        <v>1068</v>
      </c>
      <c r="GJ4" s="10">
        <v>1082</v>
      </c>
      <c r="GK4" s="10">
        <v>1106</v>
      </c>
      <c r="GL4" s="10">
        <v>1122</v>
      </c>
      <c r="GM4" s="10">
        <v>1142</v>
      </c>
      <c r="GN4" s="10">
        <v>1161</v>
      </c>
      <c r="GO4" s="10">
        <v>1186</v>
      </c>
      <c r="GP4" s="10">
        <v>1203</v>
      </c>
      <c r="GQ4" s="10">
        <v>1218</v>
      </c>
      <c r="GR4" s="10">
        <v>1231</v>
      </c>
      <c r="GS4" s="10">
        <v>1253</v>
      </c>
    </row>
    <row r="5" spans="1:201" ht="15.75" customHeight="1">
      <c r="A5" s="51" t="s">
        <v>1826</v>
      </c>
      <c r="B5" s="10"/>
      <c r="C5" s="10"/>
      <c r="D5" s="10"/>
      <c r="E5" s="10"/>
      <c r="F5" s="10" t="s">
        <v>1827</v>
      </c>
      <c r="G5" s="10" t="s">
        <v>1827</v>
      </c>
      <c r="H5" s="10" t="s">
        <v>1827</v>
      </c>
      <c r="I5" s="10" t="s">
        <v>1827</v>
      </c>
      <c r="J5" s="10" t="s">
        <v>1827</v>
      </c>
      <c r="K5" s="10" t="s">
        <v>1827</v>
      </c>
      <c r="L5" s="10" t="s">
        <v>1827</v>
      </c>
      <c r="M5" s="10" t="s">
        <v>1827</v>
      </c>
      <c r="N5" s="10" t="s">
        <v>1827</v>
      </c>
      <c r="O5" s="10" t="s">
        <v>1827</v>
      </c>
      <c r="P5" s="10" t="s">
        <v>1827</v>
      </c>
      <c r="Q5" s="10" t="s">
        <v>1827</v>
      </c>
      <c r="R5" s="10" t="s">
        <v>1827</v>
      </c>
      <c r="S5" s="10" t="s">
        <v>1827</v>
      </c>
      <c r="T5" s="10" t="s">
        <v>1827</v>
      </c>
      <c r="U5" s="10" t="s">
        <v>1827</v>
      </c>
      <c r="V5" s="10" t="s">
        <v>1827</v>
      </c>
      <c r="W5" s="10" t="s">
        <v>1827</v>
      </c>
      <c r="X5" s="10" t="s">
        <v>1827</v>
      </c>
      <c r="Y5" s="10" t="s">
        <v>1827</v>
      </c>
      <c r="Z5" s="10" t="s">
        <v>1827</v>
      </c>
      <c r="AA5" s="10" t="s">
        <v>1827</v>
      </c>
      <c r="AB5" s="10" t="s">
        <v>1827</v>
      </c>
      <c r="AC5" s="10" t="s">
        <v>1827</v>
      </c>
      <c r="AD5" s="10" t="s">
        <v>1827</v>
      </c>
      <c r="AE5" s="10" t="s">
        <v>1827</v>
      </c>
      <c r="AF5" s="10" t="s">
        <v>1827</v>
      </c>
      <c r="AG5" s="10" t="s">
        <v>1827</v>
      </c>
      <c r="AH5" s="10" t="s">
        <v>1827</v>
      </c>
      <c r="AI5" s="10" t="s">
        <v>1827</v>
      </c>
      <c r="AJ5" s="10" t="s">
        <v>1827</v>
      </c>
      <c r="AK5" s="10" t="s">
        <v>1827</v>
      </c>
      <c r="AL5" s="10" t="s">
        <v>1827</v>
      </c>
      <c r="AM5" s="10" t="s">
        <v>1827</v>
      </c>
      <c r="AN5" s="10" t="s">
        <v>1827</v>
      </c>
      <c r="AO5" s="10" t="s">
        <v>1827</v>
      </c>
      <c r="AP5" s="10" t="s">
        <v>1827</v>
      </c>
      <c r="AQ5" s="10" t="s">
        <v>1827</v>
      </c>
      <c r="AR5" s="10" t="s">
        <v>1827</v>
      </c>
      <c r="AS5" s="10" t="s">
        <v>1827</v>
      </c>
      <c r="AT5" s="10" t="s">
        <v>1827</v>
      </c>
      <c r="AU5" s="10" t="s">
        <v>1827</v>
      </c>
      <c r="AV5" s="10" t="s">
        <v>1827</v>
      </c>
      <c r="AW5" s="10" t="s">
        <v>1827</v>
      </c>
      <c r="AX5" s="10" t="s">
        <v>1827</v>
      </c>
      <c r="AY5" s="10" t="s">
        <v>1827</v>
      </c>
      <c r="AZ5" s="10" t="s">
        <v>1827</v>
      </c>
      <c r="BA5" s="10" t="s">
        <v>1827</v>
      </c>
      <c r="BB5" s="10" t="s">
        <v>1827</v>
      </c>
      <c r="BC5" s="10" t="s">
        <v>1827</v>
      </c>
      <c r="BD5" s="10" t="s">
        <v>1827</v>
      </c>
      <c r="BE5" s="10" t="s">
        <v>1827</v>
      </c>
      <c r="BF5" s="10" t="s">
        <v>1827</v>
      </c>
      <c r="BG5" s="10" t="s">
        <v>1827</v>
      </c>
      <c r="BH5" s="10" t="s">
        <v>1827</v>
      </c>
      <c r="BI5" s="10" t="s">
        <v>1827</v>
      </c>
      <c r="BJ5" s="10" t="s">
        <v>1827</v>
      </c>
      <c r="BK5" s="10" t="s">
        <v>1827</v>
      </c>
      <c r="BL5" s="10" t="s">
        <v>1827</v>
      </c>
      <c r="BM5" s="10" t="s">
        <v>1827</v>
      </c>
      <c r="BN5" s="10" t="s">
        <v>1827</v>
      </c>
      <c r="BO5" s="10" t="s">
        <v>1827</v>
      </c>
      <c r="BP5" s="10" t="s">
        <v>1827</v>
      </c>
      <c r="BQ5" s="10" t="s">
        <v>1827</v>
      </c>
      <c r="BR5" s="10" t="s">
        <v>1827</v>
      </c>
      <c r="BS5" s="10" t="s">
        <v>1827</v>
      </c>
      <c r="BT5" s="10" t="s">
        <v>1827</v>
      </c>
      <c r="BU5" s="10" t="s">
        <v>1827</v>
      </c>
      <c r="BV5" s="10" t="s">
        <v>1827</v>
      </c>
      <c r="BW5" s="10" t="s">
        <v>1827</v>
      </c>
      <c r="BX5" s="10" t="s">
        <v>1827</v>
      </c>
      <c r="BY5" s="10" t="s">
        <v>1827</v>
      </c>
      <c r="BZ5" s="10" t="s">
        <v>1827</v>
      </c>
      <c r="CA5" s="10" t="s">
        <v>1827</v>
      </c>
      <c r="CB5" s="10" t="s">
        <v>1827</v>
      </c>
      <c r="CC5" s="10" t="s">
        <v>1827</v>
      </c>
      <c r="CD5" s="10" t="s">
        <v>1827</v>
      </c>
      <c r="CE5" s="10" t="s">
        <v>1827</v>
      </c>
      <c r="CF5" s="10" t="s">
        <v>1827</v>
      </c>
      <c r="CG5" s="10" t="s">
        <v>1827</v>
      </c>
      <c r="CH5" s="10" t="s">
        <v>1827</v>
      </c>
      <c r="CI5" s="10" t="s">
        <v>1827</v>
      </c>
      <c r="CJ5" s="10" t="s">
        <v>1827</v>
      </c>
      <c r="CK5" s="10" t="s">
        <v>1827</v>
      </c>
      <c r="CL5" s="10" t="s">
        <v>1827</v>
      </c>
      <c r="CM5" s="10" t="s">
        <v>1827</v>
      </c>
      <c r="CN5" s="10" t="s">
        <v>1827</v>
      </c>
      <c r="CO5" s="10" t="s">
        <v>1827</v>
      </c>
      <c r="CP5" s="10" t="s">
        <v>1827</v>
      </c>
      <c r="CQ5" s="10" t="s">
        <v>1827</v>
      </c>
      <c r="CR5" s="10" t="s">
        <v>1827</v>
      </c>
      <c r="CS5" s="10" t="s">
        <v>1827</v>
      </c>
      <c r="CT5" s="10" t="s">
        <v>1827</v>
      </c>
      <c r="CU5" s="10" t="s">
        <v>1827</v>
      </c>
      <c r="CV5" s="10" t="s">
        <v>1827</v>
      </c>
      <c r="CW5" s="10" t="s">
        <v>1827</v>
      </c>
      <c r="CX5" s="10" t="s">
        <v>1827</v>
      </c>
      <c r="CY5" s="10" t="s">
        <v>1827</v>
      </c>
      <c r="CZ5" s="10">
        <v>602.17809099999999</v>
      </c>
      <c r="DA5" s="10">
        <v>573.99103100000002</v>
      </c>
      <c r="DB5" s="10">
        <v>549.00704700000006</v>
      </c>
      <c r="DC5" s="10">
        <v>568.22549600000002</v>
      </c>
      <c r="DD5" s="10">
        <v>559.25688700000001</v>
      </c>
      <c r="DE5" s="10">
        <v>583.60025599999994</v>
      </c>
      <c r="DF5" s="10">
        <v>625.24023099999999</v>
      </c>
      <c r="DG5" s="10">
        <v>670.72389499999997</v>
      </c>
      <c r="DH5" s="10">
        <v>644.45867999999996</v>
      </c>
      <c r="DI5" s="10">
        <v>649.58360000000005</v>
      </c>
      <c r="DJ5" s="10">
        <v>634.84945500000003</v>
      </c>
      <c r="DK5" s="10">
        <v>652.14606000000003</v>
      </c>
      <c r="DL5" s="10">
        <v>651.50544500000001</v>
      </c>
      <c r="DM5" s="10">
        <v>648.94298500000002</v>
      </c>
      <c r="DN5" s="10">
        <v>670.08327999999995</v>
      </c>
      <c r="DO5" s="10">
        <v>706.59833400000002</v>
      </c>
      <c r="DP5" s="10">
        <v>660.47405500000002</v>
      </c>
      <c r="DQ5" s="10">
        <v>653.42728999999997</v>
      </c>
      <c r="DR5" s="10">
        <v>657.27098000000001</v>
      </c>
      <c r="DS5" s="10">
        <v>649.58360000000005</v>
      </c>
      <c r="DT5" s="10">
        <v>611.14670100000001</v>
      </c>
      <c r="DU5" s="10">
        <v>607.94362599999999</v>
      </c>
      <c r="DV5" s="10">
        <v>607.30301099999997</v>
      </c>
      <c r="DW5" s="10">
        <v>647.02113999999995</v>
      </c>
      <c r="DX5" s="10">
        <v>651.50544500000001</v>
      </c>
      <c r="DY5" s="10">
        <v>626.52146100000004</v>
      </c>
      <c r="DZ5" s="10">
        <v>617.55285100000003</v>
      </c>
      <c r="EA5" s="10">
        <v>620.75592600000004</v>
      </c>
      <c r="EB5" s="10">
        <v>640.61499000000003</v>
      </c>
      <c r="EC5" s="10">
        <v>700.83279900000002</v>
      </c>
      <c r="ED5" s="10">
        <v>817.42472799999996</v>
      </c>
      <c r="EE5" s="10">
        <v>834.08071700000005</v>
      </c>
      <c r="EF5" s="10">
        <v>766.17552899999998</v>
      </c>
      <c r="EG5" s="10">
        <v>720.69186400000001</v>
      </c>
      <c r="EH5" s="10">
        <v>775.144138</v>
      </c>
      <c r="EI5" s="10">
        <v>780.909673</v>
      </c>
      <c r="EJ5" s="10">
        <v>752.72261400000002</v>
      </c>
      <c r="EK5" s="10">
        <v>787.31582300000002</v>
      </c>
      <c r="EL5" s="10">
        <v>882.12684200000001</v>
      </c>
      <c r="EM5" s="10">
        <v>942.98526600000002</v>
      </c>
      <c r="EN5" s="10">
        <v>886.61114699999996</v>
      </c>
      <c r="EO5" s="10">
        <v>852.65855199999999</v>
      </c>
      <c r="EP5" s="10">
        <v>835.36194699999999</v>
      </c>
      <c r="EQ5" s="10">
        <v>883.40807199999995</v>
      </c>
      <c r="ER5" s="10">
        <v>830.87764300000003</v>
      </c>
      <c r="ES5" s="10">
        <v>853.29916700000001</v>
      </c>
      <c r="ET5" s="10">
        <v>879.56438200000002</v>
      </c>
      <c r="EU5" s="10">
        <v>935.93850099999997</v>
      </c>
      <c r="EV5" s="10">
        <v>849.45547699999997</v>
      </c>
      <c r="EW5" s="10">
        <v>816.78411300000005</v>
      </c>
      <c r="EX5" s="10">
        <v>830.87764300000003</v>
      </c>
      <c r="EY5" s="10">
        <v>885.97053200000005</v>
      </c>
      <c r="EZ5" s="10">
        <v>857.78347199999996</v>
      </c>
      <c r="FA5" s="10">
        <v>868.03331200000002</v>
      </c>
      <c r="FB5" s="10">
        <v>892.37668199999996</v>
      </c>
      <c r="FC5" s="10">
        <v>935.93850099999997</v>
      </c>
      <c r="FD5" s="10">
        <v>893.65791200000001</v>
      </c>
      <c r="FE5" s="10">
        <v>880.84561199999996</v>
      </c>
      <c r="FF5" s="10">
        <v>880.20499700000005</v>
      </c>
      <c r="FG5" s="10">
        <v>937.21973100000002</v>
      </c>
      <c r="FH5" s="10">
        <v>891.73606700000005</v>
      </c>
      <c r="FI5" s="10">
        <v>868.03331200000002</v>
      </c>
      <c r="FJ5" s="10">
        <v>901.985906</v>
      </c>
      <c r="FK5" s="10">
        <v>1008.327995</v>
      </c>
      <c r="FL5" s="10">
        <v>920.56374100000005</v>
      </c>
      <c r="FM5" s="10">
        <v>941.06342099999995</v>
      </c>
      <c r="FN5" s="10">
        <v>969.89109499999995</v>
      </c>
      <c r="FO5" s="10">
        <v>1049.327354</v>
      </c>
      <c r="FP5" s="10">
        <v>1040.9993589999999</v>
      </c>
      <c r="FQ5" s="10">
        <v>929.53235099999995</v>
      </c>
      <c r="FR5" s="10">
        <v>909.03267100000005</v>
      </c>
      <c r="FS5" s="10">
        <v>1052.5304289999999</v>
      </c>
      <c r="FT5" s="10">
        <v>1000</v>
      </c>
      <c r="FU5" s="10">
        <v>950.03203099999996</v>
      </c>
      <c r="FV5" s="10">
        <v>969</v>
      </c>
      <c r="FW5" s="10">
        <v>1043</v>
      </c>
      <c r="FX5" s="10">
        <v>1022</v>
      </c>
      <c r="FY5" s="10">
        <v>917</v>
      </c>
      <c r="FZ5" s="10">
        <v>941</v>
      </c>
      <c r="GA5" s="10">
        <v>1025</v>
      </c>
      <c r="GB5" s="10">
        <v>1022</v>
      </c>
      <c r="GC5" s="10">
        <v>941</v>
      </c>
      <c r="GD5" s="10">
        <v>973</v>
      </c>
      <c r="GE5" s="10">
        <v>1047</v>
      </c>
      <c r="GF5" s="10">
        <v>971</v>
      </c>
      <c r="GG5" s="10">
        <v>995</v>
      </c>
      <c r="GH5" s="10">
        <v>1055</v>
      </c>
      <c r="GI5" s="10">
        <v>1079</v>
      </c>
      <c r="GJ5" s="10">
        <v>1022</v>
      </c>
      <c r="GK5" s="10">
        <v>1014</v>
      </c>
      <c r="GL5" s="10">
        <v>1038</v>
      </c>
      <c r="GM5" s="10">
        <v>1167</v>
      </c>
      <c r="GN5" s="10">
        <v>1096</v>
      </c>
      <c r="GO5" s="10">
        <v>1148</v>
      </c>
      <c r="GP5" s="10">
        <v>1239</v>
      </c>
      <c r="GQ5" s="10">
        <v>1375</v>
      </c>
      <c r="GR5" s="10">
        <v>1286</v>
      </c>
      <c r="GS5" s="10">
        <v>1211</v>
      </c>
    </row>
    <row r="6" spans="1:201" ht="15.75" customHeight="1">
      <c r="A6" s="51" t="s">
        <v>1828</v>
      </c>
      <c r="B6" s="10"/>
      <c r="C6" s="10"/>
      <c r="D6" s="10"/>
      <c r="E6" s="10"/>
      <c r="F6" s="10" t="s">
        <v>1827</v>
      </c>
      <c r="G6" s="10" t="s">
        <v>1827</v>
      </c>
      <c r="H6" s="10" t="s">
        <v>1827</v>
      </c>
      <c r="I6" s="10" t="s">
        <v>1827</v>
      </c>
      <c r="J6" s="10" t="s">
        <v>1827</v>
      </c>
      <c r="K6" s="10" t="s">
        <v>1827</v>
      </c>
      <c r="L6" s="10" t="s">
        <v>1827</v>
      </c>
      <c r="M6" s="10" t="s">
        <v>1827</v>
      </c>
      <c r="N6" s="10" t="s">
        <v>1827</v>
      </c>
      <c r="O6" s="10" t="s">
        <v>1827</v>
      </c>
      <c r="P6" s="10" t="s">
        <v>1827</v>
      </c>
      <c r="Q6" s="10" t="s">
        <v>1827</v>
      </c>
      <c r="R6" s="10" t="s">
        <v>1827</v>
      </c>
      <c r="S6" s="10" t="s">
        <v>1827</v>
      </c>
      <c r="T6" s="10" t="s">
        <v>1827</v>
      </c>
      <c r="U6" s="10" t="s">
        <v>1827</v>
      </c>
      <c r="V6" s="10" t="s">
        <v>1827</v>
      </c>
      <c r="W6" s="10" t="s">
        <v>1827</v>
      </c>
      <c r="X6" s="10" t="s">
        <v>1827</v>
      </c>
      <c r="Y6" s="10" t="s">
        <v>1827</v>
      </c>
      <c r="Z6" s="10" t="s">
        <v>1827</v>
      </c>
      <c r="AA6" s="10" t="s">
        <v>1827</v>
      </c>
      <c r="AB6" s="10" t="s">
        <v>1827</v>
      </c>
      <c r="AC6" s="10" t="s">
        <v>1827</v>
      </c>
      <c r="AD6" s="10" t="s">
        <v>1827</v>
      </c>
      <c r="AE6" s="10" t="s">
        <v>1827</v>
      </c>
      <c r="AF6" s="10" t="s">
        <v>1827</v>
      </c>
      <c r="AG6" s="10" t="s">
        <v>1827</v>
      </c>
      <c r="AH6" s="10" t="s">
        <v>1827</v>
      </c>
      <c r="AI6" s="10" t="s">
        <v>1827</v>
      </c>
      <c r="AJ6" s="10" t="s">
        <v>1827</v>
      </c>
      <c r="AK6" s="10" t="s">
        <v>1827</v>
      </c>
      <c r="AL6" s="10" t="s">
        <v>1827</v>
      </c>
      <c r="AM6" s="10" t="s">
        <v>1827</v>
      </c>
      <c r="AN6" s="10" t="s">
        <v>1827</v>
      </c>
      <c r="AO6" s="10" t="s">
        <v>1827</v>
      </c>
      <c r="AP6" s="10" t="s">
        <v>1827</v>
      </c>
      <c r="AQ6" s="10" t="s">
        <v>1827</v>
      </c>
      <c r="AR6" s="10" t="s">
        <v>1827</v>
      </c>
      <c r="AS6" s="10" t="s">
        <v>1827</v>
      </c>
      <c r="AT6" s="10" t="s">
        <v>1827</v>
      </c>
      <c r="AU6" s="10" t="s">
        <v>1827</v>
      </c>
      <c r="AV6" s="10" t="s">
        <v>1827</v>
      </c>
      <c r="AW6" s="10" t="s">
        <v>1827</v>
      </c>
      <c r="AX6" s="10" t="s">
        <v>1827</v>
      </c>
      <c r="AY6" s="10" t="s">
        <v>1827</v>
      </c>
      <c r="AZ6" s="10" t="s">
        <v>1827</v>
      </c>
      <c r="BA6" s="10" t="s">
        <v>1827</v>
      </c>
      <c r="BB6" s="10" t="s">
        <v>1827</v>
      </c>
      <c r="BC6" s="10" t="s">
        <v>1827</v>
      </c>
      <c r="BD6" s="10" t="s">
        <v>1827</v>
      </c>
      <c r="BE6" s="10" t="s">
        <v>1827</v>
      </c>
      <c r="BF6" s="10" t="s">
        <v>1827</v>
      </c>
      <c r="BG6" s="10" t="s">
        <v>1827</v>
      </c>
      <c r="BH6" s="10" t="s">
        <v>1827</v>
      </c>
      <c r="BI6" s="10" t="s">
        <v>1827</v>
      </c>
      <c r="BJ6" s="10" t="s">
        <v>1827</v>
      </c>
      <c r="BK6" s="10" t="s">
        <v>1827</v>
      </c>
      <c r="BL6" s="10" t="s">
        <v>1827</v>
      </c>
      <c r="BM6" s="10" t="s">
        <v>1827</v>
      </c>
      <c r="BN6" s="10" t="s">
        <v>1827</v>
      </c>
      <c r="BO6" s="10" t="s">
        <v>1827</v>
      </c>
      <c r="BP6" s="10" t="s">
        <v>1827</v>
      </c>
      <c r="BQ6" s="10" t="s">
        <v>1827</v>
      </c>
      <c r="BR6" s="10" t="s">
        <v>1827</v>
      </c>
      <c r="BS6" s="10" t="s">
        <v>1827</v>
      </c>
      <c r="BT6" s="10" t="s">
        <v>1827</v>
      </c>
      <c r="BU6" s="10" t="s">
        <v>1827</v>
      </c>
      <c r="BV6" s="10" t="s">
        <v>1827</v>
      </c>
      <c r="BW6" s="10" t="s">
        <v>1827</v>
      </c>
      <c r="BX6" s="10" t="s">
        <v>1827</v>
      </c>
      <c r="BY6" s="10" t="s">
        <v>1827</v>
      </c>
      <c r="BZ6" s="10" t="s">
        <v>1827</v>
      </c>
      <c r="CA6" s="10" t="s">
        <v>1827</v>
      </c>
      <c r="CB6" s="10" t="s">
        <v>1827</v>
      </c>
      <c r="CC6" s="10" t="s">
        <v>1827</v>
      </c>
      <c r="CD6" s="10" t="s">
        <v>1827</v>
      </c>
      <c r="CE6" s="10" t="s">
        <v>1827</v>
      </c>
      <c r="CF6" s="10" t="s">
        <v>1827</v>
      </c>
      <c r="CG6" s="10" t="s">
        <v>1827</v>
      </c>
      <c r="CH6" s="10" t="s">
        <v>1827</v>
      </c>
      <c r="CI6" s="10" t="s">
        <v>1827</v>
      </c>
      <c r="CJ6" s="10" t="s">
        <v>1827</v>
      </c>
      <c r="CK6" s="10" t="s">
        <v>1827</v>
      </c>
      <c r="CL6" s="10" t="s">
        <v>1827</v>
      </c>
      <c r="CM6" s="10" t="s">
        <v>1827</v>
      </c>
      <c r="CN6" s="10" t="s">
        <v>1827</v>
      </c>
      <c r="CO6" s="10" t="s">
        <v>1827</v>
      </c>
      <c r="CP6" s="10" t="s">
        <v>1827</v>
      </c>
      <c r="CQ6" s="10" t="s">
        <v>1827</v>
      </c>
      <c r="CR6" s="10" t="s">
        <v>1827</v>
      </c>
      <c r="CS6" s="10" t="s">
        <v>1827</v>
      </c>
      <c r="CT6" s="10" t="s">
        <v>1827</v>
      </c>
      <c r="CU6" s="10" t="s">
        <v>1827</v>
      </c>
      <c r="CV6" s="10" t="s">
        <v>1827</v>
      </c>
      <c r="CW6" s="10" t="s">
        <v>1827</v>
      </c>
      <c r="CX6" s="10" t="s">
        <v>1827</v>
      </c>
      <c r="CY6" s="10" t="s">
        <v>1827</v>
      </c>
      <c r="CZ6" s="10">
        <v>586.94203900000002</v>
      </c>
      <c r="DA6" s="10">
        <v>536.30912699999999</v>
      </c>
      <c r="DB6" s="10">
        <v>497.66822100000002</v>
      </c>
      <c r="DC6" s="10">
        <v>554.29713500000003</v>
      </c>
      <c r="DD6" s="10">
        <v>545.63624300000004</v>
      </c>
      <c r="DE6" s="10">
        <v>547.63490999999999</v>
      </c>
      <c r="DF6" s="10">
        <v>570.95269800000005</v>
      </c>
      <c r="DG6" s="10">
        <v>634.24383699999998</v>
      </c>
      <c r="DH6" s="10">
        <v>620.91938700000003</v>
      </c>
      <c r="DI6" s="10">
        <v>634.91006000000004</v>
      </c>
      <c r="DJ6" s="10">
        <v>606.26249199999995</v>
      </c>
      <c r="DK6" s="10">
        <v>627.58161199999995</v>
      </c>
      <c r="DL6" s="10">
        <v>592.27181900000005</v>
      </c>
      <c r="DM6" s="10">
        <v>640.23983999999996</v>
      </c>
      <c r="DN6" s="10">
        <v>610.92604900000003</v>
      </c>
      <c r="DO6" s="10">
        <v>596.26915399999996</v>
      </c>
      <c r="DP6" s="10">
        <v>617.58827399999996</v>
      </c>
      <c r="DQ6" s="10">
        <v>607.59493699999996</v>
      </c>
      <c r="DR6" s="10">
        <v>623.58427700000004</v>
      </c>
      <c r="DS6" s="10">
        <v>646.90206499999999</v>
      </c>
      <c r="DT6" s="10">
        <v>663.55762800000002</v>
      </c>
      <c r="DU6" s="10">
        <v>655.56295799999998</v>
      </c>
      <c r="DV6" s="10">
        <v>627.58161199999995</v>
      </c>
      <c r="DW6" s="10">
        <v>610.25982699999997</v>
      </c>
      <c r="DX6" s="10">
        <v>602.26515700000004</v>
      </c>
      <c r="DY6" s="10">
        <v>590.27315099999998</v>
      </c>
      <c r="DZ6" s="10">
        <v>588.94070599999998</v>
      </c>
      <c r="EA6" s="10">
        <v>608.92738199999997</v>
      </c>
      <c r="EB6" s="10">
        <v>666.22251800000004</v>
      </c>
      <c r="EC6" s="10">
        <v>769.48700899999994</v>
      </c>
      <c r="ED6" s="10">
        <v>668.22118599999999</v>
      </c>
      <c r="EE6" s="10">
        <v>640.90606300000002</v>
      </c>
      <c r="EF6" s="10">
        <v>683.54430400000001</v>
      </c>
      <c r="EG6" s="10">
        <v>766.15589599999998</v>
      </c>
      <c r="EH6" s="10">
        <v>678.88074600000004</v>
      </c>
      <c r="EI6" s="10">
        <v>663.55762800000002</v>
      </c>
      <c r="EJ6" s="10">
        <v>740.83943999999997</v>
      </c>
      <c r="EK6" s="10">
        <v>888.74083900000005</v>
      </c>
      <c r="EL6" s="10">
        <v>750.83277799999996</v>
      </c>
      <c r="EM6" s="10">
        <v>709.52698199999998</v>
      </c>
      <c r="EN6" s="10">
        <v>758.827448</v>
      </c>
      <c r="EO6" s="10">
        <v>864.09060599999998</v>
      </c>
      <c r="EP6" s="10">
        <v>712.19187199999999</v>
      </c>
      <c r="EQ6" s="10">
        <v>710.85942699999998</v>
      </c>
      <c r="ER6" s="10">
        <v>710.19320500000003</v>
      </c>
      <c r="ES6" s="10">
        <v>850.09993299999996</v>
      </c>
      <c r="ET6" s="10">
        <v>822.11858800000005</v>
      </c>
      <c r="EU6" s="10">
        <v>796.80213200000003</v>
      </c>
      <c r="EV6" s="10">
        <v>850.09993299999996</v>
      </c>
      <c r="EW6" s="10">
        <v>1000.6662229999999</v>
      </c>
      <c r="EX6" s="10">
        <v>754.16389100000004</v>
      </c>
      <c r="EY6" s="10">
        <v>729.51365799999996</v>
      </c>
      <c r="EZ6" s="10">
        <v>806.79547000000002</v>
      </c>
      <c r="FA6" s="10">
        <v>967.355097</v>
      </c>
      <c r="FB6" s="10">
        <v>810.79280500000004</v>
      </c>
      <c r="FC6" s="10">
        <v>766.82211900000004</v>
      </c>
      <c r="FD6" s="10">
        <v>820.11991999999998</v>
      </c>
      <c r="FE6" s="10">
        <v>986.67555000000004</v>
      </c>
      <c r="FF6" s="10">
        <v>787.47501699999998</v>
      </c>
      <c r="FG6" s="10">
        <v>741.50566300000003</v>
      </c>
      <c r="FH6" s="10">
        <v>840.10659599999997</v>
      </c>
      <c r="FI6" s="10">
        <v>926.71552299999996</v>
      </c>
      <c r="FJ6" s="10">
        <v>794.13724200000001</v>
      </c>
      <c r="FK6" s="10">
        <v>799.46702200000004</v>
      </c>
      <c r="FL6" s="10">
        <v>837.44170599999995</v>
      </c>
      <c r="FM6" s="10">
        <v>953.36442399999999</v>
      </c>
      <c r="FN6" s="10">
        <v>787.47501699999998</v>
      </c>
      <c r="FO6" s="10">
        <v>778.14790100000005</v>
      </c>
      <c r="FP6" s="10">
        <v>839.44037300000002</v>
      </c>
      <c r="FQ6" s="10">
        <v>974.01732200000004</v>
      </c>
      <c r="FR6" s="10">
        <v>831.44570299999998</v>
      </c>
      <c r="FS6" s="10">
        <v>840.10659599999997</v>
      </c>
      <c r="FT6" s="10">
        <v>1000</v>
      </c>
      <c r="FU6" s="10">
        <v>1061.9586939999999</v>
      </c>
      <c r="FV6" s="10">
        <v>864</v>
      </c>
      <c r="FW6" s="10">
        <v>839</v>
      </c>
      <c r="FX6" s="10">
        <v>898</v>
      </c>
      <c r="FY6" s="10">
        <v>998</v>
      </c>
      <c r="FZ6" s="10">
        <v>791</v>
      </c>
      <c r="GA6" s="10">
        <v>816</v>
      </c>
      <c r="GB6" s="10">
        <v>824</v>
      </c>
      <c r="GC6" s="10">
        <v>902</v>
      </c>
      <c r="GD6" s="10">
        <v>788</v>
      </c>
      <c r="GE6" s="10">
        <v>807</v>
      </c>
      <c r="GF6" s="10">
        <v>933</v>
      </c>
      <c r="GG6" s="10">
        <v>1098</v>
      </c>
      <c r="GH6" s="10">
        <v>858</v>
      </c>
      <c r="GI6" s="10">
        <v>845</v>
      </c>
      <c r="GJ6" s="10">
        <v>991</v>
      </c>
      <c r="GK6" s="10">
        <v>1176</v>
      </c>
      <c r="GL6" s="10">
        <v>976</v>
      </c>
      <c r="GM6" s="10">
        <v>1047</v>
      </c>
      <c r="GN6" s="10">
        <v>1078</v>
      </c>
      <c r="GO6" s="10">
        <v>1342</v>
      </c>
      <c r="GP6" s="10">
        <v>1177</v>
      </c>
      <c r="GQ6" s="10">
        <v>1278</v>
      </c>
      <c r="GR6" s="10">
        <v>1329</v>
      </c>
      <c r="GS6" s="10">
        <v>1394</v>
      </c>
    </row>
    <row r="7" spans="1:201" ht="15.75" customHeight="1">
      <c r="A7" s="51" t="s">
        <v>1829</v>
      </c>
      <c r="B7" s="10"/>
      <c r="C7" s="10"/>
      <c r="D7" s="10"/>
      <c r="E7" s="10"/>
      <c r="F7" s="10" t="s">
        <v>1827</v>
      </c>
      <c r="G7" s="10" t="s">
        <v>1827</v>
      </c>
      <c r="H7" s="10" t="s">
        <v>1827</v>
      </c>
      <c r="I7" s="10" t="s">
        <v>1827</v>
      </c>
      <c r="J7" s="10" t="s">
        <v>1827</v>
      </c>
      <c r="K7" s="10" t="s">
        <v>1827</v>
      </c>
      <c r="L7" s="10" t="s">
        <v>1827</v>
      </c>
      <c r="M7" s="10" t="s">
        <v>1827</v>
      </c>
      <c r="N7" s="10" t="s">
        <v>1827</v>
      </c>
      <c r="O7" s="10" t="s">
        <v>1827</v>
      </c>
      <c r="P7" s="10" t="s">
        <v>1827</v>
      </c>
      <c r="Q7" s="10" t="s">
        <v>1827</v>
      </c>
      <c r="R7" s="10" t="s">
        <v>1827</v>
      </c>
      <c r="S7" s="10" t="s">
        <v>1827</v>
      </c>
      <c r="T7" s="10" t="s">
        <v>1827</v>
      </c>
      <c r="U7" s="10" t="s">
        <v>1827</v>
      </c>
      <c r="V7" s="10" t="s">
        <v>1827</v>
      </c>
      <c r="W7" s="10" t="s">
        <v>1827</v>
      </c>
      <c r="X7" s="10" t="s">
        <v>1827</v>
      </c>
      <c r="Y7" s="10" t="s">
        <v>1827</v>
      </c>
      <c r="Z7" s="10" t="s">
        <v>1827</v>
      </c>
      <c r="AA7" s="10" t="s">
        <v>1827</v>
      </c>
      <c r="AB7" s="10" t="s">
        <v>1827</v>
      </c>
      <c r="AC7" s="10" t="s">
        <v>1827</v>
      </c>
      <c r="AD7" s="10" t="s">
        <v>1827</v>
      </c>
      <c r="AE7" s="10" t="s">
        <v>1827</v>
      </c>
      <c r="AF7" s="10" t="s">
        <v>1827</v>
      </c>
      <c r="AG7" s="10" t="s">
        <v>1827</v>
      </c>
      <c r="AH7" s="10" t="s">
        <v>1827</v>
      </c>
      <c r="AI7" s="10" t="s">
        <v>1827</v>
      </c>
      <c r="AJ7" s="10" t="s">
        <v>1827</v>
      </c>
      <c r="AK7" s="10" t="s">
        <v>1827</v>
      </c>
      <c r="AL7" s="10" t="s">
        <v>1827</v>
      </c>
      <c r="AM7" s="10" t="s">
        <v>1827</v>
      </c>
      <c r="AN7" s="10" t="s">
        <v>1827</v>
      </c>
      <c r="AO7" s="10" t="s">
        <v>1827</v>
      </c>
      <c r="AP7" s="10" t="s">
        <v>1827</v>
      </c>
      <c r="AQ7" s="10" t="s">
        <v>1827</v>
      </c>
      <c r="AR7" s="10" t="s">
        <v>1827</v>
      </c>
      <c r="AS7" s="10" t="s">
        <v>1827</v>
      </c>
      <c r="AT7" s="10" t="s">
        <v>1827</v>
      </c>
      <c r="AU7" s="10" t="s">
        <v>1827</v>
      </c>
      <c r="AV7" s="10" t="s">
        <v>1827</v>
      </c>
      <c r="AW7" s="10" t="s">
        <v>1827</v>
      </c>
      <c r="AX7" s="10" t="s">
        <v>1827</v>
      </c>
      <c r="AY7" s="10" t="s">
        <v>1827</v>
      </c>
      <c r="AZ7" s="10" t="s">
        <v>1827</v>
      </c>
      <c r="BA7" s="10" t="s">
        <v>1827</v>
      </c>
      <c r="BB7" s="10" t="s">
        <v>1827</v>
      </c>
      <c r="BC7" s="10" t="s">
        <v>1827</v>
      </c>
      <c r="BD7" s="10" t="s">
        <v>1827</v>
      </c>
      <c r="BE7" s="10" t="s">
        <v>1827</v>
      </c>
      <c r="BF7" s="10" t="s">
        <v>1827</v>
      </c>
      <c r="BG7" s="10" t="s">
        <v>1827</v>
      </c>
      <c r="BH7" s="10" t="s">
        <v>1827</v>
      </c>
      <c r="BI7" s="10" t="s">
        <v>1827</v>
      </c>
      <c r="BJ7" s="10" t="s">
        <v>1827</v>
      </c>
      <c r="BK7" s="10" t="s">
        <v>1827</v>
      </c>
      <c r="BL7" s="10" t="s">
        <v>1827</v>
      </c>
      <c r="BM7" s="10" t="s">
        <v>1827</v>
      </c>
      <c r="BN7" s="10" t="s">
        <v>1827</v>
      </c>
      <c r="BO7" s="10" t="s">
        <v>1827</v>
      </c>
      <c r="BP7" s="10" t="s">
        <v>1827</v>
      </c>
      <c r="BQ7" s="10" t="s">
        <v>1827</v>
      </c>
      <c r="BR7" s="10" t="s">
        <v>1827</v>
      </c>
      <c r="BS7" s="10" t="s">
        <v>1827</v>
      </c>
      <c r="BT7" s="10" t="s">
        <v>1827</v>
      </c>
      <c r="BU7" s="10" t="s">
        <v>1827</v>
      </c>
      <c r="BV7" s="10" t="s">
        <v>1827</v>
      </c>
      <c r="BW7" s="10" t="s">
        <v>1827</v>
      </c>
      <c r="BX7" s="10" t="s">
        <v>1827</v>
      </c>
      <c r="BY7" s="10" t="s">
        <v>1827</v>
      </c>
      <c r="BZ7" s="10" t="s">
        <v>1827</v>
      </c>
      <c r="CA7" s="10" t="s">
        <v>1827</v>
      </c>
      <c r="CB7" s="10" t="s">
        <v>1827</v>
      </c>
      <c r="CC7" s="10" t="s">
        <v>1827</v>
      </c>
      <c r="CD7" s="10" t="s">
        <v>1827</v>
      </c>
      <c r="CE7" s="10" t="s">
        <v>1827</v>
      </c>
      <c r="CF7" s="10" t="s">
        <v>1827</v>
      </c>
      <c r="CG7" s="10" t="s">
        <v>1827</v>
      </c>
      <c r="CH7" s="10" t="s">
        <v>1827</v>
      </c>
      <c r="CI7" s="10" t="s">
        <v>1827</v>
      </c>
      <c r="CJ7" s="10" t="s">
        <v>1827</v>
      </c>
      <c r="CK7" s="10" t="s">
        <v>1827</v>
      </c>
      <c r="CL7" s="10" t="s">
        <v>1827</v>
      </c>
      <c r="CM7" s="10" t="s">
        <v>1827</v>
      </c>
      <c r="CN7" s="10" t="s">
        <v>1827</v>
      </c>
      <c r="CO7" s="10" t="s">
        <v>1827</v>
      </c>
      <c r="CP7" s="10" t="s">
        <v>1827</v>
      </c>
      <c r="CQ7" s="10" t="s">
        <v>1827</v>
      </c>
      <c r="CR7" s="10" t="s">
        <v>1827</v>
      </c>
      <c r="CS7" s="10" t="s">
        <v>1827</v>
      </c>
      <c r="CT7" s="10" t="s">
        <v>1827</v>
      </c>
      <c r="CU7" s="10" t="s">
        <v>1827</v>
      </c>
      <c r="CV7" s="10" t="s">
        <v>1827</v>
      </c>
      <c r="CW7" s="10" t="s">
        <v>1827</v>
      </c>
      <c r="CX7" s="10" t="s">
        <v>1827</v>
      </c>
      <c r="CY7" s="10" t="s">
        <v>1827</v>
      </c>
      <c r="CZ7" s="10">
        <v>639.49843299999998</v>
      </c>
      <c r="DA7" s="10">
        <v>645.76802499999997</v>
      </c>
      <c r="DB7" s="10">
        <v>655.95611299999996</v>
      </c>
      <c r="DC7" s="10">
        <v>655.95611299999996</v>
      </c>
      <c r="DD7" s="10">
        <v>660.65830700000004</v>
      </c>
      <c r="DE7" s="10">
        <v>683.38558</v>
      </c>
      <c r="DF7" s="10">
        <v>700.62695900000006</v>
      </c>
      <c r="DG7" s="10">
        <v>714.73354200000006</v>
      </c>
      <c r="DH7" s="10">
        <v>735.893417</v>
      </c>
      <c r="DI7" s="10">
        <v>768.80877699999996</v>
      </c>
      <c r="DJ7" s="10">
        <v>805.64263300000005</v>
      </c>
      <c r="DK7" s="10">
        <v>809.56112900000005</v>
      </c>
      <c r="DL7" s="10">
        <v>799.37304099999994</v>
      </c>
      <c r="DM7" s="10">
        <v>782.91536099999996</v>
      </c>
      <c r="DN7" s="10">
        <v>782.91536099999996</v>
      </c>
      <c r="DO7" s="10">
        <v>775.07836999999995</v>
      </c>
      <c r="DP7" s="10">
        <v>758.62068999999997</v>
      </c>
      <c r="DQ7" s="10">
        <v>749.21630100000004</v>
      </c>
      <c r="DR7" s="10">
        <v>752.35109699999998</v>
      </c>
      <c r="DS7" s="10">
        <v>749.21630100000004</v>
      </c>
      <c r="DT7" s="10">
        <v>750.78369899999996</v>
      </c>
      <c r="DU7" s="10">
        <v>743.73040800000001</v>
      </c>
      <c r="DV7" s="10">
        <v>775.86206900000002</v>
      </c>
      <c r="DW7" s="10">
        <v>779.78056400000003</v>
      </c>
      <c r="DX7" s="10">
        <v>763.32288400000004</v>
      </c>
      <c r="DY7" s="10">
        <v>778.99686499999996</v>
      </c>
      <c r="DZ7" s="10">
        <v>804.85893399999998</v>
      </c>
      <c r="EA7" s="10">
        <v>804.07523500000002</v>
      </c>
      <c r="EB7" s="10">
        <v>783.69906000000003</v>
      </c>
      <c r="EC7" s="10">
        <v>789.18495299999995</v>
      </c>
      <c r="ED7" s="10">
        <v>822.88401299999998</v>
      </c>
      <c r="EE7" s="10">
        <v>843.26018799999997</v>
      </c>
      <c r="EF7" s="10">
        <v>859.71786799999995</v>
      </c>
      <c r="EG7" s="10">
        <v>858.15047000000004</v>
      </c>
      <c r="EH7" s="10">
        <v>876.959248</v>
      </c>
      <c r="EI7" s="10">
        <v>876.959248</v>
      </c>
      <c r="EJ7" s="10">
        <v>886.36363600000004</v>
      </c>
      <c r="EK7" s="10">
        <v>908.30721000000005</v>
      </c>
      <c r="EL7" s="10">
        <v>970.21943599999997</v>
      </c>
      <c r="EM7" s="10">
        <v>976.48902799999996</v>
      </c>
      <c r="EN7" s="10">
        <v>986.67711599999996</v>
      </c>
      <c r="EO7" s="10">
        <v>996.08150499999999</v>
      </c>
      <c r="EP7" s="10">
        <v>966.30093999999997</v>
      </c>
      <c r="EQ7" s="10">
        <v>981.19122300000004</v>
      </c>
      <c r="ER7" s="10">
        <v>949.05956100000003</v>
      </c>
      <c r="ES7" s="10">
        <v>961.59874600000001</v>
      </c>
      <c r="ET7" s="10">
        <v>988.24451399999998</v>
      </c>
      <c r="EU7" s="10">
        <v>1014.890282</v>
      </c>
      <c r="EV7" s="10">
        <v>1016.45768</v>
      </c>
      <c r="EW7" s="10">
        <v>1021.943574</v>
      </c>
      <c r="EX7" s="10">
        <v>1011.755486</v>
      </c>
      <c r="EY7" s="10">
        <v>1012.539185</v>
      </c>
      <c r="EZ7" s="10">
        <v>1005.485893</v>
      </c>
      <c r="FA7" s="10">
        <v>1006.269592</v>
      </c>
      <c r="FB7" s="10">
        <v>1003.1347960000001</v>
      </c>
      <c r="FC7" s="10">
        <v>1013.322884</v>
      </c>
      <c r="FD7" s="10">
        <v>1007.836991</v>
      </c>
      <c r="FE7" s="10">
        <v>1011.755486</v>
      </c>
      <c r="FF7" s="10">
        <v>1024.2946710000001</v>
      </c>
      <c r="FG7" s="10">
        <v>1018.808777</v>
      </c>
      <c r="FH7" s="10">
        <v>1028.9968650000001</v>
      </c>
      <c r="FI7" s="10">
        <v>1015.673981</v>
      </c>
      <c r="FJ7" s="10">
        <v>1039.184953</v>
      </c>
      <c r="FK7" s="10">
        <v>1039.968652</v>
      </c>
      <c r="FL7" s="10">
        <v>1034.482759</v>
      </c>
      <c r="FM7" s="10">
        <v>1024.2946710000001</v>
      </c>
      <c r="FN7" s="10">
        <v>1013.322884</v>
      </c>
      <c r="FO7" s="10">
        <v>1028.9968650000001</v>
      </c>
      <c r="FP7" s="10">
        <v>1000.783699</v>
      </c>
      <c r="FQ7" s="10">
        <v>998.43260199999997</v>
      </c>
      <c r="FR7" s="10">
        <v>1000</v>
      </c>
      <c r="FS7" s="10">
        <v>1006.269592</v>
      </c>
      <c r="FT7" s="10">
        <v>1000</v>
      </c>
      <c r="FU7" s="10">
        <v>1003.1347960000001</v>
      </c>
      <c r="FV7" s="10">
        <v>997</v>
      </c>
      <c r="FW7" s="10">
        <v>1003</v>
      </c>
      <c r="FX7" s="10">
        <v>997</v>
      </c>
      <c r="FY7" s="10">
        <v>994</v>
      </c>
      <c r="FZ7" s="10">
        <v>1026</v>
      </c>
      <c r="GA7" s="10">
        <v>1020</v>
      </c>
      <c r="GB7" s="10">
        <v>1019</v>
      </c>
      <c r="GC7" s="10">
        <v>1059</v>
      </c>
      <c r="GD7" s="10">
        <v>1071</v>
      </c>
      <c r="GE7" s="10">
        <v>1092</v>
      </c>
      <c r="GF7" s="10">
        <v>1067</v>
      </c>
      <c r="GG7" s="10">
        <v>1074</v>
      </c>
      <c r="GH7" s="10">
        <v>1072</v>
      </c>
      <c r="GI7" s="10">
        <v>1066</v>
      </c>
      <c r="GJ7" s="10">
        <v>1063</v>
      </c>
      <c r="GK7" s="10">
        <v>1093</v>
      </c>
      <c r="GL7" s="10">
        <v>1104</v>
      </c>
      <c r="GM7" s="10">
        <v>1146</v>
      </c>
      <c r="GN7" s="10">
        <v>1145</v>
      </c>
      <c r="GO7" s="10">
        <v>1176</v>
      </c>
      <c r="GP7" s="10">
        <v>1222</v>
      </c>
      <c r="GQ7" s="10">
        <v>1240</v>
      </c>
      <c r="GR7" s="10">
        <v>1262</v>
      </c>
      <c r="GS7" s="10">
        <v>1265</v>
      </c>
    </row>
    <row r="8" spans="1:201" ht="15.75" customHeight="1">
      <c r="A8" s="51" t="s">
        <v>1830</v>
      </c>
      <c r="B8" s="10"/>
      <c r="C8" s="10"/>
      <c r="D8" s="10"/>
      <c r="E8" s="10"/>
      <c r="F8" s="10">
        <v>102.655942</v>
      </c>
      <c r="G8" s="10">
        <v>103.083459</v>
      </c>
      <c r="H8" s="10">
        <v>105.528915</v>
      </c>
      <c r="I8" s="10">
        <v>108.072153</v>
      </c>
      <c r="J8" s="10">
        <v>110.592786</v>
      </c>
      <c r="K8" s="10">
        <v>116.89437</v>
      </c>
      <c r="L8" s="10">
        <v>126.102002</v>
      </c>
      <c r="M8" s="10">
        <v>130.44270499999999</v>
      </c>
      <c r="N8" s="10">
        <v>134.223724</v>
      </c>
      <c r="O8" s="10">
        <v>138.00467399999999</v>
      </c>
      <c r="P8" s="10">
        <v>148.16579400000001</v>
      </c>
      <c r="Q8" s="10">
        <v>153.94251700000001</v>
      </c>
      <c r="R8" s="10">
        <v>156.27926500000001</v>
      </c>
      <c r="S8" s="10">
        <v>158.16973999999999</v>
      </c>
      <c r="T8" s="10">
        <v>162.356784</v>
      </c>
      <c r="U8" s="10">
        <v>166.046831</v>
      </c>
      <c r="V8" s="10">
        <v>167.62211500000001</v>
      </c>
      <c r="W8" s="10">
        <v>169.19751099999999</v>
      </c>
      <c r="X8" s="10">
        <v>180.061904</v>
      </c>
      <c r="Y8" s="10">
        <v>186.84194400000001</v>
      </c>
      <c r="Z8" s="10">
        <v>191.56813199999999</v>
      </c>
      <c r="AA8" s="10">
        <v>203.54114000000001</v>
      </c>
      <c r="AB8" s="10">
        <v>227.92188300000001</v>
      </c>
      <c r="AC8" s="10">
        <v>236.65527900000001</v>
      </c>
      <c r="AD8" s="10">
        <v>245.76174800000001</v>
      </c>
      <c r="AE8" s="10">
        <v>252.693489</v>
      </c>
      <c r="AF8" s="10">
        <v>260.64226000000002</v>
      </c>
      <c r="AG8" s="10">
        <v>269.077606</v>
      </c>
      <c r="AH8" s="10">
        <v>278.52998000000002</v>
      </c>
      <c r="AI8" s="10">
        <v>291.763306</v>
      </c>
      <c r="AJ8" s="10">
        <v>303.20946300000003</v>
      </c>
      <c r="AK8" s="10">
        <v>306.40200299999998</v>
      </c>
      <c r="AL8" s="10">
        <v>308.14742200000001</v>
      </c>
      <c r="AM8" s="10">
        <v>309.43082299999998</v>
      </c>
      <c r="AN8" s="10">
        <v>310.16756299999997</v>
      </c>
      <c r="AO8" s="10">
        <v>312.868944</v>
      </c>
      <c r="AP8" s="10">
        <v>315.07916299999999</v>
      </c>
      <c r="AQ8" s="10">
        <v>319.17519299999998</v>
      </c>
      <c r="AR8" s="10">
        <v>335.55930899999998</v>
      </c>
      <c r="AS8" s="10">
        <v>345.32676400000003</v>
      </c>
      <c r="AT8" s="10">
        <v>365.17675100000002</v>
      </c>
      <c r="AU8" s="10">
        <v>382.82118400000002</v>
      </c>
      <c r="AV8" s="10">
        <v>405.82196299999998</v>
      </c>
      <c r="AW8" s="10">
        <v>425.04179199999999</v>
      </c>
      <c r="AX8" s="10">
        <v>427.56242500000002</v>
      </c>
      <c r="AY8" s="10">
        <v>423.15131700000001</v>
      </c>
      <c r="AZ8" s="10">
        <v>426.93226700000002</v>
      </c>
      <c r="BA8" s="10">
        <v>436.69972100000001</v>
      </c>
      <c r="BB8" s="10">
        <v>503.18142499999999</v>
      </c>
      <c r="BC8" s="10">
        <v>529.64807499999995</v>
      </c>
      <c r="BD8" s="10">
        <v>561.78614900000002</v>
      </c>
      <c r="BE8" s="10">
        <v>576.90994899999998</v>
      </c>
      <c r="BF8" s="10">
        <v>585.10200699999996</v>
      </c>
      <c r="BG8" s="10">
        <v>586.992482</v>
      </c>
      <c r="BH8" s="10">
        <v>586.67740300000003</v>
      </c>
      <c r="BI8" s="10">
        <v>592.34882800000003</v>
      </c>
      <c r="BJ8" s="10">
        <v>598.96549000000005</v>
      </c>
      <c r="BK8" s="10">
        <v>623.52307499999995</v>
      </c>
      <c r="BL8" s="10">
        <v>640.29410900000005</v>
      </c>
      <c r="BM8" s="10">
        <v>663.65376300000003</v>
      </c>
      <c r="BN8" s="10">
        <v>651.07548799999995</v>
      </c>
      <c r="BO8" s="10">
        <v>631.908592</v>
      </c>
      <c r="BP8" s="10">
        <v>635.502385</v>
      </c>
      <c r="BQ8" s="10">
        <v>637.89824699999997</v>
      </c>
      <c r="BR8" s="10">
        <v>633.70548899999994</v>
      </c>
      <c r="BS8" s="10">
        <v>631.908592</v>
      </c>
      <c r="BT8" s="10">
        <v>634.90341899999999</v>
      </c>
      <c r="BU8" s="10">
        <v>631.30962699999998</v>
      </c>
      <c r="BV8" s="10">
        <v>610.94479999999999</v>
      </c>
      <c r="BW8" s="10">
        <v>606.15307600000006</v>
      </c>
      <c r="BX8" s="10">
        <v>626.51790300000005</v>
      </c>
      <c r="BY8" s="10">
        <v>638.49721199999999</v>
      </c>
      <c r="BZ8" s="10">
        <v>645.684798</v>
      </c>
      <c r="CA8" s="10">
        <v>663.65376300000003</v>
      </c>
      <c r="CB8" s="10">
        <v>664.25272900000004</v>
      </c>
      <c r="CC8" s="10">
        <v>664.25272900000004</v>
      </c>
      <c r="CD8" s="10">
        <v>648.08065999999997</v>
      </c>
      <c r="CE8" s="10">
        <v>633.82288600000004</v>
      </c>
      <c r="CF8" s="10">
        <v>626.04591800000003</v>
      </c>
      <c r="CG8" s="10">
        <v>626.04591800000003</v>
      </c>
      <c r="CH8" s="10">
        <v>627.99015999999995</v>
      </c>
      <c r="CI8" s="10">
        <v>625.39783699999998</v>
      </c>
      <c r="CJ8" s="10">
        <v>619.565111</v>
      </c>
      <c r="CK8" s="10">
        <v>618.91703099999995</v>
      </c>
      <c r="CL8" s="10">
        <v>616.32470799999999</v>
      </c>
      <c r="CM8" s="10">
        <v>609.19582100000002</v>
      </c>
      <c r="CN8" s="10">
        <v>616.97278800000004</v>
      </c>
      <c r="CO8" s="10">
        <v>616.32470799999999</v>
      </c>
      <c r="CP8" s="10">
        <v>613.08430499999997</v>
      </c>
      <c r="CQ8" s="10">
        <v>619.565111</v>
      </c>
      <c r="CR8" s="10">
        <v>615.028547</v>
      </c>
      <c r="CS8" s="10">
        <v>621.50935300000003</v>
      </c>
      <c r="CT8" s="10">
        <v>622.15743399999997</v>
      </c>
      <c r="CU8" s="10">
        <v>627.99015999999995</v>
      </c>
      <c r="CV8" s="10">
        <v>638.35945000000004</v>
      </c>
      <c r="CW8" s="10">
        <v>650.024902</v>
      </c>
      <c r="CX8" s="10">
        <v>654.56146699999999</v>
      </c>
      <c r="CY8" s="10">
        <v>650.67298300000004</v>
      </c>
      <c r="CZ8" s="10">
        <v>656.50570900000002</v>
      </c>
      <c r="DA8" s="10">
        <v>668.97931800000003</v>
      </c>
      <c r="DB8" s="10">
        <v>670.292329</v>
      </c>
      <c r="DC8" s="10">
        <v>679.48340900000005</v>
      </c>
      <c r="DD8" s="10">
        <v>686.704971</v>
      </c>
      <c r="DE8" s="10">
        <v>690.64400599999999</v>
      </c>
      <c r="DF8" s="10">
        <v>701.80460300000004</v>
      </c>
      <c r="DG8" s="10">
        <v>733.31687699999998</v>
      </c>
      <c r="DH8" s="10">
        <v>736.59940500000005</v>
      </c>
      <c r="DI8" s="10">
        <v>750.38602600000002</v>
      </c>
      <c r="DJ8" s="10">
        <v>750.38602600000002</v>
      </c>
      <c r="DK8" s="10">
        <v>760.233611</v>
      </c>
      <c r="DL8" s="10">
        <v>765.48565699999995</v>
      </c>
      <c r="DM8" s="10">
        <v>764.82915100000002</v>
      </c>
      <c r="DN8" s="10">
        <v>769.42469100000005</v>
      </c>
      <c r="DO8" s="10">
        <v>764.17264499999999</v>
      </c>
      <c r="DP8" s="10">
        <v>768.11167899999998</v>
      </c>
      <c r="DQ8" s="10">
        <v>764.82915100000002</v>
      </c>
      <c r="DR8" s="10">
        <v>758.264094</v>
      </c>
      <c r="DS8" s="10">
        <v>754.32505900000001</v>
      </c>
      <c r="DT8" s="10">
        <v>747.10349699999995</v>
      </c>
      <c r="DU8" s="10">
        <v>746.44699100000003</v>
      </c>
      <c r="DV8" s="10">
        <v>751.04253100000005</v>
      </c>
      <c r="DW8" s="10">
        <v>760.89011700000003</v>
      </c>
      <c r="DX8" s="10">
        <v>762.85963400000003</v>
      </c>
      <c r="DY8" s="10">
        <v>754.32505900000001</v>
      </c>
      <c r="DZ8" s="10">
        <v>755.63807099999997</v>
      </c>
      <c r="EA8" s="10">
        <v>753.66855399999997</v>
      </c>
      <c r="EB8" s="10">
        <v>753.01204800000005</v>
      </c>
      <c r="EC8" s="10">
        <v>763.55421699999999</v>
      </c>
      <c r="ED8" s="10">
        <v>771.084337</v>
      </c>
      <c r="EE8" s="10">
        <v>772.59036100000003</v>
      </c>
      <c r="EF8" s="10">
        <v>782.37951799999996</v>
      </c>
      <c r="EG8" s="10">
        <v>774.09638600000005</v>
      </c>
      <c r="EH8" s="10">
        <v>792.16867500000001</v>
      </c>
      <c r="EI8" s="10">
        <v>774.09638600000005</v>
      </c>
      <c r="EJ8" s="10">
        <v>797.43975899999998</v>
      </c>
      <c r="EK8" s="10">
        <v>823.04216899999994</v>
      </c>
      <c r="EL8" s="10">
        <v>850.15060200000005</v>
      </c>
      <c r="EM8" s="10">
        <v>873.49397599999998</v>
      </c>
      <c r="EN8" s="10">
        <v>885.54216899999994</v>
      </c>
      <c r="EO8" s="10">
        <v>897.59036100000003</v>
      </c>
      <c r="EP8" s="10">
        <v>896.084337</v>
      </c>
      <c r="EQ8" s="10">
        <v>898.34337300000004</v>
      </c>
      <c r="ER8" s="10">
        <v>865.96385499999997</v>
      </c>
      <c r="ES8" s="10">
        <v>897.59036100000003</v>
      </c>
      <c r="ET8" s="10">
        <v>907.37951799999996</v>
      </c>
      <c r="EU8" s="10">
        <v>893.82530099999997</v>
      </c>
      <c r="EV8" s="10">
        <v>893.07228899999996</v>
      </c>
      <c r="EW8" s="10">
        <v>917.92168700000002</v>
      </c>
      <c r="EX8" s="10">
        <v>929.96987999999999</v>
      </c>
      <c r="EY8" s="10">
        <v>917.92168700000002</v>
      </c>
      <c r="EZ8" s="10">
        <v>925.45180700000003</v>
      </c>
      <c r="FA8" s="10">
        <v>928.46385499999997</v>
      </c>
      <c r="FB8" s="10">
        <v>911.89759000000004</v>
      </c>
      <c r="FC8" s="10">
        <v>918.67469900000003</v>
      </c>
      <c r="FD8" s="10">
        <v>927.71084299999995</v>
      </c>
      <c r="FE8" s="10">
        <v>923.19277099999999</v>
      </c>
      <c r="FF8" s="10">
        <v>914.15662699999996</v>
      </c>
      <c r="FG8" s="10">
        <v>929.96987999999999</v>
      </c>
      <c r="FH8" s="10">
        <v>938.25301200000001</v>
      </c>
      <c r="FI8" s="10">
        <v>944.277108</v>
      </c>
      <c r="FJ8" s="10">
        <v>936.74698799999999</v>
      </c>
      <c r="FK8" s="10">
        <v>938.25301200000001</v>
      </c>
      <c r="FL8" s="10">
        <v>948.79518099999996</v>
      </c>
      <c r="FM8" s="10">
        <v>946.53614500000003</v>
      </c>
      <c r="FN8" s="10">
        <v>945.78313300000002</v>
      </c>
      <c r="FO8" s="10">
        <v>963.10240999999996</v>
      </c>
      <c r="FP8" s="10">
        <v>975.90361399999995</v>
      </c>
      <c r="FQ8" s="10">
        <v>972.89156600000001</v>
      </c>
      <c r="FR8" s="10">
        <v>972.89156600000001</v>
      </c>
      <c r="FS8" s="10">
        <v>983.43373499999996</v>
      </c>
      <c r="FT8" s="10">
        <v>1000</v>
      </c>
      <c r="FU8" s="10">
        <v>1009.036145</v>
      </c>
      <c r="FV8" s="10">
        <v>1020</v>
      </c>
      <c r="FW8" s="10">
        <v>1039</v>
      </c>
      <c r="FX8" s="10">
        <v>1048</v>
      </c>
      <c r="FY8" s="10">
        <v>1051</v>
      </c>
      <c r="FZ8" s="10">
        <v>1069</v>
      </c>
      <c r="GA8" s="10">
        <v>1080</v>
      </c>
      <c r="GB8" s="10">
        <v>1096</v>
      </c>
      <c r="GC8" s="10">
        <v>1106</v>
      </c>
      <c r="GD8" s="10">
        <v>1118</v>
      </c>
      <c r="GE8" s="10">
        <v>1126</v>
      </c>
      <c r="GF8" s="10">
        <v>1133</v>
      </c>
      <c r="GG8" s="10">
        <v>1121</v>
      </c>
      <c r="GH8" s="10">
        <v>1117</v>
      </c>
      <c r="GI8" s="10">
        <v>1106</v>
      </c>
      <c r="GJ8" s="10">
        <v>1120</v>
      </c>
      <c r="GK8" s="10">
        <v>1148</v>
      </c>
      <c r="GL8" s="10">
        <v>1151</v>
      </c>
      <c r="GM8" s="10">
        <v>1166</v>
      </c>
      <c r="GN8" s="10">
        <v>1175</v>
      </c>
      <c r="GO8" s="10">
        <v>1215</v>
      </c>
      <c r="GP8" s="10">
        <v>1281</v>
      </c>
      <c r="GQ8" s="10">
        <v>1306</v>
      </c>
      <c r="GR8" s="10">
        <v>1323</v>
      </c>
      <c r="GS8" s="10">
        <v>1331</v>
      </c>
    </row>
    <row r="9" spans="1:201" ht="15.75" customHeight="1">
      <c r="A9" s="51" t="s">
        <v>1831</v>
      </c>
      <c r="B9" s="10"/>
      <c r="C9" s="10"/>
      <c r="D9" s="10"/>
      <c r="E9" s="10"/>
      <c r="F9" s="10" t="s">
        <v>1827</v>
      </c>
      <c r="G9" s="10" t="s">
        <v>1827</v>
      </c>
      <c r="H9" s="10" t="s">
        <v>1827</v>
      </c>
      <c r="I9" s="10" t="s">
        <v>1827</v>
      </c>
      <c r="J9" s="10" t="s">
        <v>1827</v>
      </c>
      <c r="K9" s="10" t="s">
        <v>1827</v>
      </c>
      <c r="L9" s="10" t="s">
        <v>1827</v>
      </c>
      <c r="M9" s="10" t="s">
        <v>1827</v>
      </c>
      <c r="N9" s="10" t="s">
        <v>1827</v>
      </c>
      <c r="O9" s="10" t="s">
        <v>1827</v>
      </c>
      <c r="P9" s="10" t="s">
        <v>1827</v>
      </c>
      <c r="Q9" s="10" t="s">
        <v>1827</v>
      </c>
      <c r="R9" s="10" t="s">
        <v>1827</v>
      </c>
      <c r="S9" s="10" t="s">
        <v>1827</v>
      </c>
      <c r="T9" s="10" t="s">
        <v>1827</v>
      </c>
      <c r="U9" s="10" t="s">
        <v>1827</v>
      </c>
      <c r="V9" s="10" t="s">
        <v>1827</v>
      </c>
      <c r="W9" s="10" t="s">
        <v>1827</v>
      </c>
      <c r="X9" s="10" t="s">
        <v>1827</v>
      </c>
      <c r="Y9" s="10" t="s">
        <v>1827</v>
      </c>
      <c r="Z9" s="10" t="s">
        <v>1827</v>
      </c>
      <c r="AA9" s="10" t="s">
        <v>1827</v>
      </c>
      <c r="AB9" s="10" t="s">
        <v>1827</v>
      </c>
      <c r="AC9" s="10" t="s">
        <v>1827</v>
      </c>
      <c r="AD9" s="10" t="s">
        <v>1827</v>
      </c>
      <c r="AE9" s="10" t="s">
        <v>1827</v>
      </c>
      <c r="AF9" s="10" t="s">
        <v>1827</v>
      </c>
      <c r="AG9" s="10" t="s">
        <v>1827</v>
      </c>
      <c r="AH9" s="10" t="s">
        <v>1827</v>
      </c>
      <c r="AI9" s="10" t="s">
        <v>1827</v>
      </c>
      <c r="AJ9" s="10" t="s">
        <v>1827</v>
      </c>
      <c r="AK9" s="10" t="s">
        <v>1827</v>
      </c>
      <c r="AL9" s="10" t="s">
        <v>1827</v>
      </c>
      <c r="AM9" s="10" t="s">
        <v>1827</v>
      </c>
      <c r="AN9" s="10" t="s">
        <v>1827</v>
      </c>
      <c r="AO9" s="10" t="s">
        <v>1827</v>
      </c>
      <c r="AP9" s="10" t="s">
        <v>1827</v>
      </c>
      <c r="AQ9" s="10" t="s">
        <v>1827</v>
      </c>
      <c r="AR9" s="10" t="s">
        <v>1827</v>
      </c>
      <c r="AS9" s="10" t="s">
        <v>1827</v>
      </c>
      <c r="AT9" s="10" t="s">
        <v>1827</v>
      </c>
      <c r="AU9" s="10" t="s">
        <v>1827</v>
      </c>
      <c r="AV9" s="10" t="s">
        <v>1827</v>
      </c>
      <c r="AW9" s="10" t="s">
        <v>1827</v>
      </c>
      <c r="AX9" s="10" t="s">
        <v>1827</v>
      </c>
      <c r="AY9" s="10" t="s">
        <v>1827</v>
      </c>
      <c r="AZ9" s="10" t="s">
        <v>1827</v>
      </c>
      <c r="BA9" s="10" t="s">
        <v>1827</v>
      </c>
      <c r="BB9" s="10" t="s">
        <v>1827</v>
      </c>
      <c r="BC9" s="10" t="s">
        <v>1827</v>
      </c>
      <c r="BD9" s="10" t="s">
        <v>1827</v>
      </c>
      <c r="BE9" s="10" t="s">
        <v>1827</v>
      </c>
      <c r="BF9" s="10" t="s">
        <v>1827</v>
      </c>
      <c r="BG9" s="10" t="s">
        <v>1827</v>
      </c>
      <c r="BH9" s="10" t="s">
        <v>1827</v>
      </c>
      <c r="BI9" s="10" t="s">
        <v>1827</v>
      </c>
      <c r="BJ9" s="10" t="s">
        <v>1827</v>
      </c>
      <c r="BK9" s="10" t="s">
        <v>1827</v>
      </c>
      <c r="BL9" s="10" t="s">
        <v>1827</v>
      </c>
      <c r="BM9" s="10" t="s">
        <v>1827</v>
      </c>
      <c r="BN9" s="10" t="s">
        <v>1827</v>
      </c>
      <c r="BO9" s="10" t="s">
        <v>1827</v>
      </c>
      <c r="BP9" s="10" t="s">
        <v>1827</v>
      </c>
      <c r="BQ9" s="10" t="s">
        <v>1827</v>
      </c>
      <c r="BR9" s="10" t="s">
        <v>1827</v>
      </c>
      <c r="BS9" s="10" t="s">
        <v>1827</v>
      </c>
      <c r="BT9" s="10" t="s">
        <v>1827</v>
      </c>
      <c r="BU9" s="10" t="s">
        <v>1827</v>
      </c>
      <c r="BV9" s="10" t="s">
        <v>1827</v>
      </c>
      <c r="BW9" s="10" t="s">
        <v>1827</v>
      </c>
      <c r="BX9" s="10" t="s">
        <v>1827</v>
      </c>
      <c r="BY9" s="10" t="s">
        <v>1827</v>
      </c>
      <c r="BZ9" s="10" t="s">
        <v>1827</v>
      </c>
      <c r="CA9" s="10" t="s">
        <v>1827</v>
      </c>
      <c r="CB9" s="10" t="s">
        <v>1827</v>
      </c>
      <c r="CC9" s="10" t="s">
        <v>1827</v>
      </c>
      <c r="CD9" s="10" t="s">
        <v>1827</v>
      </c>
      <c r="CE9" s="10" t="s">
        <v>1827</v>
      </c>
      <c r="CF9" s="10" t="s">
        <v>1827</v>
      </c>
      <c r="CG9" s="10" t="s">
        <v>1827</v>
      </c>
      <c r="CH9" s="10" t="s">
        <v>1827</v>
      </c>
      <c r="CI9" s="10" t="s">
        <v>1827</v>
      </c>
      <c r="CJ9" s="10" t="s">
        <v>1827</v>
      </c>
      <c r="CK9" s="10" t="s">
        <v>1827</v>
      </c>
      <c r="CL9" s="10" t="s">
        <v>1827</v>
      </c>
      <c r="CM9" s="10" t="s">
        <v>1827</v>
      </c>
      <c r="CN9" s="10" t="s">
        <v>1827</v>
      </c>
      <c r="CO9" s="10" t="s">
        <v>1827</v>
      </c>
      <c r="CP9" s="10" t="s">
        <v>1827</v>
      </c>
      <c r="CQ9" s="10" t="s">
        <v>1827</v>
      </c>
      <c r="CR9" s="10" t="s">
        <v>1827</v>
      </c>
      <c r="CS9" s="10" t="s">
        <v>1827</v>
      </c>
      <c r="CT9" s="10" t="s">
        <v>1827</v>
      </c>
      <c r="CU9" s="10" t="s">
        <v>1827</v>
      </c>
      <c r="CV9" s="10" t="s">
        <v>1827</v>
      </c>
      <c r="CW9" s="10" t="s">
        <v>1827</v>
      </c>
      <c r="CX9" s="10" t="s">
        <v>1827</v>
      </c>
      <c r="CY9" s="10" t="s">
        <v>1827</v>
      </c>
      <c r="CZ9" s="10">
        <v>774.95769900000005</v>
      </c>
      <c r="DA9" s="10">
        <v>779.187817</v>
      </c>
      <c r="DB9" s="10">
        <v>775.80372299999999</v>
      </c>
      <c r="DC9" s="10">
        <v>785.10998300000006</v>
      </c>
      <c r="DD9" s="10">
        <v>778.34179400000005</v>
      </c>
      <c r="DE9" s="10">
        <v>780.03384100000005</v>
      </c>
      <c r="DF9" s="10">
        <v>789.340102</v>
      </c>
      <c r="DG9" s="10">
        <v>808.79864599999996</v>
      </c>
      <c r="DH9" s="10">
        <v>807.95262300000002</v>
      </c>
      <c r="DI9" s="10">
        <v>814.72081200000002</v>
      </c>
      <c r="DJ9" s="10">
        <v>823.18104900000003</v>
      </c>
      <c r="DK9" s="10">
        <v>822.33502499999997</v>
      </c>
      <c r="DL9" s="10">
        <v>818.95093099999997</v>
      </c>
      <c r="DM9" s="10">
        <v>813.87478799999997</v>
      </c>
      <c r="DN9" s="10">
        <v>834.17935699999998</v>
      </c>
      <c r="DO9" s="10">
        <v>830.79526199999998</v>
      </c>
      <c r="DP9" s="10">
        <v>833.33333300000004</v>
      </c>
      <c r="DQ9" s="10">
        <v>853.63790200000005</v>
      </c>
      <c r="DR9" s="10">
        <v>848.56176000000005</v>
      </c>
      <c r="DS9" s="10">
        <v>845.17766500000005</v>
      </c>
      <c r="DT9" s="10">
        <v>838.40947500000004</v>
      </c>
      <c r="DU9" s="10">
        <v>832.48730999999998</v>
      </c>
      <c r="DV9" s="10">
        <v>830.79526199999998</v>
      </c>
      <c r="DW9" s="10">
        <v>842.63959399999999</v>
      </c>
      <c r="DX9" s="10">
        <v>839.25549899999999</v>
      </c>
      <c r="DY9" s="10">
        <v>842.63959399999999</v>
      </c>
      <c r="DZ9" s="10">
        <v>841.79357000000005</v>
      </c>
      <c r="EA9" s="10">
        <v>848.56176000000005</v>
      </c>
      <c r="EB9" s="10">
        <v>846.02368899999999</v>
      </c>
      <c r="EC9" s="10">
        <v>846.02368899999999</v>
      </c>
      <c r="ED9" s="10">
        <v>850.25380700000005</v>
      </c>
      <c r="EE9" s="10">
        <v>864.63621000000001</v>
      </c>
      <c r="EF9" s="10">
        <v>867.17428099999995</v>
      </c>
      <c r="EG9" s="10">
        <v>864.63621000000001</v>
      </c>
      <c r="EH9" s="10">
        <v>879.01861299999996</v>
      </c>
      <c r="EI9" s="10">
        <v>921.31979699999999</v>
      </c>
      <c r="EJ9" s="10">
        <v>946.70050800000001</v>
      </c>
      <c r="EK9" s="10">
        <v>978.00338399999998</v>
      </c>
      <c r="EL9" s="10">
        <v>1025.380711</v>
      </c>
      <c r="EM9" s="10">
        <v>1051.6074450000001</v>
      </c>
      <c r="EN9" s="10">
        <v>1068.5279190000001</v>
      </c>
      <c r="EO9" s="10">
        <v>1070.2199660000001</v>
      </c>
      <c r="EP9" s="10">
        <v>1055.837563</v>
      </c>
      <c r="EQ9" s="10">
        <v>1040.6091369999999</v>
      </c>
      <c r="ER9" s="10">
        <v>1037.225042</v>
      </c>
      <c r="ES9" s="10">
        <v>1025.380711</v>
      </c>
      <c r="ET9" s="10">
        <v>1047.3773269999999</v>
      </c>
      <c r="EU9" s="10">
        <v>1061.7597290000001</v>
      </c>
      <c r="EV9" s="10">
        <v>1094.754653</v>
      </c>
      <c r="EW9" s="10">
        <v>1099.8307950000001</v>
      </c>
      <c r="EX9" s="10">
        <v>1101.522843</v>
      </c>
      <c r="EY9" s="10">
        <v>1107.4450079999999</v>
      </c>
      <c r="EZ9" s="10">
        <v>1098.984772</v>
      </c>
      <c r="FA9" s="10">
        <v>1092.216582</v>
      </c>
      <c r="FB9" s="10">
        <v>1071.912014</v>
      </c>
      <c r="FC9" s="10">
        <v>1099.8307950000001</v>
      </c>
      <c r="FD9" s="10">
        <v>1090.524535</v>
      </c>
      <c r="FE9" s="10">
        <v>1089.6785110000001</v>
      </c>
      <c r="FF9" s="10">
        <v>1082.064298</v>
      </c>
      <c r="FG9" s="10">
        <v>1078.6802029999999</v>
      </c>
      <c r="FH9" s="10">
        <v>1073.604061</v>
      </c>
      <c r="FI9" s="10">
        <v>1042.3011839999999</v>
      </c>
      <c r="FJ9" s="10">
        <v>1038.9170899999999</v>
      </c>
      <c r="FK9" s="10">
        <v>1042.3011839999999</v>
      </c>
      <c r="FL9" s="10">
        <v>1028.764805</v>
      </c>
      <c r="FM9" s="10">
        <v>1015.228426</v>
      </c>
      <c r="FN9" s="10">
        <v>1010.998308</v>
      </c>
      <c r="FO9" s="10">
        <v>1011.844332</v>
      </c>
      <c r="FP9" s="10">
        <v>1017.766497</v>
      </c>
      <c r="FQ9" s="10">
        <v>1005.076142</v>
      </c>
      <c r="FR9" s="10">
        <v>1006.76819</v>
      </c>
      <c r="FS9" s="10">
        <v>1010.998308</v>
      </c>
      <c r="FT9" s="10">
        <v>1000</v>
      </c>
      <c r="FU9" s="10">
        <v>1010.152284</v>
      </c>
      <c r="FV9" s="10">
        <v>1001</v>
      </c>
      <c r="FW9" s="10">
        <v>1006</v>
      </c>
      <c r="FX9" s="10">
        <v>1003</v>
      </c>
      <c r="FY9" s="10">
        <v>995</v>
      </c>
      <c r="FZ9" s="10">
        <v>1001</v>
      </c>
      <c r="GA9" s="10">
        <v>1024</v>
      </c>
      <c r="GB9" s="10">
        <v>1018</v>
      </c>
      <c r="GC9" s="10">
        <v>1024</v>
      </c>
      <c r="GD9" s="10">
        <v>1051</v>
      </c>
      <c r="GE9" s="10">
        <v>1065</v>
      </c>
      <c r="GF9" s="10">
        <v>1072</v>
      </c>
      <c r="GG9" s="10">
        <v>1063</v>
      </c>
      <c r="GH9" s="10">
        <v>1062</v>
      </c>
      <c r="GI9" s="10">
        <v>1063</v>
      </c>
      <c r="GJ9" s="10">
        <v>1070</v>
      </c>
      <c r="GK9" s="10">
        <v>1074</v>
      </c>
      <c r="GL9" s="10">
        <v>1092</v>
      </c>
      <c r="GM9" s="10">
        <v>1117</v>
      </c>
      <c r="GN9" s="10">
        <v>1127</v>
      </c>
      <c r="GO9" s="10">
        <v>1147</v>
      </c>
      <c r="GP9" s="10">
        <v>1198</v>
      </c>
      <c r="GQ9" s="10">
        <v>1232</v>
      </c>
      <c r="GR9" s="10">
        <v>1273</v>
      </c>
      <c r="GS9" s="10">
        <v>1282</v>
      </c>
    </row>
    <row r="10" spans="1:201" ht="15.75" customHeight="1">
      <c r="A10" s="51" t="s">
        <v>1832</v>
      </c>
      <c r="B10" s="10"/>
      <c r="C10" s="10"/>
      <c r="D10" s="10"/>
      <c r="E10" s="10"/>
      <c r="F10" s="10" t="s">
        <v>1827</v>
      </c>
      <c r="G10" s="10" t="s">
        <v>1827</v>
      </c>
      <c r="H10" s="10" t="s">
        <v>1827</v>
      </c>
      <c r="I10" s="10" t="s">
        <v>1827</v>
      </c>
      <c r="J10" s="10" t="s">
        <v>1827</v>
      </c>
      <c r="K10" s="10" t="s">
        <v>1827</v>
      </c>
      <c r="L10" s="10" t="s">
        <v>1827</v>
      </c>
      <c r="M10" s="10" t="s">
        <v>1827</v>
      </c>
      <c r="N10" s="10" t="s">
        <v>1827</v>
      </c>
      <c r="O10" s="10" t="s">
        <v>1827</v>
      </c>
      <c r="P10" s="10" t="s">
        <v>1827</v>
      </c>
      <c r="Q10" s="10" t="s">
        <v>1827</v>
      </c>
      <c r="R10" s="10" t="s">
        <v>1827</v>
      </c>
      <c r="S10" s="10" t="s">
        <v>1827</v>
      </c>
      <c r="T10" s="10" t="s">
        <v>1827</v>
      </c>
      <c r="U10" s="10" t="s">
        <v>1827</v>
      </c>
      <c r="V10" s="10" t="s">
        <v>1827</v>
      </c>
      <c r="W10" s="10" t="s">
        <v>1827</v>
      </c>
      <c r="X10" s="10" t="s">
        <v>1827</v>
      </c>
      <c r="Y10" s="10" t="s">
        <v>1827</v>
      </c>
      <c r="Z10" s="10" t="s">
        <v>1827</v>
      </c>
      <c r="AA10" s="10" t="s">
        <v>1827</v>
      </c>
      <c r="AB10" s="10" t="s">
        <v>1827</v>
      </c>
      <c r="AC10" s="10" t="s">
        <v>1827</v>
      </c>
      <c r="AD10" s="10" t="s">
        <v>1827</v>
      </c>
      <c r="AE10" s="10" t="s">
        <v>1827</v>
      </c>
      <c r="AF10" s="10" t="s">
        <v>1827</v>
      </c>
      <c r="AG10" s="10" t="s">
        <v>1827</v>
      </c>
      <c r="AH10" s="10" t="s">
        <v>1827</v>
      </c>
      <c r="AI10" s="10" t="s">
        <v>1827</v>
      </c>
      <c r="AJ10" s="10" t="s">
        <v>1827</v>
      </c>
      <c r="AK10" s="10" t="s">
        <v>1827</v>
      </c>
      <c r="AL10" s="10" t="s">
        <v>1827</v>
      </c>
      <c r="AM10" s="10" t="s">
        <v>1827</v>
      </c>
      <c r="AN10" s="10" t="s">
        <v>1827</v>
      </c>
      <c r="AO10" s="10" t="s">
        <v>1827</v>
      </c>
      <c r="AP10" s="10" t="s">
        <v>1827</v>
      </c>
      <c r="AQ10" s="10" t="s">
        <v>1827</v>
      </c>
      <c r="AR10" s="10" t="s">
        <v>1827</v>
      </c>
      <c r="AS10" s="10" t="s">
        <v>1827</v>
      </c>
      <c r="AT10" s="10" t="s">
        <v>1827</v>
      </c>
      <c r="AU10" s="10" t="s">
        <v>1827</v>
      </c>
      <c r="AV10" s="10" t="s">
        <v>1827</v>
      </c>
      <c r="AW10" s="10" t="s">
        <v>1827</v>
      </c>
      <c r="AX10" s="10" t="s">
        <v>1827</v>
      </c>
      <c r="AY10" s="10" t="s">
        <v>1827</v>
      </c>
      <c r="AZ10" s="10" t="s">
        <v>1827</v>
      </c>
      <c r="BA10" s="10" t="s">
        <v>1827</v>
      </c>
      <c r="BB10" s="10" t="s">
        <v>1827</v>
      </c>
      <c r="BC10" s="10" t="s">
        <v>1827</v>
      </c>
      <c r="BD10" s="10" t="s">
        <v>1827</v>
      </c>
      <c r="BE10" s="10" t="s">
        <v>1827</v>
      </c>
      <c r="BF10" s="10" t="s">
        <v>1827</v>
      </c>
      <c r="BG10" s="10" t="s">
        <v>1827</v>
      </c>
      <c r="BH10" s="10" t="s">
        <v>1827</v>
      </c>
      <c r="BI10" s="10" t="s">
        <v>1827</v>
      </c>
      <c r="BJ10" s="10" t="s">
        <v>1827</v>
      </c>
      <c r="BK10" s="10" t="s">
        <v>1827</v>
      </c>
      <c r="BL10" s="10" t="s">
        <v>1827</v>
      </c>
      <c r="BM10" s="10" t="s">
        <v>1827</v>
      </c>
      <c r="BN10" s="10" t="s">
        <v>1827</v>
      </c>
      <c r="BO10" s="10" t="s">
        <v>1827</v>
      </c>
      <c r="BP10" s="10" t="s">
        <v>1827</v>
      </c>
      <c r="BQ10" s="10" t="s">
        <v>1827</v>
      </c>
      <c r="BR10" s="10" t="s">
        <v>1827</v>
      </c>
      <c r="BS10" s="10" t="s">
        <v>1827</v>
      </c>
      <c r="BT10" s="10" t="s">
        <v>1827</v>
      </c>
      <c r="BU10" s="10" t="s">
        <v>1827</v>
      </c>
      <c r="BV10" s="10" t="s">
        <v>1827</v>
      </c>
      <c r="BW10" s="10" t="s">
        <v>1827</v>
      </c>
      <c r="BX10" s="10" t="s">
        <v>1827</v>
      </c>
      <c r="BY10" s="10" t="s">
        <v>1827</v>
      </c>
      <c r="BZ10" s="10" t="s">
        <v>1827</v>
      </c>
      <c r="CA10" s="10" t="s">
        <v>1827</v>
      </c>
      <c r="CB10" s="10" t="s">
        <v>1827</v>
      </c>
      <c r="CC10" s="10" t="s">
        <v>1827</v>
      </c>
      <c r="CD10" s="10" t="s">
        <v>1827</v>
      </c>
      <c r="CE10" s="10" t="s">
        <v>1827</v>
      </c>
      <c r="CF10" s="10" t="s">
        <v>1827</v>
      </c>
      <c r="CG10" s="10" t="s">
        <v>1827</v>
      </c>
      <c r="CH10" s="10" t="s">
        <v>1827</v>
      </c>
      <c r="CI10" s="10" t="s">
        <v>1827</v>
      </c>
      <c r="CJ10" s="10" t="s">
        <v>1827</v>
      </c>
      <c r="CK10" s="10" t="s">
        <v>1827</v>
      </c>
      <c r="CL10" s="10" t="s">
        <v>1827</v>
      </c>
      <c r="CM10" s="10" t="s">
        <v>1827</v>
      </c>
      <c r="CN10" s="10" t="s">
        <v>1827</v>
      </c>
      <c r="CO10" s="10" t="s">
        <v>1827</v>
      </c>
      <c r="CP10" s="10" t="s">
        <v>1827</v>
      </c>
      <c r="CQ10" s="10" t="s">
        <v>1827</v>
      </c>
      <c r="CR10" s="10" t="s">
        <v>1827</v>
      </c>
      <c r="CS10" s="10" t="s">
        <v>1827</v>
      </c>
      <c r="CT10" s="10" t="s">
        <v>1827</v>
      </c>
      <c r="CU10" s="10" t="s">
        <v>1827</v>
      </c>
      <c r="CV10" s="10" t="s">
        <v>1827</v>
      </c>
      <c r="CW10" s="10" t="s">
        <v>1827</v>
      </c>
      <c r="CX10" s="10" t="s">
        <v>1827</v>
      </c>
      <c r="CY10" s="10" t="s">
        <v>1827</v>
      </c>
      <c r="CZ10" s="10">
        <v>681.04776600000002</v>
      </c>
      <c r="DA10" s="10">
        <v>683.359014</v>
      </c>
      <c r="DB10" s="10">
        <v>679.506934</v>
      </c>
      <c r="DC10" s="10">
        <v>680.27734999999996</v>
      </c>
      <c r="DD10" s="10">
        <v>678.73651800000005</v>
      </c>
      <c r="DE10" s="10">
        <v>686.44067800000005</v>
      </c>
      <c r="DF10" s="10">
        <v>697.99691800000005</v>
      </c>
      <c r="DG10" s="10">
        <v>701.07858199999998</v>
      </c>
      <c r="DH10" s="10">
        <v>725.73189500000001</v>
      </c>
      <c r="DI10" s="10">
        <v>747.30354399999999</v>
      </c>
      <c r="DJ10" s="10">
        <v>781.20184900000004</v>
      </c>
      <c r="DK10" s="10">
        <v>788.90600900000004</v>
      </c>
      <c r="DL10" s="10">
        <v>785.82434499999999</v>
      </c>
      <c r="DM10" s="10">
        <v>768.10477700000001</v>
      </c>
      <c r="DN10" s="10">
        <v>751.15562399999999</v>
      </c>
      <c r="DO10" s="10">
        <v>741.91063199999996</v>
      </c>
      <c r="DP10" s="10">
        <v>727.27272700000003</v>
      </c>
      <c r="DQ10" s="10">
        <v>726.50231099999996</v>
      </c>
      <c r="DR10" s="10">
        <v>718.79815099999996</v>
      </c>
      <c r="DS10" s="10">
        <v>722.65023099999996</v>
      </c>
      <c r="DT10" s="10">
        <v>743.45146399999999</v>
      </c>
      <c r="DU10" s="10">
        <v>747.30354399999999</v>
      </c>
      <c r="DV10" s="10">
        <v>754.23728800000004</v>
      </c>
      <c r="DW10" s="10">
        <v>757.31895199999997</v>
      </c>
      <c r="DX10" s="10">
        <v>766.56394499999999</v>
      </c>
      <c r="DY10" s="10">
        <v>767.33436099999994</v>
      </c>
      <c r="DZ10" s="10">
        <v>768.10477700000001</v>
      </c>
      <c r="EA10" s="10">
        <v>771.95685700000001</v>
      </c>
      <c r="EB10" s="10">
        <v>770.41602499999999</v>
      </c>
      <c r="EC10" s="10">
        <v>746.53312800000003</v>
      </c>
      <c r="ED10" s="10">
        <v>721.10939900000005</v>
      </c>
      <c r="EE10" s="10">
        <v>723.42064700000003</v>
      </c>
      <c r="EF10" s="10">
        <v>725.73189500000001</v>
      </c>
      <c r="EG10" s="10">
        <v>773.49768900000004</v>
      </c>
      <c r="EH10" s="10">
        <v>833.59013900000002</v>
      </c>
      <c r="EI10" s="10">
        <v>882.12634800000001</v>
      </c>
      <c r="EJ10" s="10">
        <v>895.99383699999998</v>
      </c>
      <c r="EK10" s="10">
        <v>911.40215699999999</v>
      </c>
      <c r="EL10" s="10">
        <v>926.04006200000003</v>
      </c>
      <c r="EM10" s="10">
        <v>921.41756499999997</v>
      </c>
      <c r="EN10" s="10">
        <v>899.84591699999999</v>
      </c>
      <c r="EO10" s="10">
        <v>885.20801200000005</v>
      </c>
      <c r="EP10" s="10">
        <v>883.66718000000003</v>
      </c>
      <c r="EQ10" s="10">
        <v>926.04006200000003</v>
      </c>
      <c r="ER10" s="10">
        <v>926.81047799999999</v>
      </c>
      <c r="ES10" s="10">
        <v>974.57627100000002</v>
      </c>
      <c r="ET10" s="10">
        <v>994.60708799999998</v>
      </c>
      <c r="EU10" s="10">
        <v>1007.70416</v>
      </c>
      <c r="EV10" s="10">
        <v>1006.933744</v>
      </c>
      <c r="EW10" s="10">
        <v>1013.867488</v>
      </c>
      <c r="EX10" s="10">
        <v>1000</v>
      </c>
      <c r="EY10" s="10">
        <v>993.06625599999995</v>
      </c>
      <c r="EZ10" s="10">
        <v>969.183359</v>
      </c>
      <c r="FA10" s="10">
        <v>946.84129399999995</v>
      </c>
      <c r="FB10" s="10">
        <v>932.97380599999997</v>
      </c>
      <c r="FC10" s="10">
        <v>942.21879799999999</v>
      </c>
      <c r="FD10" s="10">
        <v>947.61171000000002</v>
      </c>
      <c r="FE10" s="10">
        <v>960.70878300000004</v>
      </c>
      <c r="FF10" s="10">
        <v>1000.770416</v>
      </c>
      <c r="FG10" s="10">
        <v>997.68875200000002</v>
      </c>
      <c r="FH10" s="10">
        <v>1022.342065</v>
      </c>
      <c r="FI10" s="10">
        <v>1016.949153</v>
      </c>
      <c r="FJ10" s="10">
        <v>1019.260401</v>
      </c>
      <c r="FK10" s="10">
        <v>1008.474576</v>
      </c>
      <c r="FL10" s="10">
        <v>995.37750400000004</v>
      </c>
      <c r="FM10" s="10">
        <v>966.87211100000002</v>
      </c>
      <c r="FN10" s="10">
        <v>930.66255799999999</v>
      </c>
      <c r="FO10" s="10">
        <v>949.15254200000004</v>
      </c>
      <c r="FP10" s="10">
        <v>942.21879799999999</v>
      </c>
      <c r="FQ10" s="10">
        <v>939.90755000000001</v>
      </c>
      <c r="FR10" s="10">
        <v>949.92295799999999</v>
      </c>
      <c r="FS10" s="10">
        <v>994.60708799999998</v>
      </c>
      <c r="FT10" s="10">
        <v>1000</v>
      </c>
      <c r="FU10" s="10">
        <v>1002.311248</v>
      </c>
      <c r="FV10" s="10">
        <v>992</v>
      </c>
      <c r="FW10" s="10">
        <v>996</v>
      </c>
      <c r="FX10" s="10">
        <v>994</v>
      </c>
      <c r="FY10" s="10">
        <v>1006</v>
      </c>
      <c r="FZ10" s="10">
        <v>1013</v>
      </c>
      <c r="GA10" s="10">
        <v>1012</v>
      </c>
      <c r="GB10" s="10">
        <v>1022</v>
      </c>
      <c r="GC10" s="10">
        <v>1037</v>
      </c>
      <c r="GD10" s="10">
        <v>1029</v>
      </c>
      <c r="GE10" s="10">
        <v>1063</v>
      </c>
      <c r="GF10" s="10">
        <v>1066</v>
      </c>
      <c r="GG10" s="10">
        <v>1048</v>
      </c>
      <c r="GH10" s="10">
        <v>1049</v>
      </c>
      <c r="GI10" s="10">
        <v>1066</v>
      </c>
      <c r="GJ10" s="10">
        <v>1076</v>
      </c>
      <c r="GK10" s="10">
        <v>1112</v>
      </c>
      <c r="GL10" s="10">
        <v>1122</v>
      </c>
      <c r="GM10" s="10">
        <v>1150</v>
      </c>
      <c r="GN10" s="10">
        <v>1187</v>
      </c>
      <c r="GO10" s="10">
        <v>1207</v>
      </c>
      <c r="GP10" s="10">
        <v>1258</v>
      </c>
      <c r="GQ10" s="10">
        <v>1322</v>
      </c>
      <c r="GR10" s="10">
        <v>1351</v>
      </c>
      <c r="GS10" s="10">
        <v>1346</v>
      </c>
    </row>
    <row r="11" spans="1:201" ht="15.75" customHeight="1">
      <c r="A11" s="51" t="s">
        <v>1833</v>
      </c>
      <c r="B11" s="10"/>
      <c r="C11" s="10"/>
      <c r="D11" s="10"/>
      <c r="E11" s="10"/>
      <c r="F11" s="10" t="s">
        <v>1827</v>
      </c>
      <c r="G11" s="10" t="s">
        <v>1827</v>
      </c>
      <c r="H11" s="10" t="s">
        <v>1827</v>
      </c>
      <c r="I11" s="10" t="s">
        <v>1827</v>
      </c>
      <c r="J11" s="10" t="s">
        <v>1827</v>
      </c>
      <c r="K11" s="10" t="s">
        <v>1827</v>
      </c>
      <c r="L11" s="10" t="s">
        <v>1827</v>
      </c>
      <c r="M11" s="10" t="s">
        <v>1827</v>
      </c>
      <c r="N11" s="10" t="s">
        <v>1827</v>
      </c>
      <c r="O11" s="10" t="s">
        <v>1827</v>
      </c>
      <c r="P11" s="10" t="s">
        <v>1827</v>
      </c>
      <c r="Q11" s="10" t="s">
        <v>1827</v>
      </c>
      <c r="R11" s="10" t="s">
        <v>1827</v>
      </c>
      <c r="S11" s="10" t="s">
        <v>1827</v>
      </c>
      <c r="T11" s="10" t="s">
        <v>1827</v>
      </c>
      <c r="U11" s="10" t="s">
        <v>1827</v>
      </c>
      <c r="V11" s="10" t="s">
        <v>1827</v>
      </c>
      <c r="W11" s="10" t="s">
        <v>1827</v>
      </c>
      <c r="X11" s="10" t="s">
        <v>1827</v>
      </c>
      <c r="Y11" s="10" t="s">
        <v>1827</v>
      </c>
      <c r="Z11" s="10" t="s">
        <v>1827</v>
      </c>
      <c r="AA11" s="10" t="s">
        <v>1827</v>
      </c>
      <c r="AB11" s="10" t="s">
        <v>1827</v>
      </c>
      <c r="AC11" s="10" t="s">
        <v>1827</v>
      </c>
      <c r="AD11" s="10" t="s">
        <v>1827</v>
      </c>
      <c r="AE11" s="10" t="s">
        <v>1827</v>
      </c>
      <c r="AF11" s="10" t="s">
        <v>1827</v>
      </c>
      <c r="AG11" s="10" t="s">
        <v>1827</v>
      </c>
      <c r="AH11" s="10" t="s">
        <v>1827</v>
      </c>
      <c r="AI11" s="10" t="s">
        <v>1827</v>
      </c>
      <c r="AJ11" s="10" t="s">
        <v>1827</v>
      </c>
      <c r="AK11" s="10" t="s">
        <v>1827</v>
      </c>
      <c r="AL11" s="10" t="s">
        <v>1827</v>
      </c>
      <c r="AM11" s="10" t="s">
        <v>1827</v>
      </c>
      <c r="AN11" s="10" t="s">
        <v>1827</v>
      </c>
      <c r="AO11" s="10" t="s">
        <v>1827</v>
      </c>
      <c r="AP11" s="10" t="s">
        <v>1827</v>
      </c>
      <c r="AQ11" s="10" t="s">
        <v>1827</v>
      </c>
      <c r="AR11" s="10" t="s">
        <v>1827</v>
      </c>
      <c r="AS11" s="10" t="s">
        <v>1827</v>
      </c>
      <c r="AT11" s="10" t="s">
        <v>1827</v>
      </c>
      <c r="AU11" s="10" t="s">
        <v>1827</v>
      </c>
      <c r="AV11" s="10" t="s">
        <v>1827</v>
      </c>
      <c r="AW11" s="10" t="s">
        <v>1827</v>
      </c>
      <c r="AX11" s="10" t="s">
        <v>1827</v>
      </c>
      <c r="AY11" s="10" t="s">
        <v>1827</v>
      </c>
      <c r="AZ11" s="10" t="s">
        <v>1827</v>
      </c>
      <c r="BA11" s="10" t="s">
        <v>1827</v>
      </c>
      <c r="BB11" s="10" t="s">
        <v>1827</v>
      </c>
      <c r="BC11" s="10" t="s">
        <v>1827</v>
      </c>
      <c r="BD11" s="10" t="s">
        <v>1827</v>
      </c>
      <c r="BE11" s="10" t="s">
        <v>1827</v>
      </c>
      <c r="BF11" s="10" t="s">
        <v>1827</v>
      </c>
      <c r="BG11" s="10" t="s">
        <v>1827</v>
      </c>
      <c r="BH11" s="10" t="s">
        <v>1827</v>
      </c>
      <c r="BI11" s="10" t="s">
        <v>1827</v>
      </c>
      <c r="BJ11" s="10" t="s">
        <v>1827</v>
      </c>
      <c r="BK11" s="10" t="s">
        <v>1827</v>
      </c>
      <c r="BL11" s="10" t="s">
        <v>1827</v>
      </c>
      <c r="BM11" s="10" t="s">
        <v>1827</v>
      </c>
      <c r="BN11" s="10" t="s">
        <v>1827</v>
      </c>
      <c r="BO11" s="10" t="s">
        <v>1827</v>
      </c>
      <c r="BP11" s="10" t="s">
        <v>1827</v>
      </c>
      <c r="BQ11" s="10" t="s">
        <v>1827</v>
      </c>
      <c r="BR11" s="10" t="s">
        <v>1827</v>
      </c>
      <c r="BS11" s="10" t="s">
        <v>1827</v>
      </c>
      <c r="BT11" s="10" t="s">
        <v>1827</v>
      </c>
      <c r="BU11" s="10" t="s">
        <v>1827</v>
      </c>
      <c r="BV11" s="10" t="s">
        <v>1827</v>
      </c>
      <c r="BW11" s="10" t="s">
        <v>1827</v>
      </c>
      <c r="BX11" s="10" t="s">
        <v>1827</v>
      </c>
      <c r="BY11" s="10" t="s">
        <v>1827</v>
      </c>
      <c r="BZ11" s="10" t="s">
        <v>1827</v>
      </c>
      <c r="CA11" s="10" t="s">
        <v>1827</v>
      </c>
      <c r="CB11" s="10" t="s">
        <v>1827</v>
      </c>
      <c r="CC11" s="10" t="s">
        <v>1827</v>
      </c>
      <c r="CD11" s="10" t="s">
        <v>1827</v>
      </c>
      <c r="CE11" s="10" t="s">
        <v>1827</v>
      </c>
      <c r="CF11" s="10" t="s">
        <v>1827</v>
      </c>
      <c r="CG11" s="10" t="s">
        <v>1827</v>
      </c>
      <c r="CH11" s="10" t="s">
        <v>1827</v>
      </c>
      <c r="CI11" s="10" t="s">
        <v>1827</v>
      </c>
      <c r="CJ11" s="10" t="s">
        <v>1827</v>
      </c>
      <c r="CK11" s="10" t="s">
        <v>1827</v>
      </c>
      <c r="CL11" s="10" t="s">
        <v>1827</v>
      </c>
      <c r="CM11" s="10" t="s">
        <v>1827</v>
      </c>
      <c r="CN11" s="10" t="s">
        <v>1827</v>
      </c>
      <c r="CO11" s="10" t="s">
        <v>1827</v>
      </c>
      <c r="CP11" s="10" t="s">
        <v>1827</v>
      </c>
      <c r="CQ11" s="10" t="s">
        <v>1827</v>
      </c>
      <c r="CR11" s="10" t="s">
        <v>1827</v>
      </c>
      <c r="CS11" s="10" t="s">
        <v>1827</v>
      </c>
      <c r="CT11" s="10" t="s">
        <v>1827</v>
      </c>
      <c r="CU11" s="10" t="s">
        <v>1827</v>
      </c>
      <c r="CV11" s="10" t="s">
        <v>1827</v>
      </c>
      <c r="CW11" s="10" t="s">
        <v>1827</v>
      </c>
      <c r="CX11" s="10" t="s">
        <v>1827</v>
      </c>
      <c r="CY11" s="10" t="s">
        <v>1827</v>
      </c>
      <c r="CZ11" s="10">
        <v>615.07402400000001</v>
      </c>
      <c r="DA11" s="10">
        <v>613.05518199999995</v>
      </c>
      <c r="DB11" s="10">
        <v>614.40107699999999</v>
      </c>
      <c r="DC11" s="10">
        <v>609.01749700000005</v>
      </c>
      <c r="DD11" s="10">
        <v>602.96096899999998</v>
      </c>
      <c r="DE11" s="10">
        <v>603.633917</v>
      </c>
      <c r="DF11" s="10">
        <v>598.92328399999997</v>
      </c>
      <c r="DG11" s="10">
        <v>614.40107699999999</v>
      </c>
      <c r="DH11" s="10">
        <v>617.76581399999998</v>
      </c>
      <c r="DI11" s="10">
        <v>633.243607</v>
      </c>
      <c r="DJ11" s="10">
        <v>667.56393000000003</v>
      </c>
      <c r="DK11" s="10">
        <v>700.53835800000002</v>
      </c>
      <c r="DL11" s="10">
        <v>690.44414500000005</v>
      </c>
      <c r="DM11" s="10">
        <v>678.33109000000002</v>
      </c>
      <c r="DN11" s="10">
        <v>662.853297</v>
      </c>
      <c r="DO11" s="10">
        <v>652.08613700000001</v>
      </c>
      <c r="DP11" s="10">
        <v>649.39434700000004</v>
      </c>
      <c r="DQ11" s="10">
        <v>656.79677000000004</v>
      </c>
      <c r="DR11" s="10">
        <v>639.97308199999998</v>
      </c>
      <c r="DS11" s="10">
        <v>648.048452</v>
      </c>
      <c r="DT11" s="10">
        <v>644.01076699999999</v>
      </c>
      <c r="DU11" s="10">
        <v>639.97308199999998</v>
      </c>
      <c r="DV11" s="10">
        <v>654.77792699999998</v>
      </c>
      <c r="DW11" s="10">
        <v>656.79677000000004</v>
      </c>
      <c r="DX11" s="10">
        <v>645.35666200000003</v>
      </c>
      <c r="DY11" s="10">
        <v>650.06729499999994</v>
      </c>
      <c r="DZ11" s="10">
        <v>656.79677000000004</v>
      </c>
      <c r="EA11" s="10">
        <v>675.63930000000005</v>
      </c>
      <c r="EB11" s="10">
        <v>672.94750999999997</v>
      </c>
      <c r="EC11" s="10">
        <v>680.34993299999996</v>
      </c>
      <c r="ED11" s="10">
        <v>683.71466999999996</v>
      </c>
      <c r="EE11" s="10">
        <v>693.13593500000002</v>
      </c>
      <c r="EF11" s="10">
        <v>677.658143</v>
      </c>
      <c r="EG11" s="10">
        <v>672.94750999999997</v>
      </c>
      <c r="EH11" s="10">
        <v>773.21668899999997</v>
      </c>
      <c r="EI11" s="10">
        <v>881.561238</v>
      </c>
      <c r="EJ11" s="10">
        <v>876.17765799999995</v>
      </c>
      <c r="EK11" s="10">
        <v>891.65545099999997</v>
      </c>
      <c r="EL11" s="10">
        <v>905.11440100000004</v>
      </c>
      <c r="EM11" s="10">
        <v>922.61103600000001</v>
      </c>
      <c r="EN11" s="10">
        <v>877.52355299999999</v>
      </c>
      <c r="EO11" s="10">
        <v>872.13997300000005</v>
      </c>
      <c r="EP11" s="10">
        <v>853.29744300000004</v>
      </c>
      <c r="EQ11" s="10">
        <v>891.65545099999997</v>
      </c>
      <c r="ER11" s="10">
        <v>946.16419900000005</v>
      </c>
      <c r="ES11" s="10">
        <v>935.39703899999995</v>
      </c>
      <c r="ET11" s="10">
        <v>965.00672899999995</v>
      </c>
      <c r="EU11" s="10">
        <v>960.96904400000005</v>
      </c>
      <c r="EV11" s="10">
        <v>997.30821000000003</v>
      </c>
      <c r="EW11" s="10">
        <v>991.25168199999996</v>
      </c>
      <c r="EX11" s="10">
        <v>955.585464</v>
      </c>
      <c r="EY11" s="10">
        <v>938.76177700000005</v>
      </c>
      <c r="EZ11" s="10">
        <v>909.15208600000005</v>
      </c>
      <c r="FA11" s="10">
        <v>864.73755000000006</v>
      </c>
      <c r="FB11" s="10">
        <v>853.97038999999995</v>
      </c>
      <c r="FC11" s="10">
        <v>850.60565299999996</v>
      </c>
      <c r="FD11" s="10">
        <v>897.71197800000004</v>
      </c>
      <c r="FE11" s="10">
        <v>933.378197</v>
      </c>
      <c r="FF11" s="10">
        <v>926.64872100000002</v>
      </c>
      <c r="FG11" s="10">
        <v>930.01345900000001</v>
      </c>
      <c r="FH11" s="10">
        <v>944.81830400000001</v>
      </c>
      <c r="FI11" s="10">
        <v>945.49125200000003</v>
      </c>
      <c r="FJ11" s="10">
        <v>870.12113099999999</v>
      </c>
      <c r="FK11" s="10">
        <v>838.49259800000004</v>
      </c>
      <c r="FL11" s="10">
        <v>893.67429300000003</v>
      </c>
      <c r="FM11" s="10">
        <v>866.08344499999998</v>
      </c>
      <c r="FN11" s="10">
        <v>829.74428</v>
      </c>
      <c r="FO11" s="10">
        <v>871.46702600000003</v>
      </c>
      <c r="FP11" s="10">
        <v>891.65545099999997</v>
      </c>
      <c r="FQ11" s="10">
        <v>873.48586799999998</v>
      </c>
      <c r="FR11" s="10">
        <v>913.18977099999995</v>
      </c>
      <c r="FS11" s="10">
        <v>967.69852000000003</v>
      </c>
      <c r="FT11" s="10">
        <v>1000</v>
      </c>
      <c r="FU11" s="10">
        <v>1042.3956929999999</v>
      </c>
      <c r="FV11" s="10">
        <v>1095</v>
      </c>
      <c r="FW11" s="10">
        <v>1099</v>
      </c>
      <c r="FX11" s="10">
        <v>1070</v>
      </c>
      <c r="FY11" s="10">
        <v>1083</v>
      </c>
      <c r="FZ11" s="10">
        <v>1096</v>
      </c>
      <c r="GA11" s="10">
        <v>1058</v>
      </c>
      <c r="GB11" s="10">
        <v>1053</v>
      </c>
      <c r="GC11" s="10">
        <v>1060</v>
      </c>
      <c r="GD11" s="10">
        <v>1052</v>
      </c>
      <c r="GE11" s="10">
        <v>1055</v>
      </c>
      <c r="GF11" s="10">
        <v>1054</v>
      </c>
      <c r="GG11" s="10">
        <v>1036</v>
      </c>
      <c r="GH11" s="10">
        <v>1019</v>
      </c>
      <c r="GI11" s="10">
        <v>1008</v>
      </c>
      <c r="GJ11" s="10">
        <v>994</v>
      </c>
      <c r="GK11" s="10">
        <v>1017</v>
      </c>
      <c r="GL11" s="10">
        <v>1046</v>
      </c>
      <c r="GM11" s="10">
        <v>1074</v>
      </c>
      <c r="GN11" s="10">
        <v>1071</v>
      </c>
      <c r="GO11" s="10">
        <v>1103</v>
      </c>
      <c r="GP11" s="10">
        <v>1104</v>
      </c>
      <c r="GQ11" s="10">
        <v>1154</v>
      </c>
      <c r="GR11" s="10">
        <v>1187</v>
      </c>
      <c r="GS11" s="10">
        <v>1192</v>
      </c>
    </row>
    <row r="12" spans="1:201" ht="15.75" customHeight="1">
      <c r="A12" s="51" t="s">
        <v>1834</v>
      </c>
      <c r="B12" s="10"/>
      <c r="C12" s="10"/>
      <c r="D12" s="10"/>
      <c r="E12" s="10"/>
      <c r="F12" s="10" t="s">
        <v>1827</v>
      </c>
      <c r="G12" s="10" t="s">
        <v>1827</v>
      </c>
      <c r="H12" s="10" t="s">
        <v>1827</v>
      </c>
      <c r="I12" s="10" t="s">
        <v>1827</v>
      </c>
      <c r="J12" s="10" t="s">
        <v>1827</v>
      </c>
      <c r="K12" s="10" t="s">
        <v>1827</v>
      </c>
      <c r="L12" s="10" t="s">
        <v>1827</v>
      </c>
      <c r="M12" s="10" t="s">
        <v>1827</v>
      </c>
      <c r="N12" s="10" t="s">
        <v>1827</v>
      </c>
      <c r="O12" s="10" t="s">
        <v>1827</v>
      </c>
      <c r="P12" s="10" t="s">
        <v>1827</v>
      </c>
      <c r="Q12" s="10" t="s">
        <v>1827</v>
      </c>
      <c r="R12" s="10" t="s">
        <v>1827</v>
      </c>
      <c r="S12" s="10" t="s">
        <v>1827</v>
      </c>
      <c r="T12" s="10" t="s">
        <v>1827</v>
      </c>
      <c r="U12" s="10" t="s">
        <v>1827</v>
      </c>
      <c r="V12" s="10" t="s">
        <v>1827</v>
      </c>
      <c r="W12" s="10" t="s">
        <v>1827</v>
      </c>
      <c r="X12" s="10" t="s">
        <v>1827</v>
      </c>
      <c r="Y12" s="10" t="s">
        <v>1827</v>
      </c>
      <c r="Z12" s="10" t="s">
        <v>1827</v>
      </c>
      <c r="AA12" s="10" t="s">
        <v>1827</v>
      </c>
      <c r="AB12" s="10" t="s">
        <v>1827</v>
      </c>
      <c r="AC12" s="10" t="s">
        <v>1827</v>
      </c>
      <c r="AD12" s="10" t="s">
        <v>1827</v>
      </c>
      <c r="AE12" s="10" t="s">
        <v>1827</v>
      </c>
      <c r="AF12" s="10" t="s">
        <v>1827</v>
      </c>
      <c r="AG12" s="10" t="s">
        <v>1827</v>
      </c>
      <c r="AH12" s="10" t="s">
        <v>1827</v>
      </c>
      <c r="AI12" s="10" t="s">
        <v>1827</v>
      </c>
      <c r="AJ12" s="10" t="s">
        <v>1827</v>
      </c>
      <c r="AK12" s="10" t="s">
        <v>1827</v>
      </c>
      <c r="AL12" s="10" t="s">
        <v>1827</v>
      </c>
      <c r="AM12" s="10" t="s">
        <v>1827</v>
      </c>
      <c r="AN12" s="10" t="s">
        <v>1827</v>
      </c>
      <c r="AO12" s="10" t="s">
        <v>1827</v>
      </c>
      <c r="AP12" s="10" t="s">
        <v>1827</v>
      </c>
      <c r="AQ12" s="10" t="s">
        <v>1827</v>
      </c>
      <c r="AR12" s="10" t="s">
        <v>1827</v>
      </c>
      <c r="AS12" s="10" t="s">
        <v>1827</v>
      </c>
      <c r="AT12" s="10" t="s">
        <v>1827</v>
      </c>
      <c r="AU12" s="10" t="s">
        <v>1827</v>
      </c>
      <c r="AV12" s="10" t="s">
        <v>1827</v>
      </c>
      <c r="AW12" s="10" t="s">
        <v>1827</v>
      </c>
      <c r="AX12" s="10" t="s">
        <v>1827</v>
      </c>
      <c r="AY12" s="10" t="s">
        <v>1827</v>
      </c>
      <c r="AZ12" s="10" t="s">
        <v>1827</v>
      </c>
      <c r="BA12" s="10" t="s">
        <v>1827</v>
      </c>
      <c r="BB12" s="10" t="s">
        <v>1827</v>
      </c>
      <c r="BC12" s="10" t="s">
        <v>1827</v>
      </c>
      <c r="BD12" s="10" t="s">
        <v>1827</v>
      </c>
      <c r="BE12" s="10" t="s">
        <v>1827</v>
      </c>
      <c r="BF12" s="10" t="s">
        <v>1827</v>
      </c>
      <c r="BG12" s="10" t="s">
        <v>1827</v>
      </c>
      <c r="BH12" s="10" t="s">
        <v>1827</v>
      </c>
      <c r="BI12" s="10" t="s">
        <v>1827</v>
      </c>
      <c r="BJ12" s="10" t="s">
        <v>1827</v>
      </c>
      <c r="BK12" s="10" t="s">
        <v>1827</v>
      </c>
      <c r="BL12" s="10" t="s">
        <v>1827</v>
      </c>
      <c r="BM12" s="10" t="s">
        <v>1827</v>
      </c>
      <c r="BN12" s="10" t="s">
        <v>1827</v>
      </c>
      <c r="BO12" s="10" t="s">
        <v>1827</v>
      </c>
      <c r="BP12" s="10" t="s">
        <v>1827</v>
      </c>
      <c r="BQ12" s="10" t="s">
        <v>1827</v>
      </c>
      <c r="BR12" s="10" t="s">
        <v>1827</v>
      </c>
      <c r="BS12" s="10" t="s">
        <v>1827</v>
      </c>
      <c r="BT12" s="10" t="s">
        <v>1827</v>
      </c>
      <c r="BU12" s="10" t="s">
        <v>1827</v>
      </c>
      <c r="BV12" s="10" t="s">
        <v>1827</v>
      </c>
      <c r="BW12" s="10" t="s">
        <v>1827</v>
      </c>
      <c r="BX12" s="10" t="s">
        <v>1827</v>
      </c>
      <c r="BY12" s="10" t="s">
        <v>1827</v>
      </c>
      <c r="BZ12" s="10" t="s">
        <v>1827</v>
      </c>
      <c r="CA12" s="10" t="s">
        <v>1827</v>
      </c>
      <c r="CB12" s="10" t="s">
        <v>1827</v>
      </c>
      <c r="CC12" s="10" t="s">
        <v>1827</v>
      </c>
      <c r="CD12" s="10" t="s">
        <v>1827</v>
      </c>
      <c r="CE12" s="10" t="s">
        <v>1827</v>
      </c>
      <c r="CF12" s="10" t="s">
        <v>1827</v>
      </c>
      <c r="CG12" s="10" t="s">
        <v>1827</v>
      </c>
      <c r="CH12" s="10" t="s">
        <v>1827</v>
      </c>
      <c r="CI12" s="10" t="s">
        <v>1827</v>
      </c>
      <c r="CJ12" s="10" t="s">
        <v>1827</v>
      </c>
      <c r="CK12" s="10" t="s">
        <v>1827</v>
      </c>
      <c r="CL12" s="10" t="s">
        <v>1827</v>
      </c>
      <c r="CM12" s="10" t="s">
        <v>1827</v>
      </c>
      <c r="CN12" s="10" t="s">
        <v>1827</v>
      </c>
      <c r="CO12" s="10" t="s">
        <v>1827</v>
      </c>
      <c r="CP12" s="10" t="s">
        <v>1827</v>
      </c>
      <c r="CQ12" s="10" t="s">
        <v>1827</v>
      </c>
      <c r="CR12" s="10" t="s">
        <v>1827</v>
      </c>
      <c r="CS12" s="10" t="s">
        <v>1827</v>
      </c>
      <c r="CT12" s="10" t="s">
        <v>1827</v>
      </c>
      <c r="CU12" s="10" t="s">
        <v>1827</v>
      </c>
      <c r="CV12" s="10" t="s">
        <v>1827</v>
      </c>
      <c r="CW12" s="10" t="s">
        <v>1827</v>
      </c>
      <c r="CX12" s="10" t="s">
        <v>1827</v>
      </c>
      <c r="CY12" s="10" t="s">
        <v>1827</v>
      </c>
      <c r="CZ12" s="10">
        <v>736.93086000000005</v>
      </c>
      <c r="DA12" s="10">
        <v>729.34232699999995</v>
      </c>
      <c r="DB12" s="10">
        <v>723.44013500000005</v>
      </c>
      <c r="DC12" s="10">
        <v>724.28330500000004</v>
      </c>
      <c r="DD12" s="10">
        <v>726.812816</v>
      </c>
      <c r="DE12" s="10">
        <v>725.96964600000001</v>
      </c>
      <c r="DF12" s="10">
        <v>725.96964600000001</v>
      </c>
      <c r="DG12" s="10">
        <v>749.57841499999995</v>
      </c>
      <c r="DH12" s="10">
        <v>763.91231000000005</v>
      </c>
      <c r="DI12" s="10">
        <v>778.24620600000003</v>
      </c>
      <c r="DJ12" s="10">
        <v>789.20741999999996</v>
      </c>
      <c r="DK12" s="10">
        <v>799.32546400000001</v>
      </c>
      <c r="DL12" s="10">
        <v>803.54131500000005</v>
      </c>
      <c r="DM12" s="10">
        <v>790.89376100000004</v>
      </c>
      <c r="DN12" s="10">
        <v>774.87352399999997</v>
      </c>
      <c r="DO12" s="10">
        <v>790.05059000000006</v>
      </c>
      <c r="DP12" s="10">
        <v>803.54131500000005</v>
      </c>
      <c r="DQ12" s="10">
        <v>801.01180399999998</v>
      </c>
      <c r="DR12" s="10">
        <v>795.95278199999996</v>
      </c>
      <c r="DS12" s="10">
        <v>792.58010100000001</v>
      </c>
      <c r="DT12" s="10">
        <v>796.79595300000005</v>
      </c>
      <c r="DU12" s="10">
        <v>805.22765600000002</v>
      </c>
      <c r="DV12" s="10">
        <v>791.73693100000003</v>
      </c>
      <c r="DW12" s="10">
        <v>806.91399699999999</v>
      </c>
      <c r="DX12" s="10">
        <v>825.46374400000002</v>
      </c>
      <c r="DY12" s="10">
        <v>838.95446900000002</v>
      </c>
      <c r="DZ12" s="10">
        <v>812.81618900000001</v>
      </c>
      <c r="EA12" s="10">
        <v>827.99325499999998</v>
      </c>
      <c r="EB12" s="10">
        <v>843.17031999999995</v>
      </c>
      <c r="EC12" s="10">
        <v>876.89713300000005</v>
      </c>
      <c r="ED12" s="10">
        <v>877.74030400000004</v>
      </c>
      <c r="EE12" s="10">
        <v>871.83811100000003</v>
      </c>
      <c r="EF12" s="10">
        <v>872.68128200000001</v>
      </c>
      <c r="EG12" s="10">
        <v>879.42664400000001</v>
      </c>
      <c r="EH12" s="10">
        <v>881.11298499999998</v>
      </c>
      <c r="EI12" s="10">
        <v>866.779089</v>
      </c>
      <c r="EJ12" s="10">
        <v>895.44687999999996</v>
      </c>
      <c r="EK12" s="10">
        <v>908.93760499999996</v>
      </c>
      <c r="EL12" s="10">
        <v>915.68296799999996</v>
      </c>
      <c r="EM12" s="10">
        <v>948.56660999999997</v>
      </c>
      <c r="EN12" s="10">
        <v>988.19561599999997</v>
      </c>
      <c r="EO12" s="10">
        <v>1036.2563239999999</v>
      </c>
      <c r="EP12" s="10">
        <v>1000.84317</v>
      </c>
      <c r="EQ12" s="10">
        <v>1018.549747</v>
      </c>
      <c r="ER12" s="10">
        <v>1017.706577</v>
      </c>
      <c r="ES12" s="10">
        <v>1010.961214</v>
      </c>
      <c r="ET12" s="10">
        <v>1013.490725</v>
      </c>
      <c r="EU12" s="10">
        <v>1040.4721750000001</v>
      </c>
      <c r="EV12" s="10">
        <v>1086.003373</v>
      </c>
      <c r="EW12" s="10">
        <v>1096.1214170000001</v>
      </c>
      <c r="EX12" s="10">
        <v>1067.453626</v>
      </c>
      <c r="EY12" s="10">
        <v>1093.5919060000001</v>
      </c>
      <c r="EZ12" s="10">
        <v>1106.23946</v>
      </c>
      <c r="FA12" s="10">
        <v>1081.787521</v>
      </c>
      <c r="FB12" s="10">
        <v>1046.374368</v>
      </c>
      <c r="FC12" s="10">
        <v>1063.2377739999999</v>
      </c>
      <c r="FD12" s="10">
        <v>1076.7284990000001</v>
      </c>
      <c r="FE12" s="10">
        <v>1069.9831369999999</v>
      </c>
      <c r="FF12" s="10">
        <v>1049.7470490000001</v>
      </c>
      <c r="FG12" s="10">
        <v>1059.8650929999999</v>
      </c>
      <c r="FH12" s="10">
        <v>1072.5126479999999</v>
      </c>
      <c r="FI12" s="10">
        <v>1041.3153460000001</v>
      </c>
      <c r="FJ12" s="10">
        <v>1032.883642</v>
      </c>
      <c r="FK12" s="10">
        <v>1062.3946040000001</v>
      </c>
      <c r="FL12" s="10">
        <v>1064.924115</v>
      </c>
      <c r="FM12" s="10">
        <v>1053.9629010000001</v>
      </c>
      <c r="FN12" s="10">
        <v>1019.392917</v>
      </c>
      <c r="FO12" s="10">
        <v>1030.3541319999999</v>
      </c>
      <c r="FP12" s="10">
        <v>1052.27656</v>
      </c>
      <c r="FQ12" s="10">
        <v>1020.236088</v>
      </c>
      <c r="FR12" s="10">
        <v>1000</v>
      </c>
      <c r="FS12" s="10">
        <v>1020.236088</v>
      </c>
      <c r="FT12" s="10">
        <v>1000</v>
      </c>
      <c r="FU12" s="10">
        <v>1005.902192</v>
      </c>
      <c r="FV12" s="10">
        <v>985</v>
      </c>
      <c r="FW12" s="10">
        <v>980</v>
      </c>
      <c r="FX12" s="10">
        <v>985</v>
      </c>
      <c r="FY12" s="10">
        <v>993</v>
      </c>
      <c r="FZ12" s="10">
        <v>982</v>
      </c>
      <c r="GA12" s="10">
        <v>983</v>
      </c>
      <c r="GB12" s="10">
        <v>995</v>
      </c>
      <c r="GC12" s="10">
        <v>998</v>
      </c>
      <c r="GD12" s="10">
        <v>994</v>
      </c>
      <c r="GE12" s="10">
        <v>1001</v>
      </c>
      <c r="GF12" s="10">
        <v>1032</v>
      </c>
      <c r="GG12" s="10">
        <v>1008</v>
      </c>
      <c r="GH12" s="10">
        <v>988</v>
      </c>
      <c r="GI12" s="10">
        <v>992</v>
      </c>
      <c r="GJ12" s="10">
        <v>1003</v>
      </c>
      <c r="GK12" s="10">
        <v>1013</v>
      </c>
      <c r="GL12" s="10">
        <v>1030</v>
      </c>
      <c r="GM12" s="10">
        <v>1053</v>
      </c>
      <c r="GN12" s="10">
        <v>1076</v>
      </c>
      <c r="GO12" s="10">
        <v>1114</v>
      </c>
      <c r="GP12" s="10">
        <v>1131</v>
      </c>
      <c r="GQ12" s="10">
        <v>1176</v>
      </c>
      <c r="GR12" s="10">
        <v>1234</v>
      </c>
      <c r="GS12" s="10">
        <v>1249</v>
      </c>
    </row>
    <row r="13" spans="1:201" ht="15.75" customHeight="1">
      <c r="A13" s="51" t="s">
        <v>1835</v>
      </c>
      <c r="B13" s="10"/>
      <c r="C13" s="10"/>
      <c r="D13" s="10"/>
      <c r="E13" s="10"/>
      <c r="F13" s="10" t="s">
        <v>1827</v>
      </c>
      <c r="G13" s="10" t="s">
        <v>1827</v>
      </c>
      <c r="H13" s="10" t="s">
        <v>1827</v>
      </c>
      <c r="I13" s="10" t="s">
        <v>1827</v>
      </c>
      <c r="J13" s="10" t="s">
        <v>1827</v>
      </c>
      <c r="K13" s="10" t="s">
        <v>1827</v>
      </c>
      <c r="L13" s="10" t="s">
        <v>1827</v>
      </c>
      <c r="M13" s="10" t="s">
        <v>1827</v>
      </c>
      <c r="N13" s="10" t="s">
        <v>1827</v>
      </c>
      <c r="O13" s="10" t="s">
        <v>1827</v>
      </c>
      <c r="P13" s="10" t="s">
        <v>1827</v>
      </c>
      <c r="Q13" s="10" t="s">
        <v>1827</v>
      </c>
      <c r="R13" s="10" t="s">
        <v>1827</v>
      </c>
      <c r="S13" s="10" t="s">
        <v>1827</v>
      </c>
      <c r="T13" s="10" t="s">
        <v>1827</v>
      </c>
      <c r="U13" s="10" t="s">
        <v>1827</v>
      </c>
      <c r="V13" s="10" t="s">
        <v>1827</v>
      </c>
      <c r="W13" s="10" t="s">
        <v>1827</v>
      </c>
      <c r="X13" s="10" t="s">
        <v>1827</v>
      </c>
      <c r="Y13" s="10" t="s">
        <v>1827</v>
      </c>
      <c r="Z13" s="10" t="s">
        <v>1827</v>
      </c>
      <c r="AA13" s="10" t="s">
        <v>1827</v>
      </c>
      <c r="AB13" s="10" t="s">
        <v>1827</v>
      </c>
      <c r="AC13" s="10" t="s">
        <v>1827</v>
      </c>
      <c r="AD13" s="10" t="s">
        <v>1827</v>
      </c>
      <c r="AE13" s="10" t="s">
        <v>1827</v>
      </c>
      <c r="AF13" s="10" t="s">
        <v>1827</v>
      </c>
      <c r="AG13" s="10" t="s">
        <v>1827</v>
      </c>
      <c r="AH13" s="10" t="s">
        <v>1827</v>
      </c>
      <c r="AI13" s="10" t="s">
        <v>1827</v>
      </c>
      <c r="AJ13" s="10" t="s">
        <v>1827</v>
      </c>
      <c r="AK13" s="10" t="s">
        <v>1827</v>
      </c>
      <c r="AL13" s="10" t="s">
        <v>1827</v>
      </c>
      <c r="AM13" s="10" t="s">
        <v>1827</v>
      </c>
      <c r="AN13" s="10" t="s">
        <v>1827</v>
      </c>
      <c r="AO13" s="10" t="s">
        <v>1827</v>
      </c>
      <c r="AP13" s="10" t="s">
        <v>1827</v>
      </c>
      <c r="AQ13" s="10" t="s">
        <v>1827</v>
      </c>
      <c r="AR13" s="10" t="s">
        <v>1827</v>
      </c>
      <c r="AS13" s="10" t="s">
        <v>1827</v>
      </c>
      <c r="AT13" s="10" t="s">
        <v>1827</v>
      </c>
      <c r="AU13" s="10" t="s">
        <v>1827</v>
      </c>
      <c r="AV13" s="10" t="s">
        <v>1827</v>
      </c>
      <c r="AW13" s="10" t="s">
        <v>1827</v>
      </c>
      <c r="AX13" s="10" t="s">
        <v>1827</v>
      </c>
      <c r="AY13" s="10" t="s">
        <v>1827</v>
      </c>
      <c r="AZ13" s="10" t="s">
        <v>1827</v>
      </c>
      <c r="BA13" s="10" t="s">
        <v>1827</v>
      </c>
      <c r="BB13" s="10" t="s">
        <v>1827</v>
      </c>
      <c r="BC13" s="10" t="s">
        <v>1827</v>
      </c>
      <c r="BD13" s="10" t="s">
        <v>1827</v>
      </c>
      <c r="BE13" s="10" t="s">
        <v>1827</v>
      </c>
      <c r="BF13" s="10" t="s">
        <v>1827</v>
      </c>
      <c r="BG13" s="10" t="s">
        <v>1827</v>
      </c>
      <c r="BH13" s="10" t="s">
        <v>1827</v>
      </c>
      <c r="BI13" s="10" t="s">
        <v>1827</v>
      </c>
      <c r="BJ13" s="10" t="s">
        <v>1827</v>
      </c>
      <c r="BK13" s="10" t="s">
        <v>1827</v>
      </c>
      <c r="BL13" s="10" t="s">
        <v>1827</v>
      </c>
      <c r="BM13" s="10" t="s">
        <v>1827</v>
      </c>
      <c r="BN13" s="10" t="s">
        <v>1827</v>
      </c>
      <c r="BO13" s="10" t="s">
        <v>1827</v>
      </c>
      <c r="BP13" s="10" t="s">
        <v>1827</v>
      </c>
      <c r="BQ13" s="10" t="s">
        <v>1827</v>
      </c>
      <c r="BR13" s="10" t="s">
        <v>1827</v>
      </c>
      <c r="BS13" s="10" t="s">
        <v>1827</v>
      </c>
      <c r="BT13" s="10" t="s">
        <v>1827</v>
      </c>
      <c r="BU13" s="10" t="s">
        <v>1827</v>
      </c>
      <c r="BV13" s="10" t="s">
        <v>1827</v>
      </c>
      <c r="BW13" s="10" t="s">
        <v>1827</v>
      </c>
      <c r="BX13" s="10" t="s">
        <v>1827</v>
      </c>
      <c r="BY13" s="10" t="s">
        <v>1827</v>
      </c>
      <c r="BZ13" s="10" t="s">
        <v>1827</v>
      </c>
      <c r="CA13" s="10" t="s">
        <v>1827</v>
      </c>
      <c r="CB13" s="10" t="s">
        <v>1827</v>
      </c>
      <c r="CC13" s="10" t="s">
        <v>1827</v>
      </c>
      <c r="CD13" s="10" t="s">
        <v>1827</v>
      </c>
      <c r="CE13" s="10" t="s">
        <v>1827</v>
      </c>
      <c r="CF13" s="10" t="s">
        <v>1827</v>
      </c>
      <c r="CG13" s="10" t="s">
        <v>1827</v>
      </c>
      <c r="CH13" s="10" t="s">
        <v>1827</v>
      </c>
      <c r="CI13" s="10" t="s">
        <v>1827</v>
      </c>
      <c r="CJ13" s="10" t="s">
        <v>1827</v>
      </c>
      <c r="CK13" s="10" t="s">
        <v>1827</v>
      </c>
      <c r="CL13" s="10" t="s">
        <v>1827</v>
      </c>
      <c r="CM13" s="10" t="s">
        <v>1827</v>
      </c>
      <c r="CN13" s="10" t="s">
        <v>1827</v>
      </c>
      <c r="CO13" s="10" t="s">
        <v>1827</v>
      </c>
      <c r="CP13" s="10" t="s">
        <v>1827</v>
      </c>
      <c r="CQ13" s="10" t="s">
        <v>1827</v>
      </c>
      <c r="CR13" s="10" t="s">
        <v>1827</v>
      </c>
      <c r="CS13" s="10" t="s">
        <v>1827</v>
      </c>
      <c r="CT13" s="10" t="s">
        <v>1827</v>
      </c>
      <c r="CU13" s="10" t="s">
        <v>1827</v>
      </c>
      <c r="CV13" s="10" t="s">
        <v>1827</v>
      </c>
      <c r="CW13" s="10" t="s">
        <v>1827</v>
      </c>
      <c r="CX13" s="10" t="s">
        <v>1827</v>
      </c>
      <c r="CY13" s="10" t="s">
        <v>1827</v>
      </c>
      <c r="CZ13" s="10">
        <v>698.4</v>
      </c>
      <c r="DA13" s="10">
        <v>701.6</v>
      </c>
      <c r="DB13" s="10">
        <v>704</v>
      </c>
      <c r="DC13" s="10">
        <v>711.2</v>
      </c>
      <c r="DD13" s="10">
        <v>706.4</v>
      </c>
      <c r="DE13" s="10">
        <v>713.6</v>
      </c>
      <c r="DF13" s="10">
        <v>704</v>
      </c>
      <c r="DG13" s="10">
        <v>719.2</v>
      </c>
      <c r="DH13" s="10">
        <v>728.8</v>
      </c>
      <c r="DI13" s="10">
        <v>747.2</v>
      </c>
      <c r="DJ13" s="10">
        <v>746.4</v>
      </c>
      <c r="DK13" s="10">
        <v>752</v>
      </c>
      <c r="DL13" s="10">
        <v>752</v>
      </c>
      <c r="DM13" s="10">
        <v>757.6</v>
      </c>
      <c r="DN13" s="10">
        <v>764.8</v>
      </c>
      <c r="DO13" s="10">
        <v>772</v>
      </c>
      <c r="DP13" s="10">
        <v>776</v>
      </c>
      <c r="DQ13" s="10">
        <v>791.2</v>
      </c>
      <c r="DR13" s="10">
        <v>784</v>
      </c>
      <c r="DS13" s="10">
        <v>781.6</v>
      </c>
      <c r="DT13" s="10">
        <v>790.4</v>
      </c>
      <c r="DU13" s="10">
        <v>786.4</v>
      </c>
      <c r="DV13" s="10">
        <v>788</v>
      </c>
      <c r="DW13" s="10">
        <v>796.8</v>
      </c>
      <c r="DX13" s="10">
        <v>799.2</v>
      </c>
      <c r="DY13" s="10">
        <v>800.8</v>
      </c>
      <c r="DZ13" s="10">
        <v>800</v>
      </c>
      <c r="EA13" s="10">
        <v>805.6</v>
      </c>
      <c r="EB13" s="10">
        <v>800</v>
      </c>
      <c r="EC13" s="10">
        <v>804</v>
      </c>
      <c r="ED13" s="10">
        <v>818.4</v>
      </c>
      <c r="EE13" s="10">
        <v>828</v>
      </c>
      <c r="EF13" s="10">
        <v>825.6</v>
      </c>
      <c r="EG13" s="10">
        <v>837.6</v>
      </c>
      <c r="EH13" s="10">
        <v>847.2</v>
      </c>
      <c r="EI13" s="10">
        <v>854.4</v>
      </c>
      <c r="EJ13" s="10">
        <v>881.6</v>
      </c>
      <c r="EK13" s="10">
        <v>894.4</v>
      </c>
      <c r="EL13" s="10">
        <v>906.4</v>
      </c>
      <c r="EM13" s="10">
        <v>917.6</v>
      </c>
      <c r="EN13" s="10">
        <v>936.8</v>
      </c>
      <c r="EO13" s="10">
        <v>956.8</v>
      </c>
      <c r="EP13" s="10">
        <v>942.4</v>
      </c>
      <c r="EQ13" s="10">
        <v>941.6</v>
      </c>
      <c r="ER13" s="10">
        <v>938.4</v>
      </c>
      <c r="ES13" s="10">
        <v>949.6</v>
      </c>
      <c r="ET13" s="10">
        <v>983.2</v>
      </c>
      <c r="EU13" s="10">
        <v>993.6</v>
      </c>
      <c r="EV13" s="10">
        <v>1008</v>
      </c>
      <c r="EW13" s="10">
        <v>1014.4</v>
      </c>
      <c r="EX13" s="10">
        <v>1030.4000000000001</v>
      </c>
      <c r="EY13" s="10">
        <v>1028.8</v>
      </c>
      <c r="EZ13" s="10">
        <v>1038.4000000000001</v>
      </c>
      <c r="FA13" s="10">
        <v>1020</v>
      </c>
      <c r="FB13" s="10">
        <v>1023.2</v>
      </c>
      <c r="FC13" s="10">
        <v>1032</v>
      </c>
      <c r="FD13" s="10">
        <v>1017.6</v>
      </c>
      <c r="FE13" s="10">
        <v>1014.4</v>
      </c>
      <c r="FF13" s="10">
        <v>985.6</v>
      </c>
      <c r="FG13" s="10">
        <v>1006.4</v>
      </c>
      <c r="FH13" s="10">
        <v>985.6</v>
      </c>
      <c r="FI13" s="10">
        <v>982.4</v>
      </c>
      <c r="FJ13" s="10">
        <v>992</v>
      </c>
      <c r="FK13" s="10">
        <v>1006.4</v>
      </c>
      <c r="FL13" s="10">
        <v>1011.2</v>
      </c>
      <c r="FM13" s="10">
        <v>1015.2</v>
      </c>
      <c r="FN13" s="10">
        <v>1007.2</v>
      </c>
      <c r="FO13" s="10">
        <v>1016</v>
      </c>
      <c r="FP13" s="10">
        <v>1007.2</v>
      </c>
      <c r="FQ13" s="10">
        <v>1000</v>
      </c>
      <c r="FR13" s="10">
        <v>1004.8</v>
      </c>
      <c r="FS13" s="10">
        <v>1021.6</v>
      </c>
      <c r="FT13" s="10">
        <v>1000</v>
      </c>
      <c r="FU13" s="10">
        <v>1019.2</v>
      </c>
      <c r="FV13" s="10">
        <v>1023</v>
      </c>
      <c r="FW13" s="10">
        <v>1026</v>
      </c>
      <c r="FX13" s="10">
        <v>1026</v>
      </c>
      <c r="FY13" s="10">
        <v>1035</v>
      </c>
      <c r="FZ13" s="10">
        <v>1030</v>
      </c>
      <c r="GA13" s="10">
        <v>1041</v>
      </c>
      <c r="GB13" s="10">
        <v>1046</v>
      </c>
      <c r="GC13" s="10">
        <v>1054</v>
      </c>
      <c r="GD13" s="10">
        <v>1033</v>
      </c>
      <c r="GE13" s="10">
        <v>1063</v>
      </c>
      <c r="GF13" s="10">
        <v>1056</v>
      </c>
      <c r="GG13" s="10">
        <v>1049</v>
      </c>
      <c r="GH13" s="10">
        <v>1043</v>
      </c>
      <c r="GI13" s="10">
        <v>1058</v>
      </c>
      <c r="GJ13" s="10">
        <v>1057</v>
      </c>
      <c r="GK13" s="10">
        <v>1061</v>
      </c>
      <c r="GL13" s="10">
        <v>1059</v>
      </c>
      <c r="GM13" s="10">
        <v>1078</v>
      </c>
      <c r="GN13" s="10">
        <v>1105</v>
      </c>
      <c r="GO13" s="10">
        <v>1135</v>
      </c>
      <c r="GP13" s="10">
        <v>1151</v>
      </c>
      <c r="GQ13" s="10">
        <v>1220</v>
      </c>
      <c r="GR13" s="10">
        <v>1253</v>
      </c>
      <c r="GS13" s="10">
        <v>1259</v>
      </c>
    </row>
    <row r="14" spans="1:201" ht="15.75" customHeight="1">
      <c r="A14" s="51" t="s">
        <v>1836</v>
      </c>
      <c r="B14" s="10"/>
      <c r="C14" s="10"/>
      <c r="D14" s="10"/>
      <c r="E14" s="10"/>
      <c r="F14" s="10" t="s">
        <v>1827</v>
      </c>
      <c r="G14" s="10" t="s">
        <v>1827</v>
      </c>
      <c r="H14" s="10" t="s">
        <v>1827</v>
      </c>
      <c r="I14" s="10" t="s">
        <v>1827</v>
      </c>
      <c r="J14" s="10" t="s">
        <v>1827</v>
      </c>
      <c r="K14" s="10" t="s">
        <v>1827</v>
      </c>
      <c r="L14" s="10" t="s">
        <v>1827</v>
      </c>
      <c r="M14" s="10" t="s">
        <v>1827</v>
      </c>
      <c r="N14" s="10" t="s">
        <v>1827</v>
      </c>
      <c r="O14" s="10" t="s">
        <v>1827</v>
      </c>
      <c r="P14" s="10" t="s">
        <v>1827</v>
      </c>
      <c r="Q14" s="10" t="s">
        <v>1827</v>
      </c>
      <c r="R14" s="10" t="s">
        <v>1827</v>
      </c>
      <c r="S14" s="10" t="s">
        <v>1827</v>
      </c>
      <c r="T14" s="10" t="s">
        <v>1827</v>
      </c>
      <c r="U14" s="10" t="s">
        <v>1827</v>
      </c>
      <c r="V14" s="10" t="s">
        <v>1827</v>
      </c>
      <c r="W14" s="10" t="s">
        <v>1827</v>
      </c>
      <c r="X14" s="10" t="s">
        <v>1827</v>
      </c>
      <c r="Y14" s="10" t="s">
        <v>1827</v>
      </c>
      <c r="Z14" s="10" t="s">
        <v>1827</v>
      </c>
      <c r="AA14" s="10" t="s">
        <v>1827</v>
      </c>
      <c r="AB14" s="10" t="s">
        <v>1827</v>
      </c>
      <c r="AC14" s="10" t="s">
        <v>1827</v>
      </c>
      <c r="AD14" s="10" t="s">
        <v>1827</v>
      </c>
      <c r="AE14" s="10" t="s">
        <v>1827</v>
      </c>
      <c r="AF14" s="10" t="s">
        <v>1827</v>
      </c>
      <c r="AG14" s="10" t="s">
        <v>1827</v>
      </c>
      <c r="AH14" s="10" t="s">
        <v>1827</v>
      </c>
      <c r="AI14" s="10" t="s">
        <v>1827</v>
      </c>
      <c r="AJ14" s="10" t="s">
        <v>1827</v>
      </c>
      <c r="AK14" s="10" t="s">
        <v>1827</v>
      </c>
      <c r="AL14" s="10" t="s">
        <v>1827</v>
      </c>
      <c r="AM14" s="10" t="s">
        <v>1827</v>
      </c>
      <c r="AN14" s="10" t="s">
        <v>1827</v>
      </c>
      <c r="AO14" s="10" t="s">
        <v>1827</v>
      </c>
      <c r="AP14" s="10" t="s">
        <v>1827</v>
      </c>
      <c r="AQ14" s="10" t="s">
        <v>1827</v>
      </c>
      <c r="AR14" s="10" t="s">
        <v>1827</v>
      </c>
      <c r="AS14" s="10" t="s">
        <v>1827</v>
      </c>
      <c r="AT14" s="10" t="s">
        <v>1827</v>
      </c>
      <c r="AU14" s="10" t="s">
        <v>1827</v>
      </c>
      <c r="AV14" s="10" t="s">
        <v>1827</v>
      </c>
      <c r="AW14" s="10" t="s">
        <v>1827</v>
      </c>
      <c r="AX14" s="10" t="s">
        <v>1827</v>
      </c>
      <c r="AY14" s="10" t="s">
        <v>1827</v>
      </c>
      <c r="AZ14" s="10" t="s">
        <v>1827</v>
      </c>
      <c r="BA14" s="10" t="s">
        <v>1827</v>
      </c>
      <c r="BB14" s="10" t="s">
        <v>1827</v>
      </c>
      <c r="BC14" s="10" t="s">
        <v>1827</v>
      </c>
      <c r="BD14" s="10" t="s">
        <v>1827</v>
      </c>
      <c r="BE14" s="10" t="s">
        <v>1827</v>
      </c>
      <c r="BF14" s="10" t="s">
        <v>1827</v>
      </c>
      <c r="BG14" s="10" t="s">
        <v>1827</v>
      </c>
      <c r="BH14" s="10" t="s">
        <v>1827</v>
      </c>
      <c r="BI14" s="10" t="s">
        <v>1827</v>
      </c>
      <c r="BJ14" s="10" t="s">
        <v>1827</v>
      </c>
      <c r="BK14" s="10" t="s">
        <v>1827</v>
      </c>
      <c r="BL14" s="10" t="s">
        <v>1827</v>
      </c>
      <c r="BM14" s="10" t="s">
        <v>1827</v>
      </c>
      <c r="BN14" s="10" t="s">
        <v>1827</v>
      </c>
      <c r="BO14" s="10" t="s">
        <v>1827</v>
      </c>
      <c r="BP14" s="10" t="s">
        <v>1827</v>
      </c>
      <c r="BQ14" s="10" t="s">
        <v>1827</v>
      </c>
      <c r="BR14" s="10" t="s">
        <v>1827</v>
      </c>
      <c r="BS14" s="10" t="s">
        <v>1827</v>
      </c>
      <c r="BT14" s="10" t="s">
        <v>1827</v>
      </c>
      <c r="BU14" s="10" t="s">
        <v>1827</v>
      </c>
      <c r="BV14" s="10" t="s">
        <v>1827</v>
      </c>
      <c r="BW14" s="10" t="s">
        <v>1827</v>
      </c>
      <c r="BX14" s="10" t="s">
        <v>1827</v>
      </c>
      <c r="BY14" s="10" t="s">
        <v>1827</v>
      </c>
      <c r="BZ14" s="10" t="s">
        <v>1827</v>
      </c>
      <c r="CA14" s="10" t="s">
        <v>1827</v>
      </c>
      <c r="CB14" s="10" t="s">
        <v>1827</v>
      </c>
      <c r="CC14" s="10" t="s">
        <v>1827</v>
      </c>
      <c r="CD14" s="10" t="s">
        <v>1827</v>
      </c>
      <c r="CE14" s="10" t="s">
        <v>1827</v>
      </c>
      <c r="CF14" s="10" t="s">
        <v>1827</v>
      </c>
      <c r="CG14" s="10" t="s">
        <v>1827</v>
      </c>
      <c r="CH14" s="10" t="s">
        <v>1827</v>
      </c>
      <c r="CI14" s="10" t="s">
        <v>1827</v>
      </c>
      <c r="CJ14" s="10" t="s">
        <v>1827</v>
      </c>
      <c r="CK14" s="10" t="s">
        <v>1827</v>
      </c>
      <c r="CL14" s="10" t="s">
        <v>1827</v>
      </c>
      <c r="CM14" s="10" t="s">
        <v>1827</v>
      </c>
      <c r="CN14" s="10" t="s">
        <v>1827</v>
      </c>
      <c r="CO14" s="10" t="s">
        <v>1827</v>
      </c>
      <c r="CP14" s="10" t="s">
        <v>1827</v>
      </c>
      <c r="CQ14" s="10" t="s">
        <v>1827</v>
      </c>
      <c r="CR14" s="10" t="s">
        <v>1827</v>
      </c>
      <c r="CS14" s="10" t="s">
        <v>1827</v>
      </c>
      <c r="CT14" s="10" t="s">
        <v>1827</v>
      </c>
      <c r="CU14" s="10" t="s">
        <v>1827</v>
      </c>
      <c r="CV14" s="10" t="s">
        <v>1827</v>
      </c>
      <c r="CW14" s="10" t="s">
        <v>1827</v>
      </c>
      <c r="CX14" s="10" t="s">
        <v>1827</v>
      </c>
      <c r="CY14" s="10" t="s">
        <v>1827</v>
      </c>
      <c r="CZ14" s="10">
        <v>681.70830000000001</v>
      </c>
      <c r="DA14" s="10">
        <v>668.00967000000003</v>
      </c>
      <c r="DB14" s="10">
        <v>684.12570500000004</v>
      </c>
      <c r="DC14" s="10">
        <v>694.60112800000002</v>
      </c>
      <c r="DD14" s="10">
        <v>681.70830000000001</v>
      </c>
      <c r="DE14" s="10">
        <v>692.18372299999999</v>
      </c>
      <c r="DF14" s="10">
        <v>707.49395600000003</v>
      </c>
      <c r="DG14" s="10">
        <v>711.522965</v>
      </c>
      <c r="DH14" s="10">
        <v>694.60112800000002</v>
      </c>
      <c r="DI14" s="10">
        <v>692.98952499999996</v>
      </c>
      <c r="DJ14" s="10">
        <v>716.35777599999994</v>
      </c>
      <c r="DK14" s="10">
        <v>726.02739699999995</v>
      </c>
      <c r="DL14" s="10">
        <v>722.80418999999995</v>
      </c>
      <c r="DM14" s="10">
        <v>733.27961300000004</v>
      </c>
      <c r="DN14" s="10">
        <v>751.81305399999997</v>
      </c>
      <c r="DO14" s="10">
        <v>754.230459</v>
      </c>
      <c r="DP14" s="10">
        <v>763.09427900000003</v>
      </c>
      <c r="DQ14" s="10">
        <v>788.07413399999996</v>
      </c>
      <c r="DR14" s="10">
        <v>806.607575</v>
      </c>
      <c r="DS14" s="10">
        <v>806.607575</v>
      </c>
      <c r="DT14" s="10">
        <v>795.32635000000005</v>
      </c>
      <c r="DU14" s="10">
        <v>793.71474599999999</v>
      </c>
      <c r="DV14" s="10">
        <v>806.607575</v>
      </c>
      <c r="DW14" s="10">
        <v>809.830782</v>
      </c>
      <c r="DX14" s="10">
        <v>799.35535900000002</v>
      </c>
      <c r="DY14" s="10">
        <v>782.43352100000004</v>
      </c>
      <c r="DZ14" s="10">
        <v>799.35535900000002</v>
      </c>
      <c r="EA14" s="10">
        <v>821.11200599999995</v>
      </c>
      <c r="EB14" s="10">
        <v>805.80177300000003</v>
      </c>
      <c r="EC14" s="10">
        <v>813.053989</v>
      </c>
      <c r="ED14" s="10">
        <v>824.33521399999995</v>
      </c>
      <c r="EE14" s="10">
        <v>834.81063700000004</v>
      </c>
      <c r="EF14" s="10">
        <v>813.053989</v>
      </c>
      <c r="EG14" s="10">
        <v>812.24818700000003</v>
      </c>
      <c r="EH14" s="10">
        <v>828.36422200000004</v>
      </c>
      <c r="EI14" s="10">
        <v>828.36422200000004</v>
      </c>
      <c r="EJ14" s="10">
        <v>839.64544699999999</v>
      </c>
      <c r="EK14" s="10">
        <v>862.207897</v>
      </c>
      <c r="EL14" s="10">
        <v>894.43996800000002</v>
      </c>
      <c r="EM14" s="10">
        <v>912.16760699999998</v>
      </c>
      <c r="EN14" s="10">
        <v>925.86623699999996</v>
      </c>
      <c r="EO14" s="10">
        <v>942.78807400000005</v>
      </c>
      <c r="EP14" s="10">
        <v>952.45769499999994</v>
      </c>
      <c r="EQ14" s="10">
        <v>958.90410999999995</v>
      </c>
      <c r="ER14" s="10">
        <v>925.86623699999996</v>
      </c>
      <c r="ES14" s="10">
        <v>933.92425500000002</v>
      </c>
      <c r="ET14" s="10">
        <v>980.66075699999999</v>
      </c>
      <c r="EU14" s="10">
        <v>979.04915400000004</v>
      </c>
      <c r="EV14" s="10">
        <v>966.96212700000001</v>
      </c>
      <c r="EW14" s="10">
        <v>978.24335199999996</v>
      </c>
      <c r="EX14" s="10">
        <v>997.58259499999997</v>
      </c>
      <c r="EY14" s="10">
        <v>1012.892828</v>
      </c>
      <c r="EZ14" s="10">
        <v>987.91297299999997</v>
      </c>
      <c r="FA14" s="10">
        <v>994.35938799999997</v>
      </c>
      <c r="FB14" s="10">
        <v>1006.446414</v>
      </c>
      <c r="FC14" s="10">
        <v>1009.669621</v>
      </c>
      <c r="FD14" s="10">
        <v>995.97099100000003</v>
      </c>
      <c r="FE14" s="10">
        <v>986.30137000000002</v>
      </c>
      <c r="FF14" s="10">
        <v>1008.0580179999999</v>
      </c>
      <c r="FG14" s="10">
        <v>1010.475423</v>
      </c>
      <c r="FH14" s="10">
        <v>1001.6116040000001</v>
      </c>
      <c r="FI14" s="10">
        <v>979.85495600000002</v>
      </c>
      <c r="FJ14" s="10">
        <v>1010.475423</v>
      </c>
      <c r="FK14" s="10">
        <v>1004.029009</v>
      </c>
      <c r="FL14" s="10">
        <v>1000.805802</v>
      </c>
      <c r="FM14" s="10">
        <v>988.71877500000005</v>
      </c>
      <c r="FN14" s="10">
        <v>1011.2812249999999</v>
      </c>
      <c r="FO14" s="10">
        <v>1012.087027</v>
      </c>
      <c r="FP14" s="10">
        <v>1000</v>
      </c>
      <c r="FQ14" s="10">
        <v>1012.087027</v>
      </c>
      <c r="FR14" s="10">
        <v>1021.756648</v>
      </c>
      <c r="FS14" s="10">
        <v>1031.426269</v>
      </c>
      <c r="FT14" s="10">
        <v>1000</v>
      </c>
      <c r="FU14" s="10">
        <v>1013.69863</v>
      </c>
      <c r="FV14" s="10">
        <v>1034</v>
      </c>
      <c r="FW14" s="10">
        <v>1026</v>
      </c>
      <c r="FX14" s="10">
        <v>1014</v>
      </c>
      <c r="FY14" s="10">
        <v>999</v>
      </c>
      <c r="FZ14" s="10">
        <v>1017</v>
      </c>
      <c r="GA14" s="10">
        <v>1016</v>
      </c>
      <c r="GB14" s="10">
        <v>1006</v>
      </c>
      <c r="GC14" s="10">
        <v>986</v>
      </c>
      <c r="GD14" s="10">
        <v>998</v>
      </c>
      <c r="GE14" s="10">
        <v>1003</v>
      </c>
      <c r="GF14" s="10">
        <v>1030</v>
      </c>
      <c r="GG14" s="10">
        <v>987</v>
      </c>
      <c r="GH14" s="10">
        <v>1012</v>
      </c>
      <c r="GI14" s="10">
        <v>1018</v>
      </c>
      <c r="GJ14" s="10">
        <v>1012</v>
      </c>
      <c r="GK14" s="10">
        <v>1021</v>
      </c>
      <c r="GL14" s="10">
        <v>1063</v>
      </c>
      <c r="GM14" s="10">
        <v>1104</v>
      </c>
      <c r="GN14" s="10">
        <v>1111</v>
      </c>
      <c r="GO14" s="10">
        <v>1133</v>
      </c>
      <c r="GP14" s="10">
        <v>1190</v>
      </c>
      <c r="GQ14" s="10">
        <v>1218</v>
      </c>
      <c r="GR14" s="10">
        <v>1230</v>
      </c>
      <c r="GS14" s="10">
        <v>1226</v>
      </c>
    </row>
    <row r="15" spans="1:201" ht="15.75" customHeight="1">
      <c r="A15" s="51" t="s">
        <v>1837</v>
      </c>
      <c r="B15" s="10"/>
      <c r="C15" s="10"/>
      <c r="D15" s="10"/>
      <c r="E15" s="10"/>
      <c r="F15" s="10" t="s">
        <v>1827</v>
      </c>
      <c r="G15" s="10" t="s">
        <v>1827</v>
      </c>
      <c r="H15" s="10" t="s">
        <v>1827</v>
      </c>
      <c r="I15" s="10" t="s">
        <v>1827</v>
      </c>
      <c r="J15" s="10" t="s">
        <v>1827</v>
      </c>
      <c r="K15" s="10" t="s">
        <v>1827</v>
      </c>
      <c r="L15" s="10" t="s">
        <v>1827</v>
      </c>
      <c r="M15" s="10" t="s">
        <v>1827</v>
      </c>
      <c r="N15" s="10" t="s">
        <v>1827</v>
      </c>
      <c r="O15" s="10" t="s">
        <v>1827</v>
      </c>
      <c r="P15" s="10" t="s">
        <v>1827</v>
      </c>
      <c r="Q15" s="10" t="s">
        <v>1827</v>
      </c>
      <c r="R15" s="10" t="s">
        <v>1827</v>
      </c>
      <c r="S15" s="10" t="s">
        <v>1827</v>
      </c>
      <c r="T15" s="10" t="s">
        <v>1827</v>
      </c>
      <c r="U15" s="10" t="s">
        <v>1827</v>
      </c>
      <c r="V15" s="10" t="s">
        <v>1827</v>
      </c>
      <c r="W15" s="10" t="s">
        <v>1827</v>
      </c>
      <c r="X15" s="10" t="s">
        <v>1827</v>
      </c>
      <c r="Y15" s="10" t="s">
        <v>1827</v>
      </c>
      <c r="Z15" s="10" t="s">
        <v>1827</v>
      </c>
      <c r="AA15" s="10" t="s">
        <v>1827</v>
      </c>
      <c r="AB15" s="10" t="s">
        <v>1827</v>
      </c>
      <c r="AC15" s="10" t="s">
        <v>1827</v>
      </c>
      <c r="AD15" s="10" t="s">
        <v>1827</v>
      </c>
      <c r="AE15" s="10" t="s">
        <v>1827</v>
      </c>
      <c r="AF15" s="10" t="s">
        <v>1827</v>
      </c>
      <c r="AG15" s="10" t="s">
        <v>1827</v>
      </c>
      <c r="AH15" s="10" t="s">
        <v>1827</v>
      </c>
      <c r="AI15" s="10" t="s">
        <v>1827</v>
      </c>
      <c r="AJ15" s="10" t="s">
        <v>1827</v>
      </c>
      <c r="AK15" s="10" t="s">
        <v>1827</v>
      </c>
      <c r="AL15" s="10" t="s">
        <v>1827</v>
      </c>
      <c r="AM15" s="10">
        <v>295.34806099999997</v>
      </c>
      <c r="AN15" s="10">
        <v>302.44903799999997</v>
      </c>
      <c r="AO15" s="10">
        <v>312.706005</v>
      </c>
      <c r="AP15" s="10">
        <v>320.06998199999998</v>
      </c>
      <c r="AQ15" s="10">
        <v>337.99390099999999</v>
      </c>
      <c r="AR15" s="10">
        <v>351.11676999999997</v>
      </c>
      <c r="AS15" s="10">
        <v>370.32096999999999</v>
      </c>
      <c r="AT15" s="10">
        <v>406.488877</v>
      </c>
      <c r="AU15" s="10">
        <v>468.58245399999998</v>
      </c>
      <c r="AV15" s="10">
        <v>494.18805200000003</v>
      </c>
      <c r="AW15" s="10">
        <v>510.83169199999998</v>
      </c>
      <c r="AX15" s="10">
        <v>511.47183100000001</v>
      </c>
      <c r="AY15" s="10">
        <v>519.47358099999997</v>
      </c>
      <c r="AZ15" s="10">
        <v>547.31966899999998</v>
      </c>
      <c r="BA15" s="10">
        <v>543.79889900000001</v>
      </c>
      <c r="BB15" s="10">
        <v>590.52911700000004</v>
      </c>
      <c r="BC15" s="10">
        <v>589.24883699999998</v>
      </c>
      <c r="BD15" s="10">
        <v>573.88547800000003</v>
      </c>
      <c r="BE15" s="10">
        <v>575.80589799999996</v>
      </c>
      <c r="BF15" s="10">
        <v>570.36470799999995</v>
      </c>
      <c r="BG15" s="10">
        <v>560.762609</v>
      </c>
      <c r="BH15" s="10">
        <v>546.03939000000003</v>
      </c>
      <c r="BI15" s="10">
        <v>533.87672999999995</v>
      </c>
      <c r="BJ15" s="10">
        <v>535.79714999999999</v>
      </c>
      <c r="BK15" s="10">
        <v>533.11816399999998</v>
      </c>
      <c r="BL15" s="10">
        <v>541.15512200000001</v>
      </c>
      <c r="BM15" s="10">
        <v>558.30062999999996</v>
      </c>
      <c r="BN15" s="10">
        <v>575.44613900000002</v>
      </c>
      <c r="BO15" s="10">
        <v>580.80411100000003</v>
      </c>
      <c r="BP15" s="10">
        <v>582.41150200000004</v>
      </c>
      <c r="BQ15" s="10">
        <v>594.19903899999997</v>
      </c>
      <c r="BR15" s="10">
        <v>589.91266199999995</v>
      </c>
      <c r="BS15" s="10">
        <v>596.34222799999998</v>
      </c>
      <c r="BT15" s="10">
        <v>599.55701099999999</v>
      </c>
      <c r="BU15" s="10">
        <v>578.12512500000003</v>
      </c>
      <c r="BV15" s="10">
        <v>572.76715300000001</v>
      </c>
      <c r="BW15" s="10">
        <v>573.83874800000001</v>
      </c>
      <c r="BX15" s="10">
        <v>577.58932800000002</v>
      </c>
      <c r="BY15" s="10">
        <v>580.80411100000003</v>
      </c>
      <c r="BZ15" s="10">
        <v>568.48077599999999</v>
      </c>
      <c r="CA15" s="10">
        <v>562.05120999999997</v>
      </c>
      <c r="CB15" s="10">
        <v>566.33758799999998</v>
      </c>
      <c r="CC15" s="10">
        <v>563.65860199999997</v>
      </c>
      <c r="CD15" s="10">
        <v>565.80178999999998</v>
      </c>
      <c r="CE15" s="10">
        <v>559.57797000000005</v>
      </c>
      <c r="CF15" s="10">
        <v>556.74896200000001</v>
      </c>
      <c r="CG15" s="10">
        <v>593.52607799999998</v>
      </c>
      <c r="CH15" s="10">
        <v>708.38384199999996</v>
      </c>
      <c r="CI15" s="10">
        <v>723.66048899999998</v>
      </c>
      <c r="CJ15" s="10">
        <v>724.79209400000002</v>
      </c>
      <c r="CK15" s="10">
        <v>703.85742700000003</v>
      </c>
      <c r="CL15" s="10">
        <v>698.19940899999995</v>
      </c>
      <c r="CM15" s="10">
        <v>699.89681499999995</v>
      </c>
      <c r="CN15" s="10">
        <v>712.910256</v>
      </c>
      <c r="CO15" s="10">
        <v>718.56827399999997</v>
      </c>
      <c r="CP15" s="10">
        <v>724.79209400000002</v>
      </c>
      <c r="CQ15" s="10">
        <v>725.92369699999995</v>
      </c>
      <c r="CR15" s="10">
        <v>740.06874200000004</v>
      </c>
      <c r="CS15" s="10">
        <v>773.45104800000001</v>
      </c>
      <c r="CT15" s="10">
        <v>772.31944299999998</v>
      </c>
      <c r="CU15" s="10">
        <v>785.33288500000003</v>
      </c>
      <c r="CV15" s="10">
        <v>770.05623700000001</v>
      </c>
      <c r="CW15" s="10">
        <v>774.01684899999998</v>
      </c>
      <c r="CX15" s="10">
        <v>791.55670499999997</v>
      </c>
      <c r="CY15" s="10">
        <v>786.46448899999996</v>
      </c>
      <c r="CZ15" s="10">
        <v>770.62203799999997</v>
      </c>
      <c r="DA15" s="10">
        <v>773.70452699999998</v>
      </c>
      <c r="DB15" s="10">
        <v>777.557637</v>
      </c>
      <c r="DC15" s="10">
        <v>789.11696700000005</v>
      </c>
      <c r="DD15" s="10">
        <v>776.01639299999999</v>
      </c>
      <c r="DE15" s="10">
        <v>755.98021900000003</v>
      </c>
      <c r="DF15" s="10">
        <v>765.99830599999996</v>
      </c>
      <c r="DG15" s="10">
        <v>765.99830599999996</v>
      </c>
      <c r="DH15" s="10">
        <v>771.39265999999998</v>
      </c>
      <c r="DI15" s="10">
        <v>765.99830599999996</v>
      </c>
      <c r="DJ15" s="10">
        <v>765.22768399999995</v>
      </c>
      <c r="DK15" s="10">
        <v>779.09888100000001</v>
      </c>
      <c r="DL15" s="10">
        <v>759.06270800000004</v>
      </c>
      <c r="DM15" s="10">
        <v>758.29208600000004</v>
      </c>
      <c r="DN15" s="10">
        <v>773.70452699999998</v>
      </c>
      <c r="DO15" s="10">
        <v>762.14519600000006</v>
      </c>
      <c r="DP15" s="10">
        <v>760.60395200000005</v>
      </c>
      <c r="DQ15" s="10">
        <v>789.11696700000005</v>
      </c>
      <c r="DR15" s="10">
        <v>786.03447900000003</v>
      </c>
      <c r="DS15" s="10">
        <v>774.47514799999999</v>
      </c>
      <c r="DT15" s="10">
        <v>774.47514799999999</v>
      </c>
      <c r="DU15" s="10">
        <v>773.70452699999998</v>
      </c>
      <c r="DV15" s="10">
        <v>769.85141599999997</v>
      </c>
      <c r="DW15" s="10">
        <v>757.52146400000004</v>
      </c>
      <c r="DX15" s="10">
        <v>769.85141599999997</v>
      </c>
      <c r="DY15" s="10">
        <v>762.91581799999994</v>
      </c>
      <c r="DZ15" s="10">
        <v>788.34634500000004</v>
      </c>
      <c r="EA15" s="10">
        <v>806.841274</v>
      </c>
      <c r="EB15" s="10">
        <v>780.64012500000001</v>
      </c>
      <c r="EC15" s="10">
        <v>797.03356799999995</v>
      </c>
      <c r="ED15" s="10">
        <v>783.76268500000003</v>
      </c>
      <c r="EE15" s="10">
        <v>789.22716600000001</v>
      </c>
      <c r="EF15" s="10">
        <v>807.96252900000002</v>
      </c>
      <c r="EG15" s="10">
        <v>780.64012500000001</v>
      </c>
      <c r="EH15" s="10">
        <v>823.575332</v>
      </c>
      <c r="EI15" s="10">
        <v>843.87197500000002</v>
      </c>
      <c r="EJ15" s="10">
        <v>868.071819</v>
      </c>
      <c r="EK15" s="10">
        <v>865.72989900000005</v>
      </c>
      <c r="EL15" s="10">
        <v>902.419984</v>
      </c>
      <c r="EM15" s="10">
        <v>938.32943</v>
      </c>
      <c r="EN15" s="10">
        <v>971.89695600000005</v>
      </c>
      <c r="EO15" s="10">
        <v>950.81967199999997</v>
      </c>
      <c r="EP15" s="10">
        <v>949.25839199999996</v>
      </c>
      <c r="EQ15" s="10">
        <v>955.503513</v>
      </c>
      <c r="ER15" s="10">
        <v>911.007026</v>
      </c>
      <c r="ES15" s="10">
        <v>916.47150699999997</v>
      </c>
      <c r="ET15" s="10">
        <v>929.742389</v>
      </c>
      <c r="EU15" s="10">
        <v>971.89695600000005</v>
      </c>
      <c r="EV15" s="10">
        <v>1029.664325</v>
      </c>
      <c r="EW15" s="10">
        <v>1033.5675249999999</v>
      </c>
      <c r="EX15" s="10">
        <v>1049.9609680000001</v>
      </c>
      <c r="EY15" s="10">
        <v>1045.2771270000001</v>
      </c>
      <c r="EZ15" s="10">
        <v>1014.051522</v>
      </c>
      <c r="FA15" s="10">
        <v>1030.4449649999999</v>
      </c>
      <c r="FB15" s="10">
        <v>1012.490242</v>
      </c>
      <c r="FC15" s="10">
        <v>1017.9547229999999</v>
      </c>
      <c r="FD15" s="10">
        <v>1007.8064010000001</v>
      </c>
      <c r="FE15" s="10">
        <v>1024.9804839999999</v>
      </c>
      <c r="FF15" s="10">
        <v>1021.077283</v>
      </c>
      <c r="FG15" s="10">
        <v>1048.399688</v>
      </c>
      <c r="FH15" s="10">
        <v>1024.199844</v>
      </c>
      <c r="FI15" s="10">
        <v>1020.296643</v>
      </c>
      <c r="FJ15" s="10">
        <v>1045.2771270000001</v>
      </c>
      <c r="FK15" s="10">
        <v>1025.7611240000001</v>
      </c>
      <c r="FL15" s="10">
        <v>1039.8126460000001</v>
      </c>
      <c r="FM15" s="10">
        <v>993.75487899999996</v>
      </c>
      <c r="FN15" s="10">
        <v>985.94847800000002</v>
      </c>
      <c r="FO15" s="10">
        <v>973.45823600000006</v>
      </c>
      <c r="FP15" s="10">
        <v>988.29039799999998</v>
      </c>
      <c r="FQ15" s="10">
        <v>994.53551900000002</v>
      </c>
      <c r="FR15" s="10">
        <v>978.92271700000003</v>
      </c>
      <c r="FS15" s="10">
        <v>1007.8064010000001</v>
      </c>
      <c r="FT15" s="10">
        <v>1000</v>
      </c>
      <c r="FU15" s="10">
        <v>1027.322404</v>
      </c>
      <c r="FV15" s="10">
        <v>1026</v>
      </c>
      <c r="FW15" s="10">
        <v>1011</v>
      </c>
      <c r="FX15" s="10">
        <v>1009</v>
      </c>
      <c r="FY15" s="10">
        <v>1026</v>
      </c>
      <c r="FZ15" s="10">
        <v>1023</v>
      </c>
      <c r="GA15" s="10">
        <v>1025</v>
      </c>
      <c r="GB15" s="10">
        <v>1014</v>
      </c>
      <c r="GC15" s="10">
        <v>1032</v>
      </c>
      <c r="GD15" s="10">
        <v>1002</v>
      </c>
      <c r="GE15" s="10">
        <v>1022</v>
      </c>
      <c r="GF15" s="10">
        <v>991</v>
      </c>
      <c r="GG15" s="10">
        <v>987</v>
      </c>
      <c r="GH15" s="10">
        <v>980</v>
      </c>
      <c r="GI15" s="10">
        <v>994</v>
      </c>
      <c r="GJ15" s="10">
        <v>971</v>
      </c>
      <c r="GK15" s="10">
        <v>969</v>
      </c>
      <c r="GL15" s="10">
        <v>991</v>
      </c>
      <c r="GM15" s="10">
        <v>1023</v>
      </c>
      <c r="GN15" s="10">
        <v>1048</v>
      </c>
      <c r="GO15" s="10">
        <v>1050</v>
      </c>
      <c r="GP15" s="10">
        <v>1087</v>
      </c>
      <c r="GQ15" s="10">
        <v>1118</v>
      </c>
      <c r="GR15" s="10">
        <v>1174</v>
      </c>
      <c r="GS15" s="10">
        <v>1153</v>
      </c>
    </row>
    <row r="16" spans="1:201" ht="15.75" customHeight="1">
      <c r="A16" s="51" t="s">
        <v>1838</v>
      </c>
      <c r="B16" s="10"/>
      <c r="C16" s="10"/>
      <c r="D16" s="10"/>
      <c r="E16" s="10"/>
      <c r="F16" s="10" t="s">
        <v>1827</v>
      </c>
      <c r="G16" s="10" t="s">
        <v>1827</v>
      </c>
      <c r="H16" s="10" t="s">
        <v>1827</v>
      </c>
      <c r="I16" s="10" t="s">
        <v>1827</v>
      </c>
      <c r="J16" s="10" t="s">
        <v>1827</v>
      </c>
      <c r="K16" s="10" t="s">
        <v>1827</v>
      </c>
      <c r="L16" s="10" t="s">
        <v>1827</v>
      </c>
      <c r="M16" s="10" t="s">
        <v>1827</v>
      </c>
      <c r="N16" s="10" t="s">
        <v>1827</v>
      </c>
      <c r="O16" s="10" t="s">
        <v>1827</v>
      </c>
      <c r="P16" s="10" t="s">
        <v>1827</v>
      </c>
      <c r="Q16" s="10" t="s">
        <v>1827</v>
      </c>
      <c r="R16" s="10" t="s">
        <v>1827</v>
      </c>
      <c r="S16" s="10" t="s">
        <v>1827</v>
      </c>
      <c r="T16" s="10" t="s">
        <v>1827</v>
      </c>
      <c r="U16" s="10" t="s">
        <v>1827</v>
      </c>
      <c r="V16" s="10" t="s">
        <v>1827</v>
      </c>
      <c r="W16" s="10" t="s">
        <v>1827</v>
      </c>
      <c r="X16" s="10" t="s">
        <v>1827</v>
      </c>
      <c r="Y16" s="10" t="s">
        <v>1827</v>
      </c>
      <c r="Z16" s="10" t="s">
        <v>1827</v>
      </c>
      <c r="AA16" s="10" t="s">
        <v>1827</v>
      </c>
      <c r="AB16" s="10" t="s">
        <v>1827</v>
      </c>
      <c r="AC16" s="10" t="s">
        <v>1827</v>
      </c>
      <c r="AD16" s="10" t="s">
        <v>1827</v>
      </c>
      <c r="AE16" s="10" t="s">
        <v>1827</v>
      </c>
      <c r="AF16" s="10" t="s">
        <v>1827</v>
      </c>
      <c r="AG16" s="10" t="s">
        <v>1827</v>
      </c>
      <c r="AH16" s="10" t="s">
        <v>1827</v>
      </c>
      <c r="AI16" s="10" t="s">
        <v>1827</v>
      </c>
      <c r="AJ16" s="10" t="s">
        <v>1827</v>
      </c>
      <c r="AK16" s="10" t="s">
        <v>1827</v>
      </c>
      <c r="AL16" s="10" t="s">
        <v>1827</v>
      </c>
      <c r="AM16" s="10" t="s">
        <v>1827</v>
      </c>
      <c r="AN16" s="10" t="s">
        <v>1827</v>
      </c>
      <c r="AO16" s="10" t="s">
        <v>1827</v>
      </c>
      <c r="AP16" s="10" t="s">
        <v>1827</v>
      </c>
      <c r="AQ16" s="10" t="s">
        <v>1827</v>
      </c>
      <c r="AR16" s="10" t="s">
        <v>1827</v>
      </c>
      <c r="AS16" s="10" t="s">
        <v>1827</v>
      </c>
      <c r="AT16" s="10" t="s">
        <v>1827</v>
      </c>
      <c r="AU16" s="10" t="s">
        <v>1827</v>
      </c>
      <c r="AV16" s="10" t="s">
        <v>1827</v>
      </c>
      <c r="AW16" s="10" t="s">
        <v>1827</v>
      </c>
      <c r="AX16" s="10" t="s">
        <v>1827</v>
      </c>
      <c r="AY16" s="10" t="s">
        <v>1827</v>
      </c>
      <c r="AZ16" s="10" t="s">
        <v>1827</v>
      </c>
      <c r="BA16" s="10" t="s">
        <v>1827</v>
      </c>
      <c r="BB16" s="10" t="s">
        <v>1827</v>
      </c>
      <c r="BC16" s="10" t="s">
        <v>1827</v>
      </c>
      <c r="BD16" s="10" t="s">
        <v>1827</v>
      </c>
      <c r="BE16" s="10" t="s">
        <v>1827</v>
      </c>
      <c r="BF16" s="10" t="s">
        <v>1827</v>
      </c>
      <c r="BG16" s="10" t="s">
        <v>1827</v>
      </c>
      <c r="BH16" s="10" t="s">
        <v>1827</v>
      </c>
      <c r="BI16" s="10" t="s">
        <v>1827</v>
      </c>
      <c r="BJ16" s="10" t="s">
        <v>1827</v>
      </c>
      <c r="BK16" s="10" t="s">
        <v>1827</v>
      </c>
      <c r="BL16" s="10" t="s">
        <v>1827</v>
      </c>
      <c r="BM16" s="10" t="s">
        <v>1827</v>
      </c>
      <c r="BN16" s="10" t="s">
        <v>1827</v>
      </c>
      <c r="BO16" s="10" t="s">
        <v>1827</v>
      </c>
      <c r="BP16" s="10" t="s">
        <v>1827</v>
      </c>
      <c r="BQ16" s="10" t="s">
        <v>1827</v>
      </c>
      <c r="BR16" s="10" t="s">
        <v>1827</v>
      </c>
      <c r="BS16" s="10" t="s">
        <v>1827</v>
      </c>
      <c r="BT16" s="10" t="s">
        <v>1827</v>
      </c>
      <c r="BU16" s="10" t="s">
        <v>1827</v>
      </c>
      <c r="BV16" s="10" t="s">
        <v>1827</v>
      </c>
      <c r="BW16" s="10" t="s">
        <v>1827</v>
      </c>
      <c r="BX16" s="10" t="s">
        <v>1827</v>
      </c>
      <c r="BY16" s="10" t="s">
        <v>1827</v>
      </c>
      <c r="BZ16" s="10" t="s">
        <v>1827</v>
      </c>
      <c r="CA16" s="10" t="s">
        <v>1827</v>
      </c>
      <c r="CB16" s="10" t="s">
        <v>1827</v>
      </c>
      <c r="CC16" s="10" t="s">
        <v>1827</v>
      </c>
      <c r="CD16" s="10" t="s">
        <v>1827</v>
      </c>
      <c r="CE16" s="10" t="s">
        <v>1827</v>
      </c>
      <c r="CF16" s="10" t="s">
        <v>1827</v>
      </c>
      <c r="CG16" s="10" t="s">
        <v>1827</v>
      </c>
      <c r="CH16" s="10" t="s">
        <v>1827</v>
      </c>
      <c r="CI16" s="10" t="s">
        <v>1827</v>
      </c>
      <c r="CJ16" s="10" t="s">
        <v>1827</v>
      </c>
      <c r="CK16" s="10" t="s">
        <v>1827</v>
      </c>
      <c r="CL16" s="10" t="s">
        <v>1827</v>
      </c>
      <c r="CM16" s="10" t="s">
        <v>1827</v>
      </c>
      <c r="CN16" s="10" t="s">
        <v>1827</v>
      </c>
      <c r="CO16" s="10" t="s">
        <v>1827</v>
      </c>
      <c r="CP16" s="10" t="s">
        <v>1827</v>
      </c>
      <c r="CQ16" s="10" t="s">
        <v>1827</v>
      </c>
      <c r="CR16" s="10" t="s">
        <v>1827</v>
      </c>
      <c r="CS16" s="10" t="s">
        <v>1827</v>
      </c>
      <c r="CT16" s="10" t="s">
        <v>1827</v>
      </c>
      <c r="CU16" s="10" t="s">
        <v>1827</v>
      </c>
      <c r="CV16" s="10" t="s">
        <v>1827</v>
      </c>
      <c r="CW16" s="10" t="s">
        <v>1827</v>
      </c>
      <c r="CX16" s="10" t="s">
        <v>1827</v>
      </c>
      <c r="CY16" s="10" t="s">
        <v>1827</v>
      </c>
      <c r="CZ16" s="10">
        <v>680.43647699999997</v>
      </c>
      <c r="DA16" s="10">
        <v>679.65705400000002</v>
      </c>
      <c r="DB16" s="10">
        <v>681.21590000000003</v>
      </c>
      <c r="DC16" s="10">
        <v>681.21590000000003</v>
      </c>
      <c r="DD16" s="10">
        <v>677.31878400000005</v>
      </c>
      <c r="DE16" s="10">
        <v>672.642245</v>
      </c>
      <c r="DF16" s="10">
        <v>671.08339799999999</v>
      </c>
      <c r="DG16" s="10">
        <v>676.53936099999999</v>
      </c>
      <c r="DH16" s="10">
        <v>681.99532299999998</v>
      </c>
      <c r="DI16" s="10">
        <v>681.21590000000003</v>
      </c>
      <c r="DJ16" s="10">
        <v>697.58378800000003</v>
      </c>
      <c r="DK16" s="10">
        <v>702.26032699999996</v>
      </c>
      <c r="DL16" s="10">
        <v>711.61340600000005</v>
      </c>
      <c r="DM16" s="10">
        <v>721.74590799999999</v>
      </c>
      <c r="DN16" s="10">
        <v>711.61340600000005</v>
      </c>
      <c r="DO16" s="10">
        <v>716.28994499999999</v>
      </c>
      <c r="DP16" s="10">
        <v>730.31956400000001</v>
      </c>
      <c r="DQ16" s="10">
        <v>731.87841000000003</v>
      </c>
      <c r="DR16" s="10">
        <v>720.18706199999997</v>
      </c>
      <c r="DS16" s="10">
        <v>733.43725600000005</v>
      </c>
      <c r="DT16" s="10">
        <v>743.56975799999998</v>
      </c>
      <c r="DU16" s="10">
        <v>742.01091199999996</v>
      </c>
      <c r="DV16" s="10">
        <v>738.89321900000004</v>
      </c>
      <c r="DW16" s="10">
        <v>746.68745100000001</v>
      </c>
      <c r="DX16" s="10">
        <v>752.14341400000001</v>
      </c>
      <c r="DY16" s="10">
        <v>766.17303200000003</v>
      </c>
      <c r="DZ16" s="10">
        <v>763.055339</v>
      </c>
      <c r="EA16" s="10">
        <v>773.18784100000005</v>
      </c>
      <c r="EB16" s="10">
        <v>779.423227</v>
      </c>
      <c r="EC16" s="10">
        <v>778.64380400000005</v>
      </c>
      <c r="ED16" s="10">
        <v>775.52611100000001</v>
      </c>
      <c r="EE16" s="10">
        <v>802.02650000000006</v>
      </c>
      <c r="EF16" s="10">
        <v>805.92361700000004</v>
      </c>
      <c r="EG16" s="10">
        <v>805.14419299999997</v>
      </c>
      <c r="EH16" s="10">
        <v>809.82073300000002</v>
      </c>
      <c r="EI16" s="10">
        <v>837.87996899999996</v>
      </c>
      <c r="EJ16" s="10">
        <v>837.10054600000001</v>
      </c>
      <c r="EK16" s="10">
        <v>850.35073999999997</v>
      </c>
      <c r="EL16" s="10">
        <v>848.79189399999996</v>
      </c>
      <c r="EM16" s="10">
        <v>878.40997700000003</v>
      </c>
      <c r="EN16" s="10">
        <v>886.20420899999999</v>
      </c>
      <c r="EO16" s="10">
        <v>916.60171500000001</v>
      </c>
      <c r="EP16" s="10">
        <v>919.71940800000004</v>
      </c>
      <c r="EQ16" s="10">
        <v>914.26344500000005</v>
      </c>
      <c r="ER16" s="10">
        <v>922.83710099999996</v>
      </c>
      <c r="ES16" s="10">
        <v>918.16056100000003</v>
      </c>
      <c r="ET16" s="10">
        <v>945.44037400000002</v>
      </c>
      <c r="EU16" s="10">
        <v>951.67575999999997</v>
      </c>
      <c r="EV16" s="10">
        <v>981.29384300000004</v>
      </c>
      <c r="EW16" s="10">
        <v>979.73499600000002</v>
      </c>
      <c r="EX16" s="10">
        <v>971.16134099999999</v>
      </c>
      <c r="EY16" s="10">
        <v>968.82307100000003</v>
      </c>
      <c r="EZ16" s="10">
        <v>966.48480099999995</v>
      </c>
      <c r="FA16" s="10">
        <v>968.82307100000003</v>
      </c>
      <c r="FB16" s="10">
        <v>971.16134099999999</v>
      </c>
      <c r="FC16" s="10">
        <v>982.07326599999999</v>
      </c>
      <c r="FD16" s="10">
        <v>983.63211200000001</v>
      </c>
      <c r="FE16" s="10">
        <v>987.52922799999999</v>
      </c>
      <c r="FF16" s="10">
        <v>995.32346099999995</v>
      </c>
      <c r="FG16" s="10">
        <v>1001.558846</v>
      </c>
      <c r="FH16" s="10">
        <v>1000</v>
      </c>
      <c r="FI16" s="10">
        <v>1004.676539</v>
      </c>
      <c r="FJ16" s="10">
        <v>991.42634499999997</v>
      </c>
      <c r="FK16" s="10">
        <v>1009.353079</v>
      </c>
      <c r="FL16" s="10">
        <v>1020.265004</v>
      </c>
      <c r="FM16" s="10">
        <v>1028.838659</v>
      </c>
      <c r="FN16" s="10">
        <v>1014.029618</v>
      </c>
      <c r="FO16" s="10">
        <v>1020.265004</v>
      </c>
      <c r="FP16" s="10">
        <v>1018.706157</v>
      </c>
      <c r="FQ16" s="10">
        <v>1019.485581</v>
      </c>
      <c r="FR16" s="10">
        <v>1006.2353859999999</v>
      </c>
      <c r="FS16" s="10">
        <v>1020.265004</v>
      </c>
      <c r="FT16" s="10">
        <v>1000</v>
      </c>
      <c r="FU16" s="10">
        <v>1017.1473109999999</v>
      </c>
      <c r="FV16" s="10">
        <v>1012</v>
      </c>
      <c r="FW16" s="10">
        <v>1017</v>
      </c>
      <c r="FX16" s="10">
        <v>1042</v>
      </c>
      <c r="FY16" s="10">
        <v>1048</v>
      </c>
      <c r="FZ16" s="10">
        <v>1018</v>
      </c>
      <c r="GA16" s="10">
        <v>1029</v>
      </c>
      <c r="GB16" s="10">
        <v>1042</v>
      </c>
      <c r="GC16" s="10">
        <v>1055</v>
      </c>
      <c r="GD16" s="10">
        <v>1048</v>
      </c>
      <c r="GE16" s="10">
        <v>1058</v>
      </c>
      <c r="GF16" s="10">
        <v>1079</v>
      </c>
      <c r="GG16" s="10">
        <v>1078</v>
      </c>
      <c r="GH16" s="10">
        <v>1071</v>
      </c>
      <c r="GI16" s="10">
        <v>1072</v>
      </c>
      <c r="GJ16" s="10">
        <v>1073</v>
      </c>
      <c r="GK16" s="10">
        <v>1084</v>
      </c>
      <c r="GL16" s="10">
        <v>1074</v>
      </c>
      <c r="GM16" s="10">
        <v>1095</v>
      </c>
      <c r="GN16" s="10">
        <v>1099</v>
      </c>
      <c r="GO16" s="10">
        <v>1123</v>
      </c>
      <c r="GP16" s="10">
        <v>1152</v>
      </c>
      <c r="GQ16" s="10">
        <v>1178</v>
      </c>
      <c r="GR16" s="10">
        <v>1201</v>
      </c>
      <c r="GS16" s="10">
        <v>1219</v>
      </c>
    </row>
    <row r="17" spans="1:201" ht="15.75" customHeight="1">
      <c r="A17" s="51" t="s">
        <v>1839</v>
      </c>
      <c r="B17" s="10"/>
      <c r="C17" s="10"/>
      <c r="D17" s="10"/>
      <c r="E17" s="10"/>
      <c r="F17" s="10" t="s">
        <v>1827</v>
      </c>
      <c r="G17" s="10" t="s">
        <v>1827</v>
      </c>
      <c r="H17" s="10" t="s">
        <v>1827</v>
      </c>
      <c r="I17" s="10" t="s">
        <v>1827</v>
      </c>
      <c r="J17" s="10" t="s">
        <v>1827</v>
      </c>
      <c r="K17" s="10" t="s">
        <v>1827</v>
      </c>
      <c r="L17" s="10" t="s">
        <v>1827</v>
      </c>
      <c r="M17" s="10" t="s">
        <v>1827</v>
      </c>
      <c r="N17" s="10" t="s">
        <v>1827</v>
      </c>
      <c r="O17" s="10" t="s">
        <v>1827</v>
      </c>
      <c r="P17" s="10" t="s">
        <v>1827</v>
      </c>
      <c r="Q17" s="10" t="s">
        <v>1827</v>
      </c>
      <c r="R17" s="10" t="s">
        <v>1827</v>
      </c>
      <c r="S17" s="10" t="s">
        <v>1827</v>
      </c>
      <c r="T17" s="10" t="s">
        <v>1827</v>
      </c>
      <c r="U17" s="10" t="s">
        <v>1827</v>
      </c>
      <c r="V17" s="10" t="s">
        <v>1827</v>
      </c>
      <c r="W17" s="10" t="s">
        <v>1827</v>
      </c>
      <c r="X17" s="10" t="s">
        <v>1827</v>
      </c>
      <c r="Y17" s="10" t="s">
        <v>1827</v>
      </c>
      <c r="Z17" s="10" t="s">
        <v>1827</v>
      </c>
      <c r="AA17" s="10" t="s">
        <v>1827</v>
      </c>
      <c r="AB17" s="10" t="s">
        <v>1827</v>
      </c>
      <c r="AC17" s="10" t="s">
        <v>1827</v>
      </c>
      <c r="AD17" s="10" t="s">
        <v>1827</v>
      </c>
      <c r="AE17" s="10" t="s">
        <v>1827</v>
      </c>
      <c r="AF17" s="10" t="s">
        <v>1827</v>
      </c>
      <c r="AG17" s="10" t="s">
        <v>1827</v>
      </c>
      <c r="AH17" s="10" t="s">
        <v>1827</v>
      </c>
      <c r="AI17" s="10" t="s">
        <v>1827</v>
      </c>
      <c r="AJ17" s="10" t="s">
        <v>1827</v>
      </c>
      <c r="AK17" s="10" t="s">
        <v>1827</v>
      </c>
      <c r="AL17" s="10" t="s">
        <v>1827</v>
      </c>
      <c r="AM17" s="10" t="s">
        <v>1827</v>
      </c>
      <c r="AN17" s="10" t="s">
        <v>1827</v>
      </c>
      <c r="AO17" s="10" t="s">
        <v>1827</v>
      </c>
      <c r="AP17" s="10" t="s">
        <v>1827</v>
      </c>
      <c r="AQ17" s="10" t="s">
        <v>1827</v>
      </c>
      <c r="AR17" s="10" t="s">
        <v>1827</v>
      </c>
      <c r="AS17" s="10" t="s">
        <v>1827</v>
      </c>
      <c r="AT17" s="10" t="s">
        <v>1827</v>
      </c>
      <c r="AU17" s="10" t="s">
        <v>1827</v>
      </c>
      <c r="AV17" s="10" t="s">
        <v>1827</v>
      </c>
      <c r="AW17" s="10">
        <v>338.29230200000001</v>
      </c>
      <c r="AX17" s="10">
        <v>348.98929199999998</v>
      </c>
      <c r="AY17" s="10">
        <v>361.02340500000003</v>
      </c>
      <c r="AZ17" s="10">
        <v>376.80146500000001</v>
      </c>
      <c r="BA17" s="10">
        <v>386.69618100000002</v>
      </c>
      <c r="BB17" s="10">
        <v>438.84400599999998</v>
      </c>
      <c r="BC17" s="10">
        <v>453.017517</v>
      </c>
      <c r="BD17" s="10">
        <v>466.92360500000001</v>
      </c>
      <c r="BE17" s="10">
        <v>473.87664799999999</v>
      </c>
      <c r="BF17" s="10">
        <v>484.57363800000002</v>
      </c>
      <c r="BG17" s="10">
        <v>494.73577799999998</v>
      </c>
      <c r="BH17" s="10">
        <v>502.22367000000003</v>
      </c>
      <c r="BI17" s="10">
        <v>508.37443999999999</v>
      </c>
      <c r="BJ17" s="10">
        <v>514.52520900000002</v>
      </c>
      <c r="BK17" s="10">
        <v>519.155936</v>
      </c>
      <c r="BL17" s="10">
        <v>524.30118800000002</v>
      </c>
      <c r="BM17" s="10">
        <v>541.28052000000002</v>
      </c>
      <c r="BN17" s="10">
        <v>553.62912500000004</v>
      </c>
      <c r="BO17" s="10">
        <v>561.34700299999997</v>
      </c>
      <c r="BP17" s="10">
        <v>568.55035599999997</v>
      </c>
      <c r="BQ17" s="10">
        <v>576.26823400000001</v>
      </c>
      <c r="BR17" s="10">
        <v>579.869911</v>
      </c>
      <c r="BS17" s="10">
        <v>588.10231399999998</v>
      </c>
      <c r="BT17" s="10">
        <v>590.67493999999999</v>
      </c>
      <c r="BU17" s="10">
        <v>591.18946500000004</v>
      </c>
      <c r="BV17" s="10">
        <v>591.70398999999998</v>
      </c>
      <c r="BW17" s="10">
        <v>592.73304099999996</v>
      </c>
      <c r="BX17" s="10">
        <v>595.82019200000002</v>
      </c>
      <c r="BY17" s="10">
        <v>596.849242</v>
      </c>
      <c r="BZ17" s="10">
        <v>598.90734299999997</v>
      </c>
      <c r="CA17" s="10">
        <v>598.90734299999997</v>
      </c>
      <c r="CB17" s="10">
        <v>600.96544400000005</v>
      </c>
      <c r="CC17" s="10">
        <v>602.50901999999996</v>
      </c>
      <c r="CD17" s="10">
        <v>601.99449500000003</v>
      </c>
      <c r="CE17" s="10">
        <v>604.40247299999999</v>
      </c>
      <c r="CF17" s="10">
        <v>607.41244500000005</v>
      </c>
      <c r="CG17" s="10">
        <v>611.02441199999998</v>
      </c>
      <c r="CH17" s="10">
        <v>613.43239000000005</v>
      </c>
      <c r="CI17" s="10">
        <v>617.64635199999998</v>
      </c>
      <c r="CJ17" s="10">
        <v>621.25831800000003</v>
      </c>
      <c r="CK17" s="10">
        <v>624.87028599999996</v>
      </c>
      <c r="CL17" s="10">
        <v>624.26829099999998</v>
      </c>
      <c r="CM17" s="10">
        <v>627.88025800000003</v>
      </c>
      <c r="CN17" s="10">
        <v>629.686241</v>
      </c>
      <c r="CO17" s="10">
        <v>630.89022999999997</v>
      </c>
      <c r="CP17" s="10">
        <v>633.29820800000005</v>
      </c>
      <c r="CQ17" s="10">
        <v>636.91017499999998</v>
      </c>
      <c r="CR17" s="10">
        <v>639.92014800000004</v>
      </c>
      <c r="CS17" s="10">
        <v>645.94009200000005</v>
      </c>
      <c r="CT17" s="10">
        <v>649.55205999999998</v>
      </c>
      <c r="CU17" s="10">
        <v>652.56203200000004</v>
      </c>
      <c r="CV17" s="10">
        <v>653.76602100000002</v>
      </c>
      <c r="CW17" s="10">
        <v>657.37798799999996</v>
      </c>
      <c r="CX17" s="10">
        <v>659.18397100000004</v>
      </c>
      <c r="CY17" s="10">
        <v>659.78596600000003</v>
      </c>
      <c r="CZ17" s="10">
        <v>662.79593899999998</v>
      </c>
      <c r="DA17" s="10">
        <v>664.12153000000001</v>
      </c>
      <c r="DB17" s="10">
        <v>669.42389800000001</v>
      </c>
      <c r="DC17" s="10">
        <v>670.74948900000004</v>
      </c>
      <c r="DD17" s="10">
        <v>674.72626500000001</v>
      </c>
      <c r="DE17" s="10">
        <v>679.36583700000006</v>
      </c>
      <c r="DF17" s="10">
        <v>682.01702</v>
      </c>
      <c r="DG17" s="10">
        <v>687.319388</v>
      </c>
      <c r="DH17" s="10">
        <v>691.29616399999998</v>
      </c>
      <c r="DI17" s="10">
        <v>696.59853099999998</v>
      </c>
      <c r="DJ17" s="10">
        <v>699.24971500000004</v>
      </c>
      <c r="DK17" s="10">
        <v>707.86606200000006</v>
      </c>
      <c r="DL17" s="10">
        <v>711.84283800000003</v>
      </c>
      <c r="DM17" s="10">
        <v>713.16842999999994</v>
      </c>
      <c r="DN17" s="10">
        <v>719.13359300000002</v>
      </c>
      <c r="DO17" s="10">
        <v>721.78477699999996</v>
      </c>
      <c r="DP17" s="10">
        <v>720.45918500000005</v>
      </c>
      <c r="DQ17" s="10">
        <v>723.11036899999999</v>
      </c>
      <c r="DR17" s="10">
        <v>725.76155200000005</v>
      </c>
      <c r="DS17" s="10">
        <v>730.40112399999998</v>
      </c>
      <c r="DT17" s="10">
        <v>733.05230800000004</v>
      </c>
      <c r="DU17" s="10">
        <v>734.37789999999995</v>
      </c>
      <c r="DV17" s="10">
        <v>739.68026699999996</v>
      </c>
      <c r="DW17" s="10">
        <v>741.66865499999994</v>
      </c>
      <c r="DX17" s="10">
        <v>742.33145100000002</v>
      </c>
      <c r="DY17" s="10">
        <v>743.65704300000004</v>
      </c>
      <c r="DZ17" s="10">
        <v>748.95941100000005</v>
      </c>
      <c r="EA17" s="10">
        <v>752.93618600000002</v>
      </c>
      <c r="EB17" s="10">
        <v>757.57575799999995</v>
      </c>
      <c r="EC17" s="10">
        <v>762.87878799999999</v>
      </c>
      <c r="ED17" s="10">
        <v>768.18181800000002</v>
      </c>
      <c r="EE17" s="10">
        <v>775</v>
      </c>
      <c r="EF17" s="10">
        <v>780.30303000000004</v>
      </c>
      <c r="EG17" s="10">
        <v>785.60606099999995</v>
      </c>
      <c r="EH17" s="10">
        <v>790.90909099999999</v>
      </c>
      <c r="EI17" s="10">
        <v>796.969697</v>
      </c>
      <c r="EJ17" s="10">
        <v>811.36363600000004</v>
      </c>
      <c r="EK17" s="10">
        <v>821.969697</v>
      </c>
      <c r="EL17" s="10">
        <v>832.57575799999995</v>
      </c>
      <c r="EM17" s="10">
        <v>841.66666699999996</v>
      </c>
      <c r="EN17" s="10">
        <v>849.24242400000003</v>
      </c>
      <c r="EO17" s="10">
        <v>851.51515199999994</v>
      </c>
      <c r="EP17" s="10">
        <v>856.81818199999998</v>
      </c>
      <c r="EQ17" s="10">
        <v>859.84848499999998</v>
      </c>
      <c r="ER17" s="10">
        <v>862.87878799999999</v>
      </c>
      <c r="ES17" s="10">
        <v>868.93939399999999</v>
      </c>
      <c r="ET17" s="10">
        <v>891.66666699999996</v>
      </c>
      <c r="EU17" s="10">
        <v>895.45454500000005</v>
      </c>
      <c r="EV17" s="10">
        <v>900.75757599999997</v>
      </c>
      <c r="EW17" s="10">
        <v>906.06060600000001</v>
      </c>
      <c r="EX17" s="10">
        <v>911.36363600000004</v>
      </c>
      <c r="EY17" s="10">
        <v>912.12121200000001</v>
      </c>
      <c r="EZ17" s="10">
        <v>916.66666699999996</v>
      </c>
      <c r="FA17" s="10">
        <v>922.72727299999997</v>
      </c>
      <c r="FB17" s="10">
        <v>923.48484800000006</v>
      </c>
      <c r="FC17" s="10">
        <v>930.30303000000004</v>
      </c>
      <c r="FD17" s="10">
        <v>933.33333300000004</v>
      </c>
      <c r="FE17" s="10">
        <v>937.12121200000001</v>
      </c>
      <c r="FF17" s="10">
        <v>942.42424200000005</v>
      </c>
      <c r="FG17" s="10">
        <v>943.93939399999999</v>
      </c>
      <c r="FH17" s="10">
        <v>949.24242400000003</v>
      </c>
      <c r="FI17" s="10">
        <v>953.030303</v>
      </c>
      <c r="FJ17" s="10">
        <v>955.30303000000004</v>
      </c>
      <c r="FK17" s="10">
        <v>958.33333300000004</v>
      </c>
      <c r="FL17" s="10">
        <v>964.39393900000005</v>
      </c>
      <c r="FM17" s="10">
        <v>968.18181800000002</v>
      </c>
      <c r="FN17" s="10">
        <v>974.24242400000003</v>
      </c>
      <c r="FO17" s="10">
        <v>978.78787899999998</v>
      </c>
      <c r="FP17" s="10">
        <v>981.06060600000001</v>
      </c>
      <c r="FQ17" s="10">
        <v>987.12121200000001</v>
      </c>
      <c r="FR17" s="10">
        <v>991.66666699999996</v>
      </c>
      <c r="FS17" s="10">
        <v>993.93939399999999</v>
      </c>
      <c r="FT17" s="10">
        <v>1000</v>
      </c>
      <c r="FU17" s="10">
        <v>1012.121212</v>
      </c>
      <c r="FV17" s="10">
        <v>1017</v>
      </c>
      <c r="FW17" s="10">
        <v>1022</v>
      </c>
      <c r="FX17" s="10">
        <v>1029</v>
      </c>
      <c r="FY17" s="10">
        <v>1034</v>
      </c>
      <c r="FZ17" s="10">
        <v>1039</v>
      </c>
      <c r="GA17" s="10">
        <v>1044</v>
      </c>
      <c r="GB17" s="10">
        <v>1054</v>
      </c>
      <c r="GC17" s="10">
        <v>1067</v>
      </c>
      <c r="GD17" s="10">
        <v>1073</v>
      </c>
      <c r="GE17" s="10">
        <v>1084</v>
      </c>
      <c r="GF17" s="10">
        <v>1096</v>
      </c>
      <c r="GG17" s="10">
        <v>1106</v>
      </c>
      <c r="GH17" s="10">
        <v>1112</v>
      </c>
      <c r="GI17" s="10">
        <v>1120</v>
      </c>
      <c r="GJ17" s="10">
        <v>1138</v>
      </c>
      <c r="GK17" s="10">
        <v>1153</v>
      </c>
      <c r="GL17" s="10">
        <v>1163</v>
      </c>
      <c r="GM17" s="10">
        <v>1167</v>
      </c>
      <c r="GN17" s="10">
        <v>1192</v>
      </c>
      <c r="GO17" s="10">
        <v>1211</v>
      </c>
      <c r="GP17" s="10">
        <v>1224</v>
      </c>
      <c r="GQ17" s="10">
        <v>1240</v>
      </c>
      <c r="GR17" s="10">
        <v>1278</v>
      </c>
      <c r="GS17" s="10">
        <v>1304</v>
      </c>
    </row>
    <row r="18" spans="1:201" ht="15.75" customHeight="1">
      <c r="A18" s="51" t="s">
        <v>1840</v>
      </c>
      <c r="B18" s="10"/>
      <c r="C18" s="10"/>
      <c r="D18" s="10"/>
      <c r="E18" s="10"/>
      <c r="F18" s="10" t="s">
        <v>1827</v>
      </c>
      <c r="G18" s="10" t="s">
        <v>1827</v>
      </c>
      <c r="H18" s="10" t="s">
        <v>1827</v>
      </c>
      <c r="I18" s="10" t="s">
        <v>1827</v>
      </c>
      <c r="J18" s="10" t="s">
        <v>1827</v>
      </c>
      <c r="K18" s="10" t="s">
        <v>1827</v>
      </c>
      <c r="L18" s="10" t="s">
        <v>1827</v>
      </c>
      <c r="M18" s="10" t="s">
        <v>1827</v>
      </c>
      <c r="N18" s="10" t="s">
        <v>1827</v>
      </c>
      <c r="O18" s="10" t="s">
        <v>1827</v>
      </c>
      <c r="P18" s="10" t="s">
        <v>1827</v>
      </c>
      <c r="Q18" s="10" t="s">
        <v>1827</v>
      </c>
      <c r="R18" s="10" t="s">
        <v>1827</v>
      </c>
      <c r="S18" s="10" t="s">
        <v>1827</v>
      </c>
      <c r="T18" s="10" t="s">
        <v>1827</v>
      </c>
      <c r="U18" s="10" t="s">
        <v>1827</v>
      </c>
      <c r="V18" s="10" t="s">
        <v>1827</v>
      </c>
      <c r="W18" s="10" t="s">
        <v>1827</v>
      </c>
      <c r="X18" s="10" t="s">
        <v>1827</v>
      </c>
      <c r="Y18" s="10" t="s">
        <v>1827</v>
      </c>
      <c r="Z18" s="10" t="s">
        <v>1827</v>
      </c>
      <c r="AA18" s="10" t="s">
        <v>1827</v>
      </c>
      <c r="AB18" s="10" t="s">
        <v>1827</v>
      </c>
      <c r="AC18" s="10" t="s">
        <v>1827</v>
      </c>
      <c r="AD18" s="10" t="s">
        <v>1827</v>
      </c>
      <c r="AE18" s="10" t="s">
        <v>1827</v>
      </c>
      <c r="AF18" s="10" t="s">
        <v>1827</v>
      </c>
      <c r="AG18" s="10" t="s">
        <v>1827</v>
      </c>
      <c r="AH18" s="10" t="s">
        <v>1827</v>
      </c>
      <c r="AI18" s="10" t="s">
        <v>1827</v>
      </c>
      <c r="AJ18" s="10" t="s">
        <v>1827</v>
      </c>
      <c r="AK18" s="10" t="s">
        <v>1827</v>
      </c>
      <c r="AL18" s="10" t="s">
        <v>1827</v>
      </c>
      <c r="AM18" s="10" t="s">
        <v>1827</v>
      </c>
      <c r="AN18" s="10" t="s">
        <v>1827</v>
      </c>
      <c r="AO18" s="10" t="s">
        <v>1827</v>
      </c>
      <c r="AP18" s="10" t="s">
        <v>1827</v>
      </c>
      <c r="AQ18" s="10" t="s">
        <v>1827</v>
      </c>
      <c r="AR18" s="10" t="s">
        <v>1827</v>
      </c>
      <c r="AS18" s="10" t="s">
        <v>1827</v>
      </c>
      <c r="AT18" s="10" t="s">
        <v>1827</v>
      </c>
      <c r="AU18" s="10" t="s">
        <v>1827</v>
      </c>
      <c r="AV18" s="10" t="s">
        <v>1827</v>
      </c>
      <c r="AW18" s="10" t="s">
        <v>1827</v>
      </c>
      <c r="AX18" s="10" t="s">
        <v>1827</v>
      </c>
      <c r="AY18" s="10" t="s">
        <v>1827</v>
      </c>
      <c r="AZ18" s="10" t="s">
        <v>1827</v>
      </c>
      <c r="BA18" s="10" t="s">
        <v>1827</v>
      </c>
      <c r="BB18" s="10" t="s">
        <v>1827</v>
      </c>
      <c r="BC18" s="10" t="s">
        <v>1827</v>
      </c>
      <c r="BD18" s="10" t="s">
        <v>1827</v>
      </c>
      <c r="BE18" s="10" t="s">
        <v>1827</v>
      </c>
      <c r="BF18" s="10" t="s">
        <v>1827</v>
      </c>
      <c r="BG18" s="10" t="s">
        <v>1827</v>
      </c>
      <c r="BH18" s="10" t="s">
        <v>1827</v>
      </c>
      <c r="BI18" s="10" t="s">
        <v>1827</v>
      </c>
      <c r="BJ18" s="10" t="s">
        <v>1827</v>
      </c>
      <c r="BK18" s="10" t="s">
        <v>1827</v>
      </c>
      <c r="BL18" s="10" t="s">
        <v>1827</v>
      </c>
      <c r="BM18" s="10" t="s">
        <v>1827</v>
      </c>
      <c r="BN18" s="10" t="s">
        <v>1827</v>
      </c>
      <c r="BO18" s="10" t="s">
        <v>1827</v>
      </c>
      <c r="BP18" s="10" t="s">
        <v>1827</v>
      </c>
      <c r="BQ18" s="10" t="s">
        <v>1827</v>
      </c>
      <c r="BR18" s="10" t="s">
        <v>1827</v>
      </c>
      <c r="BS18" s="10" t="s">
        <v>1827</v>
      </c>
      <c r="BT18" s="10" t="s">
        <v>1827</v>
      </c>
      <c r="BU18" s="10" t="s">
        <v>1827</v>
      </c>
      <c r="BV18" s="10" t="s">
        <v>1827</v>
      </c>
      <c r="BW18" s="10" t="s">
        <v>1827</v>
      </c>
      <c r="BX18" s="10" t="s">
        <v>1827</v>
      </c>
      <c r="BY18" s="10" t="s">
        <v>1827</v>
      </c>
      <c r="BZ18" s="10" t="s">
        <v>1827</v>
      </c>
      <c r="CA18" s="10" t="s">
        <v>1827</v>
      </c>
      <c r="CB18" s="10" t="s">
        <v>1827</v>
      </c>
      <c r="CC18" s="10" t="s">
        <v>1827</v>
      </c>
      <c r="CD18" s="10" t="s">
        <v>1827</v>
      </c>
      <c r="CE18" s="10" t="s">
        <v>1827</v>
      </c>
      <c r="CF18" s="10" t="s">
        <v>1827</v>
      </c>
      <c r="CG18" s="10" t="s">
        <v>1827</v>
      </c>
      <c r="CH18" s="10" t="s">
        <v>1827</v>
      </c>
      <c r="CI18" s="10" t="s">
        <v>1827</v>
      </c>
      <c r="CJ18" s="10" t="s">
        <v>1827</v>
      </c>
      <c r="CK18" s="10" t="s">
        <v>1827</v>
      </c>
      <c r="CL18" s="10" t="s">
        <v>1827</v>
      </c>
      <c r="CM18" s="10" t="s">
        <v>1827</v>
      </c>
      <c r="CN18" s="10" t="s">
        <v>1827</v>
      </c>
      <c r="CO18" s="10" t="s">
        <v>1827</v>
      </c>
      <c r="CP18" s="10" t="s">
        <v>1827</v>
      </c>
      <c r="CQ18" s="10" t="s">
        <v>1827</v>
      </c>
      <c r="CR18" s="10" t="s">
        <v>1827</v>
      </c>
      <c r="CS18" s="10" t="s">
        <v>1827</v>
      </c>
      <c r="CT18" s="10" t="s">
        <v>1827</v>
      </c>
      <c r="CU18" s="10" t="s">
        <v>1827</v>
      </c>
      <c r="CV18" s="10" t="s">
        <v>1827</v>
      </c>
      <c r="CW18" s="10" t="s">
        <v>1827</v>
      </c>
      <c r="CX18" s="10" t="s">
        <v>1827</v>
      </c>
      <c r="CY18" s="10" t="s">
        <v>1827</v>
      </c>
      <c r="CZ18" s="10">
        <v>584.79532200000006</v>
      </c>
      <c r="DA18" s="10">
        <v>586.98830399999997</v>
      </c>
      <c r="DB18" s="10">
        <v>587.71929799999998</v>
      </c>
      <c r="DC18" s="10">
        <v>591.37426900000003</v>
      </c>
      <c r="DD18" s="10">
        <v>595.02923999999996</v>
      </c>
      <c r="DE18" s="10">
        <v>602.33918100000005</v>
      </c>
      <c r="DF18" s="10">
        <v>608.91812900000002</v>
      </c>
      <c r="DG18" s="10">
        <v>613.30409399999996</v>
      </c>
      <c r="DH18" s="10">
        <v>619.15204700000004</v>
      </c>
      <c r="DI18" s="10">
        <v>626.46198800000002</v>
      </c>
      <c r="DJ18" s="10">
        <v>636.69590600000004</v>
      </c>
      <c r="DK18" s="10">
        <v>644.73684200000002</v>
      </c>
      <c r="DL18" s="10">
        <v>652.046784</v>
      </c>
      <c r="DM18" s="10">
        <v>656.43274899999994</v>
      </c>
      <c r="DN18" s="10">
        <v>660.818713</v>
      </c>
      <c r="DO18" s="10">
        <v>665.93567299999995</v>
      </c>
      <c r="DP18" s="10">
        <v>669.590643</v>
      </c>
      <c r="DQ18" s="10">
        <v>673.24561400000005</v>
      </c>
      <c r="DR18" s="10">
        <v>677.63157899999999</v>
      </c>
      <c r="DS18" s="10">
        <v>682.74853800000005</v>
      </c>
      <c r="DT18" s="10">
        <v>689.32748500000002</v>
      </c>
      <c r="DU18" s="10">
        <v>695.17543899999998</v>
      </c>
      <c r="DV18" s="10">
        <v>699.56140400000004</v>
      </c>
      <c r="DW18" s="10">
        <v>704.67836299999999</v>
      </c>
      <c r="DX18" s="10">
        <v>709.79532200000006</v>
      </c>
      <c r="DY18" s="10">
        <v>717.10526300000004</v>
      </c>
      <c r="DZ18" s="10">
        <v>721.49122799999998</v>
      </c>
      <c r="EA18" s="10">
        <v>726.60818700000004</v>
      </c>
      <c r="EB18" s="10">
        <v>730.99415199999999</v>
      </c>
      <c r="EC18" s="10">
        <v>741.95906400000001</v>
      </c>
      <c r="ED18" s="10">
        <v>747.07602299999996</v>
      </c>
      <c r="EE18" s="10">
        <v>754.38596500000006</v>
      </c>
      <c r="EF18" s="10">
        <v>763.88888899999995</v>
      </c>
      <c r="EG18" s="10">
        <v>772.66081899999995</v>
      </c>
      <c r="EH18" s="10">
        <v>780.70175400000005</v>
      </c>
      <c r="EI18" s="10">
        <v>795.32163700000001</v>
      </c>
      <c r="EJ18" s="10">
        <v>812.134503</v>
      </c>
      <c r="EK18" s="10">
        <v>828.94736799999998</v>
      </c>
      <c r="EL18" s="10">
        <v>836.98830399999997</v>
      </c>
      <c r="EM18" s="10">
        <v>844.29824599999995</v>
      </c>
      <c r="EN18" s="10">
        <v>851.60818700000004</v>
      </c>
      <c r="EO18" s="10">
        <v>860.38011700000004</v>
      </c>
      <c r="EP18" s="10">
        <v>861.84210499999995</v>
      </c>
      <c r="EQ18" s="10">
        <v>866.22807</v>
      </c>
      <c r="ER18" s="10">
        <v>871.34502899999995</v>
      </c>
      <c r="ES18" s="10">
        <v>875</v>
      </c>
      <c r="ET18" s="10">
        <v>893.274854</v>
      </c>
      <c r="EU18" s="10">
        <v>903.50877200000002</v>
      </c>
      <c r="EV18" s="10">
        <v>909.35672499999998</v>
      </c>
      <c r="EW18" s="10">
        <v>912.28070200000002</v>
      </c>
      <c r="EX18" s="10">
        <v>916.66666699999996</v>
      </c>
      <c r="EY18" s="10">
        <v>919.590643</v>
      </c>
      <c r="EZ18" s="10">
        <v>920.32163700000001</v>
      </c>
      <c r="FA18" s="10">
        <v>922.51462000000004</v>
      </c>
      <c r="FB18" s="10">
        <v>919.590643</v>
      </c>
      <c r="FC18" s="10">
        <v>921.05263200000002</v>
      </c>
      <c r="FD18" s="10">
        <v>923.24561400000005</v>
      </c>
      <c r="FE18" s="10">
        <v>924.70760199999995</v>
      </c>
      <c r="FF18" s="10">
        <v>933.47953199999995</v>
      </c>
      <c r="FG18" s="10">
        <v>938.59649100000001</v>
      </c>
      <c r="FH18" s="10">
        <v>944.44444399999998</v>
      </c>
      <c r="FI18" s="10">
        <v>945.90643299999999</v>
      </c>
      <c r="FJ18" s="10">
        <v>951.02339199999994</v>
      </c>
      <c r="FK18" s="10">
        <v>955.409357</v>
      </c>
      <c r="FL18" s="10">
        <v>961.25730999999996</v>
      </c>
      <c r="FM18" s="10">
        <v>965.64327500000002</v>
      </c>
      <c r="FN18" s="10">
        <v>970.02923999999996</v>
      </c>
      <c r="FO18" s="10">
        <v>973.684211</v>
      </c>
      <c r="FP18" s="10">
        <v>978.80116999999996</v>
      </c>
      <c r="FQ18" s="10">
        <v>985.38011700000004</v>
      </c>
      <c r="FR18" s="10">
        <v>989.03508799999997</v>
      </c>
      <c r="FS18" s="10">
        <v>994.88304100000005</v>
      </c>
      <c r="FT18" s="10">
        <v>1000</v>
      </c>
      <c r="FU18" s="10">
        <v>1005.116959</v>
      </c>
      <c r="FV18" s="10">
        <v>1011</v>
      </c>
      <c r="FW18" s="10">
        <v>1017</v>
      </c>
      <c r="FX18" s="10">
        <v>1030</v>
      </c>
      <c r="FY18" s="10">
        <v>1039</v>
      </c>
      <c r="FZ18" s="10">
        <v>1044</v>
      </c>
      <c r="GA18" s="10">
        <v>1051</v>
      </c>
      <c r="GB18" s="10">
        <v>1068</v>
      </c>
      <c r="GC18" s="10">
        <v>1072</v>
      </c>
      <c r="GD18" s="10">
        <v>1079</v>
      </c>
      <c r="GE18" s="10">
        <v>1088</v>
      </c>
      <c r="GF18" s="10">
        <v>1106</v>
      </c>
      <c r="GG18" s="10">
        <v>1114</v>
      </c>
      <c r="GH18" s="10">
        <v>1120</v>
      </c>
      <c r="GI18" s="10">
        <v>1131</v>
      </c>
      <c r="GJ18" s="10">
        <v>1155</v>
      </c>
      <c r="GK18" s="10">
        <v>1165</v>
      </c>
      <c r="GL18" s="10">
        <v>1177</v>
      </c>
      <c r="GM18" s="10">
        <v>1194</v>
      </c>
      <c r="GN18" s="10">
        <v>1229</v>
      </c>
      <c r="GO18" s="10">
        <v>1252</v>
      </c>
      <c r="GP18" s="10">
        <v>1285</v>
      </c>
      <c r="GQ18" s="10">
        <v>1310</v>
      </c>
      <c r="GR18" s="10">
        <v>1350</v>
      </c>
      <c r="GS18" s="10">
        <v>1370</v>
      </c>
    </row>
    <row r="19" spans="1:201" ht="15.75" customHeight="1">
      <c r="A19" s="51" t="s">
        <v>1841</v>
      </c>
      <c r="B19" s="10"/>
      <c r="C19" s="10"/>
      <c r="D19" s="10"/>
      <c r="E19" s="10"/>
      <c r="F19" s="10" t="s">
        <v>1827</v>
      </c>
      <c r="G19" s="10" t="s">
        <v>1827</v>
      </c>
      <c r="H19" s="10" t="s">
        <v>1827</v>
      </c>
      <c r="I19" s="10" t="s">
        <v>1827</v>
      </c>
      <c r="J19" s="10" t="s">
        <v>1827</v>
      </c>
      <c r="K19" s="10" t="s">
        <v>1827</v>
      </c>
      <c r="L19" s="10" t="s">
        <v>1827</v>
      </c>
      <c r="M19" s="10" t="s">
        <v>1827</v>
      </c>
      <c r="N19" s="10" t="s">
        <v>1827</v>
      </c>
      <c r="O19" s="10" t="s">
        <v>1827</v>
      </c>
      <c r="P19" s="10" t="s">
        <v>1827</v>
      </c>
      <c r="Q19" s="10" t="s">
        <v>1827</v>
      </c>
      <c r="R19" s="10" t="s">
        <v>1827</v>
      </c>
      <c r="S19" s="10" t="s">
        <v>1827</v>
      </c>
      <c r="T19" s="10" t="s">
        <v>1827</v>
      </c>
      <c r="U19" s="10" t="s">
        <v>1827</v>
      </c>
      <c r="V19" s="10" t="s">
        <v>1827</v>
      </c>
      <c r="W19" s="10" t="s">
        <v>1827</v>
      </c>
      <c r="X19" s="10" t="s">
        <v>1827</v>
      </c>
      <c r="Y19" s="10" t="s">
        <v>1827</v>
      </c>
      <c r="Z19" s="10" t="s">
        <v>1827</v>
      </c>
      <c r="AA19" s="10" t="s">
        <v>1827</v>
      </c>
      <c r="AB19" s="10" t="s">
        <v>1827</v>
      </c>
      <c r="AC19" s="10" t="s">
        <v>1827</v>
      </c>
      <c r="AD19" s="10" t="s">
        <v>1827</v>
      </c>
      <c r="AE19" s="10">
        <v>172.22854899999999</v>
      </c>
      <c r="AF19" s="10">
        <v>178.637924</v>
      </c>
      <c r="AG19" s="10">
        <v>187.63244299999999</v>
      </c>
      <c r="AH19" s="10">
        <v>189.08547200000001</v>
      </c>
      <c r="AI19" s="10">
        <v>194.75941800000001</v>
      </c>
      <c r="AJ19" s="10">
        <v>202.87588</v>
      </c>
      <c r="AK19" s="10">
        <v>221.94800499999999</v>
      </c>
      <c r="AL19" s="10">
        <v>226.931093</v>
      </c>
      <c r="AM19" s="10">
        <v>225.46023500000001</v>
      </c>
      <c r="AN19" s="10">
        <v>225.17497800000001</v>
      </c>
      <c r="AO19" s="10">
        <v>228.44206500000001</v>
      </c>
      <c r="AP19" s="10">
        <v>229.93520799999999</v>
      </c>
      <c r="AQ19" s="10">
        <v>230.15806599999999</v>
      </c>
      <c r="AR19" s="10">
        <v>236.273269</v>
      </c>
      <c r="AS19" s="10">
        <v>246.57818900000001</v>
      </c>
      <c r="AT19" s="10">
        <v>248.92264700000001</v>
      </c>
      <c r="AU19" s="10">
        <v>271.17271599999998</v>
      </c>
      <c r="AV19" s="10">
        <v>290.13787000000002</v>
      </c>
      <c r="AW19" s="10">
        <v>291.10507000000001</v>
      </c>
      <c r="AX19" s="10">
        <v>300.23776099999998</v>
      </c>
      <c r="AY19" s="10">
        <v>313.66268200000002</v>
      </c>
      <c r="AZ19" s="10">
        <v>314.58976899999999</v>
      </c>
      <c r="BA19" s="10">
        <v>332.061778</v>
      </c>
      <c r="BB19" s="10">
        <v>368.64602500000001</v>
      </c>
      <c r="BC19" s="10">
        <v>377.66282999999999</v>
      </c>
      <c r="BD19" s="10">
        <v>393.14249599999999</v>
      </c>
      <c r="BE19" s="10">
        <v>416.92136599999998</v>
      </c>
      <c r="BF19" s="10">
        <v>423.31291199999998</v>
      </c>
      <c r="BG19" s="10">
        <v>435.02629000000002</v>
      </c>
      <c r="BH19" s="10">
        <v>437.18354799999997</v>
      </c>
      <c r="BI19" s="10">
        <v>443.18732299999999</v>
      </c>
      <c r="BJ19" s="10">
        <v>445.71452399999998</v>
      </c>
      <c r="BK19" s="10">
        <v>451.50881199999998</v>
      </c>
      <c r="BL19" s="10">
        <v>452.845957</v>
      </c>
      <c r="BM19" s="10">
        <v>474.685968</v>
      </c>
      <c r="BN19" s="10">
        <v>484.045973</v>
      </c>
      <c r="BO19" s="10">
        <v>492.960264</v>
      </c>
      <c r="BP19" s="10">
        <v>499.200267</v>
      </c>
      <c r="BQ19" s="10">
        <v>508.11455699999999</v>
      </c>
      <c r="BR19" s="10">
        <v>506.77741400000002</v>
      </c>
      <c r="BS19" s="10">
        <v>516.58313299999998</v>
      </c>
      <c r="BT19" s="10">
        <v>519.25742100000002</v>
      </c>
      <c r="BU19" s="10">
        <v>529.06313999999998</v>
      </c>
      <c r="BV19" s="10">
        <v>533.07457099999999</v>
      </c>
      <c r="BW19" s="10">
        <v>532.62885600000004</v>
      </c>
      <c r="BX19" s="10">
        <v>531.29171299999996</v>
      </c>
      <c r="BY19" s="10">
        <v>529.50885400000004</v>
      </c>
      <c r="BZ19" s="10">
        <v>537.97743100000002</v>
      </c>
      <c r="CA19" s="10">
        <v>538.42314499999998</v>
      </c>
      <c r="CB19" s="10">
        <v>537.97743100000002</v>
      </c>
      <c r="CC19" s="10">
        <v>541.09743200000003</v>
      </c>
      <c r="CD19" s="10">
        <v>541.09743200000003</v>
      </c>
      <c r="CE19" s="10">
        <v>541.63852899999995</v>
      </c>
      <c r="CF19" s="10">
        <v>548.13169900000003</v>
      </c>
      <c r="CG19" s="10">
        <v>549.75499100000002</v>
      </c>
      <c r="CH19" s="10">
        <v>556.24815999999998</v>
      </c>
      <c r="CI19" s="10">
        <v>561.11803699999996</v>
      </c>
      <c r="CJ19" s="10">
        <v>571.39888800000006</v>
      </c>
      <c r="CK19" s="10">
        <v>574.64547300000004</v>
      </c>
      <c r="CL19" s="10">
        <v>584.38522699999999</v>
      </c>
      <c r="CM19" s="10">
        <v>584.38522699999999</v>
      </c>
      <c r="CN19" s="10">
        <v>584.92632400000002</v>
      </c>
      <c r="CO19" s="10">
        <v>594.12498100000005</v>
      </c>
      <c r="CP19" s="10">
        <v>598.99485700000002</v>
      </c>
      <c r="CQ19" s="10">
        <v>599.53595399999995</v>
      </c>
      <c r="CR19" s="10">
        <v>603.32363699999996</v>
      </c>
      <c r="CS19" s="10">
        <v>614.68668300000002</v>
      </c>
      <c r="CT19" s="10">
        <v>612.52229299999999</v>
      </c>
      <c r="CU19" s="10">
        <v>610.899001</v>
      </c>
      <c r="CV19" s="10">
        <v>609.27570800000001</v>
      </c>
      <c r="CW19" s="10">
        <v>615.22778000000005</v>
      </c>
      <c r="CX19" s="10">
        <v>616.85107300000004</v>
      </c>
      <c r="CY19" s="10">
        <v>617.39216999999996</v>
      </c>
      <c r="CZ19" s="10">
        <v>622.26204700000005</v>
      </c>
      <c r="DA19" s="10">
        <v>625.37335700000006</v>
      </c>
      <c r="DB19" s="10">
        <v>625.99562000000003</v>
      </c>
      <c r="DC19" s="10">
        <v>628.48466699999994</v>
      </c>
      <c r="DD19" s="10">
        <v>631.59597799999995</v>
      </c>
      <c r="DE19" s="10">
        <v>640.92990799999995</v>
      </c>
      <c r="DF19" s="10">
        <v>643.41895699999998</v>
      </c>
      <c r="DG19" s="10">
        <v>645.28574300000002</v>
      </c>
      <c r="DH19" s="10">
        <v>649.01931500000001</v>
      </c>
      <c r="DI19" s="10">
        <v>663.95360400000004</v>
      </c>
      <c r="DJ19" s="10">
        <v>667.06491400000004</v>
      </c>
      <c r="DK19" s="10">
        <v>668.93170099999998</v>
      </c>
      <c r="DL19" s="10">
        <v>677.64336900000001</v>
      </c>
      <c r="DM19" s="10">
        <v>695.68896800000005</v>
      </c>
      <c r="DN19" s="10">
        <v>698.17801699999995</v>
      </c>
      <c r="DO19" s="10">
        <v>696.31123100000002</v>
      </c>
      <c r="DP19" s="10">
        <v>701.28932699999996</v>
      </c>
      <c r="DQ19" s="10">
        <v>714.35682999999995</v>
      </c>
      <c r="DR19" s="10">
        <v>717.46813999999995</v>
      </c>
      <c r="DS19" s="10">
        <v>715.60135400000001</v>
      </c>
      <c r="DT19" s="10">
        <v>721.82397500000002</v>
      </c>
      <c r="DU19" s="10">
        <v>755.42612499999996</v>
      </c>
      <c r="DV19" s="10">
        <v>757.91517399999998</v>
      </c>
      <c r="DW19" s="10">
        <v>759.15969800000005</v>
      </c>
      <c r="DX19" s="10">
        <v>759.15969800000005</v>
      </c>
      <c r="DY19" s="10">
        <v>766.62684200000001</v>
      </c>
      <c r="DZ19" s="10">
        <v>768.49362799999994</v>
      </c>
      <c r="EA19" s="10">
        <v>768.49362799999994</v>
      </c>
      <c r="EB19" s="10">
        <v>771.60493799999995</v>
      </c>
      <c r="EC19" s="10">
        <v>790.89506200000005</v>
      </c>
      <c r="ED19" s="10">
        <v>790.89506200000005</v>
      </c>
      <c r="EE19" s="10">
        <v>787.03703700000005</v>
      </c>
      <c r="EF19" s="10">
        <v>790.12345700000003</v>
      </c>
      <c r="EG19" s="10">
        <v>812.5</v>
      </c>
      <c r="EH19" s="10">
        <v>816.358025</v>
      </c>
      <c r="EI19" s="10">
        <v>813.27160500000002</v>
      </c>
      <c r="EJ19" s="10">
        <v>807.09876499999996</v>
      </c>
      <c r="EK19" s="10">
        <v>828.70370400000002</v>
      </c>
      <c r="EL19" s="10">
        <v>833.33333300000004</v>
      </c>
      <c r="EM19" s="10">
        <v>839.50617299999999</v>
      </c>
      <c r="EN19" s="10">
        <v>863.425926</v>
      </c>
      <c r="EO19" s="10">
        <v>891.20370400000002</v>
      </c>
      <c r="EP19" s="10">
        <v>872.68518500000005</v>
      </c>
      <c r="EQ19" s="10">
        <v>880.40123500000004</v>
      </c>
      <c r="ER19" s="10">
        <v>895.06172800000002</v>
      </c>
      <c r="ES19" s="10">
        <v>912.80864199999996</v>
      </c>
      <c r="ET19" s="10">
        <v>934.41358000000002</v>
      </c>
      <c r="EU19" s="10">
        <v>935.95678999999996</v>
      </c>
      <c r="EV19" s="10">
        <v>934.41358000000002</v>
      </c>
      <c r="EW19" s="10">
        <v>952.16049399999997</v>
      </c>
      <c r="EX19" s="10">
        <v>949.84567900000002</v>
      </c>
      <c r="EY19" s="10">
        <v>954.47530900000004</v>
      </c>
      <c r="EZ19" s="10">
        <v>979.93827199999998</v>
      </c>
      <c r="FA19" s="10">
        <v>989.19753100000003</v>
      </c>
      <c r="FB19" s="10">
        <v>979.93827199999998</v>
      </c>
      <c r="FC19" s="10">
        <v>985.33950600000003</v>
      </c>
      <c r="FD19" s="10">
        <v>978.39506200000005</v>
      </c>
      <c r="FE19" s="10">
        <v>983.02469099999996</v>
      </c>
      <c r="FF19" s="10">
        <v>979.16666699999996</v>
      </c>
      <c r="FG19" s="10">
        <v>976.08024699999999</v>
      </c>
      <c r="FH19" s="10">
        <v>971.45061699999997</v>
      </c>
      <c r="FI19" s="10">
        <v>979.16666699999996</v>
      </c>
      <c r="FJ19" s="10">
        <v>969.90740700000003</v>
      </c>
      <c r="FK19" s="10">
        <v>975.30864199999996</v>
      </c>
      <c r="FL19" s="10">
        <v>989.96913600000005</v>
      </c>
      <c r="FM19" s="10">
        <v>998.45678999999996</v>
      </c>
      <c r="FN19" s="10">
        <v>985.33950600000003</v>
      </c>
      <c r="FO19" s="10">
        <v>989.19753100000003</v>
      </c>
      <c r="FP19" s="10">
        <v>1000.771605</v>
      </c>
      <c r="FQ19" s="10">
        <v>1003.08642</v>
      </c>
      <c r="FR19" s="10">
        <v>993.82716000000005</v>
      </c>
      <c r="FS19" s="10">
        <v>997.68518500000005</v>
      </c>
      <c r="FT19" s="10">
        <v>1000</v>
      </c>
      <c r="FU19" s="10">
        <v>1012.345679</v>
      </c>
      <c r="FV19" s="10">
        <v>1004</v>
      </c>
      <c r="FW19" s="10">
        <v>1010</v>
      </c>
      <c r="FX19" s="10">
        <v>1044</v>
      </c>
      <c r="FY19" s="10">
        <v>1033</v>
      </c>
      <c r="FZ19" s="10">
        <v>1017</v>
      </c>
      <c r="GA19" s="10">
        <v>1037</v>
      </c>
      <c r="GB19" s="10">
        <v>1046</v>
      </c>
      <c r="GC19" s="10">
        <v>1056</v>
      </c>
      <c r="GD19" s="10">
        <v>1043</v>
      </c>
      <c r="GE19" s="10">
        <v>1049</v>
      </c>
      <c r="GF19" s="10">
        <v>1066</v>
      </c>
      <c r="GG19" s="10">
        <v>1060</v>
      </c>
      <c r="GH19" s="10">
        <v>1068</v>
      </c>
      <c r="GI19" s="10">
        <v>1073</v>
      </c>
      <c r="GJ19" s="10">
        <v>1077</v>
      </c>
      <c r="GK19" s="10">
        <v>1078</v>
      </c>
      <c r="GL19" s="10">
        <v>1079</v>
      </c>
      <c r="GM19" s="10">
        <v>1095</v>
      </c>
      <c r="GN19" s="10">
        <v>1108</v>
      </c>
      <c r="GO19" s="10">
        <v>1129</v>
      </c>
      <c r="GP19" s="10">
        <v>1129</v>
      </c>
      <c r="GQ19" s="10">
        <v>1141</v>
      </c>
      <c r="GR19" s="10">
        <v>1167</v>
      </c>
      <c r="GS19" s="10">
        <v>1194</v>
      </c>
    </row>
    <row r="20" spans="1:201" ht="15.75" customHeight="1">
      <c r="A20" s="51" t="s">
        <v>1842</v>
      </c>
      <c r="B20" s="10"/>
      <c r="C20" s="10"/>
      <c r="D20" s="10"/>
      <c r="E20" s="10"/>
      <c r="F20" s="10" t="s">
        <v>1827</v>
      </c>
      <c r="G20" s="10" t="s">
        <v>1827</v>
      </c>
      <c r="H20" s="10" t="s">
        <v>1827</v>
      </c>
      <c r="I20" s="10" t="s">
        <v>1827</v>
      </c>
      <c r="J20" s="10" t="s">
        <v>1827</v>
      </c>
      <c r="K20" s="10" t="s">
        <v>1827</v>
      </c>
      <c r="L20" s="10" t="s">
        <v>1827</v>
      </c>
      <c r="M20" s="10" t="s">
        <v>1827</v>
      </c>
      <c r="N20" s="10" t="s">
        <v>1827</v>
      </c>
      <c r="O20" s="10" t="s">
        <v>1827</v>
      </c>
      <c r="P20" s="10" t="s">
        <v>1827</v>
      </c>
      <c r="Q20" s="10" t="s">
        <v>1827</v>
      </c>
      <c r="R20" s="10" t="s">
        <v>1827</v>
      </c>
      <c r="S20" s="10" t="s">
        <v>1827</v>
      </c>
      <c r="T20" s="10" t="s">
        <v>1827</v>
      </c>
      <c r="U20" s="10" t="s">
        <v>1827</v>
      </c>
      <c r="V20" s="10" t="s">
        <v>1827</v>
      </c>
      <c r="W20" s="10" t="s">
        <v>1827</v>
      </c>
      <c r="X20" s="10" t="s">
        <v>1827</v>
      </c>
      <c r="Y20" s="10" t="s">
        <v>1827</v>
      </c>
      <c r="Z20" s="10" t="s">
        <v>1827</v>
      </c>
      <c r="AA20" s="10" t="s">
        <v>1827</v>
      </c>
      <c r="AB20" s="10" t="s">
        <v>1827</v>
      </c>
      <c r="AC20" s="10" t="s">
        <v>1827</v>
      </c>
      <c r="AD20" s="10" t="s">
        <v>1827</v>
      </c>
      <c r="AE20" s="10" t="s">
        <v>1827</v>
      </c>
      <c r="AF20" s="10" t="s">
        <v>1827</v>
      </c>
      <c r="AG20" s="10" t="s">
        <v>1827</v>
      </c>
      <c r="AH20" s="10" t="s">
        <v>1827</v>
      </c>
      <c r="AI20" s="10" t="s">
        <v>1827</v>
      </c>
      <c r="AJ20" s="10" t="s">
        <v>1827</v>
      </c>
      <c r="AK20" s="10" t="s">
        <v>1827</v>
      </c>
      <c r="AL20" s="10" t="s">
        <v>1827</v>
      </c>
      <c r="AM20" s="10" t="s">
        <v>1827</v>
      </c>
      <c r="AN20" s="10" t="s">
        <v>1827</v>
      </c>
      <c r="AO20" s="10" t="s">
        <v>1827</v>
      </c>
      <c r="AP20" s="10" t="s">
        <v>1827</v>
      </c>
      <c r="AQ20" s="10" t="s">
        <v>1827</v>
      </c>
      <c r="AR20" s="10" t="s">
        <v>1827</v>
      </c>
      <c r="AS20" s="10" t="s">
        <v>1827</v>
      </c>
      <c r="AT20" s="10" t="s">
        <v>1827</v>
      </c>
      <c r="AU20" s="10" t="s">
        <v>1827</v>
      </c>
      <c r="AV20" s="10" t="s">
        <v>1827</v>
      </c>
      <c r="AW20" s="10" t="s">
        <v>1827</v>
      </c>
      <c r="AX20" s="10" t="s">
        <v>1827</v>
      </c>
      <c r="AY20" s="10" t="s">
        <v>1827</v>
      </c>
      <c r="AZ20" s="10" t="s">
        <v>1827</v>
      </c>
      <c r="BA20" s="10" t="s">
        <v>1827</v>
      </c>
      <c r="BB20" s="10" t="s">
        <v>1827</v>
      </c>
      <c r="BC20" s="10" t="s">
        <v>1827</v>
      </c>
      <c r="BD20" s="10" t="s">
        <v>1827</v>
      </c>
      <c r="BE20" s="10" t="s">
        <v>1827</v>
      </c>
      <c r="BF20" s="10" t="s">
        <v>1827</v>
      </c>
      <c r="BG20" s="10" t="s">
        <v>1827</v>
      </c>
      <c r="BH20" s="10" t="s">
        <v>1827</v>
      </c>
      <c r="BI20" s="10" t="s">
        <v>1827</v>
      </c>
      <c r="BJ20" s="10">
        <v>734.17613300000005</v>
      </c>
      <c r="BK20" s="10">
        <v>734.91030899999998</v>
      </c>
      <c r="BL20" s="10">
        <v>735.64448600000003</v>
      </c>
      <c r="BM20" s="10">
        <v>763.54317900000001</v>
      </c>
      <c r="BN20" s="10">
        <v>773.08746799999994</v>
      </c>
      <c r="BO20" s="10">
        <v>777.492525</v>
      </c>
      <c r="BP20" s="10">
        <v>780.42922899999996</v>
      </c>
      <c r="BQ20" s="10">
        <v>787.03681500000005</v>
      </c>
      <c r="BR20" s="10">
        <v>776.02417300000002</v>
      </c>
      <c r="BS20" s="10">
        <v>763.54317900000001</v>
      </c>
      <c r="BT20" s="10">
        <v>752.53053599999998</v>
      </c>
      <c r="BU20" s="10">
        <v>751.79636000000005</v>
      </c>
      <c r="BV20" s="10">
        <v>741.51789399999996</v>
      </c>
      <c r="BW20" s="10">
        <v>740.78371800000002</v>
      </c>
      <c r="BX20" s="10">
        <v>744.45459800000003</v>
      </c>
      <c r="BY20" s="10">
        <v>751.062183</v>
      </c>
      <c r="BZ20" s="10">
        <v>759.13812199999995</v>
      </c>
      <c r="CA20" s="10">
        <v>768.682411</v>
      </c>
      <c r="CB20" s="10">
        <v>778.22670100000005</v>
      </c>
      <c r="CC20" s="10">
        <v>789.23934299999996</v>
      </c>
      <c r="CD20" s="10">
        <v>788.50516700000003</v>
      </c>
      <c r="CE20" s="10">
        <v>787.71666100000004</v>
      </c>
      <c r="CF20" s="10">
        <v>790.082177</v>
      </c>
      <c r="CG20" s="10">
        <v>797.96722899999997</v>
      </c>
      <c r="CH20" s="10">
        <v>797.96722899999997</v>
      </c>
      <c r="CI20" s="10">
        <v>797.96722899999997</v>
      </c>
      <c r="CJ20" s="10">
        <v>800.33274400000005</v>
      </c>
      <c r="CK20" s="10">
        <v>807.42929100000003</v>
      </c>
      <c r="CL20" s="10">
        <v>805.06377499999996</v>
      </c>
      <c r="CM20" s="10">
        <v>806.64078600000005</v>
      </c>
      <c r="CN20" s="10">
        <v>810.58331199999998</v>
      </c>
      <c r="CO20" s="10">
        <v>817.67985799999997</v>
      </c>
      <c r="CP20" s="10">
        <v>813.73733200000004</v>
      </c>
      <c r="CQ20" s="10">
        <v>814.52583700000002</v>
      </c>
      <c r="CR20" s="10">
        <v>815.31434300000001</v>
      </c>
      <c r="CS20" s="10">
        <v>823.19939399999998</v>
      </c>
      <c r="CT20" s="10">
        <v>821.62238300000001</v>
      </c>
      <c r="CU20" s="10">
        <v>828.718931</v>
      </c>
      <c r="CV20" s="10">
        <v>831.87295099999994</v>
      </c>
      <c r="CW20" s="10">
        <v>839.75800300000003</v>
      </c>
      <c r="CX20" s="10">
        <v>838.18099199999995</v>
      </c>
      <c r="CY20" s="10">
        <v>839.75800300000003</v>
      </c>
      <c r="CZ20" s="10">
        <v>844.48903399999995</v>
      </c>
      <c r="DA20" s="10">
        <v>849.55596800000001</v>
      </c>
      <c r="DB20" s="10">
        <v>847.86698899999999</v>
      </c>
      <c r="DC20" s="10">
        <v>856.31187999999997</v>
      </c>
      <c r="DD20" s="10">
        <v>862.22330299999999</v>
      </c>
      <c r="DE20" s="10">
        <v>870.66819299999997</v>
      </c>
      <c r="DF20" s="10">
        <v>874.04615000000001</v>
      </c>
      <c r="DG20" s="10">
        <v>882.49104</v>
      </c>
      <c r="DH20" s="10">
        <v>883.33552899999995</v>
      </c>
      <c r="DI20" s="10">
        <v>901.06979799999999</v>
      </c>
      <c r="DJ20" s="10">
        <v>903.60326499999996</v>
      </c>
      <c r="DK20" s="10">
        <v>912.04815599999995</v>
      </c>
      <c r="DL20" s="10">
        <v>916.27060100000006</v>
      </c>
      <c r="DM20" s="10">
        <v>916.27060100000006</v>
      </c>
      <c r="DN20" s="10">
        <v>918.80406900000003</v>
      </c>
      <c r="DO20" s="10">
        <v>916.27060100000006</v>
      </c>
      <c r="DP20" s="10">
        <v>918.80406900000003</v>
      </c>
      <c r="DQ20" s="10">
        <v>932.31589299999996</v>
      </c>
      <c r="DR20" s="10">
        <v>939.07180500000004</v>
      </c>
      <c r="DS20" s="10">
        <v>940.76078299999995</v>
      </c>
      <c r="DT20" s="10">
        <v>951.73914100000002</v>
      </c>
      <c r="DU20" s="10">
        <v>957.65056400000003</v>
      </c>
      <c r="DV20" s="10">
        <v>946.67220699999996</v>
      </c>
      <c r="DW20" s="10">
        <v>948.36118399999998</v>
      </c>
      <c r="DX20" s="10">
        <v>959.33954200000005</v>
      </c>
      <c r="DY20" s="10">
        <v>955.11709699999994</v>
      </c>
      <c r="DZ20" s="10">
        <v>954.27260799999999</v>
      </c>
      <c r="EA20" s="10">
        <v>956.80607499999996</v>
      </c>
      <c r="EB20" s="10">
        <v>965.25096499999995</v>
      </c>
      <c r="EC20" s="10">
        <v>975.86872600000004</v>
      </c>
      <c r="ED20" s="10">
        <v>987.45173699999998</v>
      </c>
      <c r="EE20" s="10">
        <v>993.24324300000001</v>
      </c>
      <c r="EF20" s="10">
        <v>997.10424699999999</v>
      </c>
      <c r="EG20" s="10">
        <v>1017.374517</v>
      </c>
      <c r="EH20" s="10">
        <v>1020.27027</v>
      </c>
      <c r="EI20" s="10">
        <v>1027.9922779999999</v>
      </c>
      <c r="EJ20" s="10">
        <v>1027.0270270000001</v>
      </c>
      <c r="EK20" s="10">
        <v>1032.8185329999999</v>
      </c>
      <c r="EL20" s="10">
        <v>1039.57529</v>
      </c>
      <c r="EM20" s="10">
        <v>1049.227799</v>
      </c>
      <c r="EN20" s="10">
        <v>1035.7142859999999</v>
      </c>
      <c r="EO20" s="10">
        <v>1049.227799</v>
      </c>
      <c r="EP20" s="10">
        <v>1037.6447880000001</v>
      </c>
      <c r="EQ20" s="10">
        <v>1048.2625479999999</v>
      </c>
      <c r="ER20" s="10">
        <v>1055.9845560000001</v>
      </c>
      <c r="ES20" s="10">
        <v>1064.6718149999999</v>
      </c>
      <c r="ET20" s="10">
        <v>1068.532819</v>
      </c>
      <c r="EU20" s="10">
        <v>1074.3243239999999</v>
      </c>
      <c r="EV20" s="10">
        <v>1057.915058</v>
      </c>
      <c r="EW20" s="10">
        <v>1059.84556</v>
      </c>
      <c r="EX20" s="10">
        <v>1067.5675679999999</v>
      </c>
      <c r="EY20" s="10">
        <v>1086.8725870000001</v>
      </c>
      <c r="EZ20" s="10">
        <v>1083.011583</v>
      </c>
      <c r="FA20" s="10">
        <v>1076.2548260000001</v>
      </c>
      <c r="FB20" s="10">
        <v>1072.393822</v>
      </c>
      <c r="FC20" s="10">
        <v>1092.6640930000001</v>
      </c>
      <c r="FD20" s="10">
        <v>1077.2200769999999</v>
      </c>
      <c r="FE20" s="10">
        <v>1083.011583</v>
      </c>
      <c r="FF20" s="10">
        <v>1077.2200769999999</v>
      </c>
      <c r="FG20" s="10">
        <v>1046.332046</v>
      </c>
      <c r="FH20" s="10">
        <v>1034.749035</v>
      </c>
      <c r="FI20" s="10">
        <v>1026.061776</v>
      </c>
      <c r="FJ20" s="10">
        <v>1013.513514</v>
      </c>
      <c r="FK20" s="10">
        <v>1027.0270270000001</v>
      </c>
      <c r="FL20" s="10">
        <v>1031.853282</v>
      </c>
      <c r="FM20" s="10">
        <v>1025.0965249999999</v>
      </c>
      <c r="FN20" s="10">
        <v>997.10424699999999</v>
      </c>
      <c r="FO20" s="10">
        <v>1000.965251</v>
      </c>
      <c r="FP20" s="10">
        <v>997.10424699999999</v>
      </c>
      <c r="FQ20" s="10">
        <v>995.17374500000005</v>
      </c>
      <c r="FR20" s="10">
        <v>997.10424699999999</v>
      </c>
      <c r="FS20" s="10">
        <v>1000.965251</v>
      </c>
      <c r="FT20" s="10">
        <v>1000</v>
      </c>
      <c r="FU20" s="10">
        <v>1015.444015</v>
      </c>
      <c r="FV20" s="10">
        <v>1001</v>
      </c>
      <c r="FW20" s="10">
        <v>1007</v>
      </c>
      <c r="FX20" s="10">
        <v>1015</v>
      </c>
      <c r="FY20" s="10">
        <v>1010</v>
      </c>
      <c r="FZ20" s="10">
        <v>993</v>
      </c>
      <c r="GA20" s="10">
        <v>1015</v>
      </c>
      <c r="GB20" s="10">
        <v>1022</v>
      </c>
      <c r="GC20" s="10">
        <v>1016</v>
      </c>
      <c r="GD20" s="10">
        <v>1011</v>
      </c>
      <c r="GE20" s="10">
        <v>1027</v>
      </c>
      <c r="GF20" s="10">
        <v>1034</v>
      </c>
      <c r="GG20" s="10">
        <v>1041</v>
      </c>
      <c r="GH20" s="10">
        <v>1036</v>
      </c>
      <c r="GI20" s="10">
        <v>1045</v>
      </c>
      <c r="GJ20" s="10">
        <v>1050</v>
      </c>
      <c r="GK20" s="10">
        <v>1066</v>
      </c>
      <c r="GL20" s="10">
        <v>1053</v>
      </c>
      <c r="GM20" s="10">
        <v>1072</v>
      </c>
      <c r="GN20" s="10">
        <v>1087</v>
      </c>
      <c r="GO20" s="10">
        <v>1115</v>
      </c>
      <c r="GP20" s="10">
        <v>1126</v>
      </c>
      <c r="GQ20" s="10">
        <v>1152</v>
      </c>
      <c r="GR20" s="10">
        <v>1158</v>
      </c>
      <c r="GS20" s="10">
        <v>1164</v>
      </c>
    </row>
    <row r="21" spans="1:201" ht="15.75" customHeight="1">
      <c r="A21" s="51" t="s">
        <v>1843</v>
      </c>
      <c r="B21" s="10"/>
      <c r="C21" s="10"/>
      <c r="D21" s="10"/>
      <c r="E21" s="10"/>
      <c r="F21" s="10" t="s">
        <v>1827</v>
      </c>
      <c r="G21" s="10" t="s">
        <v>1827</v>
      </c>
      <c r="H21" s="10" t="s">
        <v>1827</v>
      </c>
      <c r="I21" s="10" t="s">
        <v>1827</v>
      </c>
      <c r="J21" s="10" t="s">
        <v>1827</v>
      </c>
      <c r="K21" s="10" t="s">
        <v>1827</v>
      </c>
      <c r="L21" s="10" t="s">
        <v>1827</v>
      </c>
      <c r="M21" s="10" t="s">
        <v>1827</v>
      </c>
      <c r="N21" s="10" t="s">
        <v>1827</v>
      </c>
      <c r="O21" s="10" t="s">
        <v>1827</v>
      </c>
      <c r="P21" s="10" t="s">
        <v>1827</v>
      </c>
      <c r="Q21" s="10" t="s">
        <v>1827</v>
      </c>
      <c r="R21" s="10" t="s">
        <v>1827</v>
      </c>
      <c r="S21" s="10" t="s">
        <v>1827</v>
      </c>
      <c r="T21" s="10" t="s">
        <v>1827</v>
      </c>
      <c r="U21" s="10" t="s">
        <v>1827</v>
      </c>
      <c r="V21" s="10" t="s">
        <v>1827</v>
      </c>
      <c r="W21" s="10" t="s">
        <v>1827</v>
      </c>
      <c r="X21" s="10" t="s">
        <v>1827</v>
      </c>
      <c r="Y21" s="10" t="s">
        <v>1827</v>
      </c>
      <c r="Z21" s="10" t="s">
        <v>1827</v>
      </c>
      <c r="AA21" s="10" t="s">
        <v>1827</v>
      </c>
      <c r="AB21" s="10" t="s">
        <v>1827</v>
      </c>
      <c r="AC21" s="10" t="s">
        <v>1827</v>
      </c>
      <c r="AD21" s="10" t="s">
        <v>1827</v>
      </c>
      <c r="AE21" s="10" t="s">
        <v>1827</v>
      </c>
      <c r="AF21" s="10" t="s">
        <v>1827</v>
      </c>
      <c r="AG21" s="10" t="s">
        <v>1827</v>
      </c>
      <c r="AH21" s="10" t="s">
        <v>1827</v>
      </c>
      <c r="AI21" s="10" t="s">
        <v>1827</v>
      </c>
      <c r="AJ21" s="10" t="s">
        <v>1827</v>
      </c>
      <c r="AK21" s="10" t="s">
        <v>1827</v>
      </c>
      <c r="AL21" s="10" t="s">
        <v>1827</v>
      </c>
      <c r="AM21" s="10" t="s">
        <v>1827</v>
      </c>
      <c r="AN21" s="10" t="s">
        <v>1827</v>
      </c>
      <c r="AO21" s="10" t="s">
        <v>1827</v>
      </c>
      <c r="AP21" s="10" t="s">
        <v>1827</v>
      </c>
      <c r="AQ21" s="10" t="s">
        <v>1827</v>
      </c>
      <c r="AR21" s="10" t="s">
        <v>1827</v>
      </c>
      <c r="AS21" s="10" t="s">
        <v>1827</v>
      </c>
      <c r="AT21" s="10" t="s">
        <v>1827</v>
      </c>
      <c r="AU21" s="10" t="s">
        <v>1827</v>
      </c>
      <c r="AV21" s="10" t="s">
        <v>1827</v>
      </c>
      <c r="AW21" s="10" t="s">
        <v>1827</v>
      </c>
      <c r="AX21" s="10" t="s">
        <v>1827</v>
      </c>
      <c r="AY21" s="10" t="s">
        <v>1827</v>
      </c>
      <c r="AZ21" s="10" t="s">
        <v>1827</v>
      </c>
      <c r="BA21" s="10" t="s">
        <v>1827</v>
      </c>
      <c r="BB21" s="10" t="s">
        <v>1827</v>
      </c>
      <c r="BC21" s="10" t="s">
        <v>1827</v>
      </c>
      <c r="BD21" s="10" t="s">
        <v>1827</v>
      </c>
      <c r="BE21" s="10" t="s">
        <v>1827</v>
      </c>
      <c r="BF21" s="10" t="s">
        <v>1827</v>
      </c>
      <c r="BG21" s="10" t="s">
        <v>1827</v>
      </c>
      <c r="BH21" s="10" t="s">
        <v>1827</v>
      </c>
      <c r="BI21" s="10" t="s">
        <v>1827</v>
      </c>
      <c r="BJ21" s="10">
        <v>501.79213600000003</v>
      </c>
      <c r="BK21" s="10">
        <v>508.31543399999998</v>
      </c>
      <c r="BL21" s="10">
        <v>515.84231599999998</v>
      </c>
      <c r="BM21" s="10">
        <v>542.43729900000005</v>
      </c>
      <c r="BN21" s="10">
        <v>546.95342800000003</v>
      </c>
      <c r="BO21" s="10">
        <v>551.46955700000001</v>
      </c>
      <c r="BP21" s="10">
        <v>555.48389499999996</v>
      </c>
      <c r="BQ21" s="10">
        <v>557.49106300000005</v>
      </c>
      <c r="BR21" s="10">
        <v>555.98568699999998</v>
      </c>
      <c r="BS21" s="10">
        <v>566.02152899999999</v>
      </c>
      <c r="BT21" s="10">
        <v>567.02511400000003</v>
      </c>
      <c r="BU21" s="10">
        <v>573.54841099999999</v>
      </c>
      <c r="BV21" s="10">
        <v>575.55557999999996</v>
      </c>
      <c r="BW21" s="10">
        <v>577.06095700000003</v>
      </c>
      <c r="BX21" s="10">
        <v>577.56274900000005</v>
      </c>
      <c r="BY21" s="10">
        <v>577.06095700000003</v>
      </c>
      <c r="BZ21" s="10">
        <v>577.06095700000003</v>
      </c>
      <c r="CA21" s="10">
        <v>581.57708600000001</v>
      </c>
      <c r="CB21" s="10">
        <v>581.57708600000001</v>
      </c>
      <c r="CC21" s="10">
        <v>580.57350099999996</v>
      </c>
      <c r="CD21" s="10">
        <v>589.60576000000003</v>
      </c>
      <c r="CE21" s="10">
        <v>592.55378900000005</v>
      </c>
      <c r="CF21" s="10">
        <v>594.32260599999995</v>
      </c>
      <c r="CG21" s="10">
        <v>591.96418300000005</v>
      </c>
      <c r="CH21" s="10">
        <v>594.91221199999995</v>
      </c>
      <c r="CI21" s="10">
        <v>597.27063499999997</v>
      </c>
      <c r="CJ21" s="10">
        <v>604.93550900000002</v>
      </c>
      <c r="CK21" s="10">
        <v>607.29393300000004</v>
      </c>
      <c r="CL21" s="10">
        <v>610.24196099999995</v>
      </c>
      <c r="CM21" s="10">
        <v>613.18998999999997</v>
      </c>
      <c r="CN21" s="10">
        <v>615.54841399999998</v>
      </c>
      <c r="CO21" s="10">
        <v>626.75092299999994</v>
      </c>
      <c r="CP21" s="10">
        <v>631.46776899999998</v>
      </c>
      <c r="CQ21" s="10">
        <v>636.77422100000001</v>
      </c>
      <c r="CR21" s="10">
        <v>642.67027800000005</v>
      </c>
      <c r="CS21" s="10">
        <v>650.33515299999999</v>
      </c>
      <c r="CT21" s="10">
        <v>652.69357600000001</v>
      </c>
      <c r="CU21" s="10">
        <v>655.05199900000002</v>
      </c>
      <c r="CV21" s="10">
        <v>658.00002800000004</v>
      </c>
      <c r="CW21" s="10">
        <v>661.53766299999995</v>
      </c>
      <c r="CX21" s="10">
        <v>662.12726799999996</v>
      </c>
      <c r="CY21" s="10">
        <v>661.53766299999995</v>
      </c>
      <c r="CZ21" s="10">
        <v>662.71687399999996</v>
      </c>
      <c r="DA21" s="10">
        <v>664.70502499999998</v>
      </c>
      <c r="DB21" s="10">
        <v>664.04230800000005</v>
      </c>
      <c r="DC21" s="10">
        <v>666.693175</v>
      </c>
      <c r="DD21" s="10">
        <v>670.66947600000003</v>
      </c>
      <c r="DE21" s="10">
        <v>676.63392899999997</v>
      </c>
      <c r="DF21" s="10">
        <v>679.28479600000003</v>
      </c>
      <c r="DG21" s="10">
        <v>680.61023</v>
      </c>
      <c r="DH21" s="10">
        <v>683.92381399999999</v>
      </c>
      <c r="DI21" s="10">
        <v>700.49173599999995</v>
      </c>
      <c r="DJ21" s="10">
        <v>701.15445299999999</v>
      </c>
      <c r="DK21" s="10">
        <v>707.11890400000004</v>
      </c>
      <c r="DL21" s="10">
        <v>714.40878999999995</v>
      </c>
      <c r="DM21" s="10">
        <v>728.32584499999996</v>
      </c>
      <c r="DN21" s="10">
        <v>728.32584499999996</v>
      </c>
      <c r="DO21" s="10">
        <v>728.988561</v>
      </c>
      <c r="DP21" s="10">
        <v>728.988561</v>
      </c>
      <c r="DQ21" s="10">
        <v>742.90561600000001</v>
      </c>
      <c r="DR21" s="10">
        <v>748.20735100000002</v>
      </c>
      <c r="DS21" s="10">
        <v>752.84636899999998</v>
      </c>
      <c r="DT21" s="10">
        <v>756.82267000000002</v>
      </c>
      <c r="DU21" s="10">
        <v>775.37874299999999</v>
      </c>
      <c r="DV21" s="10">
        <v>774.71602600000006</v>
      </c>
      <c r="DW21" s="10">
        <v>786.64492900000005</v>
      </c>
      <c r="DX21" s="10">
        <v>793.27209800000003</v>
      </c>
      <c r="DY21" s="10">
        <v>797.91111599999999</v>
      </c>
      <c r="DZ21" s="10">
        <v>795.92296499999998</v>
      </c>
      <c r="EA21" s="10">
        <v>798.57383300000004</v>
      </c>
      <c r="EB21" s="10">
        <v>803.212851</v>
      </c>
      <c r="EC21" s="10">
        <v>829.71887600000002</v>
      </c>
      <c r="ED21" s="10">
        <v>824.89959799999997</v>
      </c>
      <c r="EE21" s="10">
        <v>829.71887600000002</v>
      </c>
      <c r="EF21" s="10">
        <v>835.341365</v>
      </c>
      <c r="EG21" s="10">
        <v>854.61847399999999</v>
      </c>
      <c r="EH21" s="10">
        <v>858.63453800000002</v>
      </c>
      <c r="EI21" s="10">
        <v>863.45381499999996</v>
      </c>
      <c r="EJ21" s="10">
        <v>865.06024100000002</v>
      </c>
      <c r="EK21" s="10">
        <v>887.55020100000002</v>
      </c>
      <c r="EL21" s="10">
        <v>891.56626500000004</v>
      </c>
      <c r="EM21" s="10">
        <v>892.36947799999996</v>
      </c>
      <c r="EN21" s="10">
        <v>895.58232899999996</v>
      </c>
      <c r="EO21" s="10">
        <v>922.08835299999998</v>
      </c>
      <c r="EP21" s="10">
        <v>919.67871500000001</v>
      </c>
      <c r="EQ21" s="10">
        <v>930.92369499999995</v>
      </c>
      <c r="ER21" s="10">
        <v>938.15260999999998</v>
      </c>
      <c r="ES21" s="10">
        <v>955.02008000000001</v>
      </c>
      <c r="ET21" s="10">
        <v>971.88755000000003</v>
      </c>
      <c r="EU21" s="10">
        <v>978.31325300000003</v>
      </c>
      <c r="EV21" s="10">
        <v>967.06827299999998</v>
      </c>
      <c r="EW21" s="10">
        <v>983.13252999999997</v>
      </c>
      <c r="EX21" s="10">
        <v>971.88755000000003</v>
      </c>
      <c r="EY21" s="10">
        <v>971.88755000000003</v>
      </c>
      <c r="EZ21" s="10">
        <v>975.90361399999995</v>
      </c>
      <c r="FA21" s="10">
        <v>981.52610400000003</v>
      </c>
      <c r="FB21" s="10">
        <v>981.52610400000003</v>
      </c>
      <c r="FC21" s="10">
        <v>983.13252999999997</v>
      </c>
      <c r="FD21" s="10">
        <v>983.13252999999997</v>
      </c>
      <c r="FE21" s="10">
        <v>984.73895600000003</v>
      </c>
      <c r="FF21" s="10">
        <v>978.31325300000003</v>
      </c>
      <c r="FG21" s="10">
        <v>978.31325300000003</v>
      </c>
      <c r="FH21" s="10">
        <v>973.49397599999998</v>
      </c>
      <c r="FI21" s="10">
        <v>979.91967899999997</v>
      </c>
      <c r="FJ21" s="10">
        <v>974.297189</v>
      </c>
      <c r="FK21" s="10">
        <v>983.13252999999997</v>
      </c>
      <c r="FL21" s="10">
        <v>990.361446</v>
      </c>
      <c r="FM21" s="10">
        <v>1000</v>
      </c>
      <c r="FN21" s="10">
        <v>995.98393599999997</v>
      </c>
      <c r="FO21" s="10">
        <v>999.19678699999997</v>
      </c>
      <c r="FP21" s="10">
        <v>1003.212851</v>
      </c>
      <c r="FQ21" s="10">
        <v>997.59036100000003</v>
      </c>
      <c r="FR21" s="10">
        <v>994.37751000000003</v>
      </c>
      <c r="FS21" s="10">
        <v>999.19678699999997</v>
      </c>
      <c r="FT21" s="10">
        <v>1000</v>
      </c>
      <c r="FU21" s="10">
        <v>1002.409639</v>
      </c>
      <c r="FV21" s="10">
        <v>1000</v>
      </c>
      <c r="FW21" s="10">
        <v>1004</v>
      </c>
      <c r="FX21" s="10">
        <v>1017</v>
      </c>
      <c r="FY21" s="10">
        <v>1031</v>
      </c>
      <c r="FZ21" s="10">
        <v>1015</v>
      </c>
      <c r="GA21" s="10">
        <v>1030</v>
      </c>
      <c r="GB21" s="10">
        <v>1036</v>
      </c>
      <c r="GC21" s="10">
        <v>1047</v>
      </c>
      <c r="GD21" s="10">
        <v>1040</v>
      </c>
      <c r="GE21" s="10">
        <v>1040</v>
      </c>
      <c r="GF21" s="10">
        <v>1048</v>
      </c>
      <c r="GG21" s="10">
        <v>1054</v>
      </c>
      <c r="GH21" s="10">
        <v>1058</v>
      </c>
      <c r="GI21" s="10">
        <v>1065</v>
      </c>
      <c r="GJ21" s="10">
        <v>1071</v>
      </c>
      <c r="GK21" s="10">
        <v>1076</v>
      </c>
      <c r="GL21" s="10">
        <v>1072</v>
      </c>
      <c r="GM21" s="10">
        <v>1081</v>
      </c>
      <c r="GN21" s="10">
        <v>1111</v>
      </c>
      <c r="GO21" s="10">
        <v>1149</v>
      </c>
      <c r="GP21" s="10">
        <v>1164</v>
      </c>
      <c r="GQ21" s="10">
        <v>1181</v>
      </c>
      <c r="GR21" s="10">
        <v>1227</v>
      </c>
      <c r="GS21" s="10">
        <v>1258</v>
      </c>
    </row>
    <row r="22" spans="1:201" ht="15.75" customHeight="1">
      <c r="A22" s="51" t="s">
        <v>1844</v>
      </c>
      <c r="B22" s="10"/>
      <c r="C22" s="10"/>
      <c r="D22" s="10"/>
      <c r="E22" s="10"/>
      <c r="F22" s="10" t="s">
        <v>1827</v>
      </c>
      <c r="G22" s="10">
        <v>14.382885999999999</v>
      </c>
      <c r="H22" s="10">
        <v>14.686323</v>
      </c>
      <c r="I22" s="10">
        <v>14.716666999999999</v>
      </c>
      <c r="J22" s="10">
        <v>15.141477</v>
      </c>
      <c r="K22" s="10">
        <v>15.384226999999999</v>
      </c>
      <c r="L22" s="10">
        <v>16.051787000000001</v>
      </c>
      <c r="M22" s="10">
        <v>17.113814000000001</v>
      </c>
      <c r="N22" s="10">
        <v>18.600653000000001</v>
      </c>
      <c r="O22" s="10">
        <v>18.956918999999999</v>
      </c>
      <c r="P22" s="10">
        <v>19.403949999999998</v>
      </c>
      <c r="Q22" s="10">
        <v>19.641435000000001</v>
      </c>
      <c r="R22" s="10">
        <v>20.256103</v>
      </c>
      <c r="S22" s="10">
        <v>20.701737000000001</v>
      </c>
      <c r="T22" s="10">
        <v>20.823274000000001</v>
      </c>
      <c r="U22" s="10">
        <v>20.863786000000001</v>
      </c>
      <c r="V22" s="10">
        <v>21.552493999999999</v>
      </c>
      <c r="W22" s="10">
        <v>21.917103000000001</v>
      </c>
      <c r="X22" s="10">
        <v>21.937360000000002</v>
      </c>
      <c r="Y22" s="10">
        <v>25.826530999999999</v>
      </c>
      <c r="Z22" s="10">
        <v>26.130372999999999</v>
      </c>
      <c r="AA22" s="10">
        <v>26.697544000000001</v>
      </c>
      <c r="AB22" s="10">
        <v>26.738056</v>
      </c>
      <c r="AC22" s="10">
        <v>29.351094</v>
      </c>
      <c r="AD22" s="10">
        <v>30.343641999999999</v>
      </c>
      <c r="AE22" s="10">
        <v>30.980858999999999</v>
      </c>
      <c r="AF22" s="10">
        <v>31.344982999999999</v>
      </c>
      <c r="AG22" s="10">
        <v>33.924191999999998</v>
      </c>
      <c r="AH22" s="10">
        <v>34.955876000000004</v>
      </c>
      <c r="AI22" s="10">
        <v>35.805498</v>
      </c>
      <c r="AJ22" s="10">
        <v>35.805498</v>
      </c>
      <c r="AK22" s="10">
        <v>39.446734999999997</v>
      </c>
      <c r="AL22" s="10">
        <v>43.816220000000001</v>
      </c>
      <c r="AM22" s="10">
        <v>43.846563000000003</v>
      </c>
      <c r="AN22" s="10">
        <v>43.846563000000003</v>
      </c>
      <c r="AO22" s="10">
        <v>44.908591000000001</v>
      </c>
      <c r="AP22" s="10">
        <v>46.122335999999997</v>
      </c>
      <c r="AQ22" s="10">
        <v>46.214581000000003</v>
      </c>
      <c r="AR22" s="10">
        <v>46.306826000000001</v>
      </c>
      <c r="AS22" s="10">
        <v>46.352947999999998</v>
      </c>
      <c r="AT22" s="10">
        <v>48.705187000000002</v>
      </c>
      <c r="AU22" s="10">
        <v>54.931702999999999</v>
      </c>
      <c r="AV22" s="10">
        <v>56.592106999999999</v>
      </c>
      <c r="AW22" s="10">
        <v>57.468431000000002</v>
      </c>
      <c r="AX22" s="10">
        <v>59.359447000000003</v>
      </c>
      <c r="AY22" s="10">
        <v>59.359447000000003</v>
      </c>
      <c r="AZ22" s="10">
        <v>59.359447000000003</v>
      </c>
      <c r="BA22" s="10">
        <v>79.745519999999999</v>
      </c>
      <c r="BB22" s="10">
        <v>92.752019000000004</v>
      </c>
      <c r="BC22" s="10">
        <v>92.798141000000001</v>
      </c>
      <c r="BD22" s="10">
        <v>94.135688999999999</v>
      </c>
      <c r="BE22" s="10">
        <v>94.181810999999996</v>
      </c>
      <c r="BF22" s="10">
        <v>96.995273999999995</v>
      </c>
      <c r="BG22" s="10">
        <v>97.041396000000006</v>
      </c>
      <c r="BH22" s="10">
        <v>98.840166999999994</v>
      </c>
      <c r="BI22" s="10">
        <v>105.80464000000001</v>
      </c>
      <c r="BJ22" s="10">
        <v>109.033203</v>
      </c>
      <c r="BK22" s="10">
        <v>117.319727</v>
      </c>
      <c r="BL22" s="10">
        <v>127.350781</v>
      </c>
      <c r="BM22" s="10">
        <v>134.00180700000001</v>
      </c>
      <c r="BN22" s="10">
        <v>137.59990199999999</v>
      </c>
      <c r="BO22" s="10">
        <v>139.34443400000001</v>
      </c>
      <c r="BP22" s="10">
        <v>142.94253</v>
      </c>
      <c r="BQ22" s="10">
        <v>144.57802799999999</v>
      </c>
      <c r="BR22" s="10">
        <v>148.17612299999999</v>
      </c>
      <c r="BS22" s="10">
        <v>149.92065500000001</v>
      </c>
      <c r="BT22" s="10">
        <v>153.736817</v>
      </c>
      <c r="BU22" s="10">
        <v>170.63696300000001</v>
      </c>
      <c r="BV22" s="10">
        <v>178.81445400000001</v>
      </c>
      <c r="BW22" s="10">
        <v>178.92348699999999</v>
      </c>
      <c r="BX22" s="10">
        <v>179.250586</v>
      </c>
      <c r="BY22" s="10">
        <v>180.55898500000001</v>
      </c>
      <c r="BZ22" s="10">
        <v>180.99511699999999</v>
      </c>
      <c r="CA22" s="10">
        <v>182.19448299999999</v>
      </c>
      <c r="CB22" s="10">
        <v>182.630616</v>
      </c>
      <c r="CC22" s="10">
        <v>183.72094799999999</v>
      </c>
      <c r="CD22" s="10">
        <v>183.72094799999999</v>
      </c>
      <c r="CE22" s="10">
        <v>183.537227</v>
      </c>
      <c r="CF22" s="10">
        <v>183.537227</v>
      </c>
      <c r="CG22" s="10">
        <v>183.72094799999999</v>
      </c>
      <c r="CH22" s="10">
        <v>184.27211</v>
      </c>
      <c r="CI22" s="10">
        <v>186.10932</v>
      </c>
      <c r="CJ22" s="10">
        <v>187.02792500000001</v>
      </c>
      <c r="CK22" s="10">
        <v>189.60001800000001</v>
      </c>
      <c r="CL22" s="10">
        <v>190.334902</v>
      </c>
      <c r="CM22" s="10">
        <v>199.520949</v>
      </c>
      <c r="CN22" s="10">
        <v>201.17443700000001</v>
      </c>
      <c r="CO22" s="10">
        <v>202.644205</v>
      </c>
      <c r="CP22" s="10">
        <v>204.29769400000001</v>
      </c>
      <c r="CQ22" s="10">
        <v>208.52327500000001</v>
      </c>
      <c r="CR22" s="10">
        <v>208.706996</v>
      </c>
      <c r="CS22" s="10">
        <v>211.64653200000001</v>
      </c>
      <c r="CT22" s="10">
        <v>213.85118299999999</v>
      </c>
      <c r="CU22" s="10">
        <v>216.42327599999999</v>
      </c>
      <c r="CV22" s="10">
        <v>225.60932399999999</v>
      </c>
      <c r="CW22" s="10">
        <v>243.062814</v>
      </c>
      <c r="CX22" s="10">
        <v>244.16513900000001</v>
      </c>
      <c r="CY22" s="10">
        <v>247.10467399999999</v>
      </c>
      <c r="CZ22" s="10">
        <v>247.10467399999999</v>
      </c>
      <c r="DA22" s="10">
        <v>247.10467399999999</v>
      </c>
      <c r="DB22" s="10">
        <v>248.34019799999999</v>
      </c>
      <c r="DC22" s="10">
        <v>252.04676799999999</v>
      </c>
      <c r="DD22" s="10">
        <v>271.568037</v>
      </c>
      <c r="DE22" s="10">
        <v>299.73797000000002</v>
      </c>
      <c r="DF22" s="10">
        <v>303.19743599999998</v>
      </c>
      <c r="DG22" s="10">
        <v>310.85768100000001</v>
      </c>
      <c r="DH22" s="10">
        <v>310.85768100000001</v>
      </c>
      <c r="DI22" s="10">
        <v>310.85768100000001</v>
      </c>
      <c r="DJ22" s="10">
        <v>313.32872700000001</v>
      </c>
      <c r="DK22" s="10">
        <v>319.75344899999999</v>
      </c>
      <c r="DL22" s="10">
        <v>320.00055300000002</v>
      </c>
      <c r="DM22" s="10">
        <v>320.00055300000002</v>
      </c>
      <c r="DN22" s="10">
        <v>323.46001899999999</v>
      </c>
      <c r="DO22" s="10">
        <v>332.602892</v>
      </c>
      <c r="DP22" s="10">
        <v>332.602892</v>
      </c>
      <c r="DQ22" s="10">
        <v>332.35578700000002</v>
      </c>
      <c r="DR22" s="10">
        <v>334.82683400000002</v>
      </c>
      <c r="DS22" s="10">
        <v>341.99286899999998</v>
      </c>
      <c r="DT22" s="10">
        <v>341.74576500000001</v>
      </c>
      <c r="DU22" s="10">
        <v>342.23997400000002</v>
      </c>
      <c r="DV22" s="10">
        <v>346.44075400000003</v>
      </c>
      <c r="DW22" s="10">
        <v>355.336522</v>
      </c>
      <c r="DX22" s="10">
        <v>355.58362699999998</v>
      </c>
      <c r="DY22" s="10">
        <v>355.58362699999998</v>
      </c>
      <c r="DZ22" s="10">
        <v>358.54888299999999</v>
      </c>
      <c r="EA22" s="10">
        <v>366.20912800000002</v>
      </c>
      <c r="EB22" s="10">
        <v>366.70333699999998</v>
      </c>
      <c r="EC22" s="10">
        <v>366.70333699999998</v>
      </c>
      <c r="ED22" s="10">
        <v>371.10377699999998</v>
      </c>
      <c r="EE22" s="10">
        <v>381.37146999999999</v>
      </c>
      <c r="EF22" s="10">
        <v>381.73817400000001</v>
      </c>
      <c r="EG22" s="10">
        <v>382.10487699999999</v>
      </c>
      <c r="EH22" s="10">
        <v>382.47158000000002</v>
      </c>
      <c r="EI22" s="10">
        <v>395.306197</v>
      </c>
      <c r="EJ22" s="10">
        <v>395.306197</v>
      </c>
      <c r="EK22" s="10">
        <v>395.306197</v>
      </c>
      <c r="EL22" s="10">
        <v>395.306197</v>
      </c>
      <c r="EM22" s="10">
        <v>412.17455100000001</v>
      </c>
      <c r="EN22" s="10">
        <v>412.17455100000001</v>
      </c>
      <c r="EO22" s="10">
        <v>408.87422099999998</v>
      </c>
      <c r="EP22" s="10">
        <v>408.14081399999998</v>
      </c>
      <c r="EQ22" s="10">
        <v>414.37477100000001</v>
      </c>
      <c r="ER22" s="10">
        <v>450.31169799999998</v>
      </c>
      <c r="ES22" s="10">
        <v>468.28016100000002</v>
      </c>
      <c r="ET22" s="10">
        <v>477.447745</v>
      </c>
      <c r="EU22" s="10">
        <v>522.55225499999995</v>
      </c>
      <c r="EV22" s="10">
        <v>522.55225499999995</v>
      </c>
      <c r="EW22" s="10">
        <v>522.55225499999995</v>
      </c>
      <c r="EX22" s="10">
        <v>522.55225499999995</v>
      </c>
      <c r="EY22" s="10">
        <v>592.95929599999999</v>
      </c>
      <c r="EZ22" s="10">
        <v>592.95929599999999</v>
      </c>
      <c r="FA22" s="10">
        <v>592.95929599999999</v>
      </c>
      <c r="FB22" s="10">
        <v>592.95929599999999</v>
      </c>
      <c r="FC22" s="10">
        <v>661.89952300000004</v>
      </c>
      <c r="FD22" s="10">
        <v>661.89952300000004</v>
      </c>
      <c r="FE22" s="10">
        <v>661.89952300000004</v>
      </c>
      <c r="FF22" s="10">
        <v>661.89952300000004</v>
      </c>
      <c r="FG22" s="10">
        <v>729.37293699999998</v>
      </c>
      <c r="FH22" s="10">
        <v>729.37293699999998</v>
      </c>
      <c r="FI22" s="10">
        <v>738.90722400000004</v>
      </c>
      <c r="FJ22" s="10">
        <v>740.37403700000004</v>
      </c>
      <c r="FK22" s="10">
        <v>831.68316800000002</v>
      </c>
      <c r="FL22" s="10">
        <v>831.68316800000002</v>
      </c>
      <c r="FM22" s="10">
        <v>831.68316800000002</v>
      </c>
      <c r="FN22" s="10">
        <v>831.68316800000002</v>
      </c>
      <c r="FO22" s="10">
        <v>910.15768200000002</v>
      </c>
      <c r="FP22" s="10">
        <v>910.15768200000002</v>
      </c>
      <c r="FQ22" s="10">
        <v>910.52438600000005</v>
      </c>
      <c r="FR22" s="10">
        <v>910.89108899999997</v>
      </c>
      <c r="FS22" s="10">
        <v>999.26659299999994</v>
      </c>
      <c r="FT22" s="10">
        <v>1000</v>
      </c>
      <c r="FU22" s="10">
        <v>1001.10011</v>
      </c>
      <c r="FV22" s="10">
        <v>1001</v>
      </c>
      <c r="FW22" s="10">
        <v>1106</v>
      </c>
      <c r="FX22" s="10">
        <v>1107</v>
      </c>
      <c r="FY22" s="10">
        <v>1107</v>
      </c>
      <c r="FZ22" s="10">
        <v>1093</v>
      </c>
      <c r="GA22" s="10">
        <v>1191</v>
      </c>
      <c r="GB22" s="10">
        <v>1192</v>
      </c>
      <c r="GC22" s="10">
        <v>1192</v>
      </c>
      <c r="GD22" s="10">
        <v>1192</v>
      </c>
      <c r="GE22" s="10">
        <v>1324</v>
      </c>
      <c r="GF22" s="10">
        <v>1317</v>
      </c>
      <c r="GG22" s="10">
        <v>1320</v>
      </c>
      <c r="GH22" s="10">
        <v>1327</v>
      </c>
      <c r="GI22" s="10">
        <v>1363</v>
      </c>
      <c r="GJ22" s="10">
        <v>1360</v>
      </c>
      <c r="GK22" s="10">
        <v>1360</v>
      </c>
      <c r="GL22" s="10">
        <v>1359</v>
      </c>
      <c r="GM22" s="10">
        <v>1416</v>
      </c>
      <c r="GN22" s="10">
        <v>1417</v>
      </c>
      <c r="GO22" s="10">
        <v>1418</v>
      </c>
      <c r="GP22" s="10">
        <v>1427</v>
      </c>
      <c r="GQ22" s="10">
        <v>1535</v>
      </c>
      <c r="GR22" s="10">
        <v>1537</v>
      </c>
      <c r="GS22" s="10">
        <v>1545</v>
      </c>
    </row>
    <row r="23" spans="1:201" ht="15.75" customHeight="1">
      <c r="A23" s="51" t="s">
        <v>1845</v>
      </c>
      <c r="B23" s="10"/>
      <c r="C23" s="10"/>
      <c r="D23" s="10"/>
      <c r="E23" s="10"/>
      <c r="F23" s="10" t="s">
        <v>1827</v>
      </c>
      <c r="G23" s="10" t="s">
        <v>1827</v>
      </c>
      <c r="H23" s="10" t="s">
        <v>1827</v>
      </c>
      <c r="I23" s="10" t="s">
        <v>1827</v>
      </c>
      <c r="J23" s="10" t="s">
        <v>1827</v>
      </c>
      <c r="K23" s="10" t="s">
        <v>1827</v>
      </c>
      <c r="L23" s="10" t="s">
        <v>1827</v>
      </c>
      <c r="M23" s="10" t="s">
        <v>1827</v>
      </c>
      <c r="N23" s="10" t="s">
        <v>1827</v>
      </c>
      <c r="O23" s="10" t="s">
        <v>1827</v>
      </c>
      <c r="P23" s="10" t="s">
        <v>1827</v>
      </c>
      <c r="Q23" s="10" t="s">
        <v>1827</v>
      </c>
      <c r="R23" s="10" t="s">
        <v>1827</v>
      </c>
      <c r="S23" s="10" t="s">
        <v>1827</v>
      </c>
      <c r="T23" s="10" t="s">
        <v>1827</v>
      </c>
      <c r="U23" s="10" t="s">
        <v>1827</v>
      </c>
      <c r="V23" s="10" t="s">
        <v>1827</v>
      </c>
      <c r="W23" s="10" t="s">
        <v>1827</v>
      </c>
      <c r="X23" s="10" t="s">
        <v>1827</v>
      </c>
      <c r="Y23" s="10" t="s">
        <v>1827</v>
      </c>
      <c r="Z23" s="10" t="s">
        <v>1827</v>
      </c>
      <c r="AA23" s="10" t="s">
        <v>1827</v>
      </c>
      <c r="AB23" s="10" t="s">
        <v>1827</v>
      </c>
      <c r="AC23" s="10" t="s">
        <v>1827</v>
      </c>
      <c r="AD23" s="10" t="s">
        <v>1827</v>
      </c>
      <c r="AE23" s="10" t="s">
        <v>1827</v>
      </c>
      <c r="AF23" s="10" t="s">
        <v>1827</v>
      </c>
      <c r="AG23" s="10" t="s">
        <v>1827</v>
      </c>
      <c r="AH23" s="10" t="s">
        <v>1827</v>
      </c>
      <c r="AI23" s="10" t="s">
        <v>1827</v>
      </c>
      <c r="AJ23" s="10" t="s">
        <v>1827</v>
      </c>
      <c r="AK23" s="10" t="s">
        <v>1827</v>
      </c>
      <c r="AL23" s="10" t="s">
        <v>1827</v>
      </c>
      <c r="AM23" s="10" t="s">
        <v>1827</v>
      </c>
      <c r="AN23" s="10" t="s">
        <v>1827</v>
      </c>
      <c r="AO23" s="10" t="s">
        <v>1827</v>
      </c>
      <c r="AP23" s="10" t="s">
        <v>1827</v>
      </c>
      <c r="AQ23" s="10" t="s">
        <v>1827</v>
      </c>
      <c r="AR23" s="10" t="s">
        <v>1827</v>
      </c>
      <c r="AS23" s="10" t="s">
        <v>1827</v>
      </c>
      <c r="AT23" s="10" t="s">
        <v>1827</v>
      </c>
      <c r="AU23" s="10" t="s">
        <v>1827</v>
      </c>
      <c r="AV23" s="10" t="s">
        <v>1827</v>
      </c>
      <c r="AW23" s="10">
        <v>681.00903300000004</v>
      </c>
      <c r="AX23" s="10">
        <v>698.44100500000002</v>
      </c>
      <c r="AY23" s="10">
        <v>705.41379400000005</v>
      </c>
      <c r="AZ23" s="10">
        <v>745.50733000000002</v>
      </c>
      <c r="BA23" s="10">
        <v>757.12864500000001</v>
      </c>
      <c r="BB23" s="10">
        <v>845.45063500000003</v>
      </c>
      <c r="BC23" s="10">
        <v>862.88260700000001</v>
      </c>
      <c r="BD23" s="10">
        <v>907.04360199999996</v>
      </c>
      <c r="BE23" s="10">
        <v>916.34065299999997</v>
      </c>
      <c r="BF23" s="10">
        <v>926.79983600000003</v>
      </c>
      <c r="BG23" s="10">
        <v>930.28623100000004</v>
      </c>
      <c r="BH23" s="10">
        <v>936.677954</v>
      </c>
      <c r="BI23" s="10">
        <v>936.09688900000003</v>
      </c>
      <c r="BJ23" s="10">
        <v>948.88033399999995</v>
      </c>
      <c r="BK23" s="10">
        <v>946.03369399999997</v>
      </c>
      <c r="BL23" s="10">
        <v>955.52249700000004</v>
      </c>
      <c r="BM23" s="10">
        <v>967.85794099999998</v>
      </c>
      <c r="BN23" s="10">
        <v>979.244505</v>
      </c>
      <c r="BO23" s="10">
        <v>981.14226599999995</v>
      </c>
      <c r="BP23" s="10">
        <v>1003.915394</v>
      </c>
      <c r="BQ23" s="10">
        <v>999.17099299999995</v>
      </c>
      <c r="BR23" s="10">
        <v>1003.915394</v>
      </c>
      <c r="BS23" s="10">
        <v>1007.710915</v>
      </c>
      <c r="BT23" s="10">
        <v>1016.250838</v>
      </c>
      <c r="BU23" s="10">
        <v>997.27323100000001</v>
      </c>
      <c r="BV23" s="10">
        <v>990.63107000000002</v>
      </c>
      <c r="BW23" s="10">
        <v>990.63107000000002</v>
      </c>
      <c r="BX23" s="10">
        <v>997.27323100000001</v>
      </c>
      <c r="BY23" s="10">
        <v>995.37547099999995</v>
      </c>
      <c r="BZ23" s="10">
        <v>993.47771</v>
      </c>
      <c r="CA23" s="10">
        <v>992.52882999999997</v>
      </c>
      <c r="CB23" s="10">
        <v>1016.250838</v>
      </c>
      <c r="CC23" s="10">
        <v>1009.6086759999999</v>
      </c>
      <c r="CD23" s="10">
        <v>1019.097479</v>
      </c>
      <c r="CE23" s="10">
        <v>1009.925602</v>
      </c>
      <c r="CF23" s="10">
        <v>1012.982894</v>
      </c>
      <c r="CG23" s="10">
        <v>1005.849212</v>
      </c>
      <c r="CH23" s="10">
        <v>1019.097479</v>
      </c>
      <c r="CI23" s="10">
        <v>1010.944699</v>
      </c>
      <c r="CJ23" s="10">
        <v>1020.116577</v>
      </c>
      <c r="CK23" s="10">
        <v>999.73462700000005</v>
      </c>
      <c r="CL23" s="10">
        <v>1002.79192</v>
      </c>
      <c r="CM23" s="10">
        <v>998.71552999999994</v>
      </c>
      <c r="CN23" s="10">
        <v>1008.906504</v>
      </c>
      <c r="CO23" s="10">
        <v>1004.830115</v>
      </c>
      <c r="CP23" s="10">
        <v>1015.021089</v>
      </c>
      <c r="CQ23" s="10">
        <v>998.71552999999994</v>
      </c>
      <c r="CR23" s="10">
        <v>1004.830115</v>
      </c>
      <c r="CS23" s="10">
        <v>1014.001991</v>
      </c>
      <c r="CT23" s="10">
        <v>1019.097479</v>
      </c>
      <c r="CU23" s="10">
        <v>1014.001991</v>
      </c>
      <c r="CV23" s="10">
        <v>1027.2502589999999</v>
      </c>
      <c r="CW23" s="10">
        <v>1022.154772</v>
      </c>
      <c r="CX23" s="10">
        <v>1035.403039</v>
      </c>
      <c r="CY23" s="10">
        <v>1029.288454</v>
      </c>
      <c r="CZ23" s="10">
        <v>1039.4794280000001</v>
      </c>
      <c r="DA23" s="10">
        <v>1040.518908</v>
      </c>
      <c r="DB23" s="10">
        <v>1040.518908</v>
      </c>
      <c r="DC23" s="10">
        <v>1035.3215110000001</v>
      </c>
      <c r="DD23" s="10">
        <v>1047.7952640000001</v>
      </c>
      <c r="DE23" s="10">
        <v>1040.518908</v>
      </c>
      <c r="DF23" s="10">
        <v>1056.1111000000001</v>
      </c>
      <c r="DG23" s="10">
        <v>1054.03214</v>
      </c>
      <c r="DH23" s="10">
        <v>1069.6243320000001</v>
      </c>
      <c r="DI23" s="10">
        <v>1067.545374</v>
      </c>
      <c r="DJ23" s="10">
        <v>1074.821729</v>
      </c>
      <c r="DK23" s="10">
        <v>1065.466414</v>
      </c>
      <c r="DL23" s="10">
        <v>1076.9006879999999</v>
      </c>
      <c r="DM23" s="10">
        <v>1062.347976</v>
      </c>
      <c r="DN23" s="10">
        <v>1070.663812</v>
      </c>
      <c r="DO23" s="10">
        <v>1062.347976</v>
      </c>
      <c r="DP23" s="10">
        <v>1059.2295369999999</v>
      </c>
      <c r="DQ23" s="10">
        <v>1039.4794280000001</v>
      </c>
      <c r="DR23" s="10">
        <v>1058.190059</v>
      </c>
      <c r="DS23" s="10">
        <v>1052.9926620000001</v>
      </c>
      <c r="DT23" s="10">
        <v>1062.347976</v>
      </c>
      <c r="DU23" s="10">
        <v>1057.1505790000001</v>
      </c>
      <c r="DV23" s="10">
        <v>1065.466414</v>
      </c>
      <c r="DW23" s="10">
        <v>1058.190059</v>
      </c>
      <c r="DX23" s="10">
        <v>1065.466414</v>
      </c>
      <c r="DY23" s="10">
        <v>1058.190059</v>
      </c>
      <c r="DZ23" s="10">
        <v>1066.5058939999999</v>
      </c>
      <c r="EA23" s="10">
        <v>1062.347976</v>
      </c>
      <c r="EB23" s="10">
        <v>1070.663812</v>
      </c>
      <c r="EC23" s="10">
        <v>1058.88651</v>
      </c>
      <c r="ED23" s="10">
        <v>1069.5931479999999</v>
      </c>
      <c r="EE23" s="10">
        <v>1058.88651</v>
      </c>
      <c r="EF23" s="10">
        <v>1078.1584580000001</v>
      </c>
      <c r="EG23" s="10">
        <v>1066.3811559999999</v>
      </c>
      <c r="EH23" s="10">
        <v>1081.3704499999999</v>
      </c>
      <c r="EI23" s="10">
        <v>1076.0171310000001</v>
      </c>
      <c r="EJ23" s="10">
        <v>1080.299786</v>
      </c>
      <c r="EK23" s="10">
        <v>1064.2398290000001</v>
      </c>
      <c r="EL23" s="10">
        <v>1084.582441</v>
      </c>
      <c r="EM23" s="10">
        <v>1073.8758029999999</v>
      </c>
      <c r="EN23" s="10">
        <v>1105.995717</v>
      </c>
      <c r="EO23" s="10">
        <v>1077.087794</v>
      </c>
      <c r="EP23" s="10">
        <v>1103.85439</v>
      </c>
      <c r="EQ23" s="10">
        <v>1079.229122</v>
      </c>
      <c r="ER23" s="10">
        <v>1096.359743</v>
      </c>
      <c r="ES23" s="10">
        <v>1082.4411130000001</v>
      </c>
      <c r="ET23" s="10">
        <v>1088.865096</v>
      </c>
      <c r="EU23" s="10">
        <v>1067.45182</v>
      </c>
      <c r="EV23" s="10">
        <v>1078.1584580000001</v>
      </c>
      <c r="EW23" s="10">
        <v>1065.310493</v>
      </c>
      <c r="EX23" s="10">
        <v>1072.8051390000001</v>
      </c>
      <c r="EY23" s="10">
        <v>1059.957173</v>
      </c>
      <c r="EZ23" s="10">
        <v>1074.946467</v>
      </c>
      <c r="FA23" s="10">
        <v>1053.533191</v>
      </c>
      <c r="FB23" s="10">
        <v>1061.0278370000001</v>
      </c>
      <c r="FC23" s="10">
        <v>1038.543897</v>
      </c>
      <c r="FD23" s="10">
        <v>1059.957173</v>
      </c>
      <c r="FE23" s="10">
        <v>1038.543897</v>
      </c>
      <c r="FF23" s="10">
        <v>1031.0492509999999</v>
      </c>
      <c r="FG23" s="10">
        <v>1019.2719489999999</v>
      </c>
      <c r="FH23" s="10">
        <v>1005.3533190000001</v>
      </c>
      <c r="FI23" s="10">
        <v>1000</v>
      </c>
      <c r="FJ23" s="10">
        <v>1002.141328</v>
      </c>
      <c r="FK23" s="10">
        <v>990.36402599999997</v>
      </c>
      <c r="FL23" s="10">
        <v>1000</v>
      </c>
      <c r="FM23" s="10">
        <v>1010.706638</v>
      </c>
      <c r="FN23" s="10">
        <v>1022.48394</v>
      </c>
      <c r="FO23" s="10">
        <v>1003.211991</v>
      </c>
      <c r="FP23" s="10">
        <v>1044.9678799999999</v>
      </c>
      <c r="FQ23" s="10">
        <v>1025.695931</v>
      </c>
      <c r="FR23" s="10">
        <v>1034.261242</v>
      </c>
      <c r="FS23" s="10">
        <v>1025.695931</v>
      </c>
      <c r="FT23" s="10">
        <v>1000</v>
      </c>
      <c r="FU23" s="10">
        <v>1006.423983</v>
      </c>
      <c r="FV23" s="10">
        <v>990</v>
      </c>
      <c r="FW23" s="10">
        <v>988</v>
      </c>
      <c r="FX23" s="10">
        <v>993</v>
      </c>
      <c r="FY23" s="10">
        <v>988</v>
      </c>
      <c r="FZ23" s="10">
        <v>987</v>
      </c>
      <c r="GA23" s="10">
        <v>991</v>
      </c>
      <c r="GB23" s="10">
        <v>994</v>
      </c>
      <c r="GC23" s="10">
        <v>994</v>
      </c>
      <c r="GD23" s="10">
        <v>1004</v>
      </c>
      <c r="GE23" s="10">
        <v>1000</v>
      </c>
      <c r="GF23" s="10">
        <v>997</v>
      </c>
      <c r="GG23" s="10">
        <v>1001</v>
      </c>
      <c r="GH23" s="10">
        <v>1008</v>
      </c>
      <c r="GI23" s="10">
        <v>990</v>
      </c>
      <c r="GJ23" s="10">
        <v>1022</v>
      </c>
      <c r="GK23" s="10">
        <v>1019</v>
      </c>
      <c r="GL23" s="10">
        <v>1019</v>
      </c>
      <c r="GM23" s="10">
        <v>1019</v>
      </c>
      <c r="GN23" s="10">
        <v>1016</v>
      </c>
      <c r="GO23" s="10">
        <v>1039</v>
      </c>
      <c r="GP23" s="10">
        <v>1060</v>
      </c>
      <c r="GQ23" s="10">
        <v>1055</v>
      </c>
      <c r="GR23" s="10">
        <v>1099</v>
      </c>
      <c r="GS23" s="10">
        <v>1100</v>
      </c>
    </row>
    <row r="24" spans="1:201" ht="15.75" customHeight="1">
      <c r="A24" s="51" t="s">
        <v>1846</v>
      </c>
      <c r="B24" s="10"/>
      <c r="C24" s="10"/>
      <c r="D24" s="10"/>
      <c r="E24" s="10"/>
      <c r="F24" s="10" t="s">
        <v>1827</v>
      </c>
      <c r="G24" s="10" t="s">
        <v>1827</v>
      </c>
      <c r="H24" s="10" t="s">
        <v>1827</v>
      </c>
      <c r="I24" s="10" t="s">
        <v>1827</v>
      </c>
      <c r="J24" s="10" t="s">
        <v>1827</v>
      </c>
      <c r="K24" s="10" t="s">
        <v>1827</v>
      </c>
      <c r="L24" s="10" t="s">
        <v>1827</v>
      </c>
      <c r="M24" s="10" t="s">
        <v>1827</v>
      </c>
      <c r="N24" s="10" t="s">
        <v>1827</v>
      </c>
      <c r="O24" s="10" t="s">
        <v>1827</v>
      </c>
      <c r="P24" s="10" t="s">
        <v>1827</v>
      </c>
      <c r="Q24" s="10" t="s">
        <v>1827</v>
      </c>
      <c r="R24" s="10" t="s">
        <v>1827</v>
      </c>
      <c r="S24" s="10" t="s">
        <v>1827</v>
      </c>
      <c r="T24" s="10" t="s">
        <v>1827</v>
      </c>
      <c r="U24" s="10" t="s">
        <v>1827</v>
      </c>
      <c r="V24" s="10" t="s">
        <v>1827</v>
      </c>
      <c r="W24" s="10" t="s">
        <v>1827</v>
      </c>
      <c r="X24" s="10" t="s">
        <v>1827</v>
      </c>
      <c r="Y24" s="10" t="s">
        <v>1827</v>
      </c>
      <c r="Z24" s="10" t="s">
        <v>1827</v>
      </c>
      <c r="AA24" s="10" t="s">
        <v>1827</v>
      </c>
      <c r="AB24" s="10" t="s">
        <v>1827</v>
      </c>
      <c r="AC24" s="10" t="s">
        <v>1827</v>
      </c>
      <c r="AD24" s="10" t="s">
        <v>1827</v>
      </c>
      <c r="AE24" s="10" t="s">
        <v>1827</v>
      </c>
      <c r="AF24" s="10" t="s">
        <v>1827</v>
      </c>
      <c r="AG24" s="10" t="s">
        <v>1827</v>
      </c>
      <c r="AH24" s="10" t="s">
        <v>1827</v>
      </c>
      <c r="AI24" s="10" t="s">
        <v>1827</v>
      </c>
      <c r="AJ24" s="10" t="s">
        <v>1827</v>
      </c>
      <c r="AK24" s="10" t="s">
        <v>1827</v>
      </c>
      <c r="AL24" s="10" t="s">
        <v>1827</v>
      </c>
      <c r="AM24" s="10" t="s">
        <v>1827</v>
      </c>
      <c r="AN24" s="10" t="s">
        <v>1827</v>
      </c>
      <c r="AO24" s="10" t="s">
        <v>1827</v>
      </c>
      <c r="AP24" s="10" t="s">
        <v>1827</v>
      </c>
      <c r="AQ24" s="10" t="s">
        <v>1827</v>
      </c>
      <c r="AR24" s="10" t="s">
        <v>1827</v>
      </c>
      <c r="AS24" s="10" t="s">
        <v>1827</v>
      </c>
      <c r="AT24" s="10" t="s">
        <v>1827</v>
      </c>
      <c r="AU24" s="10" t="s">
        <v>1827</v>
      </c>
      <c r="AV24" s="10" t="s">
        <v>1827</v>
      </c>
      <c r="AW24" s="10">
        <v>549.97845400000006</v>
      </c>
      <c r="AX24" s="10">
        <v>576.23737200000005</v>
      </c>
      <c r="AY24" s="10">
        <v>577.209925</v>
      </c>
      <c r="AZ24" s="10">
        <v>612.22181599999999</v>
      </c>
      <c r="BA24" s="10">
        <v>616.59830199999999</v>
      </c>
      <c r="BB24" s="10">
        <v>665.22592799999995</v>
      </c>
      <c r="BC24" s="10">
        <v>668.14358600000003</v>
      </c>
      <c r="BD24" s="10">
        <v>735.73598600000003</v>
      </c>
      <c r="BE24" s="10">
        <v>739.13991999999996</v>
      </c>
      <c r="BF24" s="10">
        <v>754.70076100000006</v>
      </c>
      <c r="BG24" s="10">
        <v>757.61841800000002</v>
      </c>
      <c r="BH24" s="10">
        <v>780.47340299999996</v>
      </c>
      <c r="BI24" s="10">
        <v>782.90478399999995</v>
      </c>
      <c r="BJ24" s="10">
        <v>801.86955799999998</v>
      </c>
      <c r="BK24" s="10">
        <v>801.86955799999998</v>
      </c>
      <c r="BL24" s="10">
        <v>806.68077600000004</v>
      </c>
      <c r="BM24" s="10">
        <v>811.49199299999998</v>
      </c>
      <c r="BN24" s="10">
        <v>821.91629699999999</v>
      </c>
      <c r="BO24" s="10">
        <v>822.71816699999999</v>
      </c>
      <c r="BP24" s="10">
        <v>842.764906</v>
      </c>
      <c r="BQ24" s="10">
        <v>841.16116599999998</v>
      </c>
      <c r="BR24" s="10">
        <v>866.82099300000004</v>
      </c>
      <c r="BS24" s="10">
        <v>869.22660099999996</v>
      </c>
      <c r="BT24" s="10">
        <v>885.26399200000003</v>
      </c>
      <c r="BU24" s="10">
        <v>884.46212300000002</v>
      </c>
      <c r="BV24" s="10">
        <v>901.30138399999998</v>
      </c>
      <c r="BW24" s="10">
        <v>901.30138399999998</v>
      </c>
      <c r="BX24" s="10">
        <v>913.32942700000001</v>
      </c>
      <c r="BY24" s="10">
        <v>909.32007999999996</v>
      </c>
      <c r="BZ24" s="10">
        <v>913.32942700000001</v>
      </c>
      <c r="CA24" s="10">
        <v>908.51820999999995</v>
      </c>
      <c r="CB24" s="10">
        <v>925.35747000000003</v>
      </c>
      <c r="CC24" s="10">
        <v>922.95186200000001</v>
      </c>
      <c r="CD24" s="10">
        <v>932.574296</v>
      </c>
      <c r="CE24" s="10">
        <v>927.91142500000001</v>
      </c>
      <c r="CF24" s="10">
        <v>927.91142500000001</v>
      </c>
      <c r="CG24" s="10">
        <v>926.97884999999997</v>
      </c>
      <c r="CH24" s="10">
        <v>921.38340500000004</v>
      </c>
      <c r="CI24" s="10">
        <v>912.05766200000005</v>
      </c>
      <c r="CJ24" s="10">
        <v>913.92281000000003</v>
      </c>
      <c r="CK24" s="10">
        <v>906.46221700000001</v>
      </c>
      <c r="CL24" s="10">
        <v>912.99023599999998</v>
      </c>
      <c r="CM24" s="10">
        <v>911.12508800000001</v>
      </c>
      <c r="CN24" s="10">
        <v>911.12508800000001</v>
      </c>
      <c r="CO24" s="10">
        <v>911.12508800000001</v>
      </c>
      <c r="CP24" s="10">
        <v>912.05766200000005</v>
      </c>
      <c r="CQ24" s="10">
        <v>912.99023599999998</v>
      </c>
      <c r="CR24" s="10">
        <v>916.72053300000005</v>
      </c>
      <c r="CS24" s="10">
        <v>915.787959</v>
      </c>
      <c r="CT24" s="10">
        <v>912.05766200000005</v>
      </c>
      <c r="CU24" s="10">
        <v>912.99023599999998</v>
      </c>
      <c r="CV24" s="10">
        <v>918.58568200000002</v>
      </c>
      <c r="CW24" s="10">
        <v>919.51825599999995</v>
      </c>
      <c r="CX24" s="10">
        <v>931.64172199999996</v>
      </c>
      <c r="CY24" s="10">
        <v>932.574296</v>
      </c>
      <c r="CZ24" s="10">
        <v>940.96746599999994</v>
      </c>
      <c r="DA24" s="10">
        <v>942.84939999999995</v>
      </c>
      <c r="DB24" s="10">
        <v>950.37714000000005</v>
      </c>
      <c r="DC24" s="10">
        <v>946.61327000000006</v>
      </c>
      <c r="DD24" s="10">
        <v>945.67230199999995</v>
      </c>
      <c r="DE24" s="10">
        <v>943.79036699999995</v>
      </c>
      <c r="DF24" s="10">
        <v>955.08197700000005</v>
      </c>
      <c r="DG24" s="10">
        <v>957.90488000000005</v>
      </c>
      <c r="DH24" s="10">
        <v>963.55068400000005</v>
      </c>
      <c r="DI24" s="10">
        <v>964.49165200000004</v>
      </c>
      <c r="DJ24" s="10">
        <v>969.19648900000004</v>
      </c>
      <c r="DK24" s="10">
        <v>966.37358700000004</v>
      </c>
      <c r="DL24" s="10">
        <v>972.96035900000004</v>
      </c>
      <c r="DM24" s="10">
        <v>972.96035900000004</v>
      </c>
      <c r="DN24" s="10">
        <v>976.72422800000004</v>
      </c>
      <c r="DO24" s="10">
        <v>972.96035900000004</v>
      </c>
      <c r="DP24" s="10">
        <v>976.72422800000004</v>
      </c>
      <c r="DQ24" s="10">
        <v>975.78326100000004</v>
      </c>
      <c r="DR24" s="10">
        <v>972.96035900000004</v>
      </c>
      <c r="DS24" s="10">
        <v>971.07842400000004</v>
      </c>
      <c r="DT24" s="10">
        <v>971.07842400000004</v>
      </c>
      <c r="DU24" s="10">
        <v>969.19648900000004</v>
      </c>
      <c r="DV24" s="10">
        <v>976.72422800000004</v>
      </c>
      <c r="DW24" s="10">
        <v>975.78326100000004</v>
      </c>
      <c r="DX24" s="10">
        <v>976.72422800000004</v>
      </c>
      <c r="DY24" s="10">
        <v>974.84229400000004</v>
      </c>
      <c r="DZ24" s="10">
        <v>981.42906600000003</v>
      </c>
      <c r="EA24" s="10">
        <v>981.42906600000003</v>
      </c>
      <c r="EB24" s="10">
        <v>984.25196900000003</v>
      </c>
      <c r="EC24" s="10">
        <v>980.31496100000004</v>
      </c>
      <c r="ED24" s="10">
        <v>978.34645699999999</v>
      </c>
      <c r="EE24" s="10">
        <v>980.31496100000004</v>
      </c>
      <c r="EF24" s="10">
        <v>976.37795300000005</v>
      </c>
      <c r="EG24" s="10">
        <v>976.37795300000005</v>
      </c>
      <c r="EH24" s="10">
        <v>980.31496100000004</v>
      </c>
      <c r="EI24" s="10">
        <v>976.37795300000005</v>
      </c>
      <c r="EJ24" s="10">
        <v>982.28346499999998</v>
      </c>
      <c r="EK24" s="10">
        <v>979.33070899999996</v>
      </c>
      <c r="EL24" s="10">
        <v>989.17322799999999</v>
      </c>
      <c r="EM24" s="10">
        <v>986.22047199999997</v>
      </c>
      <c r="EN24" s="10">
        <v>997.04724399999998</v>
      </c>
      <c r="EO24" s="10">
        <v>999.01574800000003</v>
      </c>
      <c r="EP24" s="10">
        <v>1023.622047</v>
      </c>
      <c r="EQ24" s="10">
        <v>1016.7322830000001</v>
      </c>
      <c r="ER24" s="10">
        <v>1015.748031</v>
      </c>
      <c r="ES24" s="10">
        <v>1012.7952759999999</v>
      </c>
      <c r="ET24" s="10">
        <v>999.01574800000003</v>
      </c>
      <c r="EU24" s="10">
        <v>998.03149599999995</v>
      </c>
      <c r="EV24" s="10">
        <v>994.09448799999996</v>
      </c>
      <c r="EW24" s="10">
        <v>1001.9685040000001</v>
      </c>
      <c r="EX24" s="10">
        <v>992.12598400000002</v>
      </c>
      <c r="EY24" s="10">
        <v>994.09448799999996</v>
      </c>
      <c r="EZ24" s="10">
        <v>986.22047199999997</v>
      </c>
      <c r="FA24" s="10">
        <v>989.17322799999999</v>
      </c>
      <c r="FB24" s="10">
        <v>988.18897600000003</v>
      </c>
      <c r="FC24" s="10">
        <v>984.25196900000003</v>
      </c>
      <c r="FD24" s="10">
        <v>970.472441</v>
      </c>
      <c r="FE24" s="10">
        <v>968.50393699999995</v>
      </c>
      <c r="FF24" s="10">
        <v>983.26771699999995</v>
      </c>
      <c r="FG24" s="10">
        <v>975.39370099999996</v>
      </c>
      <c r="FH24" s="10">
        <v>981.29921300000001</v>
      </c>
      <c r="FI24" s="10">
        <v>993.11023599999999</v>
      </c>
      <c r="FJ24" s="10">
        <v>983.26771699999995</v>
      </c>
      <c r="FK24" s="10">
        <v>981.29921300000001</v>
      </c>
      <c r="FL24" s="10">
        <v>998.03149599999995</v>
      </c>
      <c r="FM24" s="10">
        <v>999.01574800000003</v>
      </c>
      <c r="FN24" s="10">
        <v>992.12598400000002</v>
      </c>
      <c r="FO24" s="10">
        <v>995.07874000000004</v>
      </c>
      <c r="FP24" s="10">
        <v>985.23622</v>
      </c>
      <c r="FQ24" s="10">
        <v>988.18897600000003</v>
      </c>
      <c r="FR24" s="10">
        <v>999.01574800000003</v>
      </c>
      <c r="FS24" s="10">
        <v>997.04724399999998</v>
      </c>
      <c r="FT24" s="10">
        <v>1000</v>
      </c>
      <c r="FU24" s="10">
        <v>1003.937008</v>
      </c>
      <c r="FV24" s="10">
        <v>981</v>
      </c>
      <c r="FW24" s="10">
        <v>986</v>
      </c>
      <c r="FX24" s="10">
        <v>975</v>
      </c>
      <c r="FY24" s="10">
        <v>980</v>
      </c>
      <c r="FZ24" s="10">
        <v>957</v>
      </c>
      <c r="GA24" s="10">
        <v>957</v>
      </c>
      <c r="GB24" s="10">
        <v>968</v>
      </c>
      <c r="GC24" s="10">
        <v>964</v>
      </c>
      <c r="GD24" s="10">
        <v>980</v>
      </c>
      <c r="GE24" s="10">
        <v>984</v>
      </c>
      <c r="GF24" s="10">
        <v>952</v>
      </c>
      <c r="GG24" s="10">
        <v>959</v>
      </c>
      <c r="GH24" s="10">
        <v>976</v>
      </c>
      <c r="GI24" s="10">
        <v>964</v>
      </c>
      <c r="GJ24" s="10">
        <v>997</v>
      </c>
      <c r="GK24" s="10">
        <v>997</v>
      </c>
      <c r="GL24" s="10">
        <v>996</v>
      </c>
      <c r="GM24" s="10">
        <v>989</v>
      </c>
      <c r="GN24" s="10">
        <v>985</v>
      </c>
      <c r="GO24" s="10">
        <v>994</v>
      </c>
      <c r="GP24" s="10">
        <v>994</v>
      </c>
      <c r="GQ24" s="10">
        <v>989</v>
      </c>
      <c r="GR24" s="10">
        <v>1029</v>
      </c>
      <c r="GS24" s="10">
        <v>1035</v>
      </c>
    </row>
    <row r="25" spans="1:201" ht="15.75" customHeight="1">
      <c r="A25" s="51" t="s">
        <v>1847</v>
      </c>
      <c r="B25" s="10"/>
      <c r="C25" s="10"/>
      <c r="D25" s="10"/>
      <c r="E25" s="10"/>
      <c r="F25" s="10" t="s">
        <v>1827</v>
      </c>
      <c r="G25" s="10" t="s">
        <v>1827</v>
      </c>
      <c r="H25" s="10" t="s">
        <v>1827</v>
      </c>
      <c r="I25" s="10" t="s">
        <v>1827</v>
      </c>
      <c r="J25" s="10" t="s">
        <v>1827</v>
      </c>
      <c r="K25" s="10" t="s">
        <v>1827</v>
      </c>
      <c r="L25" s="10" t="s">
        <v>1827</v>
      </c>
      <c r="M25" s="10" t="s">
        <v>1827</v>
      </c>
      <c r="N25" s="10" t="s">
        <v>1827</v>
      </c>
      <c r="O25" s="10" t="s">
        <v>1827</v>
      </c>
      <c r="P25" s="10" t="s">
        <v>1827</v>
      </c>
      <c r="Q25" s="10" t="s">
        <v>1827</v>
      </c>
      <c r="R25" s="10" t="s">
        <v>1827</v>
      </c>
      <c r="S25" s="10" t="s">
        <v>1827</v>
      </c>
      <c r="T25" s="10" t="s">
        <v>1827</v>
      </c>
      <c r="U25" s="10" t="s">
        <v>1827</v>
      </c>
      <c r="V25" s="10" t="s">
        <v>1827</v>
      </c>
      <c r="W25" s="10" t="s">
        <v>1827</v>
      </c>
      <c r="X25" s="10" t="s">
        <v>1827</v>
      </c>
      <c r="Y25" s="10" t="s">
        <v>1827</v>
      </c>
      <c r="Z25" s="10" t="s">
        <v>1827</v>
      </c>
      <c r="AA25" s="10" t="s">
        <v>1827</v>
      </c>
      <c r="AB25" s="10" t="s">
        <v>1827</v>
      </c>
      <c r="AC25" s="10" t="s">
        <v>1827</v>
      </c>
      <c r="AD25" s="10" t="s">
        <v>1827</v>
      </c>
      <c r="AE25" s="10" t="s">
        <v>1827</v>
      </c>
      <c r="AF25" s="10" t="s">
        <v>1827</v>
      </c>
      <c r="AG25" s="10" t="s">
        <v>1827</v>
      </c>
      <c r="AH25" s="10" t="s">
        <v>1827</v>
      </c>
      <c r="AI25" s="10" t="s">
        <v>1827</v>
      </c>
      <c r="AJ25" s="10" t="s">
        <v>1827</v>
      </c>
      <c r="AK25" s="10" t="s">
        <v>1827</v>
      </c>
      <c r="AL25" s="10" t="s">
        <v>1827</v>
      </c>
      <c r="AM25" s="10" t="s">
        <v>1827</v>
      </c>
      <c r="AN25" s="10" t="s">
        <v>1827</v>
      </c>
      <c r="AO25" s="10" t="s">
        <v>1827</v>
      </c>
      <c r="AP25" s="10" t="s">
        <v>1827</v>
      </c>
      <c r="AQ25" s="10" t="s">
        <v>1827</v>
      </c>
      <c r="AR25" s="10" t="s">
        <v>1827</v>
      </c>
      <c r="AS25" s="10" t="s">
        <v>1827</v>
      </c>
      <c r="AT25" s="10" t="s">
        <v>1827</v>
      </c>
      <c r="AU25" s="10" t="s">
        <v>1827</v>
      </c>
      <c r="AV25" s="10" t="s">
        <v>1827</v>
      </c>
      <c r="AW25" s="10" t="s">
        <v>1827</v>
      </c>
      <c r="AX25" s="10" t="s">
        <v>1827</v>
      </c>
      <c r="AY25" s="10" t="s">
        <v>1827</v>
      </c>
      <c r="AZ25" s="10" t="s">
        <v>1827</v>
      </c>
      <c r="BA25" s="10" t="s">
        <v>1827</v>
      </c>
      <c r="BB25" s="10" t="s">
        <v>1827</v>
      </c>
      <c r="BC25" s="10" t="s">
        <v>1827</v>
      </c>
      <c r="BD25" s="10" t="s">
        <v>1827</v>
      </c>
      <c r="BE25" s="10" t="s">
        <v>1827</v>
      </c>
      <c r="BF25" s="10" t="s">
        <v>1827</v>
      </c>
      <c r="BG25" s="10" t="s">
        <v>1827</v>
      </c>
      <c r="BH25" s="10" t="s">
        <v>1827</v>
      </c>
      <c r="BI25" s="10" t="s">
        <v>1827</v>
      </c>
      <c r="BJ25" s="10" t="s">
        <v>1827</v>
      </c>
      <c r="BK25" s="10" t="s">
        <v>1827</v>
      </c>
      <c r="BL25" s="10" t="s">
        <v>1827</v>
      </c>
      <c r="BM25" s="10" t="s">
        <v>1827</v>
      </c>
      <c r="BN25" s="10" t="s">
        <v>1827</v>
      </c>
      <c r="BO25" s="10" t="s">
        <v>1827</v>
      </c>
      <c r="BP25" s="10" t="s">
        <v>1827</v>
      </c>
      <c r="BQ25" s="10" t="s">
        <v>1827</v>
      </c>
      <c r="BR25" s="10" t="s">
        <v>1827</v>
      </c>
      <c r="BS25" s="10" t="s">
        <v>1827</v>
      </c>
      <c r="BT25" s="10" t="s">
        <v>1827</v>
      </c>
      <c r="BU25" s="10" t="s">
        <v>1827</v>
      </c>
      <c r="BV25" s="10" t="s">
        <v>1827</v>
      </c>
      <c r="BW25" s="10" t="s">
        <v>1827</v>
      </c>
      <c r="BX25" s="10" t="s">
        <v>1827</v>
      </c>
      <c r="BY25" s="10" t="s">
        <v>1827</v>
      </c>
      <c r="BZ25" s="10" t="s">
        <v>1827</v>
      </c>
      <c r="CA25" s="10" t="s">
        <v>1827</v>
      </c>
      <c r="CB25" s="10" t="s">
        <v>1827</v>
      </c>
      <c r="CC25" s="10" t="s">
        <v>1827</v>
      </c>
      <c r="CD25" s="10" t="s">
        <v>1827</v>
      </c>
      <c r="CE25" s="10" t="s">
        <v>1827</v>
      </c>
      <c r="CF25" s="10" t="s">
        <v>1827</v>
      </c>
      <c r="CG25" s="10" t="s">
        <v>1827</v>
      </c>
      <c r="CH25" s="10" t="s">
        <v>1827</v>
      </c>
      <c r="CI25" s="10" t="s">
        <v>1827</v>
      </c>
      <c r="CJ25" s="10" t="s">
        <v>1827</v>
      </c>
      <c r="CK25" s="10" t="s">
        <v>1827</v>
      </c>
      <c r="CL25" s="10" t="s">
        <v>1827</v>
      </c>
      <c r="CM25" s="10" t="s">
        <v>1827</v>
      </c>
      <c r="CN25" s="10" t="s">
        <v>1827</v>
      </c>
      <c r="CO25" s="10" t="s">
        <v>1827</v>
      </c>
      <c r="CP25" s="10" t="s">
        <v>1827</v>
      </c>
      <c r="CQ25" s="10" t="s">
        <v>1827</v>
      </c>
      <c r="CR25" s="10" t="s">
        <v>1827</v>
      </c>
      <c r="CS25" s="10" t="s">
        <v>1827</v>
      </c>
      <c r="CT25" s="10" t="s">
        <v>1827</v>
      </c>
      <c r="CU25" s="10" t="s">
        <v>1827</v>
      </c>
      <c r="CV25" s="10" t="s">
        <v>1827</v>
      </c>
      <c r="CW25" s="10" t="s">
        <v>1827</v>
      </c>
      <c r="CX25" s="10" t="s">
        <v>1827</v>
      </c>
      <c r="CY25" s="10" t="s">
        <v>1827</v>
      </c>
      <c r="CZ25" s="10">
        <v>990.21526400000005</v>
      </c>
      <c r="DA25" s="10">
        <v>992.17221099999995</v>
      </c>
      <c r="DB25" s="10">
        <v>992.17221099999995</v>
      </c>
      <c r="DC25" s="10">
        <v>990.21526400000005</v>
      </c>
      <c r="DD25" s="10">
        <v>992.17221099999995</v>
      </c>
      <c r="DE25" s="10">
        <v>987.27984300000003</v>
      </c>
      <c r="DF25" s="10">
        <v>992.17221099999995</v>
      </c>
      <c r="DG25" s="10">
        <v>992.17221099999995</v>
      </c>
      <c r="DH25" s="10">
        <v>993.15068499999995</v>
      </c>
      <c r="DI25" s="10">
        <v>991.19373800000005</v>
      </c>
      <c r="DJ25" s="10">
        <v>998.04305299999999</v>
      </c>
      <c r="DK25" s="10">
        <v>994.12915899999996</v>
      </c>
      <c r="DL25" s="10">
        <v>1000</v>
      </c>
      <c r="DM25" s="10">
        <v>1000.978474</v>
      </c>
      <c r="DN25" s="10">
        <v>1001.956947</v>
      </c>
      <c r="DO25" s="10">
        <v>998.04305299999999</v>
      </c>
      <c r="DP25" s="10">
        <v>997.06457899999998</v>
      </c>
      <c r="DQ25" s="10">
        <v>990.21526400000005</v>
      </c>
      <c r="DR25" s="10">
        <v>987.27984300000003</v>
      </c>
      <c r="DS25" s="10">
        <v>982.38747599999999</v>
      </c>
      <c r="DT25" s="10">
        <v>984.34442300000001</v>
      </c>
      <c r="DU25" s="10">
        <v>977.49510799999996</v>
      </c>
      <c r="DV25" s="10">
        <v>981.40900199999999</v>
      </c>
      <c r="DW25" s="10">
        <v>972.60274000000004</v>
      </c>
      <c r="DX25" s="10">
        <v>972.60274000000004</v>
      </c>
      <c r="DY25" s="10">
        <v>967.71037200000001</v>
      </c>
      <c r="DZ25" s="10">
        <v>967.71037200000001</v>
      </c>
      <c r="EA25" s="10">
        <v>965.75342499999999</v>
      </c>
      <c r="EB25" s="10">
        <v>978.47358099999997</v>
      </c>
      <c r="EC25" s="10">
        <v>973.58121300000005</v>
      </c>
      <c r="ED25" s="10">
        <v>988.25831700000003</v>
      </c>
      <c r="EE25" s="10">
        <v>974.55968700000005</v>
      </c>
      <c r="EF25" s="10">
        <v>1000.978474</v>
      </c>
      <c r="EG25" s="10">
        <v>992.17221099999995</v>
      </c>
      <c r="EH25" s="10">
        <v>996.08610599999997</v>
      </c>
      <c r="EI25" s="10">
        <v>970.64579300000003</v>
      </c>
      <c r="EJ25" s="10">
        <v>973.58121300000005</v>
      </c>
      <c r="EK25" s="10">
        <v>979.45205499999997</v>
      </c>
      <c r="EL25" s="10">
        <v>982.38747599999999</v>
      </c>
      <c r="EM25" s="10">
        <v>977.49510799999996</v>
      </c>
      <c r="EN25" s="10">
        <v>1008.8062619999999</v>
      </c>
      <c r="EO25" s="10">
        <v>1017.612524</v>
      </c>
      <c r="EP25" s="10">
        <v>1037.181996</v>
      </c>
      <c r="EQ25" s="10">
        <v>1034.2465749999999</v>
      </c>
      <c r="ER25" s="10">
        <v>1029.3542070000001</v>
      </c>
      <c r="ES25" s="10">
        <v>1018.590998</v>
      </c>
      <c r="ET25" s="10">
        <v>1025.4403130000001</v>
      </c>
      <c r="EU25" s="10">
        <v>1009.784736</v>
      </c>
      <c r="EV25" s="10">
        <v>1025.4403130000001</v>
      </c>
      <c r="EW25" s="10">
        <v>1023.483366</v>
      </c>
      <c r="EX25" s="10">
        <v>1026.4187870000001</v>
      </c>
      <c r="EY25" s="10">
        <v>1019.569472</v>
      </c>
      <c r="EZ25" s="10">
        <v>1028.375734</v>
      </c>
      <c r="FA25" s="10">
        <v>1018.590998</v>
      </c>
      <c r="FB25" s="10">
        <v>1006.849315</v>
      </c>
      <c r="FC25" s="10">
        <v>1010.763209</v>
      </c>
      <c r="FD25" s="10">
        <v>1001.956947</v>
      </c>
      <c r="FE25" s="10">
        <v>1000.978474</v>
      </c>
      <c r="FF25" s="10">
        <v>999.02152599999999</v>
      </c>
      <c r="FG25" s="10">
        <v>1000.978474</v>
      </c>
      <c r="FH25" s="10">
        <v>997.06457899999998</v>
      </c>
      <c r="FI25" s="10">
        <v>992.17221099999995</v>
      </c>
      <c r="FJ25" s="10">
        <v>1007.8277890000001</v>
      </c>
      <c r="FK25" s="10">
        <v>1012.720157</v>
      </c>
      <c r="FL25" s="10">
        <v>983.365949</v>
      </c>
      <c r="FM25" s="10">
        <v>981.40900199999999</v>
      </c>
      <c r="FN25" s="10">
        <v>992.17221099999995</v>
      </c>
      <c r="FO25" s="10">
        <v>990.21526400000005</v>
      </c>
      <c r="FP25" s="10">
        <v>1003.913894</v>
      </c>
      <c r="FQ25" s="10">
        <v>1010.763209</v>
      </c>
      <c r="FR25" s="10">
        <v>1011.741683</v>
      </c>
      <c r="FS25" s="10">
        <v>1000.978474</v>
      </c>
      <c r="FT25" s="10">
        <v>1000</v>
      </c>
      <c r="FU25" s="10">
        <v>1009.784736</v>
      </c>
      <c r="FV25" s="10">
        <v>997</v>
      </c>
      <c r="FW25" s="10">
        <v>999</v>
      </c>
      <c r="FX25" s="10">
        <v>1009</v>
      </c>
      <c r="FY25" s="10">
        <v>1005</v>
      </c>
      <c r="FZ25" s="10">
        <v>996</v>
      </c>
      <c r="GA25" s="10">
        <v>994</v>
      </c>
      <c r="GB25" s="10">
        <v>1006</v>
      </c>
      <c r="GC25" s="10">
        <v>986</v>
      </c>
      <c r="GD25" s="10">
        <v>1002</v>
      </c>
      <c r="GE25" s="10">
        <v>1006</v>
      </c>
      <c r="GF25" s="10">
        <v>994</v>
      </c>
      <c r="GG25" s="10">
        <v>985</v>
      </c>
      <c r="GH25" s="10">
        <v>992</v>
      </c>
      <c r="GI25" s="10">
        <v>995</v>
      </c>
      <c r="GJ25" s="10">
        <v>1007</v>
      </c>
      <c r="GK25" s="10">
        <v>1016</v>
      </c>
      <c r="GL25" s="10">
        <v>1028</v>
      </c>
      <c r="GM25" s="10">
        <v>1018</v>
      </c>
      <c r="GN25" s="10">
        <v>1048</v>
      </c>
      <c r="GO25" s="10">
        <v>1049</v>
      </c>
      <c r="GP25" s="10">
        <v>1077</v>
      </c>
      <c r="GQ25" s="10">
        <v>1075</v>
      </c>
      <c r="GR25" s="10">
        <v>1091</v>
      </c>
      <c r="GS25" s="10">
        <v>1088</v>
      </c>
    </row>
    <row r="26" spans="1:201" ht="15.75" customHeight="1">
      <c r="A26" s="51" t="s">
        <v>1848</v>
      </c>
      <c r="B26" s="10"/>
      <c r="C26" s="10"/>
      <c r="D26" s="10"/>
      <c r="E26" s="10"/>
      <c r="F26" s="10" t="s">
        <v>1827</v>
      </c>
      <c r="G26" s="10" t="s">
        <v>1827</v>
      </c>
      <c r="H26" s="10" t="s">
        <v>1827</v>
      </c>
      <c r="I26" s="10" t="s">
        <v>1827</v>
      </c>
      <c r="J26" s="10" t="s">
        <v>1827</v>
      </c>
      <c r="K26" s="10" t="s">
        <v>1827</v>
      </c>
      <c r="L26" s="10" t="s">
        <v>1827</v>
      </c>
      <c r="M26" s="10" t="s">
        <v>1827</v>
      </c>
      <c r="N26" s="10" t="s">
        <v>1827</v>
      </c>
      <c r="O26" s="10" t="s">
        <v>1827</v>
      </c>
      <c r="P26" s="10" t="s">
        <v>1827</v>
      </c>
      <c r="Q26" s="10" t="s">
        <v>1827</v>
      </c>
      <c r="R26" s="10" t="s">
        <v>1827</v>
      </c>
      <c r="S26" s="10" t="s">
        <v>1827</v>
      </c>
      <c r="T26" s="10" t="s">
        <v>1827</v>
      </c>
      <c r="U26" s="10" t="s">
        <v>1827</v>
      </c>
      <c r="V26" s="10" t="s">
        <v>1827</v>
      </c>
      <c r="W26" s="10" t="s">
        <v>1827</v>
      </c>
      <c r="X26" s="10" t="s">
        <v>1827</v>
      </c>
      <c r="Y26" s="10" t="s">
        <v>1827</v>
      </c>
      <c r="Z26" s="10" t="s">
        <v>1827</v>
      </c>
      <c r="AA26" s="10" t="s">
        <v>1827</v>
      </c>
      <c r="AB26" s="10" t="s">
        <v>1827</v>
      </c>
      <c r="AC26" s="10" t="s">
        <v>1827</v>
      </c>
      <c r="AD26" s="10" t="s">
        <v>1827</v>
      </c>
      <c r="AE26" s="10" t="s">
        <v>1827</v>
      </c>
      <c r="AF26" s="10" t="s">
        <v>1827</v>
      </c>
      <c r="AG26" s="10" t="s">
        <v>1827</v>
      </c>
      <c r="AH26" s="10" t="s">
        <v>1827</v>
      </c>
      <c r="AI26" s="10" t="s">
        <v>1827</v>
      </c>
      <c r="AJ26" s="10" t="s">
        <v>1827</v>
      </c>
      <c r="AK26" s="10" t="s">
        <v>1827</v>
      </c>
      <c r="AL26" s="10" t="s">
        <v>1827</v>
      </c>
      <c r="AM26" s="10" t="s">
        <v>1827</v>
      </c>
      <c r="AN26" s="10" t="s">
        <v>1827</v>
      </c>
      <c r="AO26" s="10" t="s">
        <v>1827</v>
      </c>
      <c r="AP26" s="10" t="s">
        <v>1827</v>
      </c>
      <c r="AQ26" s="10" t="s">
        <v>1827</v>
      </c>
      <c r="AR26" s="10" t="s">
        <v>1827</v>
      </c>
      <c r="AS26" s="10" t="s">
        <v>1827</v>
      </c>
      <c r="AT26" s="10" t="s">
        <v>1827</v>
      </c>
      <c r="AU26" s="10" t="s">
        <v>1827</v>
      </c>
      <c r="AV26" s="10" t="s">
        <v>1827</v>
      </c>
      <c r="AW26" s="10" t="s">
        <v>1827</v>
      </c>
      <c r="AX26" s="10" t="s">
        <v>1827</v>
      </c>
      <c r="AY26" s="10" t="s">
        <v>1827</v>
      </c>
      <c r="AZ26" s="10" t="s">
        <v>1827</v>
      </c>
      <c r="BA26" s="10" t="s">
        <v>1827</v>
      </c>
      <c r="BB26" s="10" t="s">
        <v>1827</v>
      </c>
      <c r="BC26" s="10" t="s">
        <v>1827</v>
      </c>
      <c r="BD26" s="10" t="s">
        <v>1827</v>
      </c>
      <c r="BE26" s="10" t="s">
        <v>1827</v>
      </c>
      <c r="BF26" s="10" t="s">
        <v>1827</v>
      </c>
      <c r="BG26" s="10" t="s">
        <v>1827</v>
      </c>
      <c r="BH26" s="10" t="s">
        <v>1827</v>
      </c>
      <c r="BI26" s="10" t="s">
        <v>1827</v>
      </c>
      <c r="BJ26" s="10" t="s">
        <v>1827</v>
      </c>
      <c r="BK26" s="10" t="s">
        <v>1827</v>
      </c>
      <c r="BL26" s="10" t="s">
        <v>1827</v>
      </c>
      <c r="BM26" s="10" t="s">
        <v>1827</v>
      </c>
      <c r="BN26" s="10" t="s">
        <v>1827</v>
      </c>
      <c r="BO26" s="10" t="s">
        <v>1827</v>
      </c>
      <c r="BP26" s="10" t="s">
        <v>1827</v>
      </c>
      <c r="BQ26" s="10" t="s">
        <v>1827</v>
      </c>
      <c r="BR26" s="10" t="s">
        <v>1827</v>
      </c>
      <c r="BS26" s="10" t="s">
        <v>1827</v>
      </c>
      <c r="BT26" s="10" t="s">
        <v>1827</v>
      </c>
      <c r="BU26" s="10" t="s">
        <v>1827</v>
      </c>
      <c r="BV26" s="10" t="s">
        <v>1827</v>
      </c>
      <c r="BW26" s="10" t="s">
        <v>1827</v>
      </c>
      <c r="BX26" s="10" t="s">
        <v>1827</v>
      </c>
      <c r="BY26" s="10" t="s">
        <v>1827</v>
      </c>
      <c r="BZ26" s="10" t="s">
        <v>1827</v>
      </c>
      <c r="CA26" s="10" t="s">
        <v>1827</v>
      </c>
      <c r="CB26" s="10" t="s">
        <v>1827</v>
      </c>
      <c r="CC26" s="10" t="s">
        <v>1827</v>
      </c>
      <c r="CD26" s="10" t="s">
        <v>1827</v>
      </c>
      <c r="CE26" s="10" t="s">
        <v>1827</v>
      </c>
      <c r="CF26" s="10" t="s">
        <v>1827</v>
      </c>
      <c r="CG26" s="10" t="s">
        <v>1827</v>
      </c>
      <c r="CH26" s="10" t="s">
        <v>1827</v>
      </c>
      <c r="CI26" s="10" t="s">
        <v>1827</v>
      </c>
      <c r="CJ26" s="10" t="s">
        <v>1827</v>
      </c>
      <c r="CK26" s="10" t="s">
        <v>1827</v>
      </c>
      <c r="CL26" s="10" t="s">
        <v>1827</v>
      </c>
      <c r="CM26" s="10" t="s">
        <v>1827</v>
      </c>
      <c r="CN26" s="10" t="s">
        <v>1827</v>
      </c>
      <c r="CO26" s="10" t="s">
        <v>1827</v>
      </c>
      <c r="CP26" s="10" t="s">
        <v>1827</v>
      </c>
      <c r="CQ26" s="10" t="s">
        <v>1827</v>
      </c>
      <c r="CR26" s="10" t="s">
        <v>1827</v>
      </c>
      <c r="CS26" s="10" t="s">
        <v>1827</v>
      </c>
      <c r="CT26" s="10" t="s">
        <v>1827</v>
      </c>
      <c r="CU26" s="10" t="s">
        <v>1827</v>
      </c>
      <c r="CV26" s="10" t="s">
        <v>1827</v>
      </c>
      <c r="CW26" s="10" t="s">
        <v>1827</v>
      </c>
      <c r="CX26" s="10" t="s">
        <v>1827</v>
      </c>
      <c r="CY26" s="10" t="s">
        <v>1827</v>
      </c>
      <c r="CZ26" s="10" t="s">
        <v>1827</v>
      </c>
      <c r="DA26" s="10" t="s">
        <v>1827</v>
      </c>
      <c r="DB26" s="10" t="s">
        <v>1827</v>
      </c>
      <c r="DC26" s="10" t="s">
        <v>1827</v>
      </c>
      <c r="DD26" s="10" t="s">
        <v>1827</v>
      </c>
      <c r="DE26" s="10" t="s">
        <v>1827</v>
      </c>
      <c r="DF26" s="10" t="s">
        <v>1827</v>
      </c>
      <c r="DG26" s="10" t="s">
        <v>1827</v>
      </c>
      <c r="DH26" s="10" t="s">
        <v>1827</v>
      </c>
      <c r="DI26" s="10" t="s">
        <v>1827</v>
      </c>
      <c r="DJ26" s="10" t="s">
        <v>1827</v>
      </c>
      <c r="DK26" s="10" t="s">
        <v>1827</v>
      </c>
      <c r="DL26" s="10" t="s">
        <v>1827</v>
      </c>
      <c r="DM26" s="10" t="s">
        <v>1827</v>
      </c>
      <c r="DN26" s="10" t="s">
        <v>1827</v>
      </c>
      <c r="DO26" s="10" t="s">
        <v>1827</v>
      </c>
      <c r="DP26" s="10" t="s">
        <v>1827</v>
      </c>
      <c r="DQ26" s="10" t="s">
        <v>1827</v>
      </c>
      <c r="DR26" s="10" t="s">
        <v>1827</v>
      </c>
      <c r="DS26" s="10" t="s">
        <v>1827</v>
      </c>
      <c r="DT26" s="10" t="s">
        <v>1827</v>
      </c>
      <c r="DU26" s="10" t="s">
        <v>1827</v>
      </c>
      <c r="DV26" s="10" t="s">
        <v>1827</v>
      </c>
      <c r="DW26" s="10" t="s">
        <v>1827</v>
      </c>
      <c r="DX26" s="10" t="s">
        <v>1827</v>
      </c>
      <c r="DY26" s="10" t="s">
        <v>1827</v>
      </c>
      <c r="DZ26" s="10" t="s">
        <v>1827</v>
      </c>
      <c r="EA26" s="10" t="s">
        <v>1827</v>
      </c>
      <c r="EB26" s="10" t="s">
        <v>1827</v>
      </c>
      <c r="EC26" s="10" t="s">
        <v>1827</v>
      </c>
      <c r="ED26" s="10" t="s">
        <v>1827</v>
      </c>
      <c r="EE26" s="10" t="s">
        <v>1827</v>
      </c>
      <c r="EF26" s="10" t="s">
        <v>1827</v>
      </c>
      <c r="EG26" s="10" t="s">
        <v>1827</v>
      </c>
      <c r="EH26" s="10" t="s">
        <v>1827</v>
      </c>
      <c r="EI26" s="10" t="s">
        <v>1827</v>
      </c>
      <c r="EJ26" s="10">
        <v>1027.749229</v>
      </c>
      <c r="EK26" s="10">
        <v>1027.749229</v>
      </c>
      <c r="EL26" s="10">
        <v>1019.527235</v>
      </c>
      <c r="EM26" s="10">
        <v>990.75025700000003</v>
      </c>
      <c r="EN26" s="10">
        <v>1004.110997</v>
      </c>
      <c r="EO26" s="10">
        <v>1022.610483</v>
      </c>
      <c r="EP26" s="10">
        <v>1001.027749</v>
      </c>
      <c r="EQ26" s="10">
        <v>969.16752299999996</v>
      </c>
      <c r="ER26" s="10">
        <v>1018.499486</v>
      </c>
      <c r="ES26" s="10">
        <v>987.66700900000001</v>
      </c>
      <c r="ET26" s="10">
        <v>1010.2774920000001</v>
      </c>
      <c r="EU26" s="10">
        <v>936.27954799999998</v>
      </c>
      <c r="EV26" s="10">
        <v>996.91675199999997</v>
      </c>
      <c r="EW26" s="10">
        <v>981.50051399999995</v>
      </c>
      <c r="EX26" s="10">
        <v>998.97225100000003</v>
      </c>
      <c r="EY26" s="10">
        <v>969.16752299999996</v>
      </c>
      <c r="EZ26" s="10">
        <v>1001.027749</v>
      </c>
      <c r="FA26" s="10">
        <v>986.63926000000004</v>
      </c>
      <c r="FB26" s="10">
        <v>978.41726600000004</v>
      </c>
      <c r="FC26" s="10">
        <v>934.22404900000004</v>
      </c>
      <c r="FD26" s="10">
        <v>951.695786</v>
      </c>
      <c r="FE26" s="10">
        <v>889.00308299999995</v>
      </c>
      <c r="FF26" s="10">
        <v>933.19629999999995</v>
      </c>
      <c r="FG26" s="10">
        <v>903.391572</v>
      </c>
      <c r="FH26" s="10">
        <v>965.05652599999996</v>
      </c>
      <c r="FI26" s="10">
        <v>906.47482000000002</v>
      </c>
      <c r="FJ26" s="10">
        <v>922.91880800000001</v>
      </c>
      <c r="FK26" s="10">
        <v>933.19629999999995</v>
      </c>
      <c r="FL26" s="10">
        <v>885.91983600000003</v>
      </c>
      <c r="FM26" s="10">
        <v>929.08530299999995</v>
      </c>
      <c r="FN26" s="10">
        <v>942.44604300000003</v>
      </c>
      <c r="FO26" s="10">
        <v>918.80781100000002</v>
      </c>
      <c r="FP26" s="10">
        <v>955.806783</v>
      </c>
      <c r="FQ26" s="10">
        <v>967.11202500000002</v>
      </c>
      <c r="FR26" s="10">
        <v>974.30626900000004</v>
      </c>
      <c r="FS26" s="10">
        <v>985.61151099999995</v>
      </c>
      <c r="FT26" s="10">
        <v>1000</v>
      </c>
      <c r="FU26" s="10">
        <v>1023.638232</v>
      </c>
      <c r="FV26" s="10">
        <v>1014</v>
      </c>
      <c r="FW26" s="10">
        <v>983</v>
      </c>
      <c r="FX26" s="10">
        <v>1008</v>
      </c>
      <c r="FY26" s="10">
        <v>1019</v>
      </c>
      <c r="FZ26" s="10">
        <v>990</v>
      </c>
      <c r="GA26" s="10">
        <v>1034</v>
      </c>
      <c r="GB26" s="10">
        <v>1018</v>
      </c>
      <c r="GC26" s="10">
        <v>998</v>
      </c>
      <c r="GD26" s="10">
        <v>1004</v>
      </c>
      <c r="GE26" s="10">
        <v>973</v>
      </c>
      <c r="GF26" s="10">
        <v>1026</v>
      </c>
      <c r="GG26" s="10">
        <v>955</v>
      </c>
      <c r="GH26" s="10">
        <v>1020</v>
      </c>
      <c r="GI26" s="10">
        <v>1033</v>
      </c>
      <c r="GJ26" s="10">
        <v>1014</v>
      </c>
      <c r="GK26" s="10">
        <v>962</v>
      </c>
      <c r="GL26" s="10">
        <v>999</v>
      </c>
      <c r="GM26" s="10">
        <v>937</v>
      </c>
      <c r="GN26" s="10">
        <v>975</v>
      </c>
      <c r="GO26" s="10">
        <v>980</v>
      </c>
      <c r="GP26" s="10">
        <v>993</v>
      </c>
      <c r="GQ26" s="10">
        <v>975</v>
      </c>
      <c r="GR26" s="10">
        <v>990</v>
      </c>
      <c r="GS26" s="10">
        <v>986</v>
      </c>
    </row>
    <row r="27" spans="1:201" ht="15.75" customHeight="1">
      <c r="A27" s="51" t="s">
        <v>1849</v>
      </c>
      <c r="B27" s="10"/>
      <c r="C27" s="10"/>
      <c r="D27" s="10"/>
      <c r="E27" s="10"/>
      <c r="F27" s="10" t="s">
        <v>1827</v>
      </c>
      <c r="G27" s="10" t="s">
        <v>1827</v>
      </c>
      <c r="H27" s="10" t="s">
        <v>1827</v>
      </c>
      <c r="I27" s="10" t="s">
        <v>1827</v>
      </c>
      <c r="J27" s="10" t="s">
        <v>1827</v>
      </c>
      <c r="K27" s="10" t="s">
        <v>1827</v>
      </c>
      <c r="L27" s="10" t="s">
        <v>1827</v>
      </c>
      <c r="M27" s="10" t="s">
        <v>1827</v>
      </c>
      <c r="N27" s="10" t="s">
        <v>1827</v>
      </c>
      <c r="O27" s="10" t="s">
        <v>1827</v>
      </c>
      <c r="P27" s="10" t="s">
        <v>1827</v>
      </c>
      <c r="Q27" s="10" t="s">
        <v>1827</v>
      </c>
      <c r="R27" s="10" t="s">
        <v>1827</v>
      </c>
      <c r="S27" s="10" t="s">
        <v>1827</v>
      </c>
      <c r="T27" s="10" t="s">
        <v>1827</v>
      </c>
      <c r="U27" s="10" t="s">
        <v>1827</v>
      </c>
      <c r="V27" s="10" t="s">
        <v>1827</v>
      </c>
      <c r="W27" s="10" t="s">
        <v>1827</v>
      </c>
      <c r="X27" s="10" t="s">
        <v>1827</v>
      </c>
      <c r="Y27" s="10" t="s">
        <v>1827</v>
      </c>
      <c r="Z27" s="10" t="s">
        <v>1827</v>
      </c>
      <c r="AA27" s="10" t="s">
        <v>1827</v>
      </c>
      <c r="AB27" s="10" t="s">
        <v>1827</v>
      </c>
      <c r="AC27" s="10" t="s">
        <v>1827</v>
      </c>
      <c r="AD27" s="10" t="s">
        <v>1827</v>
      </c>
      <c r="AE27" s="10" t="s">
        <v>1827</v>
      </c>
      <c r="AF27" s="10" t="s">
        <v>1827</v>
      </c>
      <c r="AG27" s="10" t="s">
        <v>1827</v>
      </c>
      <c r="AH27" s="10" t="s">
        <v>1827</v>
      </c>
      <c r="AI27" s="10" t="s">
        <v>1827</v>
      </c>
      <c r="AJ27" s="10" t="s">
        <v>1827</v>
      </c>
      <c r="AK27" s="10" t="s">
        <v>1827</v>
      </c>
      <c r="AL27" s="10" t="s">
        <v>1827</v>
      </c>
      <c r="AM27" s="10" t="s">
        <v>1827</v>
      </c>
      <c r="AN27" s="10" t="s">
        <v>1827</v>
      </c>
      <c r="AO27" s="10" t="s">
        <v>1827</v>
      </c>
      <c r="AP27" s="10" t="s">
        <v>1827</v>
      </c>
      <c r="AQ27" s="10" t="s">
        <v>1827</v>
      </c>
      <c r="AR27" s="10" t="s">
        <v>1827</v>
      </c>
      <c r="AS27" s="10" t="s">
        <v>1827</v>
      </c>
      <c r="AT27" s="10" t="s">
        <v>1827</v>
      </c>
      <c r="AU27" s="10" t="s">
        <v>1827</v>
      </c>
      <c r="AV27" s="10" t="s">
        <v>1827</v>
      </c>
      <c r="AW27" s="10" t="s">
        <v>1827</v>
      </c>
      <c r="AX27" s="10" t="s">
        <v>1827</v>
      </c>
      <c r="AY27" s="10" t="s">
        <v>1827</v>
      </c>
      <c r="AZ27" s="10" t="s">
        <v>1827</v>
      </c>
      <c r="BA27" s="10" t="s">
        <v>1827</v>
      </c>
      <c r="BB27" s="10" t="s">
        <v>1827</v>
      </c>
      <c r="BC27" s="10" t="s">
        <v>1827</v>
      </c>
      <c r="BD27" s="10" t="s">
        <v>1827</v>
      </c>
      <c r="BE27" s="10" t="s">
        <v>1827</v>
      </c>
      <c r="BF27" s="10" t="s">
        <v>1827</v>
      </c>
      <c r="BG27" s="10" t="s">
        <v>1827</v>
      </c>
      <c r="BH27" s="10" t="s">
        <v>1827</v>
      </c>
      <c r="BI27" s="10" t="s">
        <v>1827</v>
      </c>
      <c r="BJ27" s="10" t="s">
        <v>1827</v>
      </c>
      <c r="BK27" s="10" t="s">
        <v>1827</v>
      </c>
      <c r="BL27" s="10" t="s">
        <v>1827</v>
      </c>
      <c r="BM27" s="10" t="s">
        <v>1827</v>
      </c>
      <c r="BN27" s="10" t="s">
        <v>1827</v>
      </c>
      <c r="BO27" s="10" t="s">
        <v>1827</v>
      </c>
      <c r="BP27" s="10" t="s">
        <v>1827</v>
      </c>
      <c r="BQ27" s="10" t="s">
        <v>1827</v>
      </c>
      <c r="BR27" s="10" t="s">
        <v>1827</v>
      </c>
      <c r="BS27" s="10" t="s">
        <v>1827</v>
      </c>
      <c r="BT27" s="10" t="s">
        <v>1827</v>
      </c>
      <c r="BU27" s="10" t="s">
        <v>1827</v>
      </c>
      <c r="BV27" s="10" t="s">
        <v>1827</v>
      </c>
      <c r="BW27" s="10" t="s">
        <v>1827</v>
      </c>
      <c r="BX27" s="10" t="s">
        <v>1827</v>
      </c>
      <c r="BY27" s="10" t="s">
        <v>1827</v>
      </c>
      <c r="BZ27" s="10" t="s">
        <v>1827</v>
      </c>
      <c r="CA27" s="10" t="s">
        <v>1827</v>
      </c>
      <c r="CB27" s="10" t="s">
        <v>1827</v>
      </c>
      <c r="CC27" s="10" t="s">
        <v>1827</v>
      </c>
      <c r="CD27" s="10" t="s">
        <v>1827</v>
      </c>
      <c r="CE27" s="10" t="s">
        <v>1827</v>
      </c>
      <c r="CF27" s="10" t="s">
        <v>1827</v>
      </c>
      <c r="CG27" s="10" t="s">
        <v>1827</v>
      </c>
      <c r="CH27" s="10" t="s">
        <v>1827</v>
      </c>
      <c r="CI27" s="10" t="s">
        <v>1827</v>
      </c>
      <c r="CJ27" s="10" t="s">
        <v>1827</v>
      </c>
      <c r="CK27" s="10" t="s">
        <v>1827</v>
      </c>
      <c r="CL27" s="10" t="s">
        <v>1827</v>
      </c>
      <c r="CM27" s="10" t="s">
        <v>1827</v>
      </c>
      <c r="CN27" s="10" t="s">
        <v>1827</v>
      </c>
      <c r="CO27" s="10" t="s">
        <v>1827</v>
      </c>
      <c r="CP27" s="10" t="s">
        <v>1827</v>
      </c>
      <c r="CQ27" s="10" t="s">
        <v>1827</v>
      </c>
      <c r="CR27" s="10" t="s">
        <v>1827</v>
      </c>
      <c r="CS27" s="10" t="s">
        <v>1827</v>
      </c>
      <c r="CT27" s="10" t="s">
        <v>1827</v>
      </c>
      <c r="CU27" s="10" t="s">
        <v>1827</v>
      </c>
      <c r="CV27" s="10" t="s">
        <v>1827</v>
      </c>
      <c r="CW27" s="10" t="s">
        <v>1827</v>
      </c>
      <c r="CX27" s="10" t="s">
        <v>1827</v>
      </c>
      <c r="CY27" s="10" t="s">
        <v>1827</v>
      </c>
      <c r="CZ27" s="10">
        <v>758.18181800000002</v>
      </c>
      <c r="DA27" s="10">
        <v>758.18181800000002</v>
      </c>
      <c r="DB27" s="10">
        <v>753.63636399999996</v>
      </c>
      <c r="DC27" s="10">
        <v>751.81818199999998</v>
      </c>
      <c r="DD27" s="10">
        <v>752.72727299999997</v>
      </c>
      <c r="DE27" s="10">
        <v>757.27272700000003</v>
      </c>
      <c r="DF27" s="10">
        <v>769.09090900000001</v>
      </c>
      <c r="DG27" s="10">
        <v>780</v>
      </c>
      <c r="DH27" s="10">
        <v>783.63636399999996</v>
      </c>
      <c r="DI27" s="10">
        <v>791.81818199999998</v>
      </c>
      <c r="DJ27" s="10">
        <v>813.63636399999996</v>
      </c>
      <c r="DK27" s="10">
        <v>817.27272700000003</v>
      </c>
      <c r="DL27" s="10">
        <v>836.36363600000004</v>
      </c>
      <c r="DM27" s="10">
        <v>837.27272700000003</v>
      </c>
      <c r="DN27" s="10">
        <v>872.72727299999997</v>
      </c>
      <c r="DO27" s="10">
        <v>880.90909099999999</v>
      </c>
      <c r="DP27" s="10">
        <v>890</v>
      </c>
      <c r="DQ27" s="10">
        <v>895.45454500000005</v>
      </c>
      <c r="DR27" s="10">
        <v>889.09090900000001</v>
      </c>
      <c r="DS27" s="10">
        <v>887.27272700000003</v>
      </c>
      <c r="DT27" s="10">
        <v>888.18181800000002</v>
      </c>
      <c r="DU27" s="10">
        <v>889.09090900000001</v>
      </c>
      <c r="DV27" s="10">
        <v>907.27272700000003</v>
      </c>
      <c r="DW27" s="10">
        <v>908.18181800000002</v>
      </c>
      <c r="DX27" s="10">
        <v>904.54545499999995</v>
      </c>
      <c r="DY27" s="10">
        <v>902.72727299999997</v>
      </c>
      <c r="DZ27" s="10">
        <v>907.27272700000003</v>
      </c>
      <c r="EA27" s="10">
        <v>909.09090900000001</v>
      </c>
      <c r="EB27" s="10">
        <v>909.09090900000001</v>
      </c>
      <c r="EC27" s="10">
        <v>908.18181800000002</v>
      </c>
      <c r="ED27" s="10">
        <v>925.45454500000005</v>
      </c>
      <c r="EE27" s="10">
        <v>931.81818199999998</v>
      </c>
      <c r="EF27" s="10">
        <v>935.45454500000005</v>
      </c>
      <c r="EG27" s="10">
        <v>940</v>
      </c>
      <c r="EH27" s="10">
        <v>900.90909099999999</v>
      </c>
      <c r="EI27" s="10">
        <v>904.54545499999995</v>
      </c>
      <c r="EJ27" s="10">
        <v>900.90909099999999</v>
      </c>
      <c r="EK27" s="10">
        <v>899.09090900000001</v>
      </c>
      <c r="EL27" s="10">
        <v>914.54545499999995</v>
      </c>
      <c r="EM27" s="10">
        <v>921.81818199999998</v>
      </c>
      <c r="EN27" s="10">
        <v>926.36363600000004</v>
      </c>
      <c r="EO27" s="10">
        <v>932.72727299999997</v>
      </c>
      <c r="EP27" s="10">
        <v>945.45454500000005</v>
      </c>
      <c r="EQ27" s="10">
        <v>945.45454500000005</v>
      </c>
      <c r="ER27" s="10">
        <v>944.54545499999995</v>
      </c>
      <c r="ES27" s="10">
        <v>947.27272700000003</v>
      </c>
      <c r="ET27" s="10">
        <v>954.54545499999995</v>
      </c>
      <c r="EU27" s="10">
        <v>960</v>
      </c>
      <c r="EV27" s="10">
        <v>961.81818199999998</v>
      </c>
      <c r="EW27" s="10">
        <v>961.81818199999998</v>
      </c>
      <c r="EX27" s="10">
        <v>991.81818199999998</v>
      </c>
      <c r="EY27" s="10">
        <v>1010</v>
      </c>
      <c r="EZ27" s="10">
        <v>1017.272727</v>
      </c>
      <c r="FA27" s="10">
        <v>1017.272727</v>
      </c>
      <c r="FB27" s="10">
        <v>1015.4545450000001</v>
      </c>
      <c r="FC27" s="10">
        <v>1018.181818</v>
      </c>
      <c r="FD27" s="10">
        <v>1018.181818</v>
      </c>
      <c r="FE27" s="10">
        <v>1017.272727</v>
      </c>
      <c r="FF27" s="10">
        <v>1004.5454549999999</v>
      </c>
      <c r="FG27" s="10">
        <v>1007.272727</v>
      </c>
      <c r="FH27" s="10">
        <v>1006.363636</v>
      </c>
      <c r="FI27" s="10">
        <v>1007.272727</v>
      </c>
      <c r="FJ27" s="10">
        <v>1007.272727</v>
      </c>
      <c r="FK27" s="10">
        <v>1025.4545450000001</v>
      </c>
      <c r="FL27" s="10">
        <v>1029.090909</v>
      </c>
      <c r="FM27" s="10">
        <v>1022.727273</v>
      </c>
      <c r="FN27" s="10">
        <v>992.72727299999997</v>
      </c>
      <c r="FO27" s="10">
        <v>991.81818199999998</v>
      </c>
      <c r="FP27" s="10">
        <v>993.63636399999996</v>
      </c>
      <c r="FQ27" s="10">
        <v>998.18181800000002</v>
      </c>
      <c r="FR27" s="10">
        <v>990</v>
      </c>
      <c r="FS27" s="10">
        <v>997.27272700000003</v>
      </c>
      <c r="FT27" s="10">
        <v>1000</v>
      </c>
      <c r="FU27" s="10">
        <v>1000.909091</v>
      </c>
      <c r="FV27" s="10">
        <v>1023</v>
      </c>
      <c r="FW27" s="10">
        <v>1028</v>
      </c>
      <c r="FX27" s="10">
        <v>1034</v>
      </c>
      <c r="FY27" s="10">
        <v>1028</v>
      </c>
      <c r="FZ27" s="10">
        <v>1010</v>
      </c>
      <c r="GA27" s="10">
        <v>1024</v>
      </c>
      <c r="GB27" s="10">
        <v>1023</v>
      </c>
      <c r="GC27" s="10">
        <v>1036</v>
      </c>
      <c r="GD27" s="10">
        <v>996</v>
      </c>
      <c r="GE27" s="10">
        <v>1000</v>
      </c>
      <c r="GF27" s="10">
        <v>985</v>
      </c>
      <c r="GG27" s="10">
        <v>1005</v>
      </c>
      <c r="GH27" s="10">
        <v>1081</v>
      </c>
      <c r="GI27" s="10">
        <v>1071</v>
      </c>
      <c r="GJ27" s="10">
        <v>1071</v>
      </c>
      <c r="GK27" s="10">
        <v>1087</v>
      </c>
      <c r="GL27" s="10">
        <v>1094</v>
      </c>
      <c r="GM27" s="10">
        <v>1116</v>
      </c>
      <c r="GN27" s="10">
        <v>1120</v>
      </c>
      <c r="GO27" s="10">
        <v>1112</v>
      </c>
      <c r="GP27" s="10">
        <v>1175</v>
      </c>
      <c r="GQ27" s="10">
        <v>1173</v>
      </c>
      <c r="GR27" s="10">
        <v>1178</v>
      </c>
      <c r="GS27" s="10">
        <v>1172</v>
      </c>
    </row>
    <row r="28" spans="1:201" ht="15.75" customHeight="1">
      <c r="A28" s="51" t="s">
        <v>1850</v>
      </c>
      <c r="B28" s="10"/>
      <c r="C28" s="10"/>
      <c r="D28" s="10"/>
      <c r="E28" s="10"/>
      <c r="F28" s="10" t="s">
        <v>1827</v>
      </c>
      <c r="G28" s="10" t="s">
        <v>1827</v>
      </c>
      <c r="H28" s="10" t="s">
        <v>1827</v>
      </c>
      <c r="I28" s="10" t="s">
        <v>1827</v>
      </c>
      <c r="J28" s="10" t="s">
        <v>1827</v>
      </c>
      <c r="K28" s="10" t="s">
        <v>1827</v>
      </c>
      <c r="L28" s="10" t="s">
        <v>1827</v>
      </c>
      <c r="M28" s="10" t="s">
        <v>1827</v>
      </c>
      <c r="N28" s="10" t="s">
        <v>1827</v>
      </c>
      <c r="O28" s="10" t="s">
        <v>1827</v>
      </c>
      <c r="P28" s="10" t="s">
        <v>1827</v>
      </c>
      <c r="Q28" s="10" t="s">
        <v>1827</v>
      </c>
      <c r="R28" s="10" t="s">
        <v>1827</v>
      </c>
      <c r="S28" s="10" t="s">
        <v>1827</v>
      </c>
      <c r="T28" s="10" t="s">
        <v>1827</v>
      </c>
      <c r="U28" s="10" t="s">
        <v>1827</v>
      </c>
      <c r="V28" s="10" t="s">
        <v>1827</v>
      </c>
      <c r="W28" s="10" t="s">
        <v>1827</v>
      </c>
      <c r="X28" s="10" t="s">
        <v>1827</v>
      </c>
      <c r="Y28" s="10" t="s">
        <v>1827</v>
      </c>
      <c r="Z28" s="10" t="s">
        <v>1827</v>
      </c>
      <c r="AA28" s="10" t="s">
        <v>1827</v>
      </c>
      <c r="AB28" s="10" t="s">
        <v>1827</v>
      </c>
      <c r="AC28" s="10" t="s">
        <v>1827</v>
      </c>
      <c r="AD28" s="10" t="s">
        <v>1827</v>
      </c>
      <c r="AE28" s="10" t="s">
        <v>1827</v>
      </c>
      <c r="AF28" s="10" t="s">
        <v>1827</v>
      </c>
      <c r="AG28" s="10" t="s">
        <v>1827</v>
      </c>
      <c r="AH28" s="10" t="s">
        <v>1827</v>
      </c>
      <c r="AI28" s="10" t="s">
        <v>1827</v>
      </c>
      <c r="AJ28" s="10" t="s">
        <v>1827</v>
      </c>
      <c r="AK28" s="10" t="s">
        <v>1827</v>
      </c>
      <c r="AL28" s="10" t="s">
        <v>1827</v>
      </c>
      <c r="AM28" s="10" t="s">
        <v>1827</v>
      </c>
      <c r="AN28" s="10" t="s">
        <v>1827</v>
      </c>
      <c r="AO28" s="10" t="s">
        <v>1827</v>
      </c>
      <c r="AP28" s="10" t="s">
        <v>1827</v>
      </c>
      <c r="AQ28" s="10" t="s">
        <v>1827</v>
      </c>
      <c r="AR28" s="10" t="s">
        <v>1827</v>
      </c>
      <c r="AS28" s="10" t="s">
        <v>1827</v>
      </c>
      <c r="AT28" s="10" t="s">
        <v>1827</v>
      </c>
      <c r="AU28" s="10" t="s">
        <v>1827</v>
      </c>
      <c r="AV28" s="10" t="s">
        <v>1827</v>
      </c>
      <c r="AW28" s="10" t="s">
        <v>1827</v>
      </c>
      <c r="AX28" s="10" t="s">
        <v>1827</v>
      </c>
      <c r="AY28" s="10" t="s">
        <v>1827</v>
      </c>
      <c r="AZ28" s="10" t="s">
        <v>1827</v>
      </c>
      <c r="BA28" s="10" t="s">
        <v>1827</v>
      </c>
      <c r="BB28" s="10" t="s">
        <v>1827</v>
      </c>
      <c r="BC28" s="10" t="s">
        <v>1827</v>
      </c>
      <c r="BD28" s="10" t="s">
        <v>1827</v>
      </c>
      <c r="BE28" s="10" t="s">
        <v>1827</v>
      </c>
      <c r="BF28" s="10" t="s">
        <v>1827</v>
      </c>
      <c r="BG28" s="10" t="s">
        <v>1827</v>
      </c>
      <c r="BH28" s="10" t="s">
        <v>1827</v>
      </c>
      <c r="BI28" s="10" t="s">
        <v>1827</v>
      </c>
      <c r="BJ28" s="10" t="s">
        <v>1827</v>
      </c>
      <c r="BK28" s="10" t="s">
        <v>1827</v>
      </c>
      <c r="BL28" s="10" t="s">
        <v>1827</v>
      </c>
      <c r="BM28" s="10" t="s">
        <v>1827</v>
      </c>
      <c r="BN28" s="10" t="s">
        <v>1827</v>
      </c>
      <c r="BO28" s="10" t="s">
        <v>1827</v>
      </c>
      <c r="BP28" s="10" t="s">
        <v>1827</v>
      </c>
      <c r="BQ28" s="10" t="s">
        <v>1827</v>
      </c>
      <c r="BR28" s="10" t="s">
        <v>1827</v>
      </c>
      <c r="BS28" s="10" t="s">
        <v>1827</v>
      </c>
      <c r="BT28" s="10" t="s">
        <v>1827</v>
      </c>
      <c r="BU28" s="10" t="s">
        <v>1827</v>
      </c>
      <c r="BV28" s="10" t="s">
        <v>1827</v>
      </c>
      <c r="BW28" s="10" t="s">
        <v>1827</v>
      </c>
      <c r="BX28" s="10" t="s">
        <v>1827</v>
      </c>
      <c r="BY28" s="10" t="s">
        <v>1827</v>
      </c>
      <c r="BZ28" s="10" t="s">
        <v>1827</v>
      </c>
      <c r="CA28" s="10" t="s">
        <v>1827</v>
      </c>
      <c r="CB28" s="10" t="s">
        <v>1827</v>
      </c>
      <c r="CC28" s="10" t="s">
        <v>1827</v>
      </c>
      <c r="CD28" s="10" t="s">
        <v>1827</v>
      </c>
      <c r="CE28" s="10" t="s">
        <v>1827</v>
      </c>
      <c r="CF28" s="10" t="s">
        <v>1827</v>
      </c>
      <c r="CG28" s="10" t="s">
        <v>1827</v>
      </c>
      <c r="CH28" s="10" t="s">
        <v>1827</v>
      </c>
      <c r="CI28" s="10" t="s">
        <v>1827</v>
      </c>
      <c r="CJ28" s="10" t="s">
        <v>1827</v>
      </c>
      <c r="CK28" s="10" t="s">
        <v>1827</v>
      </c>
      <c r="CL28" s="10" t="s">
        <v>1827</v>
      </c>
      <c r="CM28" s="10" t="s">
        <v>1827</v>
      </c>
      <c r="CN28" s="10" t="s">
        <v>1827</v>
      </c>
      <c r="CO28" s="10" t="s">
        <v>1827</v>
      </c>
      <c r="CP28" s="10" t="s">
        <v>1827</v>
      </c>
      <c r="CQ28" s="10" t="s">
        <v>1827</v>
      </c>
      <c r="CR28" s="10" t="s">
        <v>1827</v>
      </c>
      <c r="CS28" s="10" t="s">
        <v>1827</v>
      </c>
      <c r="CT28" s="10" t="s">
        <v>1827</v>
      </c>
      <c r="CU28" s="10" t="s">
        <v>1827</v>
      </c>
      <c r="CV28" s="10" t="s">
        <v>1827</v>
      </c>
      <c r="CW28" s="10" t="s">
        <v>1827</v>
      </c>
      <c r="CX28" s="10" t="s">
        <v>1827</v>
      </c>
      <c r="CY28" s="10" t="s">
        <v>1827</v>
      </c>
      <c r="CZ28" s="10">
        <v>554.53350899999998</v>
      </c>
      <c r="DA28" s="10">
        <v>555.19053899999994</v>
      </c>
      <c r="DB28" s="10">
        <v>558.47568999999999</v>
      </c>
      <c r="DC28" s="10">
        <v>559.13271999999995</v>
      </c>
      <c r="DD28" s="10">
        <v>572.93035499999996</v>
      </c>
      <c r="DE28" s="10">
        <v>577.52956600000005</v>
      </c>
      <c r="DF28" s="10">
        <v>575.55847600000004</v>
      </c>
      <c r="DG28" s="10">
        <v>582.78580799999997</v>
      </c>
      <c r="DH28" s="10">
        <v>582.12877800000001</v>
      </c>
      <c r="DI28" s="10">
        <v>580.81471699999997</v>
      </c>
      <c r="DJ28" s="10">
        <v>578.84362699999997</v>
      </c>
      <c r="DK28" s="10">
        <v>580.15768700000001</v>
      </c>
      <c r="DL28" s="10">
        <v>585.41392900000005</v>
      </c>
      <c r="DM28" s="10">
        <v>587.38502000000005</v>
      </c>
      <c r="DN28" s="10">
        <v>593.29829199999995</v>
      </c>
      <c r="DO28" s="10">
        <v>593.29829199999995</v>
      </c>
      <c r="DP28" s="10">
        <v>594.61235199999999</v>
      </c>
      <c r="DQ28" s="10">
        <v>602.49671499999999</v>
      </c>
      <c r="DR28" s="10">
        <v>605.12483599999996</v>
      </c>
      <c r="DS28" s="10">
        <v>607.09592599999996</v>
      </c>
      <c r="DT28" s="10">
        <v>607.75295700000004</v>
      </c>
      <c r="DU28" s="10">
        <v>613.00919799999997</v>
      </c>
      <c r="DV28" s="10">
        <v>628.12089400000002</v>
      </c>
      <c r="DW28" s="10">
        <v>643.23258899999996</v>
      </c>
      <c r="DX28" s="10">
        <v>653.08804199999997</v>
      </c>
      <c r="DY28" s="10">
        <v>640.604468</v>
      </c>
      <c r="DZ28" s="10">
        <v>647.17476999999997</v>
      </c>
      <c r="EA28" s="10">
        <v>653.08804199999997</v>
      </c>
      <c r="EB28" s="10">
        <v>657.03022299999998</v>
      </c>
      <c r="EC28" s="10">
        <v>671.48488799999996</v>
      </c>
      <c r="ED28" s="10">
        <v>674.770039</v>
      </c>
      <c r="EE28" s="10">
        <v>695.79500700000006</v>
      </c>
      <c r="EF28" s="10">
        <v>721.41918499999997</v>
      </c>
      <c r="EG28" s="10">
        <v>727.33245699999998</v>
      </c>
      <c r="EH28" s="10">
        <v>729.96057800000005</v>
      </c>
      <c r="EI28" s="10">
        <v>739.81603199999995</v>
      </c>
      <c r="EJ28" s="10">
        <v>752.29960600000004</v>
      </c>
      <c r="EK28" s="10">
        <v>764.78318000000002</v>
      </c>
      <c r="EL28" s="10">
        <v>775.95269399999995</v>
      </c>
      <c r="EM28" s="10">
        <v>786.46517700000004</v>
      </c>
      <c r="EN28" s="10">
        <v>789.093298</v>
      </c>
      <c r="EO28" s="10">
        <v>793.03548000000001</v>
      </c>
      <c r="EP28" s="10">
        <v>793.69250999999997</v>
      </c>
      <c r="EQ28" s="10">
        <v>793.69250999999997</v>
      </c>
      <c r="ER28" s="10">
        <v>806.17608399999995</v>
      </c>
      <c r="ES28" s="10">
        <v>815.37450699999999</v>
      </c>
      <c r="ET28" s="10">
        <v>851.51116999999999</v>
      </c>
      <c r="EU28" s="10">
        <v>860.70959300000004</v>
      </c>
      <c r="EV28" s="10">
        <v>863.33771400000001</v>
      </c>
      <c r="EW28" s="10">
        <v>869.90801599999998</v>
      </c>
      <c r="EX28" s="10">
        <v>871.87910599999998</v>
      </c>
      <c r="EY28" s="10">
        <v>875.82128799999998</v>
      </c>
      <c r="EZ28" s="10">
        <v>879.10643900000002</v>
      </c>
      <c r="FA28" s="10">
        <v>888.96189200000003</v>
      </c>
      <c r="FB28" s="10">
        <v>898.81734600000004</v>
      </c>
      <c r="FC28" s="10">
        <v>906.04467799999998</v>
      </c>
      <c r="FD28" s="10">
        <v>912.61497999999995</v>
      </c>
      <c r="FE28" s="10">
        <v>920.49934299999995</v>
      </c>
      <c r="FF28" s="10">
        <v>918.52825199999995</v>
      </c>
      <c r="FG28" s="10">
        <v>929.04073600000004</v>
      </c>
      <c r="FH28" s="10">
        <v>932.32588699999997</v>
      </c>
      <c r="FI28" s="10">
        <v>936.26806799999997</v>
      </c>
      <c r="FJ28" s="10">
        <v>936.92509900000005</v>
      </c>
      <c r="FK28" s="10">
        <v>939.55321900000001</v>
      </c>
      <c r="FL28" s="10">
        <v>953.35085400000003</v>
      </c>
      <c r="FM28" s="10">
        <v>963.20630700000004</v>
      </c>
      <c r="FN28" s="10">
        <v>963.20630700000004</v>
      </c>
      <c r="FO28" s="10">
        <v>963.20630700000004</v>
      </c>
      <c r="FP28" s="10">
        <v>977.00394200000005</v>
      </c>
      <c r="FQ28" s="10">
        <v>973.06176100000005</v>
      </c>
      <c r="FR28" s="10">
        <v>974.37582099999997</v>
      </c>
      <c r="FS28" s="10">
        <v>988.83048599999995</v>
      </c>
      <c r="FT28" s="10">
        <v>1000</v>
      </c>
      <c r="FU28" s="10">
        <v>1002.628121</v>
      </c>
      <c r="FV28" s="10">
        <v>1009</v>
      </c>
      <c r="FW28" s="10">
        <v>1014</v>
      </c>
      <c r="FX28" s="10">
        <v>1031</v>
      </c>
      <c r="FY28" s="10">
        <v>1038</v>
      </c>
      <c r="FZ28" s="10">
        <v>1037</v>
      </c>
      <c r="GA28" s="10">
        <v>1036</v>
      </c>
      <c r="GB28" s="10">
        <v>1062</v>
      </c>
      <c r="GC28" s="10">
        <v>1068</v>
      </c>
      <c r="GD28" s="10">
        <v>1083</v>
      </c>
      <c r="GE28" s="10">
        <v>1109</v>
      </c>
      <c r="GF28" s="10">
        <v>1110</v>
      </c>
      <c r="GG28" s="10">
        <v>1108</v>
      </c>
      <c r="GH28" s="10">
        <v>1122</v>
      </c>
      <c r="GI28" s="10">
        <v>1129</v>
      </c>
      <c r="GJ28" s="10">
        <v>1149</v>
      </c>
      <c r="GK28" s="10">
        <v>1165</v>
      </c>
      <c r="GL28" s="10">
        <v>1164</v>
      </c>
      <c r="GM28" s="10">
        <v>1179</v>
      </c>
      <c r="GN28" s="10">
        <v>1203</v>
      </c>
      <c r="GO28" s="10">
        <v>1218</v>
      </c>
      <c r="GP28" s="10">
        <v>1230</v>
      </c>
      <c r="GQ28" s="10">
        <v>1247</v>
      </c>
      <c r="GR28" s="10">
        <v>1273</v>
      </c>
      <c r="GS28" s="10">
        <v>1285</v>
      </c>
    </row>
    <row r="29" spans="1:201" ht="15.75" customHeight="1">
      <c r="A29" s="51" t="s">
        <v>1851</v>
      </c>
      <c r="B29" s="10"/>
      <c r="C29" s="10"/>
      <c r="D29" s="10"/>
      <c r="E29" s="10"/>
      <c r="F29" s="10" t="s">
        <v>1827</v>
      </c>
      <c r="G29" s="10" t="s">
        <v>1827</v>
      </c>
      <c r="H29" s="10" t="s">
        <v>1827</v>
      </c>
      <c r="I29" s="10" t="s">
        <v>1827</v>
      </c>
      <c r="J29" s="10" t="s">
        <v>1827</v>
      </c>
      <c r="K29" s="10" t="s">
        <v>1827</v>
      </c>
      <c r="L29" s="10" t="s">
        <v>1827</v>
      </c>
      <c r="M29" s="10" t="s">
        <v>1827</v>
      </c>
      <c r="N29" s="10" t="s">
        <v>1827</v>
      </c>
      <c r="O29" s="10" t="s">
        <v>1827</v>
      </c>
      <c r="P29" s="10" t="s">
        <v>1827</v>
      </c>
      <c r="Q29" s="10" t="s">
        <v>1827</v>
      </c>
      <c r="R29" s="10" t="s">
        <v>1827</v>
      </c>
      <c r="S29" s="10" t="s">
        <v>1827</v>
      </c>
      <c r="T29" s="10" t="s">
        <v>1827</v>
      </c>
      <c r="U29" s="10" t="s">
        <v>1827</v>
      </c>
      <c r="V29" s="10" t="s">
        <v>1827</v>
      </c>
      <c r="W29" s="10" t="s">
        <v>1827</v>
      </c>
      <c r="X29" s="10" t="s">
        <v>1827</v>
      </c>
      <c r="Y29" s="10" t="s">
        <v>1827</v>
      </c>
      <c r="Z29" s="10" t="s">
        <v>1827</v>
      </c>
      <c r="AA29" s="10" t="s">
        <v>1827</v>
      </c>
      <c r="AB29" s="10" t="s">
        <v>1827</v>
      </c>
      <c r="AC29" s="10" t="s">
        <v>1827</v>
      </c>
      <c r="AD29" s="10" t="s">
        <v>1827</v>
      </c>
      <c r="AE29" s="10" t="s">
        <v>1827</v>
      </c>
      <c r="AF29" s="10" t="s">
        <v>1827</v>
      </c>
      <c r="AG29" s="10" t="s">
        <v>1827</v>
      </c>
      <c r="AH29" s="10" t="s">
        <v>1827</v>
      </c>
      <c r="AI29" s="10" t="s">
        <v>1827</v>
      </c>
      <c r="AJ29" s="10" t="s">
        <v>1827</v>
      </c>
      <c r="AK29" s="10" t="s">
        <v>1827</v>
      </c>
      <c r="AL29" s="10" t="s">
        <v>1827</v>
      </c>
      <c r="AM29" s="10" t="s">
        <v>1827</v>
      </c>
      <c r="AN29" s="10" t="s">
        <v>1827</v>
      </c>
      <c r="AO29" s="10" t="s">
        <v>1827</v>
      </c>
      <c r="AP29" s="10" t="s">
        <v>1827</v>
      </c>
      <c r="AQ29" s="10" t="s">
        <v>1827</v>
      </c>
      <c r="AR29" s="10" t="s">
        <v>1827</v>
      </c>
      <c r="AS29" s="10" t="s">
        <v>1827</v>
      </c>
      <c r="AT29" s="10" t="s">
        <v>1827</v>
      </c>
      <c r="AU29" s="10" t="s">
        <v>1827</v>
      </c>
      <c r="AV29" s="10" t="s">
        <v>1827</v>
      </c>
      <c r="AW29" s="10">
        <v>982.87912400000005</v>
      </c>
      <c r="AX29" s="10">
        <v>1013.7767679999999</v>
      </c>
      <c r="AY29" s="10">
        <v>1038.8289119999999</v>
      </c>
      <c r="AZ29" s="10">
        <v>1077.2421999999999</v>
      </c>
      <c r="BA29" s="10">
        <v>1092.2734869999999</v>
      </c>
      <c r="BB29" s="10">
        <v>1214.1939219999999</v>
      </c>
      <c r="BC29" s="10">
        <v>1237.5759230000001</v>
      </c>
      <c r="BD29" s="10">
        <v>1277.6593539999999</v>
      </c>
      <c r="BE29" s="10">
        <v>1290.185426</v>
      </c>
      <c r="BF29" s="10">
        <v>1301.876426</v>
      </c>
      <c r="BG29" s="10">
        <v>1303.5465690000001</v>
      </c>
      <c r="BH29" s="10">
        <v>1327.7636419999999</v>
      </c>
      <c r="BI29" s="10">
        <v>1321.083071</v>
      </c>
      <c r="BJ29" s="10">
        <v>1334.4442140000001</v>
      </c>
      <c r="BK29" s="10">
        <v>1329.1064369999999</v>
      </c>
      <c r="BL29" s="10">
        <v>1354.4608780000001</v>
      </c>
      <c r="BM29" s="10">
        <v>1398.497537</v>
      </c>
      <c r="BN29" s="10">
        <v>1423.8519759999999</v>
      </c>
      <c r="BO29" s="10">
        <v>1438.530863</v>
      </c>
      <c r="BP29" s="10">
        <v>1459.8819699999999</v>
      </c>
      <c r="BQ29" s="10">
        <v>1455.878637</v>
      </c>
      <c r="BR29" s="10">
        <v>1451.875305</v>
      </c>
      <c r="BS29" s="10">
        <v>1462.5508580000001</v>
      </c>
      <c r="BT29" s="10">
        <v>1462.5508580000001</v>
      </c>
      <c r="BU29" s="10">
        <v>1462.5508580000001</v>
      </c>
      <c r="BV29" s="10">
        <v>1473.226412</v>
      </c>
      <c r="BW29" s="10">
        <v>1435.861975</v>
      </c>
      <c r="BX29" s="10">
        <v>1482.5675220000001</v>
      </c>
      <c r="BY29" s="10">
        <v>1478.5641900000001</v>
      </c>
      <c r="BZ29" s="10">
        <v>1498.580852</v>
      </c>
      <c r="CA29" s="10">
        <v>1455.878637</v>
      </c>
      <c r="CB29" s="10">
        <v>1490.5741869999999</v>
      </c>
      <c r="CC29" s="10">
        <v>1454.544193</v>
      </c>
      <c r="CD29" s="10">
        <v>1451.875305</v>
      </c>
      <c r="CE29" s="10">
        <v>1431.5490500000001</v>
      </c>
      <c r="CF29" s="10">
        <v>1443.164053</v>
      </c>
      <c r="CG29" s="10">
        <v>1419.9340480000001</v>
      </c>
      <c r="CH29" s="10">
        <v>1466.3940580000001</v>
      </c>
      <c r="CI29" s="10">
        <v>1419.9340480000001</v>
      </c>
      <c r="CJ29" s="10">
        <v>1460.5865570000001</v>
      </c>
      <c r="CK29" s="10">
        <v>1446.0678029999999</v>
      </c>
      <c r="CL29" s="10">
        <v>1425.74155</v>
      </c>
      <c r="CM29" s="10">
        <v>1363.310911</v>
      </c>
      <c r="CN29" s="10">
        <v>1414.1265470000001</v>
      </c>
      <c r="CO29" s="10">
        <v>1395.252168</v>
      </c>
      <c r="CP29" s="10">
        <v>1434.4528009999999</v>
      </c>
      <c r="CQ29" s="10">
        <v>1382.185291</v>
      </c>
      <c r="CR29" s="10">
        <v>1386.5409159999999</v>
      </c>
      <c r="CS29" s="10">
        <v>1376.3777889999999</v>
      </c>
      <c r="CT29" s="10">
        <v>1329.9177790000001</v>
      </c>
      <c r="CU29" s="10">
        <v>1300.8802740000001</v>
      </c>
      <c r="CV29" s="10">
        <v>1300.8802740000001</v>
      </c>
      <c r="CW29" s="10">
        <v>1303.784024</v>
      </c>
      <c r="CX29" s="10">
        <v>1316.8509019999999</v>
      </c>
      <c r="CY29" s="10">
        <v>1322.658402</v>
      </c>
      <c r="CZ29" s="10">
        <v>1347.340283</v>
      </c>
      <c r="DA29" s="10">
        <v>1347.340283</v>
      </c>
      <c r="DB29" s="10">
        <v>1335.214221</v>
      </c>
      <c r="DC29" s="10">
        <v>1292.0993309999999</v>
      </c>
      <c r="DD29" s="10">
        <v>1337.9088999999999</v>
      </c>
      <c r="DE29" s="10">
        <v>1308.2674139999999</v>
      </c>
      <c r="DF29" s="10">
        <v>1323.0881569999999</v>
      </c>
      <c r="DG29" s="10">
        <v>1302.878054</v>
      </c>
      <c r="DH29" s="10">
        <v>1339.256241</v>
      </c>
      <c r="DI29" s="10">
        <v>1336.561561</v>
      </c>
      <c r="DJ29" s="10">
        <v>1374.2870889999999</v>
      </c>
      <c r="DK29" s="10">
        <v>1332.51954</v>
      </c>
      <c r="DL29" s="10">
        <v>1372.939748</v>
      </c>
      <c r="DM29" s="10">
        <v>1345.9929420000001</v>
      </c>
      <c r="DN29" s="10">
        <v>1351.382304</v>
      </c>
      <c r="DO29" s="10">
        <v>1332.51954</v>
      </c>
      <c r="DP29" s="10">
        <v>1321.740818</v>
      </c>
      <c r="DQ29" s="10">
        <v>1270.5418870000001</v>
      </c>
      <c r="DR29" s="10">
        <v>1301.5307130000001</v>
      </c>
      <c r="DS29" s="10">
        <v>1296.1413520000001</v>
      </c>
      <c r="DT29" s="10">
        <v>1290.751992</v>
      </c>
      <c r="DU29" s="10">
        <v>1267.8472059999999</v>
      </c>
      <c r="DV29" s="10">
        <v>1258.415825</v>
      </c>
      <c r="DW29" s="10">
        <v>1208.5642339999999</v>
      </c>
      <c r="DX29" s="10">
        <v>1230.121678</v>
      </c>
      <c r="DY29" s="10">
        <v>1238.2057199999999</v>
      </c>
      <c r="DZ29" s="10">
        <v>1236.858379</v>
      </c>
      <c r="EA29" s="10">
        <v>1215.300935</v>
      </c>
      <c r="EB29" s="10">
        <v>1200.480192</v>
      </c>
      <c r="EC29" s="10">
        <v>1164.465786</v>
      </c>
      <c r="ED29" s="10">
        <v>1164.465786</v>
      </c>
      <c r="EE29" s="10">
        <v>1142.857143</v>
      </c>
      <c r="EF29" s="10">
        <v>1151.2605040000001</v>
      </c>
      <c r="EG29" s="10">
        <v>1122.4489799999999</v>
      </c>
      <c r="EH29" s="10">
        <v>1123.6494600000001</v>
      </c>
      <c r="EI29" s="10">
        <v>1090.036014</v>
      </c>
      <c r="EJ29" s="10">
        <v>1092.4369750000001</v>
      </c>
      <c r="EK29" s="10">
        <v>1090.036014</v>
      </c>
      <c r="EL29" s="10">
        <v>1103.241297</v>
      </c>
      <c r="EM29" s="10">
        <v>1090.036014</v>
      </c>
      <c r="EN29" s="10">
        <v>1094.837935</v>
      </c>
      <c r="EO29" s="10">
        <v>1112.8451379999999</v>
      </c>
      <c r="EP29" s="10">
        <v>1102.0408159999999</v>
      </c>
      <c r="EQ29" s="10">
        <v>1087.6350540000001</v>
      </c>
      <c r="ER29" s="10">
        <v>1108.0432169999999</v>
      </c>
      <c r="ES29" s="10">
        <v>1091.2364950000001</v>
      </c>
      <c r="ET29" s="10">
        <v>1111.6446579999999</v>
      </c>
      <c r="EU29" s="10">
        <v>1096.038415</v>
      </c>
      <c r="EV29" s="10">
        <v>1099.639856</v>
      </c>
      <c r="EW29" s="10">
        <v>1085.2340939999999</v>
      </c>
      <c r="EX29" s="10">
        <v>1072.028812</v>
      </c>
      <c r="EY29" s="10">
        <v>1062.42497</v>
      </c>
      <c r="EZ29" s="10">
        <v>1076.8307319999999</v>
      </c>
      <c r="FA29" s="10">
        <v>1061.2244900000001</v>
      </c>
      <c r="FB29" s="10">
        <v>1046.8187270000001</v>
      </c>
      <c r="FC29" s="10">
        <v>1020.4081629999999</v>
      </c>
      <c r="FD29" s="10">
        <v>1025.2100840000001</v>
      </c>
      <c r="FE29" s="10">
        <v>979.59183700000006</v>
      </c>
      <c r="FF29" s="10">
        <v>1000</v>
      </c>
      <c r="FG29" s="10">
        <v>1008.403361</v>
      </c>
      <c r="FH29" s="10">
        <v>1028.8115250000001</v>
      </c>
      <c r="FI29" s="10">
        <v>1010.804322</v>
      </c>
      <c r="FJ29" s="10">
        <v>991.59663899999998</v>
      </c>
      <c r="FK29" s="10">
        <v>984.39375800000005</v>
      </c>
      <c r="FL29" s="10">
        <v>991.59663899999998</v>
      </c>
      <c r="FM29" s="10">
        <v>972.38895600000001</v>
      </c>
      <c r="FN29" s="10">
        <v>996.39855899999998</v>
      </c>
      <c r="FO29" s="10">
        <v>981.992797</v>
      </c>
      <c r="FP29" s="10">
        <v>1013.205282</v>
      </c>
      <c r="FQ29" s="10">
        <v>985.59423800000002</v>
      </c>
      <c r="FR29" s="10">
        <v>1025.2100840000001</v>
      </c>
      <c r="FS29" s="10">
        <v>1004.801921</v>
      </c>
      <c r="FT29" s="10">
        <v>1000</v>
      </c>
      <c r="FU29" s="10">
        <v>977.190876</v>
      </c>
      <c r="FV29" s="10">
        <v>1020</v>
      </c>
      <c r="FW29" s="10">
        <v>972</v>
      </c>
      <c r="FX29" s="10">
        <v>1000</v>
      </c>
      <c r="FY29" s="10">
        <v>983</v>
      </c>
      <c r="FZ29" s="10">
        <v>966</v>
      </c>
      <c r="GA29" s="10">
        <v>967</v>
      </c>
      <c r="GB29" s="10">
        <v>986</v>
      </c>
      <c r="GC29" s="10">
        <v>959</v>
      </c>
      <c r="GD29" s="10">
        <v>974</v>
      </c>
      <c r="GE29" s="10">
        <v>942</v>
      </c>
      <c r="GF29" s="10">
        <v>913</v>
      </c>
      <c r="GG29" s="10">
        <v>970</v>
      </c>
      <c r="GH29" s="10">
        <v>984</v>
      </c>
      <c r="GI29" s="10">
        <v>994</v>
      </c>
      <c r="GJ29" s="10">
        <v>997</v>
      </c>
      <c r="GK29" s="10">
        <v>992</v>
      </c>
      <c r="GL29" s="10">
        <v>1021</v>
      </c>
      <c r="GM29" s="10">
        <v>993</v>
      </c>
      <c r="GN29" s="10">
        <v>1021</v>
      </c>
      <c r="GO29" s="10">
        <v>1029</v>
      </c>
      <c r="GP29" s="10">
        <v>1020</v>
      </c>
      <c r="GQ29" s="10">
        <v>1043</v>
      </c>
      <c r="GR29" s="10">
        <v>1089</v>
      </c>
      <c r="GS29" s="10">
        <v>1071</v>
      </c>
    </row>
    <row r="30" spans="1:201" ht="15.75" customHeight="1">
      <c r="A30" s="51" t="s">
        <v>1852</v>
      </c>
      <c r="B30" s="10"/>
      <c r="C30" s="10"/>
      <c r="D30" s="10"/>
      <c r="E30" s="10"/>
      <c r="F30" s="10" t="s">
        <v>1827</v>
      </c>
      <c r="G30" s="10" t="s">
        <v>1827</v>
      </c>
      <c r="H30" s="10" t="s">
        <v>1827</v>
      </c>
      <c r="I30" s="10" t="s">
        <v>1827</v>
      </c>
      <c r="J30" s="10" t="s">
        <v>1827</v>
      </c>
      <c r="K30" s="10" t="s">
        <v>1827</v>
      </c>
      <c r="L30" s="10" t="s">
        <v>1827</v>
      </c>
      <c r="M30" s="10" t="s">
        <v>1827</v>
      </c>
      <c r="N30" s="10" t="s">
        <v>1827</v>
      </c>
      <c r="O30" s="10" t="s">
        <v>1827</v>
      </c>
      <c r="P30" s="10" t="s">
        <v>1827</v>
      </c>
      <c r="Q30" s="10" t="s">
        <v>1827</v>
      </c>
      <c r="R30" s="10" t="s">
        <v>1827</v>
      </c>
      <c r="S30" s="10" t="s">
        <v>1827</v>
      </c>
      <c r="T30" s="10" t="s">
        <v>1827</v>
      </c>
      <c r="U30" s="10" t="s">
        <v>1827</v>
      </c>
      <c r="V30" s="10" t="s">
        <v>1827</v>
      </c>
      <c r="W30" s="10" t="s">
        <v>1827</v>
      </c>
      <c r="X30" s="10" t="s">
        <v>1827</v>
      </c>
      <c r="Y30" s="10" t="s">
        <v>1827</v>
      </c>
      <c r="Z30" s="10" t="s">
        <v>1827</v>
      </c>
      <c r="AA30" s="10" t="s">
        <v>1827</v>
      </c>
      <c r="AB30" s="10" t="s">
        <v>1827</v>
      </c>
      <c r="AC30" s="10" t="s">
        <v>1827</v>
      </c>
      <c r="AD30" s="10" t="s">
        <v>1827</v>
      </c>
      <c r="AE30" s="10" t="s">
        <v>1827</v>
      </c>
      <c r="AF30" s="10" t="s">
        <v>1827</v>
      </c>
      <c r="AG30" s="10" t="s">
        <v>1827</v>
      </c>
      <c r="AH30" s="10" t="s">
        <v>1827</v>
      </c>
      <c r="AI30" s="10" t="s">
        <v>1827</v>
      </c>
      <c r="AJ30" s="10" t="s">
        <v>1827</v>
      </c>
      <c r="AK30" s="10" t="s">
        <v>1827</v>
      </c>
      <c r="AL30" s="10" t="s">
        <v>1827</v>
      </c>
      <c r="AM30" s="10" t="s">
        <v>1827</v>
      </c>
      <c r="AN30" s="10" t="s">
        <v>1827</v>
      </c>
      <c r="AO30" s="10" t="s">
        <v>1827</v>
      </c>
      <c r="AP30" s="10" t="s">
        <v>1827</v>
      </c>
      <c r="AQ30" s="10" t="s">
        <v>1827</v>
      </c>
      <c r="AR30" s="10" t="s">
        <v>1827</v>
      </c>
      <c r="AS30" s="10" t="s">
        <v>1827</v>
      </c>
      <c r="AT30" s="10" t="s">
        <v>1827</v>
      </c>
      <c r="AU30" s="10" t="s">
        <v>1827</v>
      </c>
      <c r="AV30" s="10" t="s">
        <v>1827</v>
      </c>
      <c r="AW30" s="10">
        <v>709.48956899999996</v>
      </c>
      <c r="AX30" s="10">
        <v>749.11871599999995</v>
      </c>
      <c r="AY30" s="10">
        <v>751.67543499999999</v>
      </c>
      <c r="AZ30" s="10">
        <v>783.63442499999996</v>
      </c>
      <c r="BA30" s="10">
        <v>786.19114400000001</v>
      </c>
      <c r="BB30" s="10">
        <v>837.96470699999998</v>
      </c>
      <c r="BC30" s="10">
        <v>839.243067</v>
      </c>
      <c r="BD30" s="10">
        <v>873.75877600000001</v>
      </c>
      <c r="BE30" s="10">
        <v>873.75877600000001</v>
      </c>
      <c r="BF30" s="10">
        <v>894.21252900000002</v>
      </c>
      <c r="BG30" s="10">
        <v>900.60432700000001</v>
      </c>
      <c r="BH30" s="10">
        <v>924.89315899999997</v>
      </c>
      <c r="BI30" s="10">
        <v>926.810698</v>
      </c>
      <c r="BJ30" s="10">
        <v>947.90363100000002</v>
      </c>
      <c r="BK30" s="10">
        <v>946.95572800000002</v>
      </c>
      <c r="BL30" s="10">
        <v>954.53895699999998</v>
      </c>
      <c r="BM30" s="10">
        <v>961.17428199999995</v>
      </c>
      <c r="BN30" s="10">
        <v>973.49703</v>
      </c>
      <c r="BO30" s="10">
        <v>977.28864399999998</v>
      </c>
      <c r="BP30" s="10">
        <v>978.23654799999997</v>
      </c>
      <c r="BQ30" s="10">
        <v>978.23654799999997</v>
      </c>
      <c r="BR30" s="10">
        <v>984.87187400000005</v>
      </c>
      <c r="BS30" s="10">
        <v>982.97606599999995</v>
      </c>
      <c r="BT30" s="10">
        <v>1000.986235</v>
      </c>
      <c r="BU30" s="10">
        <v>998.14252399999998</v>
      </c>
      <c r="BV30" s="10">
        <v>1004.7778499999999</v>
      </c>
      <c r="BW30" s="10">
        <v>1000.038332</v>
      </c>
      <c r="BX30" s="10">
        <v>1003.829945</v>
      </c>
      <c r="BY30" s="10">
        <v>1002.882042</v>
      </c>
      <c r="BZ30" s="10">
        <v>1003.829945</v>
      </c>
      <c r="CA30" s="10">
        <v>996.24671699999999</v>
      </c>
      <c r="CB30" s="10">
        <v>1006.6736560000001</v>
      </c>
      <c r="CC30" s="10">
        <v>993.403006</v>
      </c>
      <c r="CD30" s="10">
        <v>997.19462099999998</v>
      </c>
      <c r="CE30" s="10">
        <v>994.20303699999999</v>
      </c>
      <c r="CF30" s="10">
        <v>997.19462099999998</v>
      </c>
      <c r="CG30" s="10">
        <v>994.20303699999999</v>
      </c>
      <c r="CH30" s="10">
        <v>1020.130097</v>
      </c>
      <c r="CI30" s="10">
        <v>1011.155345</v>
      </c>
      <c r="CJ30" s="10">
        <v>1001.183398</v>
      </c>
      <c r="CK30" s="10">
        <v>997.19462099999998</v>
      </c>
      <c r="CL30" s="10">
        <v>993.20584199999996</v>
      </c>
      <c r="CM30" s="10">
        <v>980.24231199999997</v>
      </c>
      <c r="CN30" s="10">
        <v>982.23670100000004</v>
      </c>
      <c r="CO30" s="10">
        <v>983.23389499999996</v>
      </c>
      <c r="CP30" s="10">
        <v>979.24511800000005</v>
      </c>
      <c r="CQ30" s="10">
        <v>977.25072799999998</v>
      </c>
      <c r="CR30" s="10">
        <v>989.21706400000005</v>
      </c>
      <c r="CS30" s="10">
        <v>991.21145200000001</v>
      </c>
      <c r="CT30" s="10">
        <v>995.20023100000003</v>
      </c>
      <c r="CU30" s="10">
        <v>992.20864700000004</v>
      </c>
      <c r="CV30" s="10">
        <v>1000.186204</v>
      </c>
      <c r="CW30" s="10">
        <v>999.18901000000005</v>
      </c>
      <c r="CX30" s="10">
        <v>1000.186204</v>
      </c>
      <c r="CY30" s="10">
        <v>1001.183398</v>
      </c>
      <c r="CZ30" s="10">
        <v>1010.15815</v>
      </c>
      <c r="DA30" s="10">
        <v>1007.127676</v>
      </c>
      <c r="DB30" s="10">
        <v>1003.087043</v>
      </c>
      <c r="DC30" s="10">
        <v>1001.066727</v>
      </c>
      <c r="DD30" s="10">
        <v>1003.087043</v>
      </c>
      <c r="DE30" s="10">
        <v>1000.056569</v>
      </c>
      <c r="DF30" s="10">
        <v>1008.137834</v>
      </c>
      <c r="DG30" s="10">
        <v>1006.117518</v>
      </c>
      <c r="DH30" s="10">
        <v>1009.147992</v>
      </c>
      <c r="DI30" s="10">
        <v>1010.15815</v>
      </c>
      <c r="DJ30" s="10">
        <v>1030.361314</v>
      </c>
      <c r="DK30" s="10">
        <v>1026.32068</v>
      </c>
      <c r="DL30" s="10">
        <v>1057.6355840000001</v>
      </c>
      <c r="DM30" s="10">
        <v>1059.6558990000001</v>
      </c>
      <c r="DN30" s="10">
        <v>1059.6558990000001</v>
      </c>
      <c r="DO30" s="10">
        <v>1048.5441599999999</v>
      </c>
      <c r="DP30" s="10">
        <v>1046.5238440000001</v>
      </c>
      <c r="DQ30" s="10">
        <v>1035.4121050000001</v>
      </c>
      <c r="DR30" s="10">
        <v>1040.462894</v>
      </c>
      <c r="DS30" s="10">
        <v>1042.483211</v>
      </c>
      <c r="DT30" s="10">
        <v>1026.32068</v>
      </c>
      <c r="DU30" s="10">
        <v>1020.259732</v>
      </c>
      <c r="DV30" s="10">
        <v>1016.2191</v>
      </c>
      <c r="DW30" s="10">
        <v>1003.087043</v>
      </c>
      <c r="DX30" s="10">
        <v>1018.239415</v>
      </c>
      <c r="DY30" s="10">
        <v>1020.259732</v>
      </c>
      <c r="DZ30" s="10">
        <v>1021.26989</v>
      </c>
      <c r="EA30" s="10">
        <v>1013.188625</v>
      </c>
      <c r="EB30" s="10">
        <v>996.01593600000001</v>
      </c>
      <c r="EC30" s="10">
        <v>992.03187300000002</v>
      </c>
      <c r="ED30" s="10">
        <v>993.02788799999996</v>
      </c>
      <c r="EE30" s="10">
        <v>986.05577700000003</v>
      </c>
      <c r="EF30" s="10">
        <v>996.01593600000001</v>
      </c>
      <c r="EG30" s="10">
        <v>994.02390400000002</v>
      </c>
      <c r="EH30" s="10">
        <v>997.01195199999995</v>
      </c>
      <c r="EI30" s="10">
        <v>988.04780900000003</v>
      </c>
      <c r="EJ30" s="10">
        <v>994.02390400000002</v>
      </c>
      <c r="EK30" s="10">
        <v>987.05179299999998</v>
      </c>
      <c r="EL30" s="10">
        <v>992.03187300000002</v>
      </c>
      <c r="EM30" s="10">
        <v>991.03585699999996</v>
      </c>
      <c r="EN30" s="10">
        <v>1017.928287</v>
      </c>
      <c r="EO30" s="10">
        <v>1018.924303</v>
      </c>
      <c r="EP30" s="10">
        <v>1022.908367</v>
      </c>
      <c r="EQ30" s="10">
        <v>1017.928287</v>
      </c>
      <c r="ER30" s="10">
        <v>1022.908367</v>
      </c>
      <c r="ES30" s="10">
        <v>1020.916335</v>
      </c>
      <c r="ET30" s="10">
        <v>1023.9043820000001</v>
      </c>
      <c r="EU30" s="10">
        <v>1017.928287</v>
      </c>
      <c r="EV30" s="10">
        <v>1054.780876</v>
      </c>
      <c r="EW30" s="10">
        <v>1050.7968129999999</v>
      </c>
      <c r="EX30" s="10">
        <v>1047.808765</v>
      </c>
      <c r="EY30" s="10">
        <v>1038.8446220000001</v>
      </c>
      <c r="EZ30" s="10">
        <v>1020.916335</v>
      </c>
      <c r="FA30" s="10">
        <v>1023.9043820000001</v>
      </c>
      <c r="FB30" s="10">
        <v>1027.8884459999999</v>
      </c>
      <c r="FC30" s="10">
        <v>1025.896414</v>
      </c>
      <c r="FD30" s="10">
        <v>1012.948207</v>
      </c>
      <c r="FE30" s="10">
        <v>1009.960159</v>
      </c>
      <c r="FF30" s="10">
        <v>1011.952191</v>
      </c>
      <c r="FG30" s="10">
        <v>1011.952191</v>
      </c>
      <c r="FH30" s="10">
        <v>1006.972112</v>
      </c>
      <c r="FI30" s="10">
        <v>1000.9960160000001</v>
      </c>
      <c r="FJ30" s="10">
        <v>1005.976096</v>
      </c>
      <c r="FK30" s="10">
        <v>999.00398399999995</v>
      </c>
      <c r="FL30" s="10">
        <v>999.00398399999995</v>
      </c>
      <c r="FM30" s="10">
        <v>996.01593600000001</v>
      </c>
      <c r="FN30" s="10">
        <v>1000</v>
      </c>
      <c r="FO30" s="10">
        <v>996.01593600000001</v>
      </c>
      <c r="FP30" s="10">
        <v>999.00398399999995</v>
      </c>
      <c r="FQ30" s="10">
        <v>996.01593600000001</v>
      </c>
      <c r="FR30" s="10">
        <v>1002.988048</v>
      </c>
      <c r="FS30" s="10">
        <v>1005.976096</v>
      </c>
      <c r="FT30" s="10">
        <v>1000</v>
      </c>
      <c r="FU30" s="10">
        <v>989.04382499999997</v>
      </c>
      <c r="FV30" s="10">
        <v>999</v>
      </c>
      <c r="FW30" s="10">
        <v>992</v>
      </c>
      <c r="FX30" s="10">
        <v>1037</v>
      </c>
      <c r="FY30" s="10">
        <v>1034</v>
      </c>
      <c r="FZ30" s="10">
        <v>1039</v>
      </c>
      <c r="GA30" s="10">
        <v>1036</v>
      </c>
      <c r="GB30" s="10">
        <v>1040</v>
      </c>
      <c r="GC30" s="10">
        <v>1034</v>
      </c>
      <c r="GD30" s="10">
        <v>1035</v>
      </c>
      <c r="GE30" s="10">
        <v>1033</v>
      </c>
      <c r="GF30" s="10">
        <v>907</v>
      </c>
      <c r="GG30" s="10">
        <v>916</v>
      </c>
      <c r="GH30" s="10">
        <v>918</v>
      </c>
      <c r="GI30" s="10">
        <v>921</v>
      </c>
      <c r="GJ30" s="10">
        <v>1029</v>
      </c>
      <c r="GK30" s="10">
        <v>1029</v>
      </c>
      <c r="GL30" s="10">
        <v>1029</v>
      </c>
      <c r="GM30" s="10">
        <v>1026</v>
      </c>
      <c r="GN30" s="10">
        <v>1059</v>
      </c>
      <c r="GO30" s="10">
        <v>1062</v>
      </c>
      <c r="GP30" s="10">
        <v>1065</v>
      </c>
      <c r="GQ30" s="10">
        <v>1060</v>
      </c>
      <c r="GR30" s="10">
        <v>1059</v>
      </c>
      <c r="GS30" s="10">
        <v>1058</v>
      </c>
    </row>
    <row r="31" spans="1:201" ht="15.75" customHeight="1">
      <c r="A31" s="51" t="s">
        <v>1853</v>
      </c>
      <c r="B31" s="10"/>
      <c r="C31" s="10"/>
      <c r="D31" s="10"/>
      <c r="E31" s="10"/>
      <c r="F31" s="10" t="s">
        <v>1827</v>
      </c>
      <c r="G31" s="10" t="s">
        <v>1827</v>
      </c>
      <c r="H31" s="10" t="s">
        <v>1827</v>
      </c>
      <c r="I31" s="10" t="s">
        <v>1827</v>
      </c>
      <c r="J31" s="10" t="s">
        <v>1827</v>
      </c>
      <c r="K31" s="10" t="s">
        <v>1827</v>
      </c>
      <c r="L31" s="10" t="s">
        <v>1827</v>
      </c>
      <c r="M31" s="10" t="s">
        <v>1827</v>
      </c>
      <c r="N31" s="10" t="s">
        <v>1827</v>
      </c>
      <c r="O31" s="10" t="s">
        <v>1827</v>
      </c>
      <c r="P31" s="10" t="s">
        <v>1827</v>
      </c>
      <c r="Q31" s="10" t="s">
        <v>1827</v>
      </c>
      <c r="R31" s="10" t="s">
        <v>1827</v>
      </c>
      <c r="S31" s="10" t="s">
        <v>1827</v>
      </c>
      <c r="T31" s="10" t="s">
        <v>1827</v>
      </c>
      <c r="U31" s="10" t="s">
        <v>1827</v>
      </c>
      <c r="V31" s="10" t="s">
        <v>1827</v>
      </c>
      <c r="W31" s="10" t="s">
        <v>1827</v>
      </c>
      <c r="X31" s="10" t="s">
        <v>1827</v>
      </c>
      <c r="Y31" s="10" t="s">
        <v>1827</v>
      </c>
      <c r="Z31" s="10" t="s">
        <v>1827</v>
      </c>
      <c r="AA31" s="10" t="s">
        <v>1827</v>
      </c>
      <c r="AB31" s="10" t="s">
        <v>1827</v>
      </c>
      <c r="AC31" s="10" t="s">
        <v>1827</v>
      </c>
      <c r="AD31" s="10" t="s">
        <v>1827</v>
      </c>
      <c r="AE31" s="10" t="s">
        <v>1827</v>
      </c>
      <c r="AF31" s="10" t="s">
        <v>1827</v>
      </c>
      <c r="AG31" s="10" t="s">
        <v>1827</v>
      </c>
      <c r="AH31" s="10" t="s">
        <v>1827</v>
      </c>
      <c r="AI31" s="10" t="s">
        <v>1827</v>
      </c>
      <c r="AJ31" s="10" t="s">
        <v>1827</v>
      </c>
      <c r="AK31" s="10" t="s">
        <v>1827</v>
      </c>
      <c r="AL31" s="10" t="s">
        <v>1827</v>
      </c>
      <c r="AM31" s="10" t="s">
        <v>1827</v>
      </c>
      <c r="AN31" s="10" t="s">
        <v>1827</v>
      </c>
      <c r="AO31" s="10" t="s">
        <v>1827</v>
      </c>
      <c r="AP31" s="10" t="s">
        <v>1827</v>
      </c>
      <c r="AQ31" s="10" t="s">
        <v>1827</v>
      </c>
      <c r="AR31" s="10" t="s">
        <v>1827</v>
      </c>
      <c r="AS31" s="10" t="s">
        <v>1827</v>
      </c>
      <c r="AT31" s="10" t="s">
        <v>1827</v>
      </c>
      <c r="AU31" s="10" t="s">
        <v>1827</v>
      </c>
      <c r="AV31" s="10" t="s">
        <v>1827</v>
      </c>
      <c r="AW31" s="10">
        <v>782.09280699999999</v>
      </c>
      <c r="AX31" s="10">
        <v>807.06719999999996</v>
      </c>
      <c r="AY31" s="10">
        <v>826.78382499999998</v>
      </c>
      <c r="AZ31" s="10">
        <v>853.07265900000004</v>
      </c>
      <c r="BA31" s="10">
        <v>866.21707600000002</v>
      </c>
      <c r="BB31" s="10">
        <v>942.45469400000002</v>
      </c>
      <c r="BC31" s="10">
        <v>956.25633200000004</v>
      </c>
      <c r="BD31" s="10">
        <v>984.51682800000003</v>
      </c>
      <c r="BE31" s="10">
        <v>989.77459499999998</v>
      </c>
      <c r="BF31" s="10">
        <v>1018.035091</v>
      </c>
      <c r="BG31" s="10">
        <v>1028.550626</v>
      </c>
      <c r="BH31" s="10">
        <v>1069.9555379999999</v>
      </c>
      <c r="BI31" s="10">
        <v>1073.2416430000001</v>
      </c>
      <c r="BJ31" s="10">
        <v>1092.9582680000001</v>
      </c>
      <c r="BK31" s="10">
        <v>1101.7019339999999</v>
      </c>
      <c r="BL31" s="10">
        <v>1108.2596840000001</v>
      </c>
      <c r="BM31" s="10">
        <v>1136.676598</v>
      </c>
      <c r="BN31" s="10">
        <v>1160.721681</v>
      </c>
      <c r="BO31" s="10">
        <v>1147.606182</v>
      </c>
      <c r="BP31" s="10">
        <v>1164.0005550000001</v>
      </c>
      <c r="BQ31" s="10">
        <v>1134.490683</v>
      </c>
      <c r="BR31" s="10">
        <v>1154.163931</v>
      </c>
      <c r="BS31" s="10">
        <v>1146.5132229999999</v>
      </c>
      <c r="BT31" s="10">
        <v>1166.1864720000001</v>
      </c>
      <c r="BU31" s="10">
        <v>1169.465346</v>
      </c>
      <c r="BV31" s="10">
        <v>1170.558305</v>
      </c>
      <c r="BW31" s="10">
        <v>1156.349847</v>
      </c>
      <c r="BX31" s="10">
        <v>1176.0230959999999</v>
      </c>
      <c r="BY31" s="10">
        <v>1184.7667630000001</v>
      </c>
      <c r="BZ31" s="10">
        <v>1194.6033870000001</v>
      </c>
      <c r="CA31" s="10">
        <v>1170.558305</v>
      </c>
      <c r="CB31" s="10">
        <v>1223.0203019999999</v>
      </c>
      <c r="CC31" s="10">
        <v>1197.8822620000001</v>
      </c>
      <c r="CD31" s="10">
        <v>1225.2062189999999</v>
      </c>
      <c r="CE31" s="10">
        <v>1185.9996189999999</v>
      </c>
      <c r="CF31" s="10">
        <v>1222.7558059999999</v>
      </c>
      <c r="CG31" s="10">
        <v>1222.7558059999999</v>
      </c>
      <c r="CH31" s="10">
        <v>1233.7826620000001</v>
      </c>
      <c r="CI31" s="10">
        <v>1187.224825</v>
      </c>
      <c r="CJ31" s="10">
        <v>1195.801269</v>
      </c>
      <c r="CK31" s="10">
        <v>1206.8281260000001</v>
      </c>
      <c r="CL31" s="10">
        <v>1199.4768879999999</v>
      </c>
      <c r="CM31" s="10">
        <v>1183.549207</v>
      </c>
      <c r="CN31" s="10">
        <v>1168.8467330000001</v>
      </c>
      <c r="CO31" s="10">
        <v>1091.658741</v>
      </c>
      <c r="CP31" s="10">
        <v>1124.7393079999999</v>
      </c>
      <c r="CQ31" s="10">
        <v>1061.028585</v>
      </c>
      <c r="CR31" s="10">
        <v>1063.478998</v>
      </c>
      <c r="CS31" s="10">
        <v>1050.0017290000001</v>
      </c>
      <c r="CT31" s="10">
        <v>1074.5058529999999</v>
      </c>
      <c r="CU31" s="10">
        <v>1027.9480169999999</v>
      </c>
      <c r="CV31" s="10">
        <v>1024.272399</v>
      </c>
      <c r="CW31" s="10">
        <v>1007.119512</v>
      </c>
      <c r="CX31" s="10">
        <v>1003.443893</v>
      </c>
      <c r="CY31" s="10">
        <v>1004.669099</v>
      </c>
      <c r="CZ31" s="10">
        <v>1064.7042039999999</v>
      </c>
      <c r="DA31" s="10">
        <v>1047.6689369999999</v>
      </c>
      <c r="DB31" s="10">
        <v>1051.9277529999999</v>
      </c>
      <c r="DC31" s="10">
        <v>1032.7630770000001</v>
      </c>
      <c r="DD31" s="10">
        <v>1089.192401</v>
      </c>
      <c r="DE31" s="10">
        <v>1056.1865700000001</v>
      </c>
      <c r="DF31" s="10">
        <v>1062.574795</v>
      </c>
      <c r="DG31" s="10">
        <v>1073.2218370000001</v>
      </c>
      <c r="DH31" s="10">
        <v>1097.710034</v>
      </c>
      <c r="DI31" s="10">
        <v>1096.6453300000001</v>
      </c>
      <c r="DJ31" s="10">
        <v>1113.680597</v>
      </c>
      <c r="DK31" s="10">
        <v>1094.515922</v>
      </c>
      <c r="DL31" s="10">
        <v>1141.362907</v>
      </c>
      <c r="DM31" s="10">
        <v>1126.457048</v>
      </c>
      <c r="DN31" s="10">
        <v>1122.1982310000001</v>
      </c>
      <c r="DO31" s="10">
        <v>1106.227668</v>
      </c>
      <c r="DP31" s="10">
        <v>1104.0982590000001</v>
      </c>
      <c r="DQ31" s="10">
        <v>1098.7747380000001</v>
      </c>
      <c r="DR31" s="10">
        <v>1077.4806550000001</v>
      </c>
      <c r="DS31" s="10">
        <v>1025.3101489999999</v>
      </c>
      <c r="DT31" s="10">
        <v>1056.1865700000001</v>
      </c>
      <c r="DU31" s="10">
        <v>1028.504261</v>
      </c>
      <c r="DV31" s="10">
        <v>1035.957191</v>
      </c>
      <c r="DW31" s="10">
        <v>998.692543</v>
      </c>
      <c r="DX31" s="10">
        <v>1000.821952</v>
      </c>
      <c r="DY31" s="10">
        <v>1012.533698</v>
      </c>
      <c r="DZ31" s="10">
        <v>1014.663106</v>
      </c>
      <c r="EA31" s="10">
        <v>983.78668500000003</v>
      </c>
      <c r="EB31" s="10">
        <v>1004.016064</v>
      </c>
      <c r="EC31" s="10">
        <v>985.94377499999996</v>
      </c>
      <c r="ED31" s="10">
        <v>981.92771100000004</v>
      </c>
      <c r="EE31" s="10">
        <v>946.787149</v>
      </c>
      <c r="EF31" s="10">
        <v>967.871486</v>
      </c>
      <c r="EG31" s="10">
        <v>983.935743</v>
      </c>
      <c r="EH31" s="10">
        <v>973.89558199999999</v>
      </c>
      <c r="EI31" s="10">
        <v>944.77911600000004</v>
      </c>
      <c r="EJ31" s="10">
        <v>970.88353400000005</v>
      </c>
      <c r="EK31" s="10">
        <v>980.92369499999995</v>
      </c>
      <c r="EL31" s="10">
        <v>956.82730900000001</v>
      </c>
      <c r="EM31" s="10">
        <v>970.88353400000005</v>
      </c>
      <c r="EN31" s="10">
        <v>979.91967899999997</v>
      </c>
      <c r="EO31" s="10">
        <v>1024.0963859999999</v>
      </c>
      <c r="EP31" s="10">
        <v>1003.012048</v>
      </c>
      <c r="EQ31" s="10">
        <v>929.71887600000002</v>
      </c>
      <c r="ER31" s="10">
        <v>976.90763100000004</v>
      </c>
      <c r="ES31" s="10">
        <v>973.89558199999999</v>
      </c>
      <c r="ET31" s="10">
        <v>982.93172700000002</v>
      </c>
      <c r="EU31" s="10">
        <v>931.72690799999998</v>
      </c>
      <c r="EV31" s="10">
        <v>951.80722900000001</v>
      </c>
      <c r="EW31" s="10">
        <v>985.94377499999996</v>
      </c>
      <c r="EX31" s="10">
        <v>980.92369499999995</v>
      </c>
      <c r="EY31" s="10">
        <v>928.71485900000005</v>
      </c>
      <c r="EZ31" s="10">
        <v>987.95180700000003</v>
      </c>
      <c r="FA31" s="10">
        <v>1008.0321290000001</v>
      </c>
      <c r="FB31" s="10">
        <v>996.98795199999995</v>
      </c>
      <c r="FC31" s="10">
        <v>982.93172700000002</v>
      </c>
      <c r="FD31" s="10">
        <v>947.79116499999998</v>
      </c>
      <c r="FE31" s="10">
        <v>977.91164700000002</v>
      </c>
      <c r="FF31" s="10">
        <v>1005.02008</v>
      </c>
      <c r="FG31" s="10">
        <v>967.871486</v>
      </c>
      <c r="FH31" s="10">
        <v>922.69076299999995</v>
      </c>
      <c r="FI31" s="10">
        <v>958.83534099999997</v>
      </c>
      <c r="FJ31" s="10">
        <v>954.81927700000006</v>
      </c>
      <c r="FK31" s="10">
        <v>917.67068300000005</v>
      </c>
      <c r="FL31" s="10">
        <v>954.81927700000006</v>
      </c>
      <c r="FM31" s="10">
        <v>912.65060200000005</v>
      </c>
      <c r="FN31" s="10">
        <v>914.658635</v>
      </c>
      <c r="FO31" s="10">
        <v>926.70682699999998</v>
      </c>
      <c r="FP31" s="10">
        <v>916.66666699999996</v>
      </c>
      <c r="FQ31" s="10">
        <v>959.83935699999995</v>
      </c>
      <c r="FR31" s="10">
        <v>983.935743</v>
      </c>
      <c r="FS31" s="10">
        <v>949.79919700000005</v>
      </c>
      <c r="FT31" s="10">
        <v>1000</v>
      </c>
      <c r="FU31" s="10">
        <v>989.95983899999999</v>
      </c>
      <c r="FV31" s="10">
        <v>979</v>
      </c>
      <c r="FW31" s="10">
        <v>933</v>
      </c>
      <c r="FX31" s="10">
        <v>955</v>
      </c>
      <c r="FY31" s="10">
        <v>952</v>
      </c>
      <c r="FZ31" s="10">
        <v>972</v>
      </c>
      <c r="GA31" s="10">
        <v>958</v>
      </c>
      <c r="GB31" s="10">
        <v>957</v>
      </c>
      <c r="GC31" s="10">
        <v>962</v>
      </c>
      <c r="GD31" s="10">
        <v>953</v>
      </c>
      <c r="GE31" s="10">
        <v>916</v>
      </c>
      <c r="GF31" s="10">
        <v>934</v>
      </c>
      <c r="GG31" s="10">
        <v>983</v>
      </c>
      <c r="GH31" s="10">
        <v>1008</v>
      </c>
      <c r="GI31" s="10">
        <v>1022</v>
      </c>
      <c r="GJ31" s="10">
        <v>1007</v>
      </c>
      <c r="GK31" s="10">
        <v>1019</v>
      </c>
      <c r="GL31" s="10">
        <v>1013</v>
      </c>
      <c r="GM31" s="10">
        <v>1018</v>
      </c>
      <c r="GN31" s="10">
        <v>1021</v>
      </c>
      <c r="GO31" s="10">
        <v>1075</v>
      </c>
      <c r="GP31" s="10">
        <v>1082</v>
      </c>
      <c r="GQ31" s="10">
        <v>1100</v>
      </c>
      <c r="GR31" s="10">
        <v>1099</v>
      </c>
      <c r="GS31" s="10">
        <v>1095</v>
      </c>
    </row>
    <row r="32" spans="1:201" ht="15.75" customHeight="1">
      <c r="A32" s="51" t="s">
        <v>1854</v>
      </c>
      <c r="B32" s="10"/>
      <c r="C32" s="10"/>
      <c r="D32" s="10"/>
      <c r="E32" s="10"/>
      <c r="F32" s="10" t="s">
        <v>1827</v>
      </c>
      <c r="G32" s="10" t="s">
        <v>1827</v>
      </c>
      <c r="H32" s="10" t="s">
        <v>1827</v>
      </c>
      <c r="I32" s="10" t="s">
        <v>1827</v>
      </c>
      <c r="J32" s="10" t="s">
        <v>1827</v>
      </c>
      <c r="K32" s="10" t="s">
        <v>1827</v>
      </c>
      <c r="L32" s="10" t="s">
        <v>1827</v>
      </c>
      <c r="M32" s="10" t="s">
        <v>1827</v>
      </c>
      <c r="N32" s="10" t="s">
        <v>1827</v>
      </c>
      <c r="O32" s="10" t="s">
        <v>1827</v>
      </c>
      <c r="P32" s="10" t="s">
        <v>1827</v>
      </c>
      <c r="Q32" s="10" t="s">
        <v>1827</v>
      </c>
      <c r="R32" s="10" t="s">
        <v>1827</v>
      </c>
      <c r="S32" s="10" t="s">
        <v>1827</v>
      </c>
      <c r="T32" s="10" t="s">
        <v>1827</v>
      </c>
      <c r="U32" s="10" t="s">
        <v>1827</v>
      </c>
      <c r="V32" s="10" t="s">
        <v>1827</v>
      </c>
      <c r="W32" s="10" t="s">
        <v>1827</v>
      </c>
      <c r="X32" s="10" t="s">
        <v>1827</v>
      </c>
      <c r="Y32" s="10" t="s">
        <v>1827</v>
      </c>
      <c r="Z32" s="10" t="s">
        <v>1827</v>
      </c>
      <c r="AA32" s="10" t="s">
        <v>1827</v>
      </c>
      <c r="AB32" s="10" t="s">
        <v>1827</v>
      </c>
      <c r="AC32" s="10" t="s">
        <v>1827</v>
      </c>
      <c r="AD32" s="10" t="s">
        <v>1827</v>
      </c>
      <c r="AE32" s="10" t="s">
        <v>1827</v>
      </c>
      <c r="AF32" s="10" t="s">
        <v>1827</v>
      </c>
      <c r="AG32" s="10" t="s">
        <v>1827</v>
      </c>
      <c r="AH32" s="10" t="s">
        <v>1827</v>
      </c>
      <c r="AI32" s="10" t="s">
        <v>1827</v>
      </c>
      <c r="AJ32" s="10" t="s">
        <v>1827</v>
      </c>
      <c r="AK32" s="10" t="s">
        <v>1827</v>
      </c>
      <c r="AL32" s="10" t="s">
        <v>1827</v>
      </c>
      <c r="AM32" s="10" t="s">
        <v>1827</v>
      </c>
      <c r="AN32" s="10" t="s">
        <v>1827</v>
      </c>
      <c r="AO32" s="10" t="s">
        <v>1827</v>
      </c>
      <c r="AP32" s="10" t="s">
        <v>1827</v>
      </c>
      <c r="AQ32" s="10" t="s">
        <v>1827</v>
      </c>
      <c r="AR32" s="10" t="s">
        <v>1827</v>
      </c>
      <c r="AS32" s="10" t="s">
        <v>1827</v>
      </c>
      <c r="AT32" s="10" t="s">
        <v>1827</v>
      </c>
      <c r="AU32" s="10" t="s">
        <v>1827</v>
      </c>
      <c r="AV32" s="10" t="s">
        <v>1827</v>
      </c>
      <c r="AW32" s="10" t="s">
        <v>1827</v>
      </c>
      <c r="AX32" s="10" t="s">
        <v>1827</v>
      </c>
      <c r="AY32" s="10" t="s">
        <v>1827</v>
      </c>
      <c r="AZ32" s="10" t="s">
        <v>1827</v>
      </c>
      <c r="BA32" s="10" t="s">
        <v>1827</v>
      </c>
      <c r="BB32" s="10" t="s">
        <v>1827</v>
      </c>
      <c r="BC32" s="10" t="s">
        <v>1827</v>
      </c>
      <c r="BD32" s="10" t="s">
        <v>1827</v>
      </c>
      <c r="BE32" s="10" t="s">
        <v>1827</v>
      </c>
      <c r="BF32" s="10" t="s">
        <v>1827</v>
      </c>
      <c r="BG32" s="10" t="s">
        <v>1827</v>
      </c>
      <c r="BH32" s="10" t="s">
        <v>1827</v>
      </c>
      <c r="BI32" s="10" t="s">
        <v>1827</v>
      </c>
      <c r="BJ32" s="10" t="s">
        <v>1827</v>
      </c>
      <c r="BK32" s="10" t="s">
        <v>1827</v>
      </c>
      <c r="BL32" s="10" t="s">
        <v>1827</v>
      </c>
      <c r="BM32" s="10" t="s">
        <v>1827</v>
      </c>
      <c r="BN32" s="10" t="s">
        <v>1827</v>
      </c>
      <c r="BO32" s="10" t="s">
        <v>1827</v>
      </c>
      <c r="BP32" s="10" t="s">
        <v>1827</v>
      </c>
      <c r="BQ32" s="10" t="s">
        <v>1827</v>
      </c>
      <c r="BR32" s="10" t="s">
        <v>1827</v>
      </c>
      <c r="BS32" s="10" t="s">
        <v>1827</v>
      </c>
      <c r="BT32" s="10" t="s">
        <v>1827</v>
      </c>
      <c r="BU32" s="10" t="s">
        <v>1827</v>
      </c>
      <c r="BV32" s="10" t="s">
        <v>1827</v>
      </c>
      <c r="BW32" s="10" t="s">
        <v>1827</v>
      </c>
      <c r="BX32" s="10" t="s">
        <v>1827</v>
      </c>
      <c r="BY32" s="10" t="s">
        <v>1827</v>
      </c>
      <c r="BZ32" s="10" t="s">
        <v>1827</v>
      </c>
      <c r="CA32" s="10" t="s">
        <v>1827</v>
      </c>
      <c r="CB32" s="10" t="s">
        <v>1827</v>
      </c>
      <c r="CC32" s="10" t="s">
        <v>1827</v>
      </c>
      <c r="CD32" s="10" t="s">
        <v>1827</v>
      </c>
      <c r="CE32" s="10" t="s">
        <v>1827</v>
      </c>
      <c r="CF32" s="10" t="s">
        <v>1827</v>
      </c>
      <c r="CG32" s="10" t="s">
        <v>1827</v>
      </c>
      <c r="CH32" s="10" t="s">
        <v>1827</v>
      </c>
      <c r="CI32" s="10" t="s">
        <v>1827</v>
      </c>
      <c r="CJ32" s="10" t="s">
        <v>1827</v>
      </c>
      <c r="CK32" s="10" t="s">
        <v>1827</v>
      </c>
      <c r="CL32" s="10" t="s">
        <v>1827</v>
      </c>
      <c r="CM32" s="10" t="s">
        <v>1827</v>
      </c>
      <c r="CN32" s="10" t="s">
        <v>1827</v>
      </c>
      <c r="CO32" s="10" t="s">
        <v>1827</v>
      </c>
      <c r="CP32" s="10" t="s">
        <v>1827</v>
      </c>
      <c r="CQ32" s="10" t="s">
        <v>1827</v>
      </c>
      <c r="CR32" s="10" t="s">
        <v>1827</v>
      </c>
      <c r="CS32" s="10" t="s">
        <v>1827</v>
      </c>
      <c r="CT32" s="10" t="s">
        <v>1827</v>
      </c>
      <c r="CU32" s="10" t="s">
        <v>1827</v>
      </c>
      <c r="CV32" s="10" t="s">
        <v>1827</v>
      </c>
      <c r="CW32" s="10" t="s">
        <v>1827</v>
      </c>
      <c r="CX32" s="10" t="s">
        <v>1827</v>
      </c>
      <c r="CY32" s="10" t="s">
        <v>1827</v>
      </c>
      <c r="CZ32" s="10">
        <v>763.82306500000004</v>
      </c>
      <c r="DA32" s="10">
        <v>769.35229100000004</v>
      </c>
      <c r="DB32" s="10">
        <v>769.35229100000004</v>
      </c>
      <c r="DC32" s="10">
        <v>770.14218000000005</v>
      </c>
      <c r="DD32" s="10">
        <v>768.56240100000002</v>
      </c>
      <c r="DE32" s="10">
        <v>768.56240100000002</v>
      </c>
      <c r="DF32" s="10">
        <v>767.77251200000001</v>
      </c>
      <c r="DG32" s="10">
        <v>696.68246399999998</v>
      </c>
      <c r="DH32" s="10">
        <v>695.10268599999995</v>
      </c>
      <c r="DI32" s="10">
        <v>695.10268599999995</v>
      </c>
      <c r="DJ32" s="10">
        <v>697.472354</v>
      </c>
      <c r="DK32" s="10">
        <v>702.21168999999998</v>
      </c>
      <c r="DL32" s="10">
        <v>706.16113700000005</v>
      </c>
      <c r="DM32" s="10">
        <v>711.69036300000005</v>
      </c>
      <c r="DN32" s="10">
        <v>716.42970000000003</v>
      </c>
      <c r="DO32" s="10">
        <v>721.95892600000002</v>
      </c>
      <c r="DP32" s="10">
        <v>729.06793000000005</v>
      </c>
      <c r="DQ32" s="10">
        <v>735.38704600000005</v>
      </c>
      <c r="DR32" s="10">
        <v>738.546603</v>
      </c>
      <c r="DS32" s="10">
        <v>748.81516599999998</v>
      </c>
      <c r="DT32" s="10">
        <v>752.76461300000005</v>
      </c>
      <c r="DU32" s="10">
        <v>756.71406000000002</v>
      </c>
      <c r="DV32" s="10">
        <v>759.87361799999996</v>
      </c>
      <c r="DW32" s="10">
        <v>766.19273299999998</v>
      </c>
      <c r="DX32" s="10">
        <v>770.14218000000005</v>
      </c>
      <c r="DY32" s="10">
        <v>777.25118499999996</v>
      </c>
      <c r="DZ32" s="10">
        <v>778.83096399999999</v>
      </c>
      <c r="EA32" s="10">
        <v>781.99052099999994</v>
      </c>
      <c r="EB32" s="10">
        <v>789.88941499999999</v>
      </c>
      <c r="EC32" s="10">
        <v>792.25908400000003</v>
      </c>
      <c r="ED32" s="10">
        <v>797.78831000000002</v>
      </c>
      <c r="EE32" s="10">
        <v>805.68720399999995</v>
      </c>
      <c r="EF32" s="10">
        <v>810.42654000000005</v>
      </c>
      <c r="EG32" s="10">
        <v>816.74565600000005</v>
      </c>
      <c r="EH32" s="10">
        <v>820.69510300000002</v>
      </c>
      <c r="EI32" s="10">
        <v>830.17377599999998</v>
      </c>
      <c r="EJ32" s="10">
        <v>835.70300199999997</v>
      </c>
      <c r="EK32" s="10">
        <v>842.02211699999998</v>
      </c>
      <c r="EL32" s="10">
        <v>845.18167500000004</v>
      </c>
      <c r="EM32" s="10">
        <v>847.55134299999997</v>
      </c>
      <c r="EN32" s="10">
        <v>849.92101100000002</v>
      </c>
      <c r="EO32" s="10">
        <v>851.50079000000005</v>
      </c>
      <c r="EP32" s="10">
        <v>853.87045799999999</v>
      </c>
      <c r="EQ32" s="10">
        <v>857.81990499999995</v>
      </c>
      <c r="ER32" s="10">
        <v>861.76935200000003</v>
      </c>
      <c r="ES32" s="10">
        <v>865.71879899999999</v>
      </c>
      <c r="ET32" s="10">
        <v>867.29857800000002</v>
      </c>
      <c r="EU32" s="10">
        <v>872.82780400000001</v>
      </c>
      <c r="EV32" s="10">
        <v>877.56714099999999</v>
      </c>
      <c r="EW32" s="10">
        <v>881.51658799999996</v>
      </c>
      <c r="EX32" s="10">
        <v>884.67614500000002</v>
      </c>
      <c r="EY32" s="10">
        <v>892.57503899999995</v>
      </c>
      <c r="EZ32" s="10">
        <v>897.31437600000004</v>
      </c>
      <c r="FA32" s="10">
        <v>902.84360200000003</v>
      </c>
      <c r="FB32" s="10">
        <v>906.00315999999998</v>
      </c>
      <c r="FC32" s="10">
        <v>912.32227499999999</v>
      </c>
      <c r="FD32" s="10">
        <v>916.27172199999995</v>
      </c>
      <c r="FE32" s="10">
        <v>921.01105800000005</v>
      </c>
      <c r="FF32" s="10">
        <v>924.96050600000001</v>
      </c>
      <c r="FG32" s="10">
        <v>930.48973100000001</v>
      </c>
      <c r="FH32" s="10">
        <v>936.018957</v>
      </c>
      <c r="FI32" s="10">
        <v>941.54818299999999</v>
      </c>
      <c r="FJ32" s="10">
        <v>944.70774100000006</v>
      </c>
      <c r="FK32" s="10">
        <v>951.81674599999997</v>
      </c>
      <c r="FL32" s="10">
        <v>957.34597199999996</v>
      </c>
      <c r="FM32" s="10">
        <v>962.87519699999996</v>
      </c>
      <c r="FN32" s="10">
        <v>968.40442299999995</v>
      </c>
      <c r="FO32" s="10">
        <v>973.93364899999995</v>
      </c>
      <c r="FP32" s="10">
        <v>979.46287500000005</v>
      </c>
      <c r="FQ32" s="10">
        <v>983.41232200000002</v>
      </c>
      <c r="FR32" s="10">
        <v>988.151659</v>
      </c>
      <c r="FS32" s="10">
        <v>996.05055300000004</v>
      </c>
      <c r="FT32" s="10">
        <v>1000</v>
      </c>
      <c r="FU32" s="10">
        <v>1005.529226</v>
      </c>
      <c r="FV32" s="10">
        <v>1011</v>
      </c>
      <c r="FW32" s="10">
        <v>1017</v>
      </c>
      <c r="FX32" s="10">
        <v>1025</v>
      </c>
      <c r="FY32" s="10">
        <v>1029</v>
      </c>
      <c r="FZ32" s="10">
        <v>1035</v>
      </c>
      <c r="GA32" s="10">
        <v>1041</v>
      </c>
      <c r="GB32" s="10">
        <v>1051</v>
      </c>
      <c r="GC32" s="10">
        <v>1059</v>
      </c>
      <c r="GD32" s="10">
        <v>1067</v>
      </c>
      <c r="GE32" s="10">
        <v>1080</v>
      </c>
      <c r="GF32" s="10">
        <v>1087</v>
      </c>
      <c r="GG32" s="10">
        <v>1092</v>
      </c>
      <c r="GH32" s="10">
        <v>1098</v>
      </c>
      <c r="GI32" s="10">
        <v>1109</v>
      </c>
      <c r="GJ32" s="10">
        <v>1119</v>
      </c>
      <c r="GK32" s="10">
        <v>1127</v>
      </c>
      <c r="GL32" s="10">
        <v>1140</v>
      </c>
      <c r="GM32" s="10">
        <v>1153</v>
      </c>
      <c r="GN32" s="10">
        <v>1167</v>
      </c>
      <c r="GO32" s="10">
        <v>1179</v>
      </c>
      <c r="GP32" s="10">
        <v>1190</v>
      </c>
      <c r="GQ32" s="10">
        <v>1203</v>
      </c>
      <c r="GR32" s="10">
        <v>1216</v>
      </c>
      <c r="GS32" s="10">
        <v>1231</v>
      </c>
    </row>
    <row r="33" spans="1:201" ht="15.75" customHeight="1">
      <c r="A33" s="51" t="s">
        <v>1855</v>
      </c>
      <c r="B33" s="10"/>
      <c r="C33" s="10"/>
      <c r="D33" s="10"/>
      <c r="E33" s="10"/>
      <c r="F33" s="10" t="s">
        <v>1827</v>
      </c>
      <c r="G33" s="10" t="s">
        <v>1827</v>
      </c>
      <c r="H33" s="10" t="s">
        <v>1827</v>
      </c>
      <c r="I33" s="10" t="s">
        <v>1827</v>
      </c>
      <c r="J33" s="10" t="s">
        <v>1827</v>
      </c>
      <c r="K33" s="10" t="s">
        <v>1827</v>
      </c>
      <c r="L33" s="10" t="s">
        <v>1827</v>
      </c>
      <c r="M33" s="10" t="s">
        <v>1827</v>
      </c>
      <c r="N33" s="10" t="s">
        <v>1827</v>
      </c>
      <c r="O33" s="10" t="s">
        <v>1827</v>
      </c>
      <c r="P33" s="10" t="s">
        <v>1827</v>
      </c>
      <c r="Q33" s="10" t="s">
        <v>1827</v>
      </c>
      <c r="R33" s="10" t="s">
        <v>1827</v>
      </c>
      <c r="S33" s="10" t="s">
        <v>1827</v>
      </c>
      <c r="T33" s="10" t="s">
        <v>1827</v>
      </c>
      <c r="U33" s="10" t="s">
        <v>1827</v>
      </c>
      <c r="V33" s="10" t="s">
        <v>1827</v>
      </c>
      <c r="W33" s="10" t="s">
        <v>1827</v>
      </c>
      <c r="X33" s="10" t="s">
        <v>1827</v>
      </c>
      <c r="Y33" s="10" t="s">
        <v>1827</v>
      </c>
      <c r="Z33" s="10" t="s">
        <v>1827</v>
      </c>
      <c r="AA33" s="10" t="s">
        <v>1827</v>
      </c>
      <c r="AB33" s="10" t="s">
        <v>1827</v>
      </c>
      <c r="AC33" s="10" t="s">
        <v>1827</v>
      </c>
      <c r="AD33" s="10" t="s">
        <v>1827</v>
      </c>
      <c r="AE33" s="10" t="s">
        <v>1827</v>
      </c>
      <c r="AF33" s="10" t="s">
        <v>1827</v>
      </c>
      <c r="AG33" s="10" t="s">
        <v>1827</v>
      </c>
      <c r="AH33" s="10" t="s">
        <v>1827</v>
      </c>
      <c r="AI33" s="10" t="s">
        <v>1827</v>
      </c>
      <c r="AJ33" s="10" t="s">
        <v>1827</v>
      </c>
      <c r="AK33" s="10" t="s">
        <v>1827</v>
      </c>
      <c r="AL33" s="10" t="s">
        <v>1827</v>
      </c>
      <c r="AM33" s="10" t="s">
        <v>1827</v>
      </c>
      <c r="AN33" s="10" t="s">
        <v>1827</v>
      </c>
      <c r="AO33" s="10" t="s">
        <v>1827</v>
      </c>
      <c r="AP33" s="10" t="s">
        <v>1827</v>
      </c>
      <c r="AQ33" s="10" t="s">
        <v>1827</v>
      </c>
      <c r="AR33" s="10">
        <v>189.59883099999999</v>
      </c>
      <c r="AS33" s="10">
        <v>193.20680200000001</v>
      </c>
      <c r="AT33" s="10">
        <v>198.97955400000001</v>
      </c>
      <c r="AU33" s="10">
        <v>204.932705</v>
      </c>
      <c r="AV33" s="10">
        <v>211.06625399999999</v>
      </c>
      <c r="AW33" s="10">
        <v>218.10179600000001</v>
      </c>
      <c r="AX33" s="10">
        <v>224.77654100000001</v>
      </c>
      <c r="AY33" s="10">
        <v>228.92570599999999</v>
      </c>
      <c r="AZ33" s="10">
        <v>233.43566899999999</v>
      </c>
      <c r="BA33" s="10">
        <v>235.78084999999999</v>
      </c>
      <c r="BB33" s="10">
        <v>243.89878200000001</v>
      </c>
      <c r="BC33" s="10">
        <v>262.66022700000002</v>
      </c>
      <c r="BD33" s="10">
        <v>272.04095000000001</v>
      </c>
      <c r="BE33" s="10">
        <v>278.53529600000002</v>
      </c>
      <c r="BF33" s="10">
        <v>285.39043900000001</v>
      </c>
      <c r="BG33" s="10">
        <v>295.49275499999999</v>
      </c>
      <c r="BH33" s="10">
        <v>295.131958</v>
      </c>
      <c r="BI33" s="10">
        <v>301.44590599999998</v>
      </c>
      <c r="BJ33" s="10">
        <v>302.52829700000001</v>
      </c>
      <c r="BK33" s="10">
        <v>308.88139200000001</v>
      </c>
      <c r="BL33" s="10">
        <v>313.11678799999999</v>
      </c>
      <c r="BM33" s="10">
        <v>318.86482599999999</v>
      </c>
      <c r="BN33" s="10">
        <v>324.612863</v>
      </c>
      <c r="BO33" s="10">
        <v>332.78112700000003</v>
      </c>
      <c r="BP33" s="10">
        <v>338.52916499999998</v>
      </c>
      <c r="BQ33" s="10">
        <v>343.672146</v>
      </c>
      <c r="BR33" s="10">
        <v>344.27720299999999</v>
      </c>
      <c r="BS33" s="10">
        <v>346.09237300000001</v>
      </c>
      <c r="BT33" s="10">
        <v>345.78984400000002</v>
      </c>
      <c r="BU33" s="10">
        <v>342.76456100000001</v>
      </c>
      <c r="BV33" s="10">
        <v>342.76456100000001</v>
      </c>
      <c r="BW33" s="10">
        <v>341.85697599999997</v>
      </c>
      <c r="BX33" s="10">
        <v>343.672146</v>
      </c>
      <c r="BY33" s="10">
        <v>343.36961700000001</v>
      </c>
      <c r="BZ33" s="10">
        <v>347.90754199999998</v>
      </c>
      <c r="CA33" s="10">
        <v>350.02524</v>
      </c>
      <c r="CB33" s="10">
        <v>354.56316500000003</v>
      </c>
      <c r="CC33" s="10">
        <v>359.101089</v>
      </c>
      <c r="CD33" s="10">
        <v>365.454183</v>
      </c>
      <c r="CE33" s="10">
        <v>370.93599599999999</v>
      </c>
      <c r="CF33" s="10">
        <v>376.78326299999998</v>
      </c>
      <c r="CG33" s="10">
        <v>392.863247</v>
      </c>
      <c r="CH33" s="10">
        <v>403.82687199999998</v>
      </c>
      <c r="CI33" s="10">
        <v>414.79049800000001</v>
      </c>
      <c r="CJ33" s="10">
        <v>418.44504000000001</v>
      </c>
      <c r="CK33" s="10">
        <v>424.29230699999999</v>
      </c>
      <c r="CL33" s="10">
        <v>430.50502799999998</v>
      </c>
      <c r="CM33" s="10">
        <v>438.91047400000002</v>
      </c>
      <c r="CN33" s="10">
        <v>449.508645</v>
      </c>
      <c r="CO33" s="10">
        <v>449.8741</v>
      </c>
      <c r="CP33" s="10">
        <v>451.70137099999999</v>
      </c>
      <c r="CQ33" s="10">
        <v>452.79773299999999</v>
      </c>
      <c r="CR33" s="10">
        <v>457.54863799999998</v>
      </c>
      <c r="CS33" s="10">
        <v>464.12681300000003</v>
      </c>
      <c r="CT33" s="10">
        <v>470.33953400000001</v>
      </c>
      <c r="CU33" s="10">
        <v>472.53225900000001</v>
      </c>
      <c r="CV33" s="10">
        <v>478.014072</v>
      </c>
      <c r="CW33" s="10">
        <v>469.24317100000002</v>
      </c>
      <c r="CX33" s="10">
        <v>461.56863299999998</v>
      </c>
      <c r="CY33" s="10">
        <v>454.99045799999999</v>
      </c>
      <c r="CZ33" s="10">
        <v>456.08681999999999</v>
      </c>
      <c r="DA33" s="10">
        <v>457.45508100000001</v>
      </c>
      <c r="DB33" s="10">
        <v>460.19160199999999</v>
      </c>
      <c r="DC33" s="10">
        <v>463.38421</v>
      </c>
      <c r="DD33" s="10">
        <v>467.94507800000002</v>
      </c>
      <c r="DE33" s="10">
        <v>469.76942600000001</v>
      </c>
      <c r="DF33" s="10">
        <v>473.87420600000002</v>
      </c>
      <c r="DG33" s="10">
        <v>476.61072799999999</v>
      </c>
      <c r="DH33" s="10">
        <v>477.52290099999999</v>
      </c>
      <c r="DI33" s="10">
        <v>478.89116200000001</v>
      </c>
      <c r="DJ33" s="10">
        <v>482.08376900000002</v>
      </c>
      <c r="DK33" s="10">
        <v>488.925072</v>
      </c>
      <c r="DL33" s="10">
        <v>491.66159299999998</v>
      </c>
      <c r="DM33" s="10">
        <v>494.85420099999999</v>
      </c>
      <c r="DN33" s="10">
        <v>503.51985000000002</v>
      </c>
      <c r="DO33" s="10">
        <v>510.81723899999997</v>
      </c>
      <c r="DP33" s="10">
        <v>519.93897600000003</v>
      </c>
      <c r="DQ33" s="10">
        <v>529.06071199999997</v>
      </c>
      <c r="DR33" s="10">
        <v>546.39201200000002</v>
      </c>
      <c r="DS33" s="10">
        <v>555.05766100000005</v>
      </c>
      <c r="DT33" s="10">
        <v>565.54765799999996</v>
      </c>
      <c r="DU33" s="10">
        <v>576.493741</v>
      </c>
      <c r="DV33" s="10">
        <v>586.52765099999999</v>
      </c>
      <c r="DW33" s="10">
        <v>595.19330100000002</v>
      </c>
      <c r="DX33" s="10">
        <v>608.41981899999996</v>
      </c>
      <c r="DY33" s="10">
        <v>614.34894799999995</v>
      </c>
      <c r="DZ33" s="10">
        <v>623.92677100000003</v>
      </c>
      <c r="EA33" s="10">
        <v>630.31198600000005</v>
      </c>
      <c r="EB33" s="10">
        <v>638.97763599999996</v>
      </c>
      <c r="EC33" s="10">
        <v>652.39616599999999</v>
      </c>
      <c r="ED33" s="10">
        <v>658.78594199999998</v>
      </c>
      <c r="EE33" s="10">
        <v>667.09265200000004</v>
      </c>
      <c r="EF33" s="10">
        <v>677.95527200000004</v>
      </c>
      <c r="EG33" s="10">
        <v>690.09584700000005</v>
      </c>
      <c r="EH33" s="10">
        <v>699.04153399999996</v>
      </c>
      <c r="EI33" s="10">
        <v>705.43131000000005</v>
      </c>
      <c r="EJ33" s="10">
        <v>713.09904200000005</v>
      </c>
      <c r="EK33" s="10">
        <v>722.04472799999996</v>
      </c>
      <c r="EL33" s="10">
        <v>720.76677299999994</v>
      </c>
      <c r="EM33" s="10">
        <v>720.76677299999994</v>
      </c>
      <c r="EN33" s="10">
        <v>722.04472799999996</v>
      </c>
      <c r="EO33" s="10">
        <v>722.68370600000003</v>
      </c>
      <c r="EP33" s="10">
        <v>725.87859400000002</v>
      </c>
      <c r="EQ33" s="10">
        <v>727.15655000000004</v>
      </c>
      <c r="ER33" s="10">
        <v>730.35143800000003</v>
      </c>
      <c r="ES33" s="10">
        <v>734.18530399999997</v>
      </c>
      <c r="ET33" s="10">
        <v>748.88178900000003</v>
      </c>
      <c r="EU33" s="10">
        <v>748.24281199999996</v>
      </c>
      <c r="EV33" s="10">
        <v>755.27156500000001</v>
      </c>
      <c r="EW33" s="10">
        <v>761.02236400000004</v>
      </c>
      <c r="EX33" s="10">
        <v>764.21725200000003</v>
      </c>
      <c r="EY33" s="10">
        <v>769.32907299999999</v>
      </c>
      <c r="EZ33" s="10">
        <v>776.35782700000004</v>
      </c>
      <c r="FA33" s="10">
        <v>784.02555900000004</v>
      </c>
      <c r="FB33" s="10">
        <v>787.85942499999999</v>
      </c>
      <c r="FC33" s="10">
        <v>794.88817900000004</v>
      </c>
      <c r="FD33" s="10">
        <v>808.30670899999996</v>
      </c>
      <c r="FE33" s="10">
        <v>815.97444099999996</v>
      </c>
      <c r="FF33" s="10">
        <v>824.92012799999998</v>
      </c>
      <c r="FG33" s="10">
        <v>835.14377000000002</v>
      </c>
      <c r="FH33" s="10">
        <v>845.36741199999994</v>
      </c>
      <c r="FI33" s="10">
        <v>854.95207700000003</v>
      </c>
      <c r="FJ33" s="10">
        <v>869.64856199999997</v>
      </c>
      <c r="FK33" s="10">
        <v>876.67731600000002</v>
      </c>
      <c r="FL33" s="10">
        <v>890.09584700000005</v>
      </c>
      <c r="FM33" s="10">
        <v>902.23642199999995</v>
      </c>
      <c r="FN33" s="10">
        <v>913.09904200000005</v>
      </c>
      <c r="FO33" s="10">
        <v>920.76677299999994</v>
      </c>
      <c r="FP33" s="10">
        <v>939.93610200000001</v>
      </c>
      <c r="FQ33" s="10">
        <v>959.10543099999995</v>
      </c>
      <c r="FR33" s="10">
        <v>972.52396199999998</v>
      </c>
      <c r="FS33" s="10">
        <v>982.10862599999996</v>
      </c>
      <c r="FT33" s="10">
        <v>1000</v>
      </c>
      <c r="FU33" s="10">
        <v>1010.86262</v>
      </c>
      <c r="FV33" s="10">
        <v>1024</v>
      </c>
      <c r="FW33" s="10">
        <v>1028</v>
      </c>
      <c r="FX33" s="10">
        <v>1039</v>
      </c>
      <c r="FY33" s="10">
        <v>1052</v>
      </c>
      <c r="FZ33" s="10">
        <v>1061</v>
      </c>
      <c r="GA33" s="10">
        <v>1068</v>
      </c>
      <c r="GB33" s="10">
        <v>1075</v>
      </c>
      <c r="GC33" s="10">
        <v>1081</v>
      </c>
      <c r="GD33" s="10">
        <v>1086</v>
      </c>
      <c r="GE33" s="10">
        <v>1097</v>
      </c>
      <c r="GF33" s="10">
        <v>1105</v>
      </c>
      <c r="GG33" s="10">
        <v>1108</v>
      </c>
      <c r="GH33" s="10">
        <v>1122</v>
      </c>
      <c r="GI33" s="10">
        <v>1135</v>
      </c>
      <c r="GJ33" s="10">
        <v>1187</v>
      </c>
      <c r="GK33" s="10">
        <v>1241</v>
      </c>
      <c r="GL33" s="10">
        <v>1298</v>
      </c>
      <c r="GM33" s="10">
        <v>1343</v>
      </c>
      <c r="GN33" s="10">
        <v>1404</v>
      </c>
      <c r="GO33" s="10">
        <v>1450</v>
      </c>
      <c r="GP33" s="10">
        <v>1481</v>
      </c>
      <c r="GQ33" s="10">
        <v>1497</v>
      </c>
      <c r="GR33" s="10">
        <v>1514</v>
      </c>
      <c r="GS33" s="10">
        <v>1523</v>
      </c>
    </row>
    <row r="34" spans="1:201" ht="15.75" customHeight="1">
      <c r="A34" s="51" t="s">
        <v>1856</v>
      </c>
      <c r="B34" s="10"/>
      <c r="C34" s="10"/>
      <c r="D34" s="10"/>
      <c r="E34" s="10"/>
      <c r="F34" s="10" t="s">
        <v>1827</v>
      </c>
      <c r="G34" s="10" t="s">
        <v>1827</v>
      </c>
      <c r="H34" s="10" t="s">
        <v>1827</v>
      </c>
      <c r="I34" s="10" t="s">
        <v>1827</v>
      </c>
      <c r="J34" s="10" t="s">
        <v>1827</v>
      </c>
      <c r="K34" s="10" t="s">
        <v>1827</v>
      </c>
      <c r="L34" s="10" t="s">
        <v>1827</v>
      </c>
      <c r="M34" s="10" t="s">
        <v>1827</v>
      </c>
      <c r="N34" s="10" t="s">
        <v>1827</v>
      </c>
      <c r="O34" s="10" t="s">
        <v>1827</v>
      </c>
      <c r="P34" s="10" t="s">
        <v>1827</v>
      </c>
      <c r="Q34" s="10" t="s">
        <v>1827</v>
      </c>
      <c r="R34" s="10" t="s">
        <v>1827</v>
      </c>
      <c r="S34" s="10" t="s">
        <v>1827</v>
      </c>
      <c r="T34" s="10" t="s">
        <v>1827</v>
      </c>
      <c r="U34" s="10" t="s">
        <v>1827</v>
      </c>
      <c r="V34" s="10" t="s">
        <v>1827</v>
      </c>
      <c r="W34" s="10" t="s">
        <v>1827</v>
      </c>
      <c r="X34" s="10" t="s">
        <v>1827</v>
      </c>
      <c r="Y34" s="10" t="s">
        <v>1827</v>
      </c>
      <c r="Z34" s="10" t="s">
        <v>1827</v>
      </c>
      <c r="AA34" s="10" t="s">
        <v>1827</v>
      </c>
      <c r="AB34" s="10" t="s">
        <v>1827</v>
      </c>
      <c r="AC34" s="10" t="s">
        <v>1827</v>
      </c>
      <c r="AD34" s="10" t="s">
        <v>1827</v>
      </c>
      <c r="AE34" s="10" t="s">
        <v>1827</v>
      </c>
      <c r="AF34" s="10" t="s">
        <v>1827</v>
      </c>
      <c r="AG34" s="10" t="s">
        <v>1827</v>
      </c>
      <c r="AH34" s="10" t="s">
        <v>1827</v>
      </c>
      <c r="AI34" s="10" t="s">
        <v>1827</v>
      </c>
      <c r="AJ34" s="10" t="s">
        <v>1827</v>
      </c>
      <c r="AK34" s="10" t="s">
        <v>1827</v>
      </c>
      <c r="AL34" s="10" t="s">
        <v>1827</v>
      </c>
      <c r="AM34" s="10" t="s">
        <v>1827</v>
      </c>
      <c r="AN34" s="10" t="s">
        <v>1827</v>
      </c>
      <c r="AO34" s="10" t="s">
        <v>1827</v>
      </c>
      <c r="AP34" s="10" t="s">
        <v>1827</v>
      </c>
      <c r="AQ34" s="10" t="s">
        <v>1827</v>
      </c>
      <c r="AR34" s="10" t="s">
        <v>1827</v>
      </c>
      <c r="AS34" s="10" t="s">
        <v>1827</v>
      </c>
      <c r="AT34" s="10" t="s">
        <v>1827</v>
      </c>
      <c r="AU34" s="10" t="s">
        <v>1827</v>
      </c>
      <c r="AV34" s="10" t="s">
        <v>1827</v>
      </c>
      <c r="AW34" s="10" t="s">
        <v>1827</v>
      </c>
      <c r="AX34" s="10" t="s">
        <v>1827</v>
      </c>
      <c r="AY34" s="10" t="s">
        <v>1827</v>
      </c>
      <c r="AZ34" s="10" t="s">
        <v>1827</v>
      </c>
      <c r="BA34" s="10" t="s">
        <v>1827</v>
      </c>
      <c r="BB34" s="10" t="s">
        <v>1827</v>
      </c>
      <c r="BC34" s="10" t="s">
        <v>1827</v>
      </c>
      <c r="BD34" s="10" t="s">
        <v>1827</v>
      </c>
      <c r="BE34" s="10" t="s">
        <v>1827</v>
      </c>
      <c r="BF34" s="10" t="s">
        <v>1827</v>
      </c>
      <c r="BG34" s="10" t="s">
        <v>1827</v>
      </c>
      <c r="BH34" s="10" t="s">
        <v>1827</v>
      </c>
      <c r="BI34" s="10" t="s">
        <v>1827</v>
      </c>
      <c r="BJ34" s="10" t="s">
        <v>1827</v>
      </c>
      <c r="BK34" s="10" t="s">
        <v>1827</v>
      </c>
      <c r="BL34" s="10" t="s">
        <v>1827</v>
      </c>
      <c r="BM34" s="10" t="s">
        <v>1827</v>
      </c>
      <c r="BN34" s="10" t="s">
        <v>1827</v>
      </c>
      <c r="BO34" s="10" t="s">
        <v>1827</v>
      </c>
      <c r="BP34" s="10" t="s">
        <v>1827</v>
      </c>
      <c r="BQ34" s="10" t="s">
        <v>1827</v>
      </c>
      <c r="BR34" s="10" t="s">
        <v>1827</v>
      </c>
      <c r="BS34" s="10" t="s">
        <v>1827</v>
      </c>
      <c r="BT34" s="10" t="s">
        <v>1827</v>
      </c>
      <c r="BU34" s="10" t="s">
        <v>1827</v>
      </c>
      <c r="BV34" s="10" t="s">
        <v>1827</v>
      </c>
      <c r="BW34" s="10" t="s">
        <v>1827</v>
      </c>
      <c r="BX34" s="10" t="s">
        <v>1827</v>
      </c>
      <c r="BY34" s="10" t="s">
        <v>1827</v>
      </c>
      <c r="BZ34" s="10" t="s">
        <v>1827</v>
      </c>
      <c r="CA34" s="10" t="s">
        <v>1827</v>
      </c>
      <c r="CB34" s="10" t="s">
        <v>1827</v>
      </c>
      <c r="CC34" s="10" t="s">
        <v>1827</v>
      </c>
      <c r="CD34" s="10" t="s">
        <v>1827</v>
      </c>
      <c r="CE34" s="10" t="s">
        <v>1827</v>
      </c>
      <c r="CF34" s="10" t="s">
        <v>1827</v>
      </c>
      <c r="CG34" s="10" t="s">
        <v>1827</v>
      </c>
      <c r="CH34" s="10" t="s">
        <v>1827</v>
      </c>
      <c r="CI34" s="10" t="s">
        <v>1827</v>
      </c>
      <c r="CJ34" s="10" t="s">
        <v>1827</v>
      </c>
      <c r="CK34" s="10" t="s">
        <v>1827</v>
      </c>
      <c r="CL34" s="10" t="s">
        <v>1827</v>
      </c>
      <c r="CM34" s="10" t="s">
        <v>1827</v>
      </c>
      <c r="CN34" s="10" t="s">
        <v>1827</v>
      </c>
      <c r="CO34" s="10" t="s">
        <v>1827</v>
      </c>
      <c r="CP34" s="10" t="s">
        <v>1827</v>
      </c>
      <c r="CQ34" s="10" t="s">
        <v>1827</v>
      </c>
      <c r="CR34" s="10" t="s">
        <v>1827</v>
      </c>
      <c r="CS34" s="10" t="s">
        <v>1827</v>
      </c>
      <c r="CT34" s="10" t="s">
        <v>1827</v>
      </c>
      <c r="CU34" s="10" t="s">
        <v>1827</v>
      </c>
      <c r="CV34" s="10" t="s">
        <v>1827</v>
      </c>
      <c r="CW34" s="10" t="s">
        <v>1827</v>
      </c>
      <c r="CX34" s="10" t="s">
        <v>1827</v>
      </c>
      <c r="CY34" s="10" t="s">
        <v>1827</v>
      </c>
      <c r="CZ34" s="10">
        <v>656.34441100000004</v>
      </c>
      <c r="DA34" s="10">
        <v>653.323263</v>
      </c>
      <c r="DB34" s="10">
        <v>652.56797600000004</v>
      </c>
      <c r="DC34" s="10">
        <v>659.36555899999996</v>
      </c>
      <c r="DD34" s="10">
        <v>661.63142000000005</v>
      </c>
      <c r="DE34" s="10">
        <v>666.91842899999995</v>
      </c>
      <c r="DF34" s="10">
        <v>666.16314199999999</v>
      </c>
      <c r="DG34" s="10">
        <v>680.51359500000001</v>
      </c>
      <c r="DH34" s="10">
        <v>685.04531699999995</v>
      </c>
      <c r="DI34" s="10">
        <v>688.82175199999995</v>
      </c>
      <c r="DJ34" s="10">
        <v>685.04531699999995</v>
      </c>
      <c r="DK34" s="10">
        <v>687.31117800000004</v>
      </c>
      <c r="DL34" s="10">
        <v>691.08761300000003</v>
      </c>
      <c r="DM34" s="10">
        <v>697.129909</v>
      </c>
      <c r="DN34" s="10">
        <v>699.39576999999997</v>
      </c>
      <c r="DO34" s="10">
        <v>694.10876099999996</v>
      </c>
      <c r="DP34" s="10">
        <v>703.92749200000003</v>
      </c>
      <c r="DQ34" s="10">
        <v>707.70392700000002</v>
      </c>
      <c r="DR34" s="10">
        <v>707.70392700000002</v>
      </c>
      <c r="DS34" s="10">
        <v>706.94863999999995</v>
      </c>
      <c r="DT34" s="10">
        <v>712.23564999999996</v>
      </c>
      <c r="DU34" s="10">
        <v>713.74622399999998</v>
      </c>
      <c r="DV34" s="10">
        <v>712.99093700000003</v>
      </c>
      <c r="DW34" s="10">
        <v>719.033233</v>
      </c>
      <c r="DX34" s="10">
        <v>728.85196399999995</v>
      </c>
      <c r="DY34" s="10">
        <v>733.38368600000001</v>
      </c>
      <c r="DZ34" s="10">
        <v>744.71299099999999</v>
      </c>
      <c r="EA34" s="10">
        <v>749.24471300000005</v>
      </c>
      <c r="EB34" s="10">
        <v>755.28700900000001</v>
      </c>
      <c r="EC34" s="10">
        <v>759.063444</v>
      </c>
      <c r="ED34" s="10">
        <v>763.59516599999995</v>
      </c>
      <c r="EE34" s="10">
        <v>766.61631399999999</v>
      </c>
      <c r="EF34" s="10">
        <v>771.903323</v>
      </c>
      <c r="EG34" s="10">
        <v>783.98791500000004</v>
      </c>
      <c r="EH34" s="10">
        <v>790.03021100000001</v>
      </c>
      <c r="EI34" s="10">
        <v>791.54078500000003</v>
      </c>
      <c r="EJ34" s="10">
        <v>795.31722100000002</v>
      </c>
      <c r="EK34" s="10">
        <v>807.40181299999995</v>
      </c>
      <c r="EL34" s="10">
        <v>825.52870099999996</v>
      </c>
      <c r="EM34" s="10">
        <v>832.32628399999999</v>
      </c>
      <c r="EN34" s="10">
        <v>838.36857999999995</v>
      </c>
      <c r="EO34" s="10">
        <v>837.613293</v>
      </c>
      <c r="EP34" s="10">
        <v>836.10271899999998</v>
      </c>
      <c r="EQ34" s="10">
        <v>827.03927499999998</v>
      </c>
      <c r="ER34" s="10">
        <v>844.41087600000003</v>
      </c>
      <c r="ES34" s="10">
        <v>872.356495</v>
      </c>
      <c r="ET34" s="10">
        <v>895.01510599999995</v>
      </c>
      <c r="EU34" s="10">
        <v>888.21752300000003</v>
      </c>
      <c r="EV34" s="10">
        <v>890.483384</v>
      </c>
      <c r="EW34" s="10">
        <v>910.12084600000003</v>
      </c>
      <c r="EX34" s="10">
        <v>910.12084600000003</v>
      </c>
      <c r="EY34" s="10">
        <v>913.14199399999995</v>
      </c>
      <c r="EZ34" s="10">
        <v>914.65256799999997</v>
      </c>
      <c r="FA34" s="10">
        <v>916.91842899999995</v>
      </c>
      <c r="FB34" s="10">
        <v>919.93957699999999</v>
      </c>
      <c r="FC34" s="10">
        <v>922.20543799999996</v>
      </c>
      <c r="FD34" s="10">
        <v>932.02416900000003</v>
      </c>
      <c r="FE34" s="10">
        <v>935.80060400000002</v>
      </c>
      <c r="FF34" s="10">
        <v>942.59818700000005</v>
      </c>
      <c r="FG34" s="10">
        <v>939.57703900000001</v>
      </c>
      <c r="FH34" s="10">
        <v>946.37462200000004</v>
      </c>
      <c r="FI34" s="10">
        <v>952.41691800000001</v>
      </c>
      <c r="FJ34" s="10">
        <v>953.92749200000003</v>
      </c>
      <c r="FK34" s="10">
        <v>951.66163100000006</v>
      </c>
      <c r="FL34" s="10">
        <v>957.70392700000002</v>
      </c>
      <c r="FM34" s="10">
        <v>961.48036300000001</v>
      </c>
      <c r="FN34" s="10">
        <v>970.54380700000002</v>
      </c>
      <c r="FO34" s="10">
        <v>968.27794600000004</v>
      </c>
      <c r="FP34" s="10">
        <v>984.13897299999996</v>
      </c>
      <c r="FQ34" s="10">
        <v>989.42598199999998</v>
      </c>
      <c r="FR34" s="10">
        <v>990.18126900000004</v>
      </c>
      <c r="FS34" s="10">
        <v>992.44713000000002</v>
      </c>
      <c r="FT34" s="10">
        <v>1000</v>
      </c>
      <c r="FU34" s="10">
        <v>1005.287009</v>
      </c>
      <c r="FV34" s="10">
        <v>998</v>
      </c>
      <c r="FW34" s="10">
        <v>1001</v>
      </c>
      <c r="FX34" s="10">
        <v>1006</v>
      </c>
      <c r="FY34" s="10">
        <v>1017</v>
      </c>
      <c r="FZ34" s="10">
        <v>1020</v>
      </c>
      <c r="GA34" s="10">
        <v>1010</v>
      </c>
      <c r="GB34" s="10">
        <v>1024</v>
      </c>
      <c r="GC34" s="10">
        <v>1036</v>
      </c>
      <c r="GD34" s="10">
        <v>1036</v>
      </c>
      <c r="GE34" s="10">
        <v>1033</v>
      </c>
      <c r="GF34" s="10">
        <v>1047</v>
      </c>
      <c r="GG34" s="10">
        <v>1052</v>
      </c>
      <c r="GH34" s="10">
        <v>1050</v>
      </c>
      <c r="GI34" s="10">
        <v>1054</v>
      </c>
      <c r="GJ34" s="10">
        <v>1062</v>
      </c>
      <c r="GK34" s="10">
        <v>1089</v>
      </c>
      <c r="GL34" s="10">
        <v>1125</v>
      </c>
      <c r="GM34" s="10">
        <v>1148</v>
      </c>
      <c r="GN34" s="10">
        <v>1186</v>
      </c>
      <c r="GO34" s="10">
        <v>1219</v>
      </c>
      <c r="GP34" s="10">
        <v>1248</v>
      </c>
      <c r="GQ34" s="10">
        <v>1241</v>
      </c>
      <c r="GR34" s="10">
        <v>1260</v>
      </c>
      <c r="GS34" s="10">
        <v>1269</v>
      </c>
    </row>
    <row r="35" spans="1:201" ht="15.75" customHeight="1">
      <c r="A35" s="51" t="s">
        <v>1857</v>
      </c>
      <c r="B35" s="10"/>
      <c r="C35" s="10"/>
      <c r="D35" s="10"/>
      <c r="E35" s="10"/>
      <c r="F35" s="10" t="s">
        <v>1827</v>
      </c>
      <c r="G35" s="10" t="s">
        <v>1827</v>
      </c>
      <c r="H35" s="10" t="s">
        <v>1827</v>
      </c>
      <c r="I35" s="10" t="s">
        <v>1827</v>
      </c>
      <c r="J35" s="10" t="s">
        <v>1827</v>
      </c>
      <c r="K35" s="10" t="s">
        <v>1827</v>
      </c>
      <c r="L35" s="10" t="s">
        <v>1827</v>
      </c>
      <c r="M35" s="10" t="s">
        <v>1827</v>
      </c>
      <c r="N35" s="10" t="s">
        <v>1827</v>
      </c>
      <c r="O35" s="10" t="s">
        <v>1827</v>
      </c>
      <c r="P35" s="10" t="s">
        <v>1827</v>
      </c>
      <c r="Q35" s="10" t="s">
        <v>1827</v>
      </c>
      <c r="R35" s="10" t="s">
        <v>1827</v>
      </c>
      <c r="S35" s="10" t="s">
        <v>1827</v>
      </c>
      <c r="T35" s="10" t="s">
        <v>1827</v>
      </c>
      <c r="U35" s="10" t="s">
        <v>1827</v>
      </c>
      <c r="V35" s="10" t="s">
        <v>1827</v>
      </c>
      <c r="W35" s="10" t="s">
        <v>1827</v>
      </c>
      <c r="X35" s="10" t="s">
        <v>1827</v>
      </c>
      <c r="Y35" s="10" t="s">
        <v>1827</v>
      </c>
      <c r="Z35" s="10" t="s">
        <v>1827</v>
      </c>
      <c r="AA35" s="10" t="s">
        <v>1827</v>
      </c>
      <c r="AB35" s="10" t="s">
        <v>1827</v>
      </c>
      <c r="AC35" s="10" t="s">
        <v>1827</v>
      </c>
      <c r="AD35" s="10" t="s">
        <v>1827</v>
      </c>
      <c r="AE35" s="10">
        <v>138.56523799999999</v>
      </c>
      <c r="AF35" s="10">
        <v>154.502948</v>
      </c>
      <c r="AG35" s="10">
        <v>154.502948</v>
      </c>
      <c r="AH35" s="10">
        <v>166.22799699999999</v>
      </c>
      <c r="AI35" s="10">
        <v>166.71541099999999</v>
      </c>
      <c r="AJ35" s="10">
        <v>186.17721299999999</v>
      </c>
      <c r="AK35" s="10">
        <v>187.716826</v>
      </c>
      <c r="AL35" s="10">
        <v>192.548429</v>
      </c>
      <c r="AM35" s="10">
        <v>193.36852400000001</v>
      </c>
      <c r="AN35" s="10">
        <v>193.50778500000001</v>
      </c>
      <c r="AO35" s="10">
        <v>194.55998399999999</v>
      </c>
      <c r="AP35" s="10">
        <v>195.70889199999999</v>
      </c>
      <c r="AQ35" s="10">
        <v>197.42258200000001</v>
      </c>
      <c r="AR35" s="10">
        <v>205.07036199999999</v>
      </c>
      <c r="AS35" s="10">
        <v>209.712413</v>
      </c>
      <c r="AT35" s="10">
        <v>213.90186499999999</v>
      </c>
      <c r="AU35" s="10">
        <v>220.50131500000001</v>
      </c>
      <c r="AV35" s="10">
        <v>232.49715</v>
      </c>
      <c r="AW35" s="10">
        <v>238.14884799999999</v>
      </c>
      <c r="AX35" s="10">
        <v>242.814109</v>
      </c>
      <c r="AY35" s="10">
        <v>263.73041999999998</v>
      </c>
      <c r="AZ35" s="10">
        <v>269.64903500000003</v>
      </c>
      <c r="BA35" s="10">
        <v>273.96227499999998</v>
      </c>
      <c r="BB35" s="10">
        <v>307.21483699999999</v>
      </c>
      <c r="BC35" s="10">
        <v>329.044084</v>
      </c>
      <c r="BD35" s="10">
        <v>341.31457399999999</v>
      </c>
      <c r="BE35" s="10">
        <v>347.40339799999998</v>
      </c>
      <c r="BF35" s="10">
        <v>353.67790400000001</v>
      </c>
      <c r="BG35" s="10">
        <v>367.21722199999999</v>
      </c>
      <c r="BH35" s="10">
        <v>380.98477300000002</v>
      </c>
      <c r="BI35" s="10">
        <v>383.59205800000001</v>
      </c>
      <c r="BJ35" s="10">
        <v>386.837626</v>
      </c>
      <c r="BK35" s="10">
        <v>395.94378399999999</v>
      </c>
      <c r="BL35" s="10">
        <v>401.72313800000001</v>
      </c>
      <c r="BM35" s="10">
        <v>415.76147500000002</v>
      </c>
      <c r="BN35" s="10">
        <v>418.39970799999998</v>
      </c>
      <c r="BO35" s="10">
        <v>427.63739099999998</v>
      </c>
      <c r="BP35" s="10">
        <v>435.80353300000002</v>
      </c>
      <c r="BQ35" s="10">
        <v>438.45723900000002</v>
      </c>
      <c r="BR35" s="10">
        <v>441.70280700000001</v>
      </c>
      <c r="BS35" s="10">
        <v>444.49577399999998</v>
      </c>
      <c r="BT35" s="10">
        <v>441.60996499999999</v>
      </c>
      <c r="BU35" s="10">
        <v>438.515265</v>
      </c>
      <c r="BV35" s="10">
        <v>436.45728800000001</v>
      </c>
      <c r="BW35" s="10">
        <v>433.35485</v>
      </c>
      <c r="BX35" s="10">
        <v>432.20207399999998</v>
      </c>
      <c r="BY35" s="10">
        <v>433.28908799999999</v>
      </c>
      <c r="BZ35" s="10">
        <v>434.948621</v>
      </c>
      <c r="CA35" s="10">
        <v>435.33932800000002</v>
      </c>
      <c r="CB35" s="10">
        <v>436.63523300000003</v>
      </c>
      <c r="CC35" s="10">
        <v>436.48049900000001</v>
      </c>
      <c r="CD35" s="10">
        <v>439.40112299999998</v>
      </c>
      <c r="CE35" s="10">
        <v>443.35573299999999</v>
      </c>
      <c r="CF35" s="10">
        <v>448.62854599999997</v>
      </c>
      <c r="CG35" s="10">
        <v>452.58315700000003</v>
      </c>
      <c r="CH35" s="10">
        <v>454.34075999999999</v>
      </c>
      <c r="CI35" s="10">
        <v>460.93177800000001</v>
      </c>
      <c r="CJ35" s="10">
        <v>463.56818399999997</v>
      </c>
      <c r="CK35" s="10">
        <v>465.76519000000002</v>
      </c>
      <c r="CL35" s="10">
        <v>470.59860200000003</v>
      </c>
      <c r="CM35" s="10">
        <v>473.23500899999999</v>
      </c>
      <c r="CN35" s="10">
        <v>475.87141600000001</v>
      </c>
      <c r="CO35" s="10">
        <v>478.50782299999997</v>
      </c>
      <c r="CP35" s="10">
        <v>482.023031</v>
      </c>
      <c r="CQ35" s="10">
        <v>484.65943800000002</v>
      </c>
      <c r="CR35" s="10">
        <v>485.97764100000001</v>
      </c>
      <c r="CS35" s="10">
        <v>489.053449</v>
      </c>
      <c r="CT35" s="10">
        <v>493.88686100000001</v>
      </c>
      <c r="CU35" s="10">
        <v>496.083868</v>
      </c>
      <c r="CV35" s="10">
        <v>495.64446600000002</v>
      </c>
      <c r="CW35" s="10">
        <v>497.84147200000001</v>
      </c>
      <c r="CX35" s="10">
        <v>500.47787899999997</v>
      </c>
      <c r="CY35" s="10">
        <v>506.62949400000002</v>
      </c>
      <c r="CZ35" s="10">
        <v>511.46290699999997</v>
      </c>
      <c r="DA35" s="10">
        <v>514.02022099999999</v>
      </c>
      <c r="DB35" s="10">
        <v>519.13485000000003</v>
      </c>
      <c r="DC35" s="10">
        <v>523.22655299999997</v>
      </c>
      <c r="DD35" s="10">
        <v>527.31825700000002</v>
      </c>
      <c r="DE35" s="10">
        <v>534.99019999999996</v>
      </c>
      <c r="DF35" s="10">
        <v>543.68507</v>
      </c>
      <c r="DG35" s="10">
        <v>550.845551</v>
      </c>
      <c r="DH35" s="10">
        <v>558.00603100000001</v>
      </c>
      <c r="DI35" s="10">
        <v>562.09773499999994</v>
      </c>
      <c r="DJ35" s="10">
        <v>566.189438</v>
      </c>
      <c r="DK35" s="10">
        <v>570.28114100000005</v>
      </c>
      <c r="DL35" s="10">
        <v>577.44162200000005</v>
      </c>
      <c r="DM35" s="10">
        <v>581.02186200000006</v>
      </c>
      <c r="DN35" s="10">
        <v>586.64795400000003</v>
      </c>
      <c r="DO35" s="10">
        <v>593.80843500000003</v>
      </c>
      <c r="DP35" s="10">
        <v>599.94599000000005</v>
      </c>
      <c r="DQ35" s="10">
        <v>604.03769299999999</v>
      </c>
      <c r="DR35" s="10">
        <v>611.198173</v>
      </c>
      <c r="DS35" s="10">
        <v>614.26695099999995</v>
      </c>
      <c r="DT35" s="10">
        <v>624.49620900000002</v>
      </c>
      <c r="DU35" s="10">
        <v>633.19107799999995</v>
      </c>
      <c r="DV35" s="10">
        <v>642.90887399999997</v>
      </c>
      <c r="DW35" s="10">
        <v>650.06935499999997</v>
      </c>
      <c r="DX35" s="10">
        <v>657.74129800000003</v>
      </c>
      <c r="DY35" s="10">
        <v>666.43616799999995</v>
      </c>
      <c r="DZ35" s="10">
        <v>673.08518500000002</v>
      </c>
      <c r="EA35" s="10">
        <v>680.75712899999996</v>
      </c>
      <c r="EB35" s="10">
        <v>692.52077599999996</v>
      </c>
      <c r="EC35" s="10">
        <v>706.37119099999995</v>
      </c>
      <c r="ED35" s="10">
        <v>712.60387800000001</v>
      </c>
      <c r="EE35" s="10">
        <v>725.76177299999995</v>
      </c>
      <c r="EF35" s="10">
        <v>735.45706399999995</v>
      </c>
      <c r="EG35" s="10">
        <v>747.229917</v>
      </c>
      <c r="EH35" s="10">
        <v>757.61772900000005</v>
      </c>
      <c r="EI35" s="10">
        <v>769.39058199999999</v>
      </c>
      <c r="EJ35" s="10">
        <v>779.08587299999999</v>
      </c>
      <c r="EK35" s="10">
        <v>781.85595599999999</v>
      </c>
      <c r="EL35" s="10">
        <v>788.78116299999999</v>
      </c>
      <c r="EM35" s="10">
        <v>788.78116299999999</v>
      </c>
      <c r="EN35" s="10">
        <v>792.24376700000005</v>
      </c>
      <c r="EO35" s="10">
        <v>786.70360100000005</v>
      </c>
      <c r="EP35" s="10">
        <v>787.39612199999999</v>
      </c>
      <c r="EQ35" s="10">
        <v>790.85872600000005</v>
      </c>
      <c r="ER35" s="10">
        <v>792.93628799999999</v>
      </c>
      <c r="ES35" s="10">
        <v>795.01385000000005</v>
      </c>
      <c r="ET35" s="10">
        <v>829.63988900000004</v>
      </c>
      <c r="EU35" s="10">
        <v>844.87534600000004</v>
      </c>
      <c r="EV35" s="10">
        <v>849.03047100000003</v>
      </c>
      <c r="EW35" s="10">
        <v>844.87534600000004</v>
      </c>
      <c r="EX35" s="10">
        <v>851.80055400000003</v>
      </c>
      <c r="EY35" s="10">
        <v>863.57340699999997</v>
      </c>
      <c r="EZ35" s="10">
        <v>860.11080300000003</v>
      </c>
      <c r="FA35" s="10">
        <v>852.49307499999998</v>
      </c>
      <c r="FB35" s="10">
        <v>869.80609400000003</v>
      </c>
      <c r="FC35" s="10">
        <v>879.50138500000003</v>
      </c>
      <c r="FD35" s="10">
        <v>889.88919699999997</v>
      </c>
      <c r="FE35" s="10">
        <v>896.12188400000002</v>
      </c>
      <c r="FF35" s="10">
        <v>910.66481999999996</v>
      </c>
      <c r="FG35" s="10">
        <v>924.51523499999996</v>
      </c>
      <c r="FH35" s="10">
        <v>923.13019399999996</v>
      </c>
      <c r="FI35" s="10">
        <v>932.82548499999996</v>
      </c>
      <c r="FJ35" s="10">
        <v>934.90304700000002</v>
      </c>
      <c r="FK35" s="10">
        <v>941.82825500000001</v>
      </c>
      <c r="FL35" s="10">
        <v>945.29085899999995</v>
      </c>
      <c r="FM35" s="10">
        <v>949.44598299999996</v>
      </c>
      <c r="FN35" s="10">
        <v>953.60110799999995</v>
      </c>
      <c r="FO35" s="10">
        <v>966.75900300000001</v>
      </c>
      <c r="FP35" s="10">
        <v>972.99168999999995</v>
      </c>
      <c r="FQ35" s="10">
        <v>979.224377</v>
      </c>
      <c r="FR35" s="10">
        <v>986.149584</v>
      </c>
      <c r="FS35" s="10">
        <v>992.38227099999995</v>
      </c>
      <c r="FT35" s="10">
        <v>1000</v>
      </c>
      <c r="FU35" s="10">
        <v>1012.465374</v>
      </c>
      <c r="FV35" s="10">
        <v>1029</v>
      </c>
      <c r="FW35" s="10">
        <v>1045</v>
      </c>
      <c r="FX35" s="10">
        <v>1051</v>
      </c>
      <c r="FY35" s="10">
        <v>1057</v>
      </c>
      <c r="FZ35" s="10">
        <v>1065</v>
      </c>
      <c r="GA35" s="10">
        <v>1073</v>
      </c>
      <c r="GB35" s="10">
        <v>1079</v>
      </c>
      <c r="GC35" s="10">
        <v>1090</v>
      </c>
      <c r="GD35" s="10">
        <v>1098</v>
      </c>
      <c r="GE35" s="10">
        <v>1110</v>
      </c>
      <c r="GF35" s="10">
        <v>1121</v>
      </c>
      <c r="GG35" s="10">
        <v>1127</v>
      </c>
      <c r="GH35" s="10">
        <v>1133</v>
      </c>
      <c r="GI35" s="10">
        <v>1144</v>
      </c>
      <c r="GJ35" s="10">
        <v>1164</v>
      </c>
      <c r="GK35" s="10">
        <v>1177</v>
      </c>
      <c r="GL35" s="10">
        <v>1205</v>
      </c>
      <c r="GM35" s="10">
        <v>1223</v>
      </c>
      <c r="GN35" s="10">
        <v>1240</v>
      </c>
      <c r="GO35" s="10">
        <v>1258</v>
      </c>
      <c r="GP35" s="10">
        <v>1273</v>
      </c>
      <c r="GQ35" s="10">
        <v>1276</v>
      </c>
      <c r="GR35" s="10">
        <v>1300</v>
      </c>
      <c r="GS35" s="10">
        <v>1309</v>
      </c>
    </row>
    <row r="36" spans="1:201" ht="15.75" customHeight="1">
      <c r="A36" s="51" t="s">
        <v>1858</v>
      </c>
      <c r="B36" s="10"/>
      <c r="C36" s="10"/>
      <c r="D36" s="10"/>
      <c r="E36" s="10"/>
      <c r="F36" s="10" t="s">
        <v>1827</v>
      </c>
      <c r="G36" s="10" t="s">
        <v>1827</v>
      </c>
      <c r="H36" s="10" t="s">
        <v>1827</v>
      </c>
      <c r="I36" s="10" t="s">
        <v>1827</v>
      </c>
      <c r="J36" s="10" t="s">
        <v>1827</v>
      </c>
      <c r="K36" s="10" t="s">
        <v>1827</v>
      </c>
      <c r="L36" s="10" t="s">
        <v>1827</v>
      </c>
      <c r="M36" s="10" t="s">
        <v>1827</v>
      </c>
      <c r="N36" s="10" t="s">
        <v>1827</v>
      </c>
      <c r="O36" s="10" t="s">
        <v>1827</v>
      </c>
      <c r="P36" s="10" t="s">
        <v>1827</v>
      </c>
      <c r="Q36" s="10" t="s">
        <v>1827</v>
      </c>
      <c r="R36" s="10" t="s">
        <v>1827</v>
      </c>
      <c r="S36" s="10" t="s">
        <v>1827</v>
      </c>
      <c r="T36" s="10" t="s">
        <v>1827</v>
      </c>
      <c r="U36" s="10" t="s">
        <v>1827</v>
      </c>
      <c r="V36" s="10" t="s">
        <v>1827</v>
      </c>
      <c r="W36" s="10" t="s">
        <v>1827</v>
      </c>
      <c r="X36" s="10" t="s">
        <v>1827</v>
      </c>
      <c r="Y36" s="10" t="s">
        <v>1827</v>
      </c>
      <c r="Z36" s="10" t="s">
        <v>1827</v>
      </c>
      <c r="AA36" s="10" t="s">
        <v>1827</v>
      </c>
      <c r="AB36" s="10" t="s">
        <v>1827</v>
      </c>
      <c r="AC36" s="10" t="s">
        <v>1827</v>
      </c>
      <c r="AD36" s="10" t="s">
        <v>1827</v>
      </c>
      <c r="AE36" s="10" t="s">
        <v>1827</v>
      </c>
      <c r="AF36" s="10" t="s">
        <v>1827</v>
      </c>
      <c r="AG36" s="10" t="s">
        <v>1827</v>
      </c>
      <c r="AH36" s="10" t="s">
        <v>1827</v>
      </c>
      <c r="AI36" s="10" t="s">
        <v>1827</v>
      </c>
      <c r="AJ36" s="10" t="s">
        <v>1827</v>
      </c>
      <c r="AK36" s="10" t="s">
        <v>1827</v>
      </c>
      <c r="AL36" s="10" t="s">
        <v>1827</v>
      </c>
      <c r="AM36" s="10" t="s">
        <v>1827</v>
      </c>
      <c r="AN36" s="10" t="s">
        <v>1827</v>
      </c>
      <c r="AO36" s="10" t="s">
        <v>1827</v>
      </c>
      <c r="AP36" s="10" t="s">
        <v>1827</v>
      </c>
      <c r="AQ36" s="10" t="s">
        <v>1827</v>
      </c>
      <c r="AR36" s="10" t="s">
        <v>1827</v>
      </c>
      <c r="AS36" s="10" t="s">
        <v>1827</v>
      </c>
      <c r="AT36" s="10" t="s">
        <v>1827</v>
      </c>
      <c r="AU36" s="10" t="s">
        <v>1827</v>
      </c>
      <c r="AV36" s="10" t="s">
        <v>1827</v>
      </c>
      <c r="AW36" s="10" t="s">
        <v>1827</v>
      </c>
      <c r="AX36" s="10" t="s">
        <v>1827</v>
      </c>
      <c r="AY36" s="10" t="s">
        <v>1827</v>
      </c>
      <c r="AZ36" s="10" t="s">
        <v>1827</v>
      </c>
      <c r="BA36" s="10" t="s">
        <v>1827</v>
      </c>
      <c r="BB36" s="10" t="s">
        <v>1827</v>
      </c>
      <c r="BC36" s="10" t="s">
        <v>1827</v>
      </c>
      <c r="BD36" s="10" t="s">
        <v>1827</v>
      </c>
      <c r="BE36" s="10" t="s">
        <v>1827</v>
      </c>
      <c r="BF36" s="10" t="s">
        <v>1827</v>
      </c>
      <c r="BG36" s="10" t="s">
        <v>1827</v>
      </c>
      <c r="BH36" s="10" t="s">
        <v>1827</v>
      </c>
      <c r="BI36" s="10" t="s">
        <v>1827</v>
      </c>
      <c r="BJ36" s="10" t="s">
        <v>1827</v>
      </c>
      <c r="BK36" s="10" t="s">
        <v>1827</v>
      </c>
      <c r="BL36" s="10" t="s">
        <v>1827</v>
      </c>
      <c r="BM36" s="10" t="s">
        <v>1827</v>
      </c>
      <c r="BN36" s="10" t="s">
        <v>1827</v>
      </c>
      <c r="BO36" s="10" t="s">
        <v>1827</v>
      </c>
      <c r="BP36" s="10" t="s">
        <v>1827</v>
      </c>
      <c r="BQ36" s="10" t="s">
        <v>1827</v>
      </c>
      <c r="BR36" s="10" t="s">
        <v>1827</v>
      </c>
      <c r="BS36" s="10" t="s">
        <v>1827</v>
      </c>
      <c r="BT36" s="10" t="s">
        <v>1827</v>
      </c>
      <c r="BU36" s="10" t="s">
        <v>1827</v>
      </c>
      <c r="BV36" s="10" t="s">
        <v>1827</v>
      </c>
      <c r="BW36" s="10" t="s">
        <v>1827</v>
      </c>
      <c r="BX36" s="10" t="s">
        <v>1827</v>
      </c>
      <c r="BY36" s="10" t="s">
        <v>1827</v>
      </c>
      <c r="BZ36" s="10" t="s">
        <v>1827</v>
      </c>
      <c r="CA36" s="10" t="s">
        <v>1827</v>
      </c>
      <c r="CB36" s="10" t="s">
        <v>1827</v>
      </c>
      <c r="CC36" s="10" t="s">
        <v>1827</v>
      </c>
      <c r="CD36" s="10" t="s">
        <v>1827</v>
      </c>
      <c r="CE36" s="10" t="s">
        <v>1827</v>
      </c>
      <c r="CF36" s="10" t="s">
        <v>1827</v>
      </c>
      <c r="CG36" s="10" t="s">
        <v>1827</v>
      </c>
      <c r="CH36" s="10" t="s">
        <v>1827</v>
      </c>
      <c r="CI36" s="10" t="s">
        <v>1827</v>
      </c>
      <c r="CJ36" s="10" t="s">
        <v>1827</v>
      </c>
      <c r="CK36" s="10" t="s">
        <v>1827</v>
      </c>
      <c r="CL36" s="10" t="s">
        <v>1827</v>
      </c>
      <c r="CM36" s="10" t="s">
        <v>1827</v>
      </c>
      <c r="CN36" s="10" t="s">
        <v>1827</v>
      </c>
      <c r="CO36" s="10" t="s">
        <v>1827</v>
      </c>
      <c r="CP36" s="10" t="s">
        <v>1827</v>
      </c>
      <c r="CQ36" s="10" t="s">
        <v>1827</v>
      </c>
      <c r="CR36" s="10" t="s">
        <v>1827</v>
      </c>
      <c r="CS36" s="10" t="s">
        <v>1827</v>
      </c>
      <c r="CT36" s="10" t="s">
        <v>1827</v>
      </c>
      <c r="CU36" s="10" t="s">
        <v>1827</v>
      </c>
      <c r="CV36" s="10" t="s">
        <v>1827</v>
      </c>
      <c r="CW36" s="10" t="s">
        <v>1827</v>
      </c>
      <c r="CX36" s="10" t="s">
        <v>1827</v>
      </c>
      <c r="CY36" s="10" t="s">
        <v>1827</v>
      </c>
      <c r="CZ36" s="10" t="s">
        <v>1827</v>
      </c>
      <c r="DA36" s="10" t="s">
        <v>1827</v>
      </c>
      <c r="DB36" s="10" t="s">
        <v>1827</v>
      </c>
      <c r="DC36" s="10" t="s">
        <v>1827</v>
      </c>
      <c r="DD36" s="10" t="s">
        <v>1827</v>
      </c>
      <c r="DE36" s="10" t="s">
        <v>1827</v>
      </c>
      <c r="DF36" s="10" t="s">
        <v>1827</v>
      </c>
      <c r="DG36" s="10" t="s">
        <v>1827</v>
      </c>
      <c r="DH36" s="10" t="s">
        <v>1827</v>
      </c>
      <c r="DI36" s="10" t="s">
        <v>1827</v>
      </c>
      <c r="DJ36" s="10" t="s">
        <v>1827</v>
      </c>
      <c r="DK36" s="10" t="s">
        <v>1827</v>
      </c>
      <c r="DL36" s="10">
        <v>579.18501700000002</v>
      </c>
      <c r="DM36" s="10">
        <v>605.24834299999998</v>
      </c>
      <c r="DN36" s="10">
        <v>600.03567799999996</v>
      </c>
      <c r="DO36" s="10">
        <v>600.03567799999996</v>
      </c>
      <c r="DP36" s="10">
        <v>600.03567799999996</v>
      </c>
      <c r="DQ36" s="10">
        <v>645.21210900000005</v>
      </c>
      <c r="DR36" s="10">
        <v>645.21210900000005</v>
      </c>
      <c r="DS36" s="10">
        <v>645.21210900000005</v>
      </c>
      <c r="DT36" s="10">
        <v>645.21210900000005</v>
      </c>
      <c r="DU36" s="10">
        <v>635.94514900000001</v>
      </c>
      <c r="DV36" s="10">
        <v>635.94514900000001</v>
      </c>
      <c r="DW36" s="10">
        <v>635.94514900000001</v>
      </c>
      <c r="DX36" s="10">
        <v>635.94514900000001</v>
      </c>
      <c r="DY36" s="10">
        <v>653.89988400000004</v>
      </c>
      <c r="DZ36" s="10">
        <v>652.74151400000005</v>
      </c>
      <c r="EA36" s="10">
        <v>652.74151400000005</v>
      </c>
      <c r="EB36" s="10">
        <v>652.74151400000005</v>
      </c>
      <c r="EC36" s="10">
        <v>687.336815</v>
      </c>
      <c r="ED36" s="10">
        <v>708.22454300000004</v>
      </c>
      <c r="EE36" s="10">
        <v>708.22454300000004</v>
      </c>
      <c r="EF36" s="10">
        <v>708.22454300000004</v>
      </c>
      <c r="EG36" s="10">
        <v>739.55613600000004</v>
      </c>
      <c r="EH36" s="10">
        <v>733.02872100000002</v>
      </c>
      <c r="EI36" s="10">
        <v>733.02872100000002</v>
      </c>
      <c r="EJ36" s="10">
        <v>733.02872100000002</v>
      </c>
      <c r="EK36" s="10">
        <v>766.97127899999998</v>
      </c>
      <c r="EL36" s="10">
        <v>781.98433399999999</v>
      </c>
      <c r="EM36" s="10">
        <v>781.98433399999999</v>
      </c>
      <c r="EN36" s="10">
        <v>781.98433399999999</v>
      </c>
      <c r="EO36" s="10">
        <v>812.663185</v>
      </c>
      <c r="EP36" s="10">
        <v>812.663185</v>
      </c>
      <c r="EQ36" s="10">
        <v>812.663185</v>
      </c>
      <c r="ER36" s="10">
        <v>812.663185</v>
      </c>
      <c r="ES36" s="10">
        <v>840.73107000000005</v>
      </c>
      <c r="ET36" s="10">
        <v>859.660574</v>
      </c>
      <c r="EU36" s="10">
        <v>859.660574</v>
      </c>
      <c r="EV36" s="10">
        <v>859.660574</v>
      </c>
      <c r="EW36" s="10">
        <v>894.90861600000005</v>
      </c>
      <c r="EX36" s="10">
        <v>886.42297699999995</v>
      </c>
      <c r="EY36" s="10">
        <v>886.42297699999995</v>
      </c>
      <c r="EZ36" s="10">
        <v>886.42297699999995</v>
      </c>
      <c r="FA36" s="10">
        <v>912.53263700000002</v>
      </c>
      <c r="FB36" s="10">
        <v>912.53263700000002</v>
      </c>
      <c r="FC36" s="10">
        <v>912.53263700000002</v>
      </c>
      <c r="FD36" s="10">
        <v>912.53263700000002</v>
      </c>
      <c r="FE36" s="10">
        <v>930.15665799999999</v>
      </c>
      <c r="FF36" s="10">
        <v>932.76762399999996</v>
      </c>
      <c r="FG36" s="10">
        <v>932.76762399999996</v>
      </c>
      <c r="FH36" s="10">
        <v>932.76762399999996</v>
      </c>
      <c r="FI36" s="10">
        <v>956.91905999999994</v>
      </c>
      <c r="FJ36" s="10">
        <v>956.91905999999994</v>
      </c>
      <c r="FK36" s="10">
        <v>956.91905999999994</v>
      </c>
      <c r="FL36" s="10">
        <v>956.91905999999994</v>
      </c>
      <c r="FM36" s="10">
        <v>977.15404699999999</v>
      </c>
      <c r="FN36" s="10">
        <v>977.15404699999999</v>
      </c>
      <c r="FO36" s="10">
        <v>977.15404699999999</v>
      </c>
      <c r="FP36" s="10">
        <v>977.15404699999999</v>
      </c>
      <c r="FQ36" s="10">
        <v>1000</v>
      </c>
      <c r="FR36" s="10">
        <v>1000</v>
      </c>
      <c r="FS36" s="10">
        <v>1000</v>
      </c>
      <c r="FT36" s="10">
        <v>1000</v>
      </c>
      <c r="FU36" s="10">
        <v>1008.48564</v>
      </c>
      <c r="FV36" s="10">
        <v>1009</v>
      </c>
      <c r="FW36" s="10">
        <v>1009</v>
      </c>
      <c r="FX36" s="10">
        <v>1009</v>
      </c>
      <c r="FY36" s="10">
        <v>1013</v>
      </c>
      <c r="FZ36" s="10">
        <v>1013</v>
      </c>
      <c r="GA36" s="10">
        <v>1013</v>
      </c>
      <c r="GB36" s="10">
        <v>1013</v>
      </c>
      <c r="GC36" s="10">
        <v>1084</v>
      </c>
      <c r="GD36" s="10">
        <v>1084</v>
      </c>
      <c r="GE36" s="10">
        <v>1084</v>
      </c>
      <c r="GF36" s="10">
        <v>1084</v>
      </c>
      <c r="GG36" s="10">
        <v>1111</v>
      </c>
      <c r="GH36" s="10">
        <v>1111</v>
      </c>
      <c r="GI36" s="10">
        <v>1111</v>
      </c>
      <c r="GJ36" s="10">
        <v>1111</v>
      </c>
      <c r="GK36" s="10">
        <v>1185</v>
      </c>
      <c r="GL36" s="10">
        <v>1185</v>
      </c>
      <c r="GM36" s="10">
        <v>1185</v>
      </c>
      <c r="GN36" s="10">
        <v>1185</v>
      </c>
      <c r="GO36" s="10">
        <v>1264</v>
      </c>
      <c r="GP36" s="10">
        <v>1264</v>
      </c>
      <c r="GQ36" s="10">
        <v>1264</v>
      </c>
      <c r="GR36" s="10">
        <v>1264</v>
      </c>
      <c r="GS36" s="10">
        <v>1377</v>
      </c>
    </row>
    <row r="37" spans="1:201" ht="15.75" customHeight="1">
      <c r="A37" s="51" t="s">
        <v>1859</v>
      </c>
      <c r="B37" s="10"/>
      <c r="C37" s="10"/>
      <c r="D37" s="10"/>
      <c r="E37" s="10"/>
      <c r="F37" s="10" t="s">
        <v>1827</v>
      </c>
      <c r="G37" s="10" t="s">
        <v>1827</v>
      </c>
      <c r="H37" s="10" t="s">
        <v>1827</v>
      </c>
      <c r="I37" s="10" t="s">
        <v>1827</v>
      </c>
      <c r="J37" s="10" t="s">
        <v>1827</v>
      </c>
      <c r="K37" s="10" t="s">
        <v>1827</v>
      </c>
      <c r="L37" s="10" t="s">
        <v>1827</v>
      </c>
      <c r="M37" s="10" t="s">
        <v>1827</v>
      </c>
      <c r="N37" s="10" t="s">
        <v>1827</v>
      </c>
      <c r="O37" s="10" t="s">
        <v>1827</v>
      </c>
      <c r="P37" s="10" t="s">
        <v>1827</v>
      </c>
      <c r="Q37" s="10" t="s">
        <v>1827</v>
      </c>
      <c r="R37" s="10" t="s">
        <v>1827</v>
      </c>
      <c r="S37" s="10" t="s">
        <v>1827</v>
      </c>
      <c r="T37" s="10" t="s">
        <v>1827</v>
      </c>
      <c r="U37" s="10" t="s">
        <v>1827</v>
      </c>
      <c r="V37" s="10" t="s">
        <v>1827</v>
      </c>
      <c r="W37" s="10" t="s">
        <v>1827</v>
      </c>
      <c r="X37" s="10" t="s">
        <v>1827</v>
      </c>
      <c r="Y37" s="10" t="s">
        <v>1827</v>
      </c>
      <c r="Z37" s="10" t="s">
        <v>1827</v>
      </c>
      <c r="AA37" s="10" t="s">
        <v>1827</v>
      </c>
      <c r="AB37" s="10" t="s">
        <v>1827</v>
      </c>
      <c r="AC37" s="10" t="s">
        <v>1827</v>
      </c>
      <c r="AD37" s="10" t="s">
        <v>1827</v>
      </c>
      <c r="AE37" s="10" t="s">
        <v>1827</v>
      </c>
      <c r="AF37" s="10" t="s">
        <v>1827</v>
      </c>
      <c r="AG37" s="10" t="s">
        <v>1827</v>
      </c>
      <c r="AH37" s="10" t="s">
        <v>1827</v>
      </c>
      <c r="AI37" s="10" t="s">
        <v>1827</v>
      </c>
      <c r="AJ37" s="10" t="s">
        <v>1827</v>
      </c>
      <c r="AK37" s="10" t="s">
        <v>1827</v>
      </c>
      <c r="AL37" s="10" t="s">
        <v>1827</v>
      </c>
      <c r="AM37" s="10" t="s">
        <v>1827</v>
      </c>
      <c r="AN37" s="10" t="s">
        <v>1827</v>
      </c>
      <c r="AO37" s="10" t="s">
        <v>1827</v>
      </c>
      <c r="AP37" s="10" t="s">
        <v>1827</v>
      </c>
      <c r="AQ37" s="10" t="s">
        <v>1827</v>
      </c>
      <c r="AR37" s="10" t="s">
        <v>1827</v>
      </c>
      <c r="AS37" s="10" t="s">
        <v>1827</v>
      </c>
      <c r="AT37" s="10" t="s">
        <v>1827</v>
      </c>
      <c r="AU37" s="10" t="s">
        <v>1827</v>
      </c>
      <c r="AV37" s="10" t="s">
        <v>1827</v>
      </c>
      <c r="AW37" s="10" t="s">
        <v>1827</v>
      </c>
      <c r="AX37" s="10" t="s">
        <v>1827</v>
      </c>
      <c r="AY37" s="10" t="s">
        <v>1827</v>
      </c>
      <c r="AZ37" s="10" t="s">
        <v>1827</v>
      </c>
      <c r="BA37" s="10" t="s">
        <v>1827</v>
      </c>
      <c r="BB37" s="10" t="s">
        <v>1827</v>
      </c>
      <c r="BC37" s="10" t="s">
        <v>1827</v>
      </c>
      <c r="BD37" s="10" t="s">
        <v>1827</v>
      </c>
      <c r="BE37" s="10" t="s">
        <v>1827</v>
      </c>
      <c r="BF37" s="10" t="s">
        <v>1827</v>
      </c>
      <c r="BG37" s="10" t="s">
        <v>1827</v>
      </c>
      <c r="BH37" s="10" t="s">
        <v>1827</v>
      </c>
      <c r="BI37" s="10" t="s">
        <v>1827</v>
      </c>
      <c r="BJ37" s="10" t="s">
        <v>1827</v>
      </c>
      <c r="BK37" s="10" t="s">
        <v>1827</v>
      </c>
      <c r="BL37" s="10" t="s">
        <v>1827</v>
      </c>
      <c r="BM37" s="10" t="s">
        <v>1827</v>
      </c>
      <c r="BN37" s="10" t="s">
        <v>1827</v>
      </c>
      <c r="BO37" s="10" t="s">
        <v>1827</v>
      </c>
      <c r="BP37" s="10" t="s">
        <v>1827</v>
      </c>
      <c r="BQ37" s="10" t="s">
        <v>1827</v>
      </c>
      <c r="BR37" s="10" t="s">
        <v>1827</v>
      </c>
      <c r="BS37" s="10" t="s">
        <v>1827</v>
      </c>
      <c r="BT37" s="10" t="s">
        <v>1827</v>
      </c>
      <c r="BU37" s="10" t="s">
        <v>1827</v>
      </c>
      <c r="BV37" s="10" t="s">
        <v>1827</v>
      </c>
      <c r="BW37" s="10" t="s">
        <v>1827</v>
      </c>
      <c r="BX37" s="10" t="s">
        <v>1827</v>
      </c>
      <c r="BY37" s="10" t="s">
        <v>1827</v>
      </c>
      <c r="BZ37" s="10" t="s">
        <v>1827</v>
      </c>
      <c r="CA37" s="10" t="s">
        <v>1827</v>
      </c>
      <c r="CB37" s="10" t="s">
        <v>1827</v>
      </c>
      <c r="CC37" s="10" t="s">
        <v>1827</v>
      </c>
      <c r="CD37" s="10" t="s">
        <v>1827</v>
      </c>
      <c r="CE37" s="10" t="s">
        <v>1827</v>
      </c>
      <c r="CF37" s="10" t="s">
        <v>1827</v>
      </c>
      <c r="CG37" s="10" t="s">
        <v>1827</v>
      </c>
      <c r="CH37" s="10" t="s">
        <v>1827</v>
      </c>
      <c r="CI37" s="10" t="s">
        <v>1827</v>
      </c>
      <c r="CJ37" s="10" t="s">
        <v>1827</v>
      </c>
      <c r="CK37" s="10" t="s">
        <v>1827</v>
      </c>
      <c r="CL37" s="10" t="s">
        <v>1827</v>
      </c>
      <c r="CM37" s="10" t="s">
        <v>1827</v>
      </c>
      <c r="CN37" s="10" t="s">
        <v>1827</v>
      </c>
      <c r="CO37" s="10" t="s">
        <v>1827</v>
      </c>
      <c r="CP37" s="10" t="s">
        <v>1827</v>
      </c>
      <c r="CQ37" s="10" t="s">
        <v>1827</v>
      </c>
      <c r="CR37" s="10" t="s">
        <v>1827</v>
      </c>
      <c r="CS37" s="10" t="s">
        <v>1827</v>
      </c>
      <c r="CT37" s="10" t="s">
        <v>1827</v>
      </c>
      <c r="CU37" s="10" t="s">
        <v>1827</v>
      </c>
      <c r="CV37" s="10" t="s">
        <v>1827</v>
      </c>
      <c r="CW37" s="10" t="s">
        <v>1827</v>
      </c>
      <c r="CX37" s="10" t="s">
        <v>1827</v>
      </c>
      <c r="CY37" s="10" t="s">
        <v>1827</v>
      </c>
      <c r="CZ37" s="10" t="s">
        <v>1827</v>
      </c>
      <c r="DA37" s="10" t="s">
        <v>1827</v>
      </c>
      <c r="DB37" s="10" t="s">
        <v>1827</v>
      </c>
      <c r="DC37" s="10" t="s">
        <v>1827</v>
      </c>
      <c r="DD37" s="10" t="s">
        <v>1827</v>
      </c>
      <c r="DE37" s="10" t="s">
        <v>1827</v>
      </c>
      <c r="DF37" s="10" t="s">
        <v>1827</v>
      </c>
      <c r="DG37" s="10" t="s">
        <v>1827</v>
      </c>
      <c r="DH37" s="10" t="s">
        <v>1827</v>
      </c>
      <c r="DI37" s="10" t="s">
        <v>1827</v>
      </c>
      <c r="DJ37" s="10" t="s">
        <v>1827</v>
      </c>
      <c r="DK37" s="10" t="s">
        <v>1827</v>
      </c>
      <c r="DL37" s="10">
        <v>322.629976</v>
      </c>
      <c r="DM37" s="10">
        <v>330.05046599999997</v>
      </c>
      <c r="DN37" s="10">
        <v>330.05046599999997</v>
      </c>
      <c r="DO37" s="10">
        <v>330.05046599999997</v>
      </c>
      <c r="DP37" s="10">
        <v>330.05046599999997</v>
      </c>
      <c r="DQ37" s="10">
        <v>374.89603199999999</v>
      </c>
      <c r="DR37" s="10">
        <v>374.89603199999999</v>
      </c>
      <c r="DS37" s="10">
        <v>374.89603199999999</v>
      </c>
      <c r="DT37" s="10">
        <v>374.89603199999999</v>
      </c>
      <c r="DU37" s="10">
        <v>391.99542100000002</v>
      </c>
      <c r="DV37" s="10">
        <v>404.90062</v>
      </c>
      <c r="DW37" s="10">
        <v>404.90062</v>
      </c>
      <c r="DX37" s="10">
        <v>394.57646099999999</v>
      </c>
      <c r="DY37" s="10">
        <v>394.57646099999999</v>
      </c>
      <c r="DZ37" s="10">
        <v>505.561173</v>
      </c>
      <c r="EA37" s="10">
        <v>505.561173</v>
      </c>
      <c r="EB37" s="10">
        <v>505.561173</v>
      </c>
      <c r="EC37" s="10">
        <v>550.55611699999997</v>
      </c>
      <c r="ED37" s="10">
        <v>573.81193099999996</v>
      </c>
      <c r="EE37" s="10">
        <v>576.33973700000001</v>
      </c>
      <c r="EF37" s="10">
        <v>586.95652199999995</v>
      </c>
      <c r="EG37" s="10">
        <v>654.70171900000003</v>
      </c>
      <c r="EH37" s="10">
        <v>654.70171900000003</v>
      </c>
      <c r="EI37" s="10">
        <v>676.94641100000001</v>
      </c>
      <c r="EJ37" s="10">
        <v>679.47421599999996</v>
      </c>
      <c r="EK37" s="10">
        <v>710.81900900000005</v>
      </c>
      <c r="EL37" s="10">
        <v>714.86349800000005</v>
      </c>
      <c r="EM37" s="10">
        <v>732.05257800000004</v>
      </c>
      <c r="EN37" s="10">
        <v>696.66329599999995</v>
      </c>
      <c r="EO37" s="10">
        <v>726.49140499999999</v>
      </c>
      <c r="EP37" s="10">
        <v>721.43579399999999</v>
      </c>
      <c r="EQ37" s="10">
        <v>721.43579399999999</v>
      </c>
      <c r="ER37" s="10">
        <v>720.93023300000004</v>
      </c>
      <c r="ES37" s="10">
        <v>727.50252799999998</v>
      </c>
      <c r="ET37" s="10">
        <v>738.62487399999998</v>
      </c>
      <c r="EU37" s="10">
        <v>745.70272999999997</v>
      </c>
      <c r="EV37" s="10">
        <v>750.25278100000003</v>
      </c>
      <c r="EW37" s="10">
        <v>770.98078899999996</v>
      </c>
      <c r="EX37" s="10">
        <v>791.20323599999995</v>
      </c>
      <c r="EY37" s="10">
        <v>795.24772499999995</v>
      </c>
      <c r="EZ37" s="10">
        <v>799.29221399999994</v>
      </c>
      <c r="FA37" s="10">
        <v>820.52578400000004</v>
      </c>
      <c r="FB37" s="10">
        <v>829.62588500000004</v>
      </c>
      <c r="FC37" s="10">
        <v>839.23154699999998</v>
      </c>
      <c r="FD37" s="10">
        <v>859.95955500000002</v>
      </c>
      <c r="FE37" s="10">
        <v>888.27098100000001</v>
      </c>
      <c r="FF37" s="10">
        <v>898.382204</v>
      </c>
      <c r="FG37" s="10">
        <v>917.08796800000005</v>
      </c>
      <c r="FH37" s="10">
        <v>918.60465099999999</v>
      </c>
      <c r="FI37" s="10">
        <v>924.67138499999999</v>
      </c>
      <c r="FJ37" s="10">
        <v>926.18806900000004</v>
      </c>
      <c r="FK37" s="10">
        <v>928.71587499999998</v>
      </c>
      <c r="FL37" s="10">
        <v>928.71587499999998</v>
      </c>
      <c r="FM37" s="10">
        <v>933.77148599999998</v>
      </c>
      <c r="FN37" s="10">
        <v>942.36602600000003</v>
      </c>
      <c r="FO37" s="10">
        <v>954.49949400000003</v>
      </c>
      <c r="FP37" s="10">
        <v>956.52173900000003</v>
      </c>
      <c r="FQ37" s="10">
        <v>967.64408500000002</v>
      </c>
      <c r="FR37" s="10">
        <v>991.40545999999995</v>
      </c>
      <c r="FS37" s="10">
        <v>1013.650152</v>
      </c>
      <c r="FT37" s="10">
        <v>1000</v>
      </c>
      <c r="FU37" s="10">
        <v>1016.683519</v>
      </c>
      <c r="FV37" s="10">
        <v>1025</v>
      </c>
      <c r="FW37" s="10">
        <v>1030</v>
      </c>
      <c r="FX37" s="10">
        <v>1032</v>
      </c>
      <c r="FY37" s="10">
        <v>1044</v>
      </c>
      <c r="FZ37" s="10">
        <v>1052</v>
      </c>
      <c r="GA37" s="10">
        <v>1054</v>
      </c>
      <c r="GB37" s="10">
        <v>1062</v>
      </c>
      <c r="GC37" s="10">
        <v>1064</v>
      </c>
      <c r="GD37" s="10">
        <v>1086</v>
      </c>
      <c r="GE37" s="10">
        <v>1088</v>
      </c>
      <c r="GF37" s="10">
        <v>1106</v>
      </c>
      <c r="GG37" s="10">
        <v>1136</v>
      </c>
      <c r="GH37" s="10">
        <v>1135</v>
      </c>
      <c r="GI37" s="10">
        <v>1139</v>
      </c>
      <c r="GJ37" s="10">
        <v>1142</v>
      </c>
      <c r="GK37" s="10">
        <v>1212</v>
      </c>
      <c r="GL37" s="10">
        <v>1216</v>
      </c>
      <c r="GM37" s="10">
        <v>1221</v>
      </c>
      <c r="GN37" s="10">
        <v>1233</v>
      </c>
      <c r="GO37" s="10">
        <v>1265</v>
      </c>
      <c r="GP37" s="10">
        <v>1270</v>
      </c>
      <c r="GQ37" s="10">
        <v>1284</v>
      </c>
      <c r="GR37" s="10">
        <v>1329</v>
      </c>
      <c r="GS37" s="10">
        <v>1396</v>
      </c>
    </row>
    <row r="38" spans="1:201" ht="15.75" customHeight="1">
      <c r="A38" s="51" t="s">
        <v>1860</v>
      </c>
      <c r="B38" s="10"/>
      <c r="C38" s="10"/>
      <c r="D38" s="10"/>
      <c r="E38" s="10"/>
      <c r="F38" s="10" t="s">
        <v>1827</v>
      </c>
      <c r="G38" s="10" t="s">
        <v>1827</v>
      </c>
      <c r="H38" s="10" t="s">
        <v>1827</v>
      </c>
      <c r="I38" s="10" t="s">
        <v>1827</v>
      </c>
      <c r="J38" s="10" t="s">
        <v>1827</v>
      </c>
      <c r="K38" s="10" t="s">
        <v>1827</v>
      </c>
      <c r="L38" s="10" t="s">
        <v>1827</v>
      </c>
      <c r="M38" s="10" t="s">
        <v>1827</v>
      </c>
      <c r="N38" s="10" t="s">
        <v>1827</v>
      </c>
      <c r="O38" s="10" t="s">
        <v>1827</v>
      </c>
      <c r="P38" s="10" t="s">
        <v>1827</v>
      </c>
      <c r="Q38" s="10" t="s">
        <v>1827</v>
      </c>
      <c r="R38" s="10" t="s">
        <v>1827</v>
      </c>
      <c r="S38" s="10" t="s">
        <v>1827</v>
      </c>
      <c r="T38" s="10" t="s">
        <v>1827</v>
      </c>
      <c r="U38" s="10" t="s">
        <v>1827</v>
      </c>
      <c r="V38" s="10" t="s">
        <v>1827</v>
      </c>
      <c r="W38" s="10" t="s">
        <v>1827</v>
      </c>
      <c r="X38" s="10" t="s">
        <v>1827</v>
      </c>
      <c r="Y38" s="10" t="s">
        <v>1827</v>
      </c>
      <c r="Z38" s="10" t="s">
        <v>1827</v>
      </c>
      <c r="AA38" s="10" t="s">
        <v>1827</v>
      </c>
      <c r="AB38" s="10" t="s">
        <v>1827</v>
      </c>
      <c r="AC38" s="10" t="s">
        <v>1827</v>
      </c>
      <c r="AD38" s="10" t="s">
        <v>1827</v>
      </c>
      <c r="AE38" s="10">
        <v>102.021726</v>
      </c>
      <c r="AF38" s="10">
        <v>102.021726</v>
      </c>
      <c r="AG38" s="10">
        <v>102.021726</v>
      </c>
      <c r="AH38" s="10">
        <v>122.790341</v>
      </c>
      <c r="AI38" s="10">
        <v>122.790341</v>
      </c>
      <c r="AJ38" s="10">
        <v>122.790341</v>
      </c>
      <c r="AK38" s="10">
        <v>122.790341</v>
      </c>
      <c r="AL38" s="10">
        <v>146.21628999999999</v>
      </c>
      <c r="AM38" s="10">
        <v>146.21628999999999</v>
      </c>
      <c r="AN38" s="10">
        <v>146.21628999999999</v>
      </c>
      <c r="AO38" s="10">
        <v>146.21628999999999</v>
      </c>
      <c r="AP38" s="10">
        <v>147.99570900000001</v>
      </c>
      <c r="AQ38" s="10">
        <v>148.21584300000001</v>
      </c>
      <c r="AR38" s="10">
        <v>148.31280699999999</v>
      </c>
      <c r="AS38" s="10">
        <v>148.21584300000001</v>
      </c>
      <c r="AT38" s="10">
        <v>153.96553900000001</v>
      </c>
      <c r="AU38" s="10">
        <v>154.09133</v>
      </c>
      <c r="AV38" s="10">
        <v>154.09133</v>
      </c>
      <c r="AW38" s="10">
        <v>154.09133</v>
      </c>
      <c r="AX38" s="10">
        <v>175.46793400000001</v>
      </c>
      <c r="AY38" s="10">
        <v>175.939651</v>
      </c>
      <c r="AZ38" s="10">
        <v>175.939651</v>
      </c>
      <c r="BA38" s="10">
        <v>175.939651</v>
      </c>
      <c r="BB38" s="10">
        <v>206.76106100000001</v>
      </c>
      <c r="BC38" s="10">
        <v>206.76106100000001</v>
      </c>
      <c r="BD38" s="10">
        <v>206.76106100000001</v>
      </c>
      <c r="BE38" s="10">
        <v>206.76106100000001</v>
      </c>
      <c r="BF38" s="10">
        <v>247.00631300000001</v>
      </c>
      <c r="BG38" s="10">
        <v>247.00631300000001</v>
      </c>
      <c r="BH38" s="10">
        <v>247.00631300000001</v>
      </c>
      <c r="BI38" s="10">
        <v>247.00631300000001</v>
      </c>
      <c r="BJ38" s="10">
        <v>262.06454100000002</v>
      </c>
      <c r="BK38" s="10">
        <v>262.06454100000002</v>
      </c>
      <c r="BL38" s="10">
        <v>262.06454100000002</v>
      </c>
      <c r="BM38" s="10">
        <v>273.13152700000001</v>
      </c>
      <c r="BN38" s="10">
        <v>274.28461099999998</v>
      </c>
      <c r="BO38" s="10">
        <v>274.28461099999998</v>
      </c>
      <c r="BP38" s="10">
        <v>307.83149300000002</v>
      </c>
      <c r="BQ38" s="10">
        <v>310.44689699999998</v>
      </c>
      <c r="BR38" s="10">
        <v>306.65220199999999</v>
      </c>
      <c r="BS38" s="10">
        <v>309.50084399999997</v>
      </c>
      <c r="BT38" s="10">
        <v>309.50084399999997</v>
      </c>
      <c r="BU38" s="10">
        <v>308.84830299999999</v>
      </c>
      <c r="BV38" s="10">
        <v>309.75242600000001</v>
      </c>
      <c r="BW38" s="10">
        <v>308.46830899999998</v>
      </c>
      <c r="BX38" s="10">
        <v>308.46830899999998</v>
      </c>
      <c r="BY38" s="10">
        <v>309.22043500000001</v>
      </c>
      <c r="BZ38" s="10">
        <v>309.61353200000002</v>
      </c>
      <c r="CA38" s="10">
        <v>309.93324999999999</v>
      </c>
      <c r="CB38" s="10">
        <v>309.83104500000002</v>
      </c>
      <c r="CC38" s="10">
        <v>315.09592199999997</v>
      </c>
      <c r="CD38" s="10">
        <v>321.14961299999999</v>
      </c>
      <c r="CE38" s="10">
        <v>321.14961299999999</v>
      </c>
      <c r="CF38" s="10">
        <v>321.14961299999999</v>
      </c>
      <c r="CG38" s="10">
        <v>329.499503</v>
      </c>
      <c r="CH38" s="10">
        <v>332.38984900000003</v>
      </c>
      <c r="CI38" s="10">
        <v>332.38984900000003</v>
      </c>
      <c r="CJ38" s="10">
        <v>332.38984900000003</v>
      </c>
      <c r="CK38" s="10">
        <v>336.56479400000001</v>
      </c>
      <c r="CL38" s="10">
        <v>342.024338</v>
      </c>
      <c r="CM38" s="10">
        <v>342.024338</v>
      </c>
      <c r="CN38" s="10">
        <v>342.024338</v>
      </c>
      <c r="CO38" s="10">
        <v>347.483881</v>
      </c>
      <c r="CP38" s="10">
        <v>357.76066900000001</v>
      </c>
      <c r="CQ38" s="10">
        <v>357.76066900000001</v>
      </c>
      <c r="CR38" s="10">
        <v>357.76066900000001</v>
      </c>
      <c r="CS38" s="10">
        <v>354.22802300000001</v>
      </c>
      <c r="CT38" s="10">
        <v>371.24895299999997</v>
      </c>
      <c r="CU38" s="10">
        <v>372.85470099999998</v>
      </c>
      <c r="CV38" s="10">
        <v>372.85470099999998</v>
      </c>
      <c r="CW38" s="10">
        <v>380.24114100000003</v>
      </c>
      <c r="CX38" s="10">
        <v>382.16803900000002</v>
      </c>
      <c r="CY38" s="10">
        <v>382.16803900000002</v>
      </c>
      <c r="CZ38" s="10">
        <v>382.16803900000002</v>
      </c>
      <c r="DA38" s="10">
        <v>402.04077699999999</v>
      </c>
      <c r="DB38" s="10">
        <v>403.18728099999998</v>
      </c>
      <c r="DC38" s="10">
        <v>403.56944900000002</v>
      </c>
      <c r="DD38" s="10">
        <v>403.56944900000002</v>
      </c>
      <c r="DE38" s="10">
        <v>414.27015399999999</v>
      </c>
      <c r="DF38" s="10">
        <v>421.91351500000002</v>
      </c>
      <c r="DG38" s="10">
        <v>422.295683</v>
      </c>
      <c r="DH38" s="10">
        <v>422.295683</v>
      </c>
      <c r="DI38" s="10">
        <v>433.76072399999998</v>
      </c>
      <c r="DJ38" s="10">
        <v>437.58240499999999</v>
      </c>
      <c r="DK38" s="10">
        <v>437.58240499999999</v>
      </c>
      <c r="DL38" s="10">
        <v>437.58240499999999</v>
      </c>
      <c r="DM38" s="10">
        <v>448.665278</v>
      </c>
      <c r="DN38" s="10">
        <v>456.30863900000003</v>
      </c>
      <c r="DO38" s="10">
        <v>457.837311</v>
      </c>
      <c r="DP38" s="10">
        <v>457.837311</v>
      </c>
      <c r="DQ38" s="10">
        <v>490.70376299999998</v>
      </c>
      <c r="DR38" s="10">
        <v>505.608316</v>
      </c>
      <c r="DS38" s="10">
        <v>505.608316</v>
      </c>
      <c r="DT38" s="10">
        <v>505.608316</v>
      </c>
      <c r="DU38" s="10">
        <v>521.65937399999996</v>
      </c>
      <c r="DV38" s="10">
        <v>525.09888599999999</v>
      </c>
      <c r="DW38" s="10">
        <v>525.09888599999999</v>
      </c>
      <c r="DX38" s="10">
        <v>525.09888599999999</v>
      </c>
      <c r="DY38" s="10">
        <v>557.583169</v>
      </c>
      <c r="DZ38" s="10">
        <v>563.697858</v>
      </c>
      <c r="EA38" s="10">
        <v>563.697858</v>
      </c>
      <c r="EB38" s="10">
        <v>563.697858</v>
      </c>
      <c r="EC38" s="10">
        <v>602.029312</v>
      </c>
      <c r="ED38" s="10">
        <v>605.41149900000005</v>
      </c>
      <c r="EE38" s="10">
        <v>605.41149900000005</v>
      </c>
      <c r="EF38" s="10">
        <v>605.41149900000005</v>
      </c>
      <c r="EG38" s="10">
        <v>641.48816199999999</v>
      </c>
      <c r="EH38" s="10">
        <v>645.99774500000001</v>
      </c>
      <c r="EI38" s="10">
        <v>645.99774500000001</v>
      </c>
      <c r="EJ38" s="10">
        <v>645.99774500000001</v>
      </c>
      <c r="EK38" s="10">
        <v>676.43742999999995</v>
      </c>
      <c r="EL38" s="10">
        <v>682.63810599999999</v>
      </c>
      <c r="EM38" s="10">
        <v>682.63810599999999</v>
      </c>
      <c r="EN38" s="10">
        <v>682.63810599999999</v>
      </c>
      <c r="EO38" s="10">
        <v>720.96956</v>
      </c>
      <c r="EP38" s="10">
        <v>723.22435199999995</v>
      </c>
      <c r="EQ38" s="10">
        <v>723.22435199999995</v>
      </c>
      <c r="ER38" s="10">
        <v>723.22435199999995</v>
      </c>
      <c r="ES38" s="10">
        <v>755.35513000000003</v>
      </c>
      <c r="ET38" s="10">
        <v>773.393461</v>
      </c>
      <c r="EU38" s="10">
        <v>773.393461</v>
      </c>
      <c r="EV38" s="10">
        <v>773.393461</v>
      </c>
      <c r="EW38" s="10">
        <v>804.96054100000003</v>
      </c>
      <c r="EX38" s="10">
        <v>808.90642600000001</v>
      </c>
      <c r="EY38" s="10">
        <v>808.90642600000001</v>
      </c>
      <c r="EZ38" s="10">
        <v>808.90642600000001</v>
      </c>
      <c r="FA38" s="10">
        <v>837.65501700000004</v>
      </c>
      <c r="FB38" s="10">
        <v>843.29199500000004</v>
      </c>
      <c r="FC38" s="10">
        <v>843.29199500000004</v>
      </c>
      <c r="FD38" s="10">
        <v>843.29199500000004</v>
      </c>
      <c r="FE38" s="10">
        <v>875.42277300000001</v>
      </c>
      <c r="FF38" s="10">
        <v>878.241263</v>
      </c>
      <c r="FG38" s="10">
        <v>878.241263</v>
      </c>
      <c r="FH38" s="10">
        <v>878.241263</v>
      </c>
      <c r="FI38" s="10">
        <v>911.49943599999995</v>
      </c>
      <c r="FJ38" s="10">
        <v>912.62683200000004</v>
      </c>
      <c r="FK38" s="10">
        <v>912.62683200000004</v>
      </c>
      <c r="FL38" s="10">
        <v>912.62683200000004</v>
      </c>
      <c r="FM38" s="10">
        <v>965.05073300000004</v>
      </c>
      <c r="FN38" s="10">
        <v>968.99661800000001</v>
      </c>
      <c r="FO38" s="10">
        <v>968.99661800000001</v>
      </c>
      <c r="FP38" s="10">
        <v>968.99661800000001</v>
      </c>
      <c r="FQ38" s="10">
        <v>998.30890599999998</v>
      </c>
      <c r="FR38" s="10">
        <v>1000</v>
      </c>
      <c r="FS38" s="10">
        <v>1000</v>
      </c>
      <c r="FT38" s="10">
        <v>1000</v>
      </c>
      <c r="FU38" s="10">
        <v>1034.949267</v>
      </c>
      <c r="FV38" s="10">
        <v>1035</v>
      </c>
      <c r="FW38" s="10">
        <v>1035</v>
      </c>
      <c r="FX38" s="10">
        <v>1035</v>
      </c>
      <c r="FY38" s="10">
        <v>1088</v>
      </c>
      <c r="FZ38" s="10">
        <v>1088</v>
      </c>
      <c r="GA38" s="10">
        <v>1088</v>
      </c>
      <c r="GB38" s="10">
        <v>1088</v>
      </c>
      <c r="GC38" s="10">
        <v>1141</v>
      </c>
      <c r="GD38" s="10">
        <v>1141</v>
      </c>
      <c r="GE38" s="10">
        <v>1141</v>
      </c>
      <c r="GF38" s="10">
        <v>1141</v>
      </c>
      <c r="GG38" s="10">
        <v>1176</v>
      </c>
      <c r="GH38" s="10">
        <v>1176</v>
      </c>
      <c r="GI38" s="10">
        <v>1176</v>
      </c>
      <c r="GJ38" s="10">
        <v>1176</v>
      </c>
      <c r="GK38" s="10">
        <v>1260</v>
      </c>
      <c r="GL38" s="10">
        <v>1260</v>
      </c>
      <c r="GM38" s="10">
        <v>1260</v>
      </c>
      <c r="GN38" s="10">
        <v>1260</v>
      </c>
      <c r="GO38" s="10">
        <v>1352</v>
      </c>
      <c r="GP38" s="10">
        <v>1352</v>
      </c>
      <c r="GQ38" s="10">
        <v>1352</v>
      </c>
      <c r="GR38" s="10">
        <v>1352</v>
      </c>
      <c r="GS38" s="10">
        <v>1484</v>
      </c>
    </row>
    <row r="39" spans="1:201" ht="15.75" customHeight="1">
      <c r="A39" s="51" t="s">
        <v>1861</v>
      </c>
      <c r="B39" s="10"/>
      <c r="C39" s="10"/>
      <c r="D39" s="10"/>
      <c r="E39" s="10"/>
      <c r="F39" s="10" t="s">
        <v>1827</v>
      </c>
      <c r="G39" s="10" t="s">
        <v>1827</v>
      </c>
      <c r="H39" s="10" t="s">
        <v>1827</v>
      </c>
      <c r="I39" s="10" t="s">
        <v>1827</v>
      </c>
      <c r="J39" s="10" t="s">
        <v>1827</v>
      </c>
      <c r="K39" s="10" t="s">
        <v>1827</v>
      </c>
      <c r="L39" s="10" t="s">
        <v>1827</v>
      </c>
      <c r="M39" s="10" t="s">
        <v>1827</v>
      </c>
      <c r="N39" s="10" t="s">
        <v>1827</v>
      </c>
      <c r="O39" s="10" t="s">
        <v>1827</v>
      </c>
      <c r="P39" s="10" t="s">
        <v>1827</v>
      </c>
      <c r="Q39" s="10" t="s">
        <v>1827</v>
      </c>
      <c r="R39" s="10" t="s">
        <v>1827</v>
      </c>
      <c r="S39" s="10" t="s">
        <v>1827</v>
      </c>
      <c r="T39" s="10" t="s">
        <v>1827</v>
      </c>
      <c r="U39" s="10" t="s">
        <v>1827</v>
      </c>
      <c r="V39" s="10" t="s">
        <v>1827</v>
      </c>
      <c r="W39" s="10" t="s">
        <v>1827</v>
      </c>
      <c r="X39" s="10" t="s">
        <v>1827</v>
      </c>
      <c r="Y39" s="10" t="s">
        <v>1827</v>
      </c>
      <c r="Z39" s="10" t="s">
        <v>1827</v>
      </c>
      <c r="AA39" s="10" t="s">
        <v>1827</v>
      </c>
      <c r="AB39" s="10" t="s">
        <v>1827</v>
      </c>
      <c r="AC39" s="10" t="s">
        <v>1827</v>
      </c>
      <c r="AD39" s="10" t="s">
        <v>1827</v>
      </c>
      <c r="AE39" s="10" t="s">
        <v>1827</v>
      </c>
      <c r="AF39" s="10" t="s">
        <v>1827</v>
      </c>
      <c r="AG39" s="10" t="s">
        <v>1827</v>
      </c>
      <c r="AH39" s="10" t="s">
        <v>1827</v>
      </c>
      <c r="AI39" s="10" t="s">
        <v>1827</v>
      </c>
      <c r="AJ39" s="10" t="s">
        <v>1827</v>
      </c>
      <c r="AK39" s="10" t="s">
        <v>1827</v>
      </c>
      <c r="AL39" s="10" t="s">
        <v>1827</v>
      </c>
      <c r="AM39" s="10" t="s">
        <v>1827</v>
      </c>
      <c r="AN39" s="10" t="s">
        <v>1827</v>
      </c>
      <c r="AO39" s="10" t="s">
        <v>1827</v>
      </c>
      <c r="AP39" s="10" t="s">
        <v>1827</v>
      </c>
      <c r="AQ39" s="10" t="s">
        <v>1827</v>
      </c>
      <c r="AR39" s="10" t="s">
        <v>1827</v>
      </c>
      <c r="AS39" s="10" t="s">
        <v>1827</v>
      </c>
      <c r="AT39" s="10" t="s">
        <v>1827</v>
      </c>
      <c r="AU39" s="10" t="s">
        <v>1827</v>
      </c>
      <c r="AV39" s="10" t="s">
        <v>1827</v>
      </c>
      <c r="AW39" s="10" t="s">
        <v>1827</v>
      </c>
      <c r="AX39" s="10" t="s">
        <v>1827</v>
      </c>
      <c r="AY39" s="10" t="s">
        <v>1827</v>
      </c>
      <c r="AZ39" s="10" t="s">
        <v>1827</v>
      </c>
      <c r="BA39" s="10" t="s">
        <v>1827</v>
      </c>
      <c r="BB39" s="10" t="s">
        <v>1827</v>
      </c>
      <c r="BC39" s="10" t="s">
        <v>1827</v>
      </c>
      <c r="BD39" s="10" t="s">
        <v>1827</v>
      </c>
      <c r="BE39" s="10" t="s">
        <v>1827</v>
      </c>
      <c r="BF39" s="10" t="s">
        <v>1827</v>
      </c>
      <c r="BG39" s="10" t="s">
        <v>1827</v>
      </c>
      <c r="BH39" s="10" t="s">
        <v>1827</v>
      </c>
      <c r="BI39" s="10" t="s">
        <v>1827</v>
      </c>
      <c r="BJ39" s="10" t="s">
        <v>1827</v>
      </c>
      <c r="BK39" s="10" t="s">
        <v>1827</v>
      </c>
      <c r="BL39" s="10" t="s">
        <v>1827</v>
      </c>
      <c r="BM39" s="10" t="s">
        <v>1827</v>
      </c>
      <c r="BN39" s="10" t="s">
        <v>1827</v>
      </c>
      <c r="BO39" s="10" t="s">
        <v>1827</v>
      </c>
      <c r="BP39" s="10" t="s">
        <v>1827</v>
      </c>
      <c r="BQ39" s="10" t="s">
        <v>1827</v>
      </c>
      <c r="BR39" s="10" t="s">
        <v>1827</v>
      </c>
      <c r="BS39" s="10" t="s">
        <v>1827</v>
      </c>
      <c r="BT39" s="10" t="s">
        <v>1827</v>
      </c>
      <c r="BU39" s="10" t="s">
        <v>1827</v>
      </c>
      <c r="BV39" s="10" t="s">
        <v>1827</v>
      </c>
      <c r="BW39" s="10" t="s">
        <v>1827</v>
      </c>
      <c r="BX39" s="10" t="s">
        <v>1827</v>
      </c>
      <c r="BY39" s="10" t="s">
        <v>1827</v>
      </c>
      <c r="BZ39" s="10" t="s">
        <v>1827</v>
      </c>
      <c r="CA39" s="10" t="s">
        <v>1827</v>
      </c>
      <c r="CB39" s="10" t="s">
        <v>1827</v>
      </c>
      <c r="CC39" s="10" t="s">
        <v>1827</v>
      </c>
      <c r="CD39" s="10" t="s">
        <v>1827</v>
      </c>
      <c r="CE39" s="10" t="s">
        <v>1827</v>
      </c>
      <c r="CF39" s="10" t="s">
        <v>1827</v>
      </c>
      <c r="CG39" s="10" t="s">
        <v>1827</v>
      </c>
      <c r="CH39" s="10" t="s">
        <v>1827</v>
      </c>
      <c r="CI39" s="10" t="s">
        <v>1827</v>
      </c>
      <c r="CJ39" s="10" t="s">
        <v>1827</v>
      </c>
      <c r="CK39" s="10" t="s">
        <v>1827</v>
      </c>
      <c r="CL39" s="10" t="s">
        <v>1827</v>
      </c>
      <c r="CM39" s="10" t="s">
        <v>1827</v>
      </c>
      <c r="CN39" s="10" t="s">
        <v>1827</v>
      </c>
      <c r="CO39" s="10" t="s">
        <v>1827</v>
      </c>
      <c r="CP39" s="10" t="s">
        <v>1827</v>
      </c>
      <c r="CQ39" s="10" t="s">
        <v>1827</v>
      </c>
      <c r="CR39" s="10" t="s">
        <v>1827</v>
      </c>
      <c r="CS39" s="10" t="s">
        <v>1827</v>
      </c>
      <c r="CT39" s="10" t="s">
        <v>1827</v>
      </c>
      <c r="CU39" s="10" t="s">
        <v>1827</v>
      </c>
      <c r="CV39" s="10" t="s">
        <v>1827</v>
      </c>
      <c r="CW39" s="10" t="s">
        <v>1827</v>
      </c>
      <c r="CX39" s="10" t="s">
        <v>1827</v>
      </c>
      <c r="CY39" s="10" t="s">
        <v>1827</v>
      </c>
      <c r="CZ39" s="10" t="s">
        <v>1827</v>
      </c>
      <c r="DA39" s="10" t="s">
        <v>1827</v>
      </c>
      <c r="DB39" s="10" t="s">
        <v>1827</v>
      </c>
      <c r="DC39" s="10" t="s">
        <v>1827</v>
      </c>
      <c r="DD39" s="10" t="s">
        <v>1827</v>
      </c>
      <c r="DE39" s="10" t="s">
        <v>1827</v>
      </c>
      <c r="DF39" s="10" t="s">
        <v>1827</v>
      </c>
      <c r="DG39" s="10" t="s">
        <v>1827</v>
      </c>
      <c r="DH39" s="10" t="s">
        <v>1827</v>
      </c>
      <c r="DI39" s="10" t="s">
        <v>1827</v>
      </c>
      <c r="DJ39" s="10" t="s">
        <v>1827</v>
      </c>
      <c r="DK39" s="10" t="s">
        <v>1827</v>
      </c>
      <c r="DL39" s="10" t="s">
        <v>1827</v>
      </c>
      <c r="DM39" s="10" t="s">
        <v>1827</v>
      </c>
      <c r="DN39" s="10" t="s">
        <v>1827</v>
      </c>
      <c r="DO39" s="10" t="s">
        <v>1827</v>
      </c>
      <c r="DP39" s="10" t="s">
        <v>1827</v>
      </c>
      <c r="DQ39" s="10" t="s">
        <v>1827</v>
      </c>
      <c r="DR39" s="10" t="s">
        <v>1827</v>
      </c>
      <c r="DS39" s="10" t="s">
        <v>1827</v>
      </c>
      <c r="DT39" s="10" t="s">
        <v>1827</v>
      </c>
      <c r="DU39" s="10" t="s">
        <v>1827</v>
      </c>
      <c r="DV39" s="10" t="s">
        <v>1827</v>
      </c>
      <c r="DW39" s="10" t="s">
        <v>1827</v>
      </c>
      <c r="DX39" s="10" t="s">
        <v>1827</v>
      </c>
      <c r="DY39" s="10" t="s">
        <v>1827</v>
      </c>
      <c r="DZ39" s="10" t="s">
        <v>1827</v>
      </c>
      <c r="EA39" s="10" t="s">
        <v>1827</v>
      </c>
      <c r="EB39" s="10" t="s">
        <v>1827</v>
      </c>
      <c r="EC39" s="10" t="s">
        <v>1827</v>
      </c>
      <c r="ED39" s="10" t="s">
        <v>1827</v>
      </c>
      <c r="EE39" s="10" t="s">
        <v>1827</v>
      </c>
      <c r="EF39" s="10" t="s">
        <v>1827</v>
      </c>
      <c r="EG39" s="10" t="s">
        <v>1827</v>
      </c>
      <c r="EH39" s="10" t="s">
        <v>1827</v>
      </c>
      <c r="EI39" s="10" t="s">
        <v>1827</v>
      </c>
      <c r="EJ39" s="10" t="s">
        <v>1827</v>
      </c>
      <c r="EK39" s="10" t="s">
        <v>1827</v>
      </c>
      <c r="EL39" s="10" t="s">
        <v>1827</v>
      </c>
      <c r="EM39" s="10" t="s">
        <v>1827</v>
      </c>
      <c r="EN39" s="10" t="s">
        <v>1827</v>
      </c>
      <c r="EO39" s="10" t="s">
        <v>1827</v>
      </c>
      <c r="EP39" s="10" t="s">
        <v>1827</v>
      </c>
      <c r="EQ39" s="10" t="s">
        <v>1827</v>
      </c>
      <c r="ER39" s="10" t="s">
        <v>1827</v>
      </c>
      <c r="ES39" s="10" t="s">
        <v>1827</v>
      </c>
      <c r="ET39" s="10" t="s">
        <v>1827</v>
      </c>
      <c r="EU39" s="10" t="s">
        <v>1827</v>
      </c>
      <c r="EV39" s="10">
        <v>1009.081736</v>
      </c>
      <c r="EW39" s="10">
        <v>1012.108981</v>
      </c>
      <c r="EX39" s="10">
        <v>983.854692</v>
      </c>
      <c r="EY39" s="10">
        <v>983.854692</v>
      </c>
      <c r="EZ39" s="10">
        <v>983.854692</v>
      </c>
      <c r="FA39" s="10">
        <v>983.854692</v>
      </c>
      <c r="FB39" s="10">
        <v>983.854692</v>
      </c>
      <c r="FC39" s="10">
        <v>960.64581199999998</v>
      </c>
      <c r="FD39" s="10">
        <v>947.52774999999997</v>
      </c>
      <c r="FE39" s="10">
        <v>937.43693199999996</v>
      </c>
      <c r="FF39" s="10">
        <v>937.43693199999996</v>
      </c>
      <c r="FG39" s="10">
        <v>962.66397600000005</v>
      </c>
      <c r="FH39" s="10">
        <v>951.564077</v>
      </c>
      <c r="FI39" s="10">
        <v>951.564077</v>
      </c>
      <c r="FJ39" s="10">
        <v>951.564077</v>
      </c>
      <c r="FK39" s="10">
        <v>951.564077</v>
      </c>
      <c r="FL39" s="10">
        <v>951.564077</v>
      </c>
      <c r="FM39" s="10">
        <v>934.40968699999996</v>
      </c>
      <c r="FN39" s="10">
        <v>948.53683100000001</v>
      </c>
      <c r="FO39" s="10">
        <v>946.51866800000005</v>
      </c>
      <c r="FP39" s="10">
        <v>994.95459100000005</v>
      </c>
      <c r="FQ39" s="10">
        <v>1003.027245</v>
      </c>
      <c r="FR39" s="10">
        <v>1003.027245</v>
      </c>
      <c r="FS39" s="10">
        <v>1003.027245</v>
      </c>
      <c r="FT39" s="10">
        <v>1000</v>
      </c>
      <c r="FU39" s="10">
        <v>1000</v>
      </c>
      <c r="FV39" s="10">
        <v>1000</v>
      </c>
      <c r="FW39" s="10">
        <v>1000</v>
      </c>
      <c r="FX39" s="10">
        <v>1000</v>
      </c>
      <c r="FY39" s="10">
        <v>1000</v>
      </c>
      <c r="FZ39" s="10">
        <v>1073</v>
      </c>
      <c r="GA39" s="10">
        <v>1073</v>
      </c>
      <c r="GB39" s="10">
        <v>1073</v>
      </c>
      <c r="GC39" s="10">
        <v>1072</v>
      </c>
      <c r="GD39" s="10">
        <v>1072</v>
      </c>
      <c r="GE39" s="10">
        <v>1072</v>
      </c>
      <c r="GF39" s="10">
        <v>1072</v>
      </c>
      <c r="GG39" s="10">
        <v>1072</v>
      </c>
      <c r="GH39" s="10">
        <v>1072</v>
      </c>
      <c r="GI39" s="10">
        <v>1072</v>
      </c>
      <c r="GJ39" s="10">
        <v>1072</v>
      </c>
      <c r="GK39" s="10">
        <v>1073</v>
      </c>
      <c r="GL39" s="10">
        <v>1073</v>
      </c>
      <c r="GM39" s="10">
        <v>1073</v>
      </c>
      <c r="GN39" s="10">
        <v>1158</v>
      </c>
      <c r="GO39" s="10">
        <v>1158</v>
      </c>
      <c r="GP39" s="10">
        <v>1158</v>
      </c>
      <c r="GQ39" s="10">
        <v>1158</v>
      </c>
      <c r="GR39" s="10">
        <v>1156</v>
      </c>
      <c r="GS39" s="10">
        <v>1156</v>
      </c>
    </row>
    <row r="40" spans="1:201" ht="15.75" customHeight="1">
      <c r="A40" s="51" t="s">
        <v>36</v>
      </c>
      <c r="B40" s="107"/>
      <c r="C40" s="107"/>
      <c r="D40" s="107"/>
      <c r="E40" s="107"/>
      <c r="F40" s="107" t="s">
        <v>1827</v>
      </c>
      <c r="G40" s="107" t="s">
        <v>1827</v>
      </c>
      <c r="H40" s="107" t="s">
        <v>1827</v>
      </c>
      <c r="I40" s="107" t="s">
        <v>1827</v>
      </c>
      <c r="J40" s="107" t="s">
        <v>1827</v>
      </c>
      <c r="K40" s="107" t="s">
        <v>1827</v>
      </c>
      <c r="L40" s="107" t="s">
        <v>1827</v>
      </c>
      <c r="M40" s="107" t="s">
        <v>1827</v>
      </c>
      <c r="N40" s="107" t="s">
        <v>1827</v>
      </c>
      <c r="O40" s="107" t="s">
        <v>1827</v>
      </c>
      <c r="P40" s="107" t="s">
        <v>1827</v>
      </c>
      <c r="Q40" s="107" t="s">
        <v>1827</v>
      </c>
      <c r="R40" s="107" t="s">
        <v>1827</v>
      </c>
      <c r="S40" s="107" t="s">
        <v>1827</v>
      </c>
      <c r="T40" s="107" t="s">
        <v>1827</v>
      </c>
      <c r="U40" s="107" t="s">
        <v>1827</v>
      </c>
      <c r="V40" s="107" t="s">
        <v>1827</v>
      </c>
      <c r="W40" s="107" t="s">
        <v>1827</v>
      </c>
      <c r="X40" s="107" t="s">
        <v>1827</v>
      </c>
      <c r="Y40" s="107" t="s">
        <v>1827</v>
      </c>
      <c r="Z40" s="107" t="s">
        <v>1827</v>
      </c>
      <c r="AA40" s="107" t="s">
        <v>1827</v>
      </c>
      <c r="AB40" s="107" t="s">
        <v>1827</v>
      </c>
      <c r="AC40" s="107" t="s">
        <v>1827</v>
      </c>
      <c r="AD40" s="107" t="s">
        <v>1827</v>
      </c>
      <c r="AE40" s="107">
        <v>126.119349</v>
      </c>
      <c r="AF40" s="107">
        <v>137.693782</v>
      </c>
      <c r="AG40" s="107">
        <v>138.71164099999999</v>
      </c>
      <c r="AH40" s="107">
        <v>137.90806799999999</v>
      </c>
      <c r="AI40" s="107">
        <v>139.77116699999999</v>
      </c>
      <c r="AJ40" s="107">
        <v>157.99144899999999</v>
      </c>
      <c r="AK40" s="107">
        <v>158.23252099999999</v>
      </c>
      <c r="AL40" s="107">
        <v>157.56882899999999</v>
      </c>
      <c r="AM40" s="107">
        <v>158.17299700000001</v>
      </c>
      <c r="AN40" s="107">
        <v>157.89323400000001</v>
      </c>
      <c r="AO40" s="107">
        <v>157.32180500000001</v>
      </c>
      <c r="AP40" s="107">
        <v>157.10156599999999</v>
      </c>
      <c r="AQ40" s="107">
        <v>157.10156599999999</v>
      </c>
      <c r="AR40" s="107">
        <v>160.94086100000001</v>
      </c>
      <c r="AS40" s="107">
        <v>161.05693199999999</v>
      </c>
      <c r="AT40" s="107">
        <v>161.12538499999999</v>
      </c>
      <c r="AU40" s="107">
        <v>163.12241299999999</v>
      </c>
      <c r="AV40" s="107">
        <v>198.280236</v>
      </c>
      <c r="AW40" s="107">
        <v>198.280236</v>
      </c>
      <c r="AX40" s="107">
        <v>198.280236</v>
      </c>
      <c r="AY40" s="107">
        <v>198.50344999999999</v>
      </c>
      <c r="AZ40" s="107">
        <v>223.09577100000001</v>
      </c>
      <c r="BA40" s="107">
        <v>222.88446099999999</v>
      </c>
      <c r="BB40" s="107">
        <v>245.22380000000001</v>
      </c>
      <c r="BC40" s="107">
        <v>247.19701900000001</v>
      </c>
      <c r="BD40" s="107">
        <v>274.36970300000002</v>
      </c>
      <c r="BE40" s="107">
        <v>274.55422700000003</v>
      </c>
      <c r="BF40" s="107">
        <v>272.10779300000002</v>
      </c>
      <c r="BG40" s="107">
        <v>263.033366</v>
      </c>
      <c r="BH40" s="107">
        <v>291.438196</v>
      </c>
      <c r="BI40" s="107">
        <v>298.00963999999999</v>
      </c>
      <c r="BJ40" s="107">
        <v>297.61975899999999</v>
      </c>
      <c r="BK40" s="107">
        <v>296.70904200000001</v>
      </c>
      <c r="BL40" s="107">
        <v>299.49773900000002</v>
      </c>
      <c r="BM40" s="107">
        <v>305.95013599999999</v>
      </c>
      <c r="BN40" s="107">
        <v>306.55132800000001</v>
      </c>
      <c r="BO40" s="107">
        <v>307.63763899999998</v>
      </c>
      <c r="BP40" s="107">
        <v>309.753716</v>
      </c>
      <c r="BQ40" s="107">
        <v>311.82217400000002</v>
      </c>
      <c r="BR40" s="107">
        <v>320.11385999999999</v>
      </c>
      <c r="BS40" s="107">
        <v>328.15257000000003</v>
      </c>
      <c r="BT40" s="107">
        <v>330.60198000000003</v>
      </c>
      <c r="BU40" s="107">
        <v>330.97102799999999</v>
      </c>
      <c r="BV40" s="107">
        <v>336.69723299999998</v>
      </c>
      <c r="BW40" s="107">
        <v>344.45915600000001</v>
      </c>
      <c r="BX40" s="107">
        <v>345.18534799999998</v>
      </c>
      <c r="BY40" s="107">
        <v>347.503806</v>
      </c>
      <c r="BZ40" s="107">
        <v>349.58416799999998</v>
      </c>
      <c r="CA40" s="107">
        <v>351.93536399999999</v>
      </c>
      <c r="CB40" s="107">
        <v>366.44730399999997</v>
      </c>
      <c r="CC40" s="107">
        <v>375.09018200000003</v>
      </c>
      <c r="CD40" s="107">
        <v>378.00983200000002</v>
      </c>
      <c r="CE40" s="107">
        <v>383.30196899999999</v>
      </c>
      <c r="CF40" s="107">
        <v>391.24017600000002</v>
      </c>
      <c r="CG40" s="107">
        <v>395.39828399999999</v>
      </c>
      <c r="CH40" s="107">
        <v>396.53231299999999</v>
      </c>
      <c r="CI40" s="107">
        <v>396.53231299999999</v>
      </c>
      <c r="CJ40" s="107">
        <v>405.226539</v>
      </c>
      <c r="CK40" s="107">
        <v>415.43280499999997</v>
      </c>
      <c r="CL40" s="107">
        <v>416.18882400000001</v>
      </c>
      <c r="CM40" s="107">
        <v>420.724942</v>
      </c>
      <c r="CN40" s="107">
        <v>430.17518799999999</v>
      </c>
      <c r="CO40" s="107">
        <v>434.33329600000002</v>
      </c>
      <c r="CP40" s="107">
        <v>435.84533599999997</v>
      </c>
      <c r="CQ40" s="107">
        <v>440.003444</v>
      </c>
      <c r="CR40" s="107">
        <v>449.453689</v>
      </c>
      <c r="CS40" s="107">
        <v>453.233788</v>
      </c>
      <c r="CT40" s="107">
        <v>452.09975900000001</v>
      </c>
      <c r="CU40" s="107">
        <v>459.65995500000002</v>
      </c>
      <c r="CV40" s="107">
        <v>463.44005299999998</v>
      </c>
      <c r="CW40" s="107">
        <v>466.08612199999999</v>
      </c>
      <c r="CX40" s="107">
        <v>457.39189599999997</v>
      </c>
      <c r="CY40" s="107">
        <v>456.25786599999998</v>
      </c>
      <c r="CZ40" s="107">
        <v>473.64631900000001</v>
      </c>
      <c r="DA40" s="107">
        <v>479.33007400000002</v>
      </c>
      <c r="DB40" s="107">
        <v>472.22537999999997</v>
      </c>
      <c r="DC40" s="107">
        <v>474.11996499999998</v>
      </c>
      <c r="DD40" s="107">
        <v>473.64631900000001</v>
      </c>
      <c r="DE40" s="107">
        <v>475.06725799999998</v>
      </c>
      <c r="DF40" s="107">
        <v>475.54090400000001</v>
      </c>
      <c r="DG40" s="107">
        <v>476.96184299999999</v>
      </c>
      <c r="DH40" s="107">
        <v>473.64631900000001</v>
      </c>
      <c r="DI40" s="107">
        <v>473.64631900000001</v>
      </c>
      <c r="DJ40" s="107">
        <v>472.699026</v>
      </c>
      <c r="DK40" s="107">
        <v>485.96112299999999</v>
      </c>
      <c r="DL40" s="107">
        <v>494.96040299999999</v>
      </c>
      <c r="DM40" s="107">
        <v>502.53874400000001</v>
      </c>
      <c r="DN40" s="107">
        <v>508.22250000000003</v>
      </c>
      <c r="DO40" s="107">
        <v>509.643439</v>
      </c>
      <c r="DP40" s="107">
        <v>518.64271900000006</v>
      </c>
      <c r="DQ40" s="107">
        <v>535.22033999999996</v>
      </c>
      <c r="DR40" s="107">
        <v>555.587132</v>
      </c>
      <c r="DS40" s="107">
        <v>557.00807099999997</v>
      </c>
      <c r="DT40" s="107">
        <v>572.63839900000005</v>
      </c>
      <c r="DU40" s="107">
        <v>580.69038699999999</v>
      </c>
      <c r="DV40" s="107">
        <v>604.372703</v>
      </c>
      <c r="DW40" s="107">
        <v>611.00375099999997</v>
      </c>
      <c r="DX40" s="107">
        <v>619.05573900000002</v>
      </c>
      <c r="DY40" s="107">
        <v>626.16043400000001</v>
      </c>
      <c r="DZ40" s="107">
        <v>629.00231099999996</v>
      </c>
      <c r="EA40" s="107">
        <v>638.94888400000002</v>
      </c>
      <c r="EB40" s="107">
        <v>657.89473699999996</v>
      </c>
      <c r="EC40" s="107">
        <v>667.76315799999998</v>
      </c>
      <c r="ED40" s="107">
        <v>673.684211</v>
      </c>
      <c r="EE40" s="107">
        <v>682.89473699999996</v>
      </c>
      <c r="EF40" s="107">
        <v>703.28947400000004</v>
      </c>
      <c r="EG40" s="107">
        <v>709.21052599999996</v>
      </c>
      <c r="EH40" s="107">
        <v>717.76315799999998</v>
      </c>
      <c r="EI40" s="107">
        <v>723.684211</v>
      </c>
      <c r="EJ40" s="107">
        <v>750</v>
      </c>
      <c r="EK40" s="107">
        <v>757.89473699999996</v>
      </c>
      <c r="EL40" s="107">
        <v>773.02631599999995</v>
      </c>
      <c r="EM40" s="107">
        <v>777.63157899999999</v>
      </c>
      <c r="EN40" s="107">
        <v>790.13157899999999</v>
      </c>
      <c r="EO40" s="107">
        <v>792.10526300000004</v>
      </c>
      <c r="EP40" s="107">
        <v>789.47368400000005</v>
      </c>
      <c r="EQ40" s="107">
        <v>790.78947400000004</v>
      </c>
      <c r="ER40" s="107">
        <v>798.684211</v>
      </c>
      <c r="ES40" s="107">
        <v>821.05263200000002</v>
      </c>
      <c r="ET40" s="107">
        <v>834.86842100000001</v>
      </c>
      <c r="EU40" s="107">
        <v>838.15789500000005</v>
      </c>
      <c r="EV40" s="107">
        <v>861.184211</v>
      </c>
      <c r="EW40" s="107">
        <v>858.55263200000002</v>
      </c>
      <c r="EX40" s="107">
        <v>854.60526300000004</v>
      </c>
      <c r="EY40" s="107">
        <v>855.26315799999998</v>
      </c>
      <c r="EZ40" s="107">
        <v>893.42105300000003</v>
      </c>
      <c r="FA40" s="107">
        <v>896.71052599999996</v>
      </c>
      <c r="FB40" s="107">
        <v>898.684211</v>
      </c>
      <c r="FC40" s="107">
        <v>900</v>
      </c>
      <c r="FD40" s="107">
        <v>923.684211</v>
      </c>
      <c r="FE40" s="107">
        <v>928.94736799999998</v>
      </c>
      <c r="FF40" s="107">
        <v>925.65789500000005</v>
      </c>
      <c r="FG40" s="107">
        <v>926.315789</v>
      </c>
      <c r="FH40" s="107">
        <v>965.13157899999999</v>
      </c>
      <c r="FI40" s="107">
        <v>963.15789500000005</v>
      </c>
      <c r="FJ40" s="107">
        <v>958.55263200000002</v>
      </c>
      <c r="FK40" s="107">
        <v>959.21052599999996</v>
      </c>
      <c r="FL40" s="107">
        <v>965.13157899999999</v>
      </c>
      <c r="FM40" s="107">
        <v>964.47368400000005</v>
      </c>
      <c r="FN40" s="107">
        <v>962.5</v>
      </c>
      <c r="FO40" s="107">
        <v>964.47368400000005</v>
      </c>
      <c r="FP40" s="107">
        <v>981.57894699999997</v>
      </c>
      <c r="FQ40" s="107">
        <v>986.184211</v>
      </c>
      <c r="FR40" s="107">
        <v>984.21052599999996</v>
      </c>
      <c r="FS40" s="107">
        <v>985.52631599999995</v>
      </c>
      <c r="FT40" s="107">
        <v>1000</v>
      </c>
      <c r="FU40" s="107">
        <v>1001.973684</v>
      </c>
      <c r="FV40" s="107">
        <v>1004</v>
      </c>
      <c r="FW40" s="107">
        <v>1012</v>
      </c>
      <c r="FX40" s="107">
        <v>1029</v>
      </c>
      <c r="FY40" s="107">
        <v>1027</v>
      </c>
      <c r="FZ40" s="107">
        <v>1025</v>
      </c>
      <c r="GA40" s="107">
        <v>1038</v>
      </c>
      <c r="GB40" s="107">
        <v>1043</v>
      </c>
      <c r="GC40" s="107">
        <v>1041</v>
      </c>
      <c r="GD40" s="107">
        <v>1039</v>
      </c>
      <c r="GE40" s="107">
        <v>1052</v>
      </c>
      <c r="GF40" s="107">
        <v>1057</v>
      </c>
      <c r="GG40" s="107">
        <v>1057</v>
      </c>
      <c r="GH40" s="107">
        <v>1044</v>
      </c>
      <c r="GI40" s="107">
        <v>1048</v>
      </c>
      <c r="GJ40" s="107">
        <v>1051</v>
      </c>
      <c r="GK40" s="107">
        <v>1049</v>
      </c>
      <c r="GL40" s="107">
        <v>1037</v>
      </c>
      <c r="GM40" s="107">
        <v>1051</v>
      </c>
      <c r="GN40" s="107">
        <v>1069</v>
      </c>
      <c r="GO40" s="107">
        <v>1052</v>
      </c>
      <c r="GP40" s="107">
        <v>1062</v>
      </c>
      <c r="GQ40" s="107">
        <v>1085</v>
      </c>
      <c r="GR40" s="107">
        <v>1114</v>
      </c>
      <c r="GS40" s="107">
        <v>1094</v>
      </c>
    </row>
    <row r="41" spans="1:201" ht="12.6">
      <c r="A41" s="51" t="s">
        <v>37</v>
      </c>
      <c r="B41" s="29"/>
      <c r="C41" s="29"/>
      <c r="D41" s="29"/>
      <c r="E41" s="29"/>
      <c r="F41" s="29" t="s">
        <v>1827</v>
      </c>
      <c r="G41" s="29" t="s">
        <v>1827</v>
      </c>
      <c r="H41" s="29" t="s">
        <v>1827</v>
      </c>
      <c r="I41" s="29" t="s">
        <v>1827</v>
      </c>
      <c r="J41" s="29" t="s">
        <v>1827</v>
      </c>
      <c r="K41" s="29" t="s">
        <v>1827</v>
      </c>
      <c r="L41" s="29" t="s">
        <v>1827</v>
      </c>
      <c r="M41" s="29" t="s">
        <v>1827</v>
      </c>
      <c r="N41" s="29" t="s">
        <v>1827</v>
      </c>
      <c r="O41" s="29" t="s">
        <v>1827</v>
      </c>
      <c r="P41" s="29" t="s">
        <v>1827</v>
      </c>
      <c r="Q41" s="29" t="s">
        <v>1827</v>
      </c>
      <c r="R41" s="29" t="s">
        <v>1827</v>
      </c>
      <c r="S41" s="29" t="s">
        <v>1827</v>
      </c>
      <c r="T41" s="29" t="s">
        <v>1827</v>
      </c>
      <c r="U41" s="29" t="s">
        <v>1827</v>
      </c>
      <c r="V41" s="29" t="s">
        <v>1827</v>
      </c>
      <c r="W41" s="29" t="s">
        <v>1827</v>
      </c>
      <c r="X41" s="29" t="s">
        <v>1827</v>
      </c>
      <c r="Y41" s="29" t="s">
        <v>1827</v>
      </c>
      <c r="Z41" s="29" t="s">
        <v>1827</v>
      </c>
      <c r="AA41" s="29" t="s">
        <v>1827</v>
      </c>
      <c r="AB41" s="29" t="s">
        <v>1827</v>
      </c>
      <c r="AC41" s="29" t="s">
        <v>1827</v>
      </c>
      <c r="AD41" s="29" t="s">
        <v>1827</v>
      </c>
      <c r="AE41" s="29">
        <v>128.70659900000001</v>
      </c>
      <c r="AF41" s="29">
        <v>132.047111</v>
      </c>
      <c r="AG41" s="29">
        <v>137.64503300000001</v>
      </c>
      <c r="AH41" s="29">
        <v>149.055216</v>
      </c>
      <c r="AI41" s="29">
        <v>152.43449100000001</v>
      </c>
      <c r="AJ41" s="29">
        <v>126.330618</v>
      </c>
      <c r="AK41" s="29">
        <v>126.61108400000001</v>
      </c>
      <c r="AL41" s="29">
        <v>126.68177</v>
      </c>
      <c r="AM41" s="29">
        <v>126.68177</v>
      </c>
      <c r="AN41" s="29">
        <v>126.68177</v>
      </c>
      <c r="AO41" s="29">
        <v>124.697985</v>
      </c>
      <c r="AP41" s="29">
        <v>121.124892</v>
      </c>
      <c r="AQ41" s="29">
        <v>121.124892</v>
      </c>
      <c r="AR41" s="29">
        <v>124.905485</v>
      </c>
      <c r="AS41" s="29">
        <v>126.186964</v>
      </c>
      <c r="AT41" s="29">
        <v>126.186964</v>
      </c>
      <c r="AU41" s="29">
        <v>127.97465099999999</v>
      </c>
      <c r="AV41" s="29">
        <v>133.97617</v>
      </c>
      <c r="AW41" s="29">
        <v>137.62679</v>
      </c>
      <c r="AX41" s="29">
        <v>142.33999</v>
      </c>
      <c r="AY41" s="29">
        <v>148.797552</v>
      </c>
      <c r="AZ41" s="29">
        <v>155.569784</v>
      </c>
      <c r="BA41" s="29">
        <v>155.94145800000001</v>
      </c>
      <c r="BB41" s="29">
        <v>179.43448799999999</v>
      </c>
      <c r="BC41" s="29">
        <v>181.18113099999999</v>
      </c>
      <c r="BD41" s="29">
        <v>180.99415400000001</v>
      </c>
      <c r="BE41" s="29">
        <v>180.99415400000001</v>
      </c>
      <c r="BF41" s="29">
        <v>188.96121600000001</v>
      </c>
      <c r="BG41" s="29">
        <v>203.02328700000001</v>
      </c>
      <c r="BH41" s="29">
        <v>202.65389300000001</v>
      </c>
      <c r="BI41" s="29">
        <v>202.65389300000001</v>
      </c>
      <c r="BJ41" s="29">
        <v>228.02125799999999</v>
      </c>
      <c r="BK41" s="29">
        <v>227.99389600000001</v>
      </c>
      <c r="BL41" s="29">
        <v>229.42814899999999</v>
      </c>
      <c r="BM41" s="29">
        <v>234.69316000000001</v>
      </c>
      <c r="BN41" s="29">
        <v>239.42916099999999</v>
      </c>
      <c r="BO41" s="29">
        <v>240.98198600000001</v>
      </c>
      <c r="BP41" s="29">
        <v>240.98198600000001</v>
      </c>
      <c r="BQ41" s="29">
        <v>240.98198600000001</v>
      </c>
      <c r="BR41" s="29">
        <v>246.88089600000001</v>
      </c>
      <c r="BS41" s="29">
        <v>261.04101600000001</v>
      </c>
      <c r="BT41" s="29">
        <v>266.47704299999998</v>
      </c>
      <c r="BU41" s="29">
        <v>266.47704299999998</v>
      </c>
      <c r="BV41" s="29">
        <v>266.47704299999998</v>
      </c>
      <c r="BW41" s="29">
        <v>266.47704299999998</v>
      </c>
      <c r="BX41" s="29">
        <v>269.4436</v>
      </c>
      <c r="BY41" s="29">
        <v>271.04202800000002</v>
      </c>
      <c r="BZ41" s="29">
        <v>271.04202800000002</v>
      </c>
      <c r="CA41" s="29">
        <v>271.04202800000002</v>
      </c>
      <c r="CB41" s="29">
        <v>291.965259</v>
      </c>
      <c r="CC41" s="29">
        <v>300.29487599999999</v>
      </c>
      <c r="CD41" s="29">
        <v>302.94676299999998</v>
      </c>
      <c r="CE41" s="29">
        <v>303.24970999999999</v>
      </c>
      <c r="CF41" s="29">
        <v>317.48820699999999</v>
      </c>
      <c r="CG41" s="29">
        <v>323.54714300000001</v>
      </c>
      <c r="CH41" s="29">
        <v>326.57661100000001</v>
      </c>
      <c r="CI41" s="29">
        <v>346.57109700000001</v>
      </c>
      <c r="CJ41" s="29">
        <v>356.56833999999998</v>
      </c>
      <c r="CK41" s="29">
        <v>357.47717999999998</v>
      </c>
      <c r="CL41" s="29">
        <v>361.718435</v>
      </c>
      <c r="CM41" s="29">
        <v>371.71567800000003</v>
      </c>
      <c r="CN41" s="29">
        <v>375.95693299999999</v>
      </c>
      <c r="CO41" s="29">
        <v>377.16872000000001</v>
      </c>
      <c r="CP41" s="29">
        <v>388.68069700000001</v>
      </c>
      <c r="CQ41" s="29">
        <v>393.224898</v>
      </c>
      <c r="CR41" s="29">
        <v>393.224898</v>
      </c>
      <c r="CS41" s="29">
        <v>411.70465100000001</v>
      </c>
      <c r="CT41" s="29">
        <v>423.21662800000001</v>
      </c>
      <c r="CU41" s="29">
        <v>425.64020199999999</v>
      </c>
      <c r="CV41" s="29">
        <v>428.06377600000002</v>
      </c>
      <c r="CW41" s="29">
        <v>428.06377600000002</v>
      </c>
      <c r="CX41" s="29">
        <v>428.97261600000002</v>
      </c>
      <c r="CY41" s="29">
        <v>428.97261600000002</v>
      </c>
      <c r="CZ41" s="29">
        <v>429.27556299999998</v>
      </c>
      <c r="DA41" s="29">
        <v>438.29034999999999</v>
      </c>
      <c r="DB41" s="29">
        <v>438.29034999999999</v>
      </c>
      <c r="DC41" s="29">
        <v>438.29034999999999</v>
      </c>
      <c r="DD41" s="29">
        <v>438.29034999999999</v>
      </c>
      <c r="DE41" s="29">
        <v>464.476159</v>
      </c>
      <c r="DF41" s="29">
        <v>464.476159</v>
      </c>
      <c r="DG41" s="29">
        <v>464.476159</v>
      </c>
      <c r="DH41" s="29">
        <v>475.63732399999998</v>
      </c>
      <c r="DI41" s="29">
        <v>475.63732399999998</v>
      </c>
      <c r="DJ41" s="29">
        <v>476.06659999999999</v>
      </c>
      <c r="DK41" s="29">
        <v>497.959654</v>
      </c>
      <c r="DL41" s="29">
        <v>501.39385800000002</v>
      </c>
      <c r="DM41" s="29">
        <v>501.39385800000002</v>
      </c>
      <c r="DN41" s="29">
        <v>501.39385800000002</v>
      </c>
      <c r="DO41" s="29">
        <v>514.70140000000004</v>
      </c>
      <c r="DP41" s="29">
        <v>545.609241</v>
      </c>
      <c r="DQ41" s="29">
        <v>541.74576100000002</v>
      </c>
      <c r="DR41" s="29">
        <v>553.76547600000004</v>
      </c>
      <c r="DS41" s="29">
        <v>595.83448099999998</v>
      </c>
      <c r="DT41" s="29">
        <v>598.41013499999997</v>
      </c>
      <c r="DU41" s="29">
        <v>598.41013499999997</v>
      </c>
      <c r="DV41" s="29">
        <v>612.57622900000001</v>
      </c>
      <c r="DW41" s="29">
        <v>643.05479400000002</v>
      </c>
      <c r="DX41" s="29">
        <v>654.64523399999996</v>
      </c>
      <c r="DY41" s="29">
        <v>654.64523399999996</v>
      </c>
      <c r="DZ41" s="29">
        <v>652.06957999999997</v>
      </c>
      <c r="EA41" s="29">
        <v>679.11394099999995</v>
      </c>
      <c r="EB41" s="29">
        <v>691.56293200000005</v>
      </c>
      <c r="EC41" s="29">
        <v>713.00138300000003</v>
      </c>
      <c r="ED41" s="29">
        <v>746.19640400000003</v>
      </c>
      <c r="EE41" s="29">
        <v>751.03734399999996</v>
      </c>
      <c r="EF41" s="29">
        <v>753.112033</v>
      </c>
      <c r="EG41" s="29">
        <v>764.86860300000001</v>
      </c>
      <c r="EH41" s="29">
        <v>784.23236499999996</v>
      </c>
      <c r="EI41" s="29">
        <v>828.49239299999999</v>
      </c>
      <c r="EJ41" s="29">
        <v>846.473029</v>
      </c>
      <c r="EK41" s="29">
        <v>872.06085800000005</v>
      </c>
      <c r="EL41" s="29">
        <v>875.51867200000004</v>
      </c>
      <c r="EM41" s="29">
        <v>866.52835400000004</v>
      </c>
      <c r="EN41" s="29">
        <v>871.36929499999997</v>
      </c>
      <c r="EO41" s="29">
        <v>877.59336099999996</v>
      </c>
      <c r="EP41" s="29">
        <v>887.27524200000005</v>
      </c>
      <c r="EQ41" s="29">
        <v>903.87275199999999</v>
      </c>
      <c r="ER41" s="29">
        <v>906.639004</v>
      </c>
      <c r="ES41" s="29">
        <v>913.55463299999997</v>
      </c>
      <c r="ET41" s="29">
        <v>931.53526999999997</v>
      </c>
      <c r="EU41" s="29">
        <v>951.59059500000001</v>
      </c>
      <c r="EV41" s="29">
        <v>950.89903200000003</v>
      </c>
      <c r="EW41" s="29">
        <v>941.90871400000003</v>
      </c>
      <c r="EX41" s="29">
        <v>943.29183999999998</v>
      </c>
      <c r="EY41" s="29">
        <v>948.13278000000003</v>
      </c>
      <c r="EZ41" s="29">
        <v>943.29183999999998</v>
      </c>
      <c r="FA41" s="29">
        <v>939.834025</v>
      </c>
      <c r="FB41" s="29">
        <v>953.66528400000004</v>
      </c>
      <c r="FC41" s="29">
        <v>943.98340199999996</v>
      </c>
      <c r="FD41" s="29">
        <v>947.44121700000005</v>
      </c>
      <c r="FE41" s="29">
        <v>946.05809099999999</v>
      </c>
      <c r="FF41" s="29">
        <v>932.91839600000003</v>
      </c>
      <c r="FG41" s="29">
        <v>964.03872799999999</v>
      </c>
      <c r="FH41" s="29">
        <v>962.65560200000004</v>
      </c>
      <c r="FI41" s="29">
        <v>962.65560200000004</v>
      </c>
      <c r="FJ41" s="29">
        <v>964.03872799999999</v>
      </c>
      <c r="FK41" s="29">
        <v>958.50622399999997</v>
      </c>
      <c r="FL41" s="29">
        <v>954.35684600000002</v>
      </c>
      <c r="FM41" s="29">
        <v>955.04840899999999</v>
      </c>
      <c r="FN41" s="29">
        <v>970.26279399999999</v>
      </c>
      <c r="FO41" s="29">
        <v>969.57123100000001</v>
      </c>
      <c r="FP41" s="29">
        <v>993.77593400000001</v>
      </c>
      <c r="FQ41" s="29">
        <v>994.46749699999998</v>
      </c>
      <c r="FR41" s="29">
        <v>1000.691563</v>
      </c>
      <c r="FS41" s="29">
        <v>996.54218500000002</v>
      </c>
      <c r="FT41" s="29">
        <v>1000</v>
      </c>
      <c r="FU41" s="29">
        <v>1006.915629</v>
      </c>
      <c r="FV41" s="29">
        <v>1011</v>
      </c>
      <c r="FW41" s="29">
        <v>1015</v>
      </c>
      <c r="FX41" s="29">
        <v>1015</v>
      </c>
      <c r="FY41" s="29">
        <v>1014</v>
      </c>
      <c r="FZ41" s="29">
        <v>1034</v>
      </c>
      <c r="GA41" s="29">
        <v>1036</v>
      </c>
      <c r="GB41" s="29">
        <v>1036</v>
      </c>
      <c r="GC41" s="29">
        <v>1039</v>
      </c>
      <c r="GD41" s="29">
        <v>1060</v>
      </c>
      <c r="GE41" s="29">
        <v>1060</v>
      </c>
      <c r="GF41" s="29">
        <v>1054</v>
      </c>
      <c r="GG41" s="29">
        <v>1052</v>
      </c>
      <c r="GH41" s="29">
        <v>1054</v>
      </c>
      <c r="GI41" s="29">
        <v>1055</v>
      </c>
      <c r="GJ41" s="29">
        <v>1058</v>
      </c>
      <c r="GK41" s="29">
        <v>1056</v>
      </c>
      <c r="GL41" s="29">
        <v>1060</v>
      </c>
      <c r="GM41" s="29">
        <v>1070</v>
      </c>
      <c r="GN41" s="29">
        <v>1097</v>
      </c>
      <c r="GO41" s="29">
        <v>1111</v>
      </c>
      <c r="GP41" s="29">
        <v>1138</v>
      </c>
      <c r="GQ41" s="29">
        <v>1184</v>
      </c>
      <c r="GR41" s="29">
        <v>1207</v>
      </c>
      <c r="GS41" s="29">
        <v>1245</v>
      </c>
    </row>
    <row r="42" spans="1:201" ht="12.6">
      <c r="A42" s="51" t="s">
        <v>601</v>
      </c>
      <c r="B42" s="432"/>
      <c r="C42" s="432"/>
      <c r="D42" s="432"/>
      <c r="E42" s="432"/>
      <c r="F42" s="432" t="s">
        <v>1827</v>
      </c>
      <c r="G42" s="432" t="s">
        <v>1827</v>
      </c>
      <c r="H42" s="432" t="s">
        <v>1827</v>
      </c>
      <c r="I42" s="432" t="s">
        <v>1827</v>
      </c>
      <c r="J42" s="432" t="s">
        <v>1827</v>
      </c>
      <c r="K42" s="432" t="s">
        <v>1827</v>
      </c>
      <c r="L42" s="432" t="s">
        <v>1827</v>
      </c>
      <c r="M42" s="432" t="s">
        <v>1827</v>
      </c>
      <c r="N42" s="432" t="s">
        <v>1827</v>
      </c>
      <c r="O42" s="432" t="s">
        <v>1827</v>
      </c>
      <c r="P42" s="432" t="s">
        <v>1827</v>
      </c>
      <c r="Q42" s="432" t="s">
        <v>1827</v>
      </c>
      <c r="R42" s="432" t="s">
        <v>1827</v>
      </c>
      <c r="S42" s="432" t="s">
        <v>1827</v>
      </c>
      <c r="T42" s="432" t="s">
        <v>1827</v>
      </c>
      <c r="U42" s="432" t="s">
        <v>1827</v>
      </c>
      <c r="V42" s="432" t="s">
        <v>1827</v>
      </c>
      <c r="W42" s="432" t="s">
        <v>1827</v>
      </c>
      <c r="X42" s="432" t="s">
        <v>1827</v>
      </c>
      <c r="Y42" s="432" t="s">
        <v>1827</v>
      </c>
      <c r="Z42" s="432" t="s">
        <v>1827</v>
      </c>
      <c r="AA42" s="432" t="s">
        <v>1827</v>
      </c>
      <c r="AB42" s="432" t="s">
        <v>1827</v>
      </c>
      <c r="AC42" s="432" t="s">
        <v>1827</v>
      </c>
      <c r="AD42" s="432" t="s">
        <v>1827</v>
      </c>
      <c r="AE42" s="432">
        <v>184.55582699999999</v>
      </c>
      <c r="AF42" s="432">
        <v>197.17054200000001</v>
      </c>
      <c r="AG42" s="432">
        <v>209.52506299999999</v>
      </c>
      <c r="AH42" s="432">
        <v>209.334565</v>
      </c>
      <c r="AI42" s="432">
        <v>213.204936</v>
      </c>
      <c r="AJ42" s="432">
        <v>254.947328</v>
      </c>
      <c r="AK42" s="432">
        <v>263.34784500000001</v>
      </c>
      <c r="AL42" s="432">
        <v>264.03085099999998</v>
      </c>
      <c r="AM42" s="432">
        <v>264.37003099999998</v>
      </c>
      <c r="AN42" s="432">
        <v>264.630224</v>
      </c>
      <c r="AO42" s="432">
        <v>261.69376</v>
      </c>
      <c r="AP42" s="432">
        <v>255.97416100000001</v>
      </c>
      <c r="AQ42" s="432">
        <v>255.97416100000001</v>
      </c>
      <c r="AR42" s="432">
        <v>266.047347</v>
      </c>
      <c r="AS42" s="432">
        <v>268.33332799999999</v>
      </c>
      <c r="AT42" s="432">
        <v>275.549038</v>
      </c>
      <c r="AU42" s="432">
        <v>281.98416800000001</v>
      </c>
      <c r="AV42" s="432">
        <v>338.046468</v>
      </c>
      <c r="AW42" s="432">
        <v>340.49042400000002</v>
      </c>
      <c r="AX42" s="432">
        <v>340.21164599999997</v>
      </c>
      <c r="AY42" s="432">
        <v>360.59498000000002</v>
      </c>
      <c r="AZ42" s="432">
        <v>381.90292799999997</v>
      </c>
      <c r="BA42" s="432">
        <v>384.50021199999998</v>
      </c>
      <c r="BB42" s="432">
        <v>430.09438999999998</v>
      </c>
      <c r="BC42" s="432">
        <v>432.41289499999999</v>
      </c>
      <c r="BD42" s="432">
        <v>446.65381600000001</v>
      </c>
      <c r="BE42" s="432">
        <v>453.92992700000002</v>
      </c>
      <c r="BF42" s="432">
        <v>455.830265</v>
      </c>
      <c r="BG42" s="432">
        <v>454.85454199999998</v>
      </c>
      <c r="BH42" s="432">
        <v>470.99115399999999</v>
      </c>
      <c r="BI42" s="432">
        <v>466.12182799999999</v>
      </c>
      <c r="BJ42" s="432">
        <v>464.63036399999999</v>
      </c>
      <c r="BK42" s="432">
        <v>464.63036399999999</v>
      </c>
      <c r="BL42" s="432">
        <v>468.57042999999999</v>
      </c>
      <c r="BM42" s="432">
        <v>483.04366599999997</v>
      </c>
      <c r="BN42" s="432">
        <v>474.85223300000001</v>
      </c>
      <c r="BO42" s="432">
        <v>475.934821</v>
      </c>
      <c r="BP42" s="432">
        <v>470.78207099999997</v>
      </c>
      <c r="BQ42" s="432">
        <v>475.50271500000002</v>
      </c>
      <c r="BR42" s="432">
        <v>476.64570600000002</v>
      </c>
      <c r="BS42" s="432">
        <v>478.18363199999999</v>
      </c>
      <c r="BT42" s="432">
        <v>482.132991</v>
      </c>
      <c r="BU42" s="432">
        <v>491.03530799999999</v>
      </c>
      <c r="BV42" s="432">
        <v>491.671852</v>
      </c>
      <c r="BW42" s="432">
        <v>487.12776700000001</v>
      </c>
      <c r="BX42" s="432">
        <v>489.55778400000003</v>
      </c>
      <c r="BY42" s="432">
        <v>493.40956899999998</v>
      </c>
      <c r="BZ42" s="432">
        <v>491.53710899999999</v>
      </c>
      <c r="CA42" s="432">
        <v>493.38633800000002</v>
      </c>
      <c r="CB42" s="432">
        <v>497.61912100000001</v>
      </c>
      <c r="CC42" s="432">
        <v>475.55382400000002</v>
      </c>
      <c r="CD42" s="432">
        <v>475.55382400000002</v>
      </c>
      <c r="CE42" s="432">
        <v>476.98048599999998</v>
      </c>
      <c r="CF42" s="432">
        <v>477.93159400000002</v>
      </c>
      <c r="CG42" s="432">
        <v>477.93159400000002</v>
      </c>
      <c r="CH42" s="432">
        <v>476.504932</v>
      </c>
      <c r="CI42" s="432">
        <v>476.98048599999998</v>
      </c>
      <c r="CJ42" s="432">
        <v>500.75817699999999</v>
      </c>
      <c r="CK42" s="432">
        <v>505.038161</v>
      </c>
      <c r="CL42" s="432">
        <v>505.038161</v>
      </c>
      <c r="CM42" s="432">
        <v>505.038161</v>
      </c>
      <c r="CN42" s="432">
        <v>513.12257599999998</v>
      </c>
      <c r="CO42" s="432">
        <v>521.20699100000002</v>
      </c>
      <c r="CP42" s="432">
        <v>521.20699100000002</v>
      </c>
      <c r="CQ42" s="432">
        <v>521.20699100000002</v>
      </c>
      <c r="CR42" s="432">
        <v>538.80248300000005</v>
      </c>
      <c r="CS42" s="432">
        <v>541.65580599999998</v>
      </c>
      <c r="CT42" s="432">
        <v>541.65580599999998</v>
      </c>
      <c r="CU42" s="432">
        <v>541.65580599999998</v>
      </c>
      <c r="CV42" s="432">
        <v>542.13135999999997</v>
      </c>
      <c r="CW42" s="432">
        <v>539.75359100000003</v>
      </c>
      <c r="CX42" s="432">
        <v>539.75359100000003</v>
      </c>
      <c r="CY42" s="432">
        <v>539.75359100000003</v>
      </c>
      <c r="CZ42" s="432">
        <v>547.36245199999996</v>
      </c>
      <c r="DA42" s="432">
        <v>539.15201500000001</v>
      </c>
      <c r="DB42" s="432">
        <v>539.15201500000001</v>
      </c>
      <c r="DC42" s="432">
        <v>539.15201500000001</v>
      </c>
      <c r="DD42" s="432">
        <v>556.12025100000005</v>
      </c>
      <c r="DE42" s="432">
        <v>559.95178799999996</v>
      </c>
      <c r="DF42" s="432">
        <v>559.95178799999996</v>
      </c>
      <c r="DG42" s="432">
        <v>559.95178799999996</v>
      </c>
      <c r="DH42" s="432">
        <v>582.941012</v>
      </c>
      <c r="DI42" s="432">
        <v>590.05672300000003</v>
      </c>
      <c r="DJ42" s="432">
        <v>590.05672300000003</v>
      </c>
      <c r="DK42" s="432">
        <v>590.05672300000003</v>
      </c>
      <c r="DL42" s="432">
        <v>603.74078499999996</v>
      </c>
      <c r="DM42" s="432">
        <v>613.59330899999998</v>
      </c>
      <c r="DN42" s="432">
        <v>613.59330899999998</v>
      </c>
      <c r="DO42" s="432">
        <v>613.59330899999998</v>
      </c>
      <c r="DP42" s="432">
        <v>616.33012099999996</v>
      </c>
      <c r="DQ42" s="432">
        <v>619.61429599999997</v>
      </c>
      <c r="DR42" s="432">
        <v>619.61429599999997</v>
      </c>
      <c r="DS42" s="432">
        <v>619.61429599999997</v>
      </c>
      <c r="DT42" s="432">
        <v>640.41406900000004</v>
      </c>
      <c r="DU42" s="432">
        <v>646.98241800000005</v>
      </c>
      <c r="DV42" s="432">
        <v>646.98241800000005</v>
      </c>
      <c r="DW42" s="432">
        <v>646.98241800000005</v>
      </c>
      <c r="DX42" s="432">
        <v>690.22405200000003</v>
      </c>
      <c r="DY42" s="432">
        <v>700.62393899999995</v>
      </c>
      <c r="DZ42" s="432">
        <v>700.62393899999995</v>
      </c>
      <c r="EA42" s="432">
        <v>700.62393899999995</v>
      </c>
      <c r="EB42" s="432">
        <v>723.06579899999997</v>
      </c>
      <c r="EC42" s="432">
        <v>741.14244399999995</v>
      </c>
      <c r="ED42" s="432">
        <v>741.14244399999995</v>
      </c>
      <c r="EE42" s="432">
        <v>741.14244399999995</v>
      </c>
      <c r="EF42" s="432">
        <v>743.31164100000001</v>
      </c>
      <c r="EG42" s="432">
        <v>754.15762800000005</v>
      </c>
      <c r="EH42" s="432">
        <v>754.15762800000005</v>
      </c>
      <c r="EI42" s="432">
        <v>754.15762800000005</v>
      </c>
      <c r="EJ42" s="432">
        <v>754.15762800000005</v>
      </c>
      <c r="EK42" s="432">
        <v>765.72668099999999</v>
      </c>
      <c r="EL42" s="432">
        <v>765.72668099999999</v>
      </c>
      <c r="EM42" s="432">
        <v>765.72668099999999</v>
      </c>
      <c r="EN42" s="432">
        <v>788.86478699999998</v>
      </c>
      <c r="EO42" s="432">
        <v>793.20318099999997</v>
      </c>
      <c r="EP42" s="432">
        <v>793.20318099999997</v>
      </c>
      <c r="EQ42" s="432">
        <v>793.20318099999997</v>
      </c>
      <c r="ER42" s="432">
        <v>802.60303699999997</v>
      </c>
      <c r="ES42" s="432">
        <v>810.55676100000005</v>
      </c>
      <c r="ET42" s="432">
        <v>810.55676100000005</v>
      </c>
      <c r="EU42" s="432">
        <v>810.55676100000005</v>
      </c>
      <c r="EV42" s="432">
        <v>828.63340600000004</v>
      </c>
      <c r="EW42" s="432">
        <v>840.20245799999998</v>
      </c>
      <c r="EX42" s="432">
        <v>840.20245799999998</v>
      </c>
      <c r="EY42" s="432">
        <v>840.20245799999998</v>
      </c>
      <c r="EZ42" s="432">
        <v>854.66377399999999</v>
      </c>
      <c r="FA42" s="432">
        <v>860.44830100000001</v>
      </c>
      <c r="FB42" s="432">
        <v>860.44830100000001</v>
      </c>
      <c r="FC42" s="432">
        <v>860.44830100000001</v>
      </c>
      <c r="FD42" s="432">
        <v>861.89443200000005</v>
      </c>
      <c r="FE42" s="432">
        <v>843.81778699999995</v>
      </c>
      <c r="FF42" s="432">
        <v>843.81778699999995</v>
      </c>
      <c r="FG42" s="432">
        <v>843.81778699999995</v>
      </c>
      <c r="FH42" s="432">
        <v>863.34056399999997</v>
      </c>
      <c r="FI42" s="432">
        <v>902.38611700000001</v>
      </c>
      <c r="FJ42" s="432">
        <v>902.38611700000001</v>
      </c>
      <c r="FK42" s="432">
        <v>902.38611700000001</v>
      </c>
      <c r="FL42" s="432">
        <v>911.78597300000001</v>
      </c>
      <c r="FM42" s="432">
        <v>897.324657</v>
      </c>
      <c r="FN42" s="432">
        <v>897.324657</v>
      </c>
      <c r="FO42" s="432">
        <v>897.324657</v>
      </c>
      <c r="FP42" s="432">
        <v>944.32393300000001</v>
      </c>
      <c r="FQ42" s="432">
        <v>953.00072299999999</v>
      </c>
      <c r="FR42" s="432">
        <v>953.00072299999999</v>
      </c>
      <c r="FS42" s="432">
        <v>953.00072299999999</v>
      </c>
      <c r="FT42" s="432">
        <v>1000</v>
      </c>
      <c r="FU42" s="432">
        <v>1002.892263</v>
      </c>
      <c r="FV42" s="432">
        <v>1003</v>
      </c>
      <c r="FW42" s="432">
        <v>1003</v>
      </c>
      <c r="FX42" s="432">
        <v>1054</v>
      </c>
      <c r="FY42" s="432">
        <v>1065</v>
      </c>
      <c r="FZ42" s="432">
        <v>1065</v>
      </c>
      <c r="GA42" s="432">
        <v>1065</v>
      </c>
      <c r="GB42" s="432">
        <v>1111</v>
      </c>
      <c r="GC42" s="432">
        <v>1111</v>
      </c>
      <c r="GD42" s="432">
        <v>1111</v>
      </c>
      <c r="GE42" s="432">
        <v>1111</v>
      </c>
      <c r="GF42" s="432">
        <v>1168</v>
      </c>
      <c r="GG42" s="432">
        <v>1164</v>
      </c>
      <c r="GH42" s="432">
        <v>1164</v>
      </c>
      <c r="GI42" s="432">
        <v>1164</v>
      </c>
      <c r="GJ42" s="432">
        <v>1180</v>
      </c>
      <c r="GK42" s="432">
        <v>1196</v>
      </c>
      <c r="GL42" s="432">
        <v>1196</v>
      </c>
      <c r="GM42" s="432">
        <v>1196</v>
      </c>
      <c r="GN42" s="432">
        <v>1221</v>
      </c>
      <c r="GO42" s="432">
        <v>1212</v>
      </c>
      <c r="GP42" s="432">
        <v>1212</v>
      </c>
      <c r="GQ42" s="432">
        <v>1212</v>
      </c>
      <c r="GR42" s="432">
        <v>1309</v>
      </c>
      <c r="GS42" s="432">
        <v>1340</v>
      </c>
    </row>
    <row r="43" spans="1:201" ht="12.6">
      <c r="A43" s="51" t="s">
        <v>1862</v>
      </c>
      <c r="B43" s="10"/>
      <c r="C43" s="10"/>
      <c r="D43" s="10"/>
      <c r="E43" s="10"/>
      <c r="F43" s="10" t="s">
        <v>1827</v>
      </c>
      <c r="G43" s="10" t="s">
        <v>1827</v>
      </c>
      <c r="H43" s="10" t="s">
        <v>1827</v>
      </c>
      <c r="I43" s="10" t="s">
        <v>1827</v>
      </c>
      <c r="J43" s="10" t="s">
        <v>1827</v>
      </c>
      <c r="K43" s="10" t="s">
        <v>1827</v>
      </c>
      <c r="L43" s="10" t="s">
        <v>1827</v>
      </c>
      <c r="M43" s="10" t="s">
        <v>1827</v>
      </c>
      <c r="N43" s="10" t="s">
        <v>1827</v>
      </c>
      <c r="O43" s="10" t="s">
        <v>1827</v>
      </c>
      <c r="P43" s="10" t="s">
        <v>1827</v>
      </c>
      <c r="Q43" s="10" t="s">
        <v>1827</v>
      </c>
      <c r="R43" s="10" t="s">
        <v>1827</v>
      </c>
      <c r="S43" s="10" t="s">
        <v>1827</v>
      </c>
      <c r="T43" s="10" t="s">
        <v>1827</v>
      </c>
      <c r="U43" s="10" t="s">
        <v>1827</v>
      </c>
      <c r="V43" s="10" t="s">
        <v>1827</v>
      </c>
      <c r="W43" s="10" t="s">
        <v>1827</v>
      </c>
      <c r="X43" s="10" t="s">
        <v>1827</v>
      </c>
      <c r="Y43" s="10" t="s">
        <v>1827</v>
      </c>
      <c r="Z43" s="10" t="s">
        <v>1827</v>
      </c>
      <c r="AA43" s="10" t="s">
        <v>1827</v>
      </c>
      <c r="AB43" s="10" t="s">
        <v>1827</v>
      </c>
      <c r="AC43" s="10" t="s">
        <v>1827</v>
      </c>
      <c r="AD43" s="10" t="s">
        <v>1827</v>
      </c>
      <c r="AE43" s="10" t="s">
        <v>1827</v>
      </c>
      <c r="AF43" s="10" t="s">
        <v>1827</v>
      </c>
      <c r="AG43" s="10" t="s">
        <v>1827</v>
      </c>
      <c r="AH43" s="10" t="s">
        <v>1827</v>
      </c>
      <c r="AI43" s="10" t="s">
        <v>1827</v>
      </c>
      <c r="AJ43" s="10" t="s">
        <v>1827</v>
      </c>
      <c r="AK43" s="10" t="s">
        <v>1827</v>
      </c>
      <c r="AL43" s="10" t="s">
        <v>1827</v>
      </c>
      <c r="AM43" s="10" t="s">
        <v>1827</v>
      </c>
      <c r="AN43" s="10" t="s">
        <v>1827</v>
      </c>
      <c r="AO43" s="10" t="s">
        <v>1827</v>
      </c>
      <c r="AP43" s="10" t="s">
        <v>1827</v>
      </c>
      <c r="AQ43" s="10" t="s">
        <v>1827</v>
      </c>
      <c r="AR43" s="10" t="s">
        <v>1827</v>
      </c>
      <c r="AS43" s="10" t="s">
        <v>1827</v>
      </c>
      <c r="AT43" s="10" t="s">
        <v>1827</v>
      </c>
      <c r="AU43" s="10" t="s">
        <v>1827</v>
      </c>
      <c r="AV43" s="10" t="s">
        <v>1827</v>
      </c>
      <c r="AW43" s="10" t="s">
        <v>1827</v>
      </c>
      <c r="AX43" s="10" t="s">
        <v>1827</v>
      </c>
      <c r="AY43" s="10" t="s">
        <v>1827</v>
      </c>
      <c r="AZ43" s="10" t="s">
        <v>1827</v>
      </c>
      <c r="BA43" s="10" t="s">
        <v>1827</v>
      </c>
      <c r="BB43" s="10" t="s">
        <v>1827</v>
      </c>
      <c r="BC43" s="10" t="s">
        <v>1827</v>
      </c>
      <c r="BD43" s="10" t="s">
        <v>1827</v>
      </c>
      <c r="BE43" s="10" t="s">
        <v>1827</v>
      </c>
      <c r="BF43" s="10" t="s">
        <v>1827</v>
      </c>
      <c r="BG43" s="10" t="s">
        <v>1827</v>
      </c>
      <c r="BH43" s="10" t="s">
        <v>1827</v>
      </c>
      <c r="BI43" s="10" t="s">
        <v>1827</v>
      </c>
      <c r="BJ43" s="10" t="s">
        <v>1827</v>
      </c>
      <c r="BK43" s="10" t="s">
        <v>1827</v>
      </c>
      <c r="BL43" s="10" t="s">
        <v>1827</v>
      </c>
      <c r="BM43" s="10" t="s">
        <v>1827</v>
      </c>
      <c r="BN43" s="10" t="s">
        <v>1827</v>
      </c>
      <c r="BO43" s="10" t="s">
        <v>1827</v>
      </c>
      <c r="BP43" s="10" t="s">
        <v>1827</v>
      </c>
      <c r="BQ43" s="10" t="s">
        <v>1827</v>
      </c>
      <c r="BR43" s="10" t="s">
        <v>1827</v>
      </c>
      <c r="BS43" s="10" t="s">
        <v>1827</v>
      </c>
      <c r="BT43" s="10" t="s">
        <v>1827</v>
      </c>
      <c r="BU43" s="10" t="s">
        <v>1827</v>
      </c>
      <c r="BV43" s="10" t="s">
        <v>1827</v>
      </c>
      <c r="BW43" s="10" t="s">
        <v>1827</v>
      </c>
      <c r="BX43" s="10" t="s">
        <v>1827</v>
      </c>
      <c r="BY43" s="10" t="s">
        <v>1827</v>
      </c>
      <c r="BZ43" s="10" t="s">
        <v>1827</v>
      </c>
      <c r="CA43" s="10" t="s">
        <v>1827</v>
      </c>
      <c r="CB43" s="10" t="s">
        <v>1827</v>
      </c>
      <c r="CC43" s="10" t="s">
        <v>1827</v>
      </c>
      <c r="CD43" s="10" t="s">
        <v>1827</v>
      </c>
      <c r="CE43" s="10" t="s">
        <v>1827</v>
      </c>
      <c r="CF43" s="10" t="s">
        <v>1827</v>
      </c>
      <c r="CG43" s="10" t="s">
        <v>1827</v>
      </c>
      <c r="CH43" s="10" t="s">
        <v>1827</v>
      </c>
      <c r="CI43" s="10" t="s">
        <v>1827</v>
      </c>
      <c r="CJ43" s="10" t="s">
        <v>1827</v>
      </c>
      <c r="CK43" s="10" t="s">
        <v>1827</v>
      </c>
      <c r="CL43" s="10" t="s">
        <v>1827</v>
      </c>
      <c r="CM43" s="10" t="s">
        <v>1827</v>
      </c>
      <c r="CN43" s="10" t="s">
        <v>1827</v>
      </c>
      <c r="CO43" s="10" t="s">
        <v>1827</v>
      </c>
      <c r="CP43" s="10" t="s">
        <v>1827</v>
      </c>
      <c r="CQ43" s="10" t="s">
        <v>1827</v>
      </c>
      <c r="CR43" s="10" t="s">
        <v>1827</v>
      </c>
      <c r="CS43" s="10" t="s">
        <v>1827</v>
      </c>
      <c r="CT43" s="10" t="s">
        <v>1827</v>
      </c>
      <c r="CU43" s="10" t="s">
        <v>1827</v>
      </c>
      <c r="CV43" s="10" t="s">
        <v>1827</v>
      </c>
      <c r="CW43" s="10" t="s">
        <v>1827</v>
      </c>
      <c r="CX43" s="10" t="s">
        <v>1827</v>
      </c>
      <c r="CY43" s="10" t="s">
        <v>1827</v>
      </c>
      <c r="CZ43" s="10">
        <v>1007.543103</v>
      </c>
      <c r="DA43" s="10">
        <v>1011.853448</v>
      </c>
      <c r="DB43" s="10">
        <v>1010.775862</v>
      </c>
      <c r="DC43" s="10">
        <v>1018.318966</v>
      </c>
      <c r="DD43" s="10">
        <v>1021.551724</v>
      </c>
      <c r="DE43" s="10">
        <v>1021.551724</v>
      </c>
      <c r="DF43" s="10">
        <v>1065.732759</v>
      </c>
      <c r="DG43" s="10">
        <v>1073.275862</v>
      </c>
      <c r="DH43" s="10">
        <v>1084.0517239999999</v>
      </c>
      <c r="DI43" s="10">
        <v>1088.362069</v>
      </c>
      <c r="DJ43" s="10">
        <v>1091.594828</v>
      </c>
      <c r="DK43" s="10">
        <v>1078.6637929999999</v>
      </c>
      <c r="DL43" s="10">
        <v>1109.9137929999999</v>
      </c>
      <c r="DM43" s="10">
        <v>1112.068966</v>
      </c>
      <c r="DN43" s="10">
        <v>1093.75</v>
      </c>
      <c r="DO43" s="10">
        <v>1091.594828</v>
      </c>
      <c r="DP43" s="10">
        <v>1092.6724139999999</v>
      </c>
      <c r="DQ43" s="10">
        <v>1079.7413790000001</v>
      </c>
      <c r="DR43" s="10">
        <v>1089.4396549999999</v>
      </c>
      <c r="DS43" s="10">
        <v>1071.12069</v>
      </c>
      <c r="DT43" s="10">
        <v>1088.362069</v>
      </c>
      <c r="DU43" s="10">
        <v>1087.2844829999999</v>
      </c>
      <c r="DV43" s="10">
        <v>1091.594828</v>
      </c>
      <c r="DW43" s="10">
        <v>1084.0517239999999</v>
      </c>
      <c r="DX43" s="10">
        <v>1090.517241</v>
      </c>
      <c r="DY43" s="10">
        <v>1077.5862070000001</v>
      </c>
      <c r="DZ43" s="10">
        <v>1078.6637929999999</v>
      </c>
      <c r="EA43" s="10">
        <v>1077.5862070000001</v>
      </c>
      <c r="EB43" s="10">
        <v>1077.5862070000001</v>
      </c>
      <c r="EC43" s="10">
        <v>1107.7586209999999</v>
      </c>
      <c r="ED43" s="10">
        <v>1092.6724139999999</v>
      </c>
      <c r="EE43" s="10">
        <v>1075.431034</v>
      </c>
      <c r="EF43" s="10">
        <v>1098.0603450000001</v>
      </c>
      <c r="EG43" s="10">
        <v>1093.75</v>
      </c>
      <c r="EH43" s="10">
        <v>1078.6637929999999</v>
      </c>
      <c r="EI43" s="10">
        <v>1060.344828</v>
      </c>
      <c r="EJ43" s="10">
        <v>1056.0344829999999</v>
      </c>
      <c r="EK43" s="10">
        <v>1059.267241</v>
      </c>
      <c r="EL43" s="10">
        <v>1076.5086209999999</v>
      </c>
      <c r="EM43" s="10">
        <v>1073.275862</v>
      </c>
      <c r="EN43" s="10">
        <v>1094.8275860000001</v>
      </c>
      <c r="EO43" s="10">
        <v>1062.5</v>
      </c>
      <c r="EP43" s="10">
        <v>1078.6637929999999</v>
      </c>
      <c r="EQ43" s="10">
        <v>1043.1034480000001</v>
      </c>
      <c r="ER43" s="10">
        <v>1039.87069</v>
      </c>
      <c r="ES43" s="10">
        <v>1035.5603450000001</v>
      </c>
      <c r="ET43" s="10">
        <v>1063.5775860000001</v>
      </c>
      <c r="EU43" s="10">
        <v>1019.396552</v>
      </c>
      <c r="EV43" s="10">
        <v>1023.706897</v>
      </c>
      <c r="EW43" s="10">
        <v>1023.706897</v>
      </c>
      <c r="EX43" s="10">
        <v>994.61206900000002</v>
      </c>
      <c r="EY43" s="10">
        <v>978.44827599999996</v>
      </c>
      <c r="EZ43" s="10">
        <v>992.45689700000003</v>
      </c>
      <c r="FA43" s="10">
        <v>1033.405172</v>
      </c>
      <c r="FB43" s="10">
        <v>969.827586</v>
      </c>
      <c r="FC43" s="10">
        <v>941.81034499999998</v>
      </c>
      <c r="FD43" s="10">
        <v>963.36206900000002</v>
      </c>
      <c r="FE43" s="10">
        <v>946.12068999999997</v>
      </c>
      <c r="FF43" s="10">
        <v>970.90517199999999</v>
      </c>
      <c r="FG43" s="10">
        <v>940.73275899999999</v>
      </c>
      <c r="FH43" s="10">
        <v>969.827586</v>
      </c>
      <c r="FI43" s="10">
        <v>952.58620699999994</v>
      </c>
      <c r="FJ43" s="10">
        <v>997.84482800000001</v>
      </c>
      <c r="FK43" s="10">
        <v>981.68103399999995</v>
      </c>
      <c r="FL43" s="10">
        <v>971.98275899999999</v>
      </c>
      <c r="FM43" s="10">
        <v>1010.775862</v>
      </c>
      <c r="FN43" s="10">
        <v>1037.7155170000001</v>
      </c>
      <c r="FO43" s="10">
        <v>1047.4137929999999</v>
      </c>
      <c r="FP43" s="10">
        <v>1019.396552</v>
      </c>
      <c r="FQ43" s="10">
        <v>1051.724138</v>
      </c>
      <c r="FR43" s="10">
        <v>1019.396552</v>
      </c>
      <c r="FS43" s="10">
        <v>1042.025862</v>
      </c>
      <c r="FT43" s="10">
        <v>1000</v>
      </c>
      <c r="FU43" s="10">
        <v>1015.0862069999999</v>
      </c>
      <c r="FV43" s="10">
        <v>1016</v>
      </c>
      <c r="FW43" s="10">
        <v>1032</v>
      </c>
      <c r="FX43" s="10">
        <v>1019</v>
      </c>
      <c r="FY43" s="10">
        <v>1024</v>
      </c>
      <c r="FZ43" s="10">
        <v>1056</v>
      </c>
      <c r="GA43" s="10">
        <v>985</v>
      </c>
      <c r="GB43" s="10">
        <v>1032</v>
      </c>
      <c r="GC43" s="10">
        <v>1034</v>
      </c>
      <c r="GD43" s="10">
        <v>1029</v>
      </c>
      <c r="GE43" s="10">
        <v>1009</v>
      </c>
      <c r="GF43" s="10">
        <v>1010</v>
      </c>
      <c r="GG43" s="10">
        <v>1004</v>
      </c>
      <c r="GH43" s="10">
        <v>1076</v>
      </c>
      <c r="GI43" s="10">
        <v>1036</v>
      </c>
      <c r="GJ43" s="10">
        <v>1050</v>
      </c>
      <c r="GK43" s="10">
        <v>1061</v>
      </c>
      <c r="GL43" s="10">
        <v>1165</v>
      </c>
      <c r="GM43" s="10">
        <v>1113</v>
      </c>
      <c r="GN43" s="10">
        <v>1148</v>
      </c>
      <c r="GO43" s="10">
        <v>1182</v>
      </c>
      <c r="GP43" s="10">
        <v>1250</v>
      </c>
      <c r="GQ43" s="10">
        <v>1186</v>
      </c>
      <c r="GR43" s="10">
        <v>1225</v>
      </c>
      <c r="GS43" s="10">
        <v>1213</v>
      </c>
    </row>
    <row r="44" spans="1:201" ht="12.6">
      <c r="A44" s="51" t="s">
        <v>1863</v>
      </c>
      <c r="B44" s="10"/>
      <c r="C44" s="10"/>
      <c r="D44" s="10"/>
      <c r="E44" s="10"/>
      <c r="F44" s="10" t="s">
        <v>1827</v>
      </c>
      <c r="G44" s="10" t="s">
        <v>1827</v>
      </c>
      <c r="H44" s="10" t="s">
        <v>1827</v>
      </c>
      <c r="I44" s="10" t="s">
        <v>1827</v>
      </c>
      <c r="J44" s="10" t="s">
        <v>1827</v>
      </c>
      <c r="K44" s="10" t="s">
        <v>1827</v>
      </c>
      <c r="L44" s="10" t="s">
        <v>1827</v>
      </c>
      <c r="M44" s="10" t="s">
        <v>1827</v>
      </c>
      <c r="N44" s="10" t="s">
        <v>1827</v>
      </c>
      <c r="O44" s="10" t="s">
        <v>1827</v>
      </c>
      <c r="P44" s="10" t="s">
        <v>1827</v>
      </c>
      <c r="Q44" s="10" t="s">
        <v>1827</v>
      </c>
      <c r="R44" s="10" t="s">
        <v>1827</v>
      </c>
      <c r="S44" s="10" t="s">
        <v>1827</v>
      </c>
      <c r="T44" s="10" t="s">
        <v>1827</v>
      </c>
      <c r="U44" s="10" t="s">
        <v>1827</v>
      </c>
      <c r="V44" s="10" t="s">
        <v>1827</v>
      </c>
      <c r="W44" s="10" t="s">
        <v>1827</v>
      </c>
      <c r="X44" s="10" t="s">
        <v>1827</v>
      </c>
      <c r="Y44" s="10" t="s">
        <v>1827</v>
      </c>
      <c r="Z44" s="10" t="s">
        <v>1827</v>
      </c>
      <c r="AA44" s="10" t="s">
        <v>1827</v>
      </c>
      <c r="AB44" s="10" t="s">
        <v>1827</v>
      </c>
      <c r="AC44" s="10" t="s">
        <v>1827</v>
      </c>
      <c r="AD44" s="10" t="s">
        <v>1827</v>
      </c>
      <c r="AE44" s="10" t="s">
        <v>1827</v>
      </c>
      <c r="AF44" s="10" t="s">
        <v>1827</v>
      </c>
      <c r="AG44" s="10" t="s">
        <v>1827</v>
      </c>
      <c r="AH44" s="10" t="s">
        <v>1827</v>
      </c>
      <c r="AI44" s="10">
        <v>434.29567300000002</v>
      </c>
      <c r="AJ44" s="10">
        <v>448.75612799999999</v>
      </c>
      <c r="AK44" s="10">
        <v>459.36046199999998</v>
      </c>
      <c r="AL44" s="10">
        <v>463.21658300000001</v>
      </c>
      <c r="AM44" s="10">
        <v>458.86462499999999</v>
      </c>
      <c r="AN44" s="10">
        <v>469.23054300000001</v>
      </c>
      <c r="AO44" s="10">
        <v>469.921604</v>
      </c>
      <c r="AP44" s="10">
        <v>482.015175</v>
      </c>
      <c r="AQ44" s="10">
        <v>486.35331100000002</v>
      </c>
      <c r="AR44" s="10">
        <v>484.90726599999999</v>
      </c>
      <c r="AS44" s="10">
        <v>500.81376599999999</v>
      </c>
      <c r="AT44" s="10">
        <v>529.73467700000003</v>
      </c>
      <c r="AU44" s="10">
        <v>549.01528499999995</v>
      </c>
      <c r="AV44" s="10">
        <v>559.61961799999995</v>
      </c>
      <c r="AW44" s="10">
        <v>582.27433099999996</v>
      </c>
      <c r="AX44" s="10">
        <v>592.87866499999996</v>
      </c>
      <c r="AY44" s="10">
        <v>604.92904399999998</v>
      </c>
      <c r="AZ44" s="10">
        <v>636.74204599999996</v>
      </c>
      <c r="BA44" s="10">
        <v>644.93630399999995</v>
      </c>
      <c r="BB44" s="10">
        <v>710.49036799999999</v>
      </c>
      <c r="BC44" s="10">
        <v>732.66306599999996</v>
      </c>
      <c r="BD44" s="10">
        <v>741.339339</v>
      </c>
      <c r="BE44" s="10">
        <v>735.55515700000001</v>
      </c>
      <c r="BF44" s="10">
        <v>747.12352099999998</v>
      </c>
      <c r="BG44" s="10">
        <v>747.60553600000003</v>
      </c>
      <c r="BH44" s="10">
        <v>749.53359699999999</v>
      </c>
      <c r="BI44" s="10">
        <v>737.96523300000001</v>
      </c>
      <c r="BJ44" s="10">
        <v>755.79979400000002</v>
      </c>
      <c r="BK44" s="10">
        <v>749.75339599999995</v>
      </c>
      <c r="BL44" s="10">
        <v>754.28819499999997</v>
      </c>
      <c r="BM44" s="10">
        <v>759.57879300000002</v>
      </c>
      <c r="BN44" s="10">
        <v>768.64839099999995</v>
      </c>
      <c r="BO44" s="10">
        <v>769.40418999999997</v>
      </c>
      <c r="BP44" s="10">
        <v>768.64839099999995</v>
      </c>
      <c r="BQ44" s="10">
        <v>769.40418999999997</v>
      </c>
      <c r="BR44" s="10">
        <v>761.84619299999997</v>
      </c>
      <c r="BS44" s="10">
        <v>748.99759600000004</v>
      </c>
      <c r="BT44" s="10">
        <v>725.56780300000003</v>
      </c>
      <c r="BU44" s="10">
        <v>711.20760600000006</v>
      </c>
      <c r="BV44" s="10">
        <v>713.47500600000001</v>
      </c>
      <c r="BW44" s="10">
        <v>703.64960799999994</v>
      </c>
      <c r="BX44" s="10">
        <v>702.13800900000001</v>
      </c>
      <c r="BY44" s="10">
        <v>708.94020699999999</v>
      </c>
      <c r="BZ44" s="10">
        <v>694.58001100000001</v>
      </c>
      <c r="CA44" s="10">
        <v>696.09161099999994</v>
      </c>
      <c r="CB44" s="10">
        <v>690.04521199999999</v>
      </c>
      <c r="CC44" s="10">
        <v>666.61541899999997</v>
      </c>
      <c r="CD44" s="10">
        <v>662.83641999999998</v>
      </c>
      <c r="CE44" s="10">
        <v>676.75598400000001</v>
      </c>
      <c r="CF44" s="10">
        <v>683.38434900000004</v>
      </c>
      <c r="CG44" s="10">
        <v>683.38434900000004</v>
      </c>
      <c r="CH44" s="10">
        <v>702.60660499999994</v>
      </c>
      <c r="CI44" s="10">
        <v>704.59511399999997</v>
      </c>
      <c r="CJ44" s="10">
        <v>719.17751599999997</v>
      </c>
      <c r="CK44" s="10">
        <v>715.20049700000004</v>
      </c>
      <c r="CL44" s="10">
        <v>707.24645899999996</v>
      </c>
      <c r="CM44" s="10">
        <v>699.29242299999999</v>
      </c>
      <c r="CN44" s="10">
        <v>699.95525899999996</v>
      </c>
      <c r="CO44" s="10">
        <v>698.62958700000001</v>
      </c>
      <c r="CP44" s="10">
        <v>692.66405899999995</v>
      </c>
      <c r="CQ44" s="10">
        <v>687.36136699999997</v>
      </c>
      <c r="CR44" s="10">
        <v>680.07016599999997</v>
      </c>
      <c r="CS44" s="10">
        <v>665.48776599999997</v>
      </c>
      <c r="CT44" s="10">
        <v>668.13911099999996</v>
      </c>
      <c r="CU44" s="10">
        <v>658.19656499999996</v>
      </c>
      <c r="CV44" s="10">
        <v>645.60267299999998</v>
      </c>
      <c r="CW44" s="10">
        <v>660.18507399999999</v>
      </c>
      <c r="CX44" s="10">
        <v>668.13911099999996</v>
      </c>
      <c r="CY44" s="10">
        <v>670.79045699999995</v>
      </c>
      <c r="CZ44" s="10">
        <v>674.76747499999999</v>
      </c>
      <c r="DA44" s="10">
        <v>672.06840499999998</v>
      </c>
      <c r="DB44" s="10">
        <v>676.79177800000002</v>
      </c>
      <c r="DC44" s="10">
        <v>678.14131199999997</v>
      </c>
      <c r="DD44" s="10">
        <v>686.91328999999996</v>
      </c>
      <c r="DE44" s="10">
        <v>688.937592</v>
      </c>
      <c r="DF44" s="10">
        <v>719.97689600000001</v>
      </c>
      <c r="DG44" s="10">
        <v>718.62736099999995</v>
      </c>
      <c r="DH44" s="10">
        <v>719.97689600000001</v>
      </c>
      <c r="DI44" s="10">
        <v>734.14701300000002</v>
      </c>
      <c r="DJ44" s="10">
        <v>742.91899000000001</v>
      </c>
      <c r="DK44" s="10">
        <v>755.06480399999998</v>
      </c>
      <c r="DL44" s="10">
        <v>776.65736400000003</v>
      </c>
      <c r="DM44" s="10">
        <v>779.35643300000004</v>
      </c>
      <c r="DN44" s="10">
        <v>780.03120200000001</v>
      </c>
      <c r="DO44" s="10">
        <v>795.55085299999996</v>
      </c>
      <c r="DP44" s="10">
        <v>804.99759800000004</v>
      </c>
      <c r="DQ44" s="10">
        <v>805.67236500000001</v>
      </c>
      <c r="DR44" s="10">
        <v>803.64806299999998</v>
      </c>
      <c r="DS44" s="10">
        <v>796.90038800000002</v>
      </c>
      <c r="DT44" s="10">
        <v>800.94899299999997</v>
      </c>
      <c r="DU44" s="10">
        <v>810.39573800000005</v>
      </c>
      <c r="DV44" s="10">
        <v>819.84248300000002</v>
      </c>
      <c r="DW44" s="10">
        <v>854.93039099999999</v>
      </c>
      <c r="DX44" s="10">
        <v>855.60515799999996</v>
      </c>
      <c r="DY44" s="10">
        <v>865.05190300000004</v>
      </c>
      <c r="DZ44" s="10">
        <v>867.75097300000004</v>
      </c>
      <c r="EA44" s="10">
        <v>857.62946099999999</v>
      </c>
      <c r="EB44" s="10">
        <v>865.05190300000004</v>
      </c>
      <c r="EC44" s="10">
        <v>878.89273400000002</v>
      </c>
      <c r="ED44" s="10">
        <v>885.81314899999995</v>
      </c>
      <c r="EE44" s="10">
        <v>886.67820099999994</v>
      </c>
      <c r="EF44" s="10">
        <v>891.86851200000001</v>
      </c>
      <c r="EG44" s="10">
        <v>893.59861599999999</v>
      </c>
      <c r="EH44" s="10">
        <v>884.94809699999996</v>
      </c>
      <c r="EI44" s="10">
        <v>898.78892699999994</v>
      </c>
      <c r="EJ44" s="10">
        <v>911.76470600000005</v>
      </c>
      <c r="EK44" s="10">
        <v>890.13840800000003</v>
      </c>
      <c r="EL44" s="10">
        <v>875.43252600000005</v>
      </c>
      <c r="EM44" s="10">
        <v>886.67820099999994</v>
      </c>
      <c r="EN44" s="10">
        <v>869.377163</v>
      </c>
      <c r="EO44" s="10">
        <v>880.622837</v>
      </c>
      <c r="EP44" s="10">
        <v>878.89273400000002</v>
      </c>
      <c r="EQ44" s="10">
        <v>889.27335600000004</v>
      </c>
      <c r="ER44" s="10">
        <v>885.81314899999995</v>
      </c>
      <c r="ES44" s="10">
        <v>895.32871999999998</v>
      </c>
      <c r="ET44" s="10">
        <v>912.62975800000004</v>
      </c>
      <c r="EU44" s="10">
        <v>908.30449799999997</v>
      </c>
      <c r="EV44" s="10">
        <v>961.93771600000002</v>
      </c>
      <c r="EW44" s="10">
        <v>983.56401400000004</v>
      </c>
      <c r="EX44" s="10">
        <v>983.56401400000004</v>
      </c>
      <c r="EY44" s="10">
        <v>990.48442899999998</v>
      </c>
      <c r="EZ44" s="10">
        <v>993.94463699999994</v>
      </c>
      <c r="FA44" s="10">
        <v>987.889273</v>
      </c>
      <c r="FB44" s="10">
        <v>993.07958499999995</v>
      </c>
      <c r="FC44" s="10">
        <v>992.21453299999996</v>
      </c>
      <c r="FD44" s="10">
        <v>991.34948099999997</v>
      </c>
      <c r="FE44" s="10">
        <v>993.07958499999995</v>
      </c>
      <c r="FF44" s="10">
        <v>1001.730104</v>
      </c>
      <c r="FG44" s="10">
        <v>1006.0553630000001</v>
      </c>
      <c r="FH44" s="10">
        <v>998.26989600000002</v>
      </c>
      <c r="FI44" s="10">
        <v>999.13494800000001</v>
      </c>
      <c r="FJ44" s="10">
        <v>1000.865052</v>
      </c>
      <c r="FK44" s="10">
        <v>999.13494800000001</v>
      </c>
      <c r="FL44" s="10">
        <v>943.77162599999997</v>
      </c>
      <c r="FM44" s="10">
        <v>976.64359899999999</v>
      </c>
      <c r="FN44" s="10">
        <v>995.67474000000004</v>
      </c>
      <c r="FO44" s="10">
        <v>1006.0553630000001</v>
      </c>
      <c r="FP44" s="10">
        <v>990.48442899999998</v>
      </c>
      <c r="FQ44" s="10">
        <v>1012.975779</v>
      </c>
      <c r="FR44" s="10">
        <v>1011.245675</v>
      </c>
      <c r="FS44" s="10">
        <v>1000</v>
      </c>
      <c r="FT44" s="10">
        <v>1000</v>
      </c>
      <c r="FU44" s="10">
        <v>1031.141869</v>
      </c>
      <c r="FV44" s="10">
        <v>1007</v>
      </c>
      <c r="FW44" s="10">
        <v>1003</v>
      </c>
      <c r="FX44" s="10">
        <v>1000</v>
      </c>
      <c r="FY44" s="10">
        <v>1013</v>
      </c>
      <c r="FZ44" s="10">
        <v>1026</v>
      </c>
      <c r="GA44" s="10">
        <v>1017</v>
      </c>
      <c r="GB44" s="10">
        <v>1021</v>
      </c>
      <c r="GC44" s="10">
        <v>1007</v>
      </c>
      <c r="GD44" s="10">
        <v>1016</v>
      </c>
      <c r="GE44" s="10">
        <v>1014</v>
      </c>
      <c r="GF44" s="10">
        <v>1004</v>
      </c>
      <c r="GG44" s="10">
        <v>1017</v>
      </c>
      <c r="GH44" s="10">
        <v>1022</v>
      </c>
      <c r="GI44" s="10">
        <v>1025</v>
      </c>
      <c r="GJ44" s="10">
        <v>1030</v>
      </c>
      <c r="GK44" s="10">
        <v>1029</v>
      </c>
      <c r="GL44" s="10">
        <v>1049</v>
      </c>
      <c r="GM44" s="10">
        <v>1085</v>
      </c>
      <c r="GN44" s="10">
        <v>1117</v>
      </c>
      <c r="GO44" s="10">
        <v>1104</v>
      </c>
      <c r="GP44" s="10">
        <v>1132</v>
      </c>
      <c r="GQ44" s="10">
        <v>1191</v>
      </c>
      <c r="GR44" s="10">
        <v>1179</v>
      </c>
      <c r="GS44" s="10">
        <v>1146</v>
      </c>
    </row>
    <row r="45" spans="1:201" ht="12.6">
      <c r="A45" s="51" t="s">
        <v>1864</v>
      </c>
      <c r="B45" s="10"/>
      <c r="C45" s="10"/>
      <c r="D45" s="10"/>
      <c r="E45" s="10"/>
      <c r="F45" s="10" t="s">
        <v>1827</v>
      </c>
      <c r="G45" s="10" t="s">
        <v>1827</v>
      </c>
      <c r="H45" s="10" t="s">
        <v>1827</v>
      </c>
      <c r="I45" s="10" t="s">
        <v>1827</v>
      </c>
      <c r="J45" s="10" t="s">
        <v>1827</v>
      </c>
      <c r="K45" s="10" t="s">
        <v>1827</v>
      </c>
      <c r="L45" s="10" t="s">
        <v>1827</v>
      </c>
      <c r="M45" s="10" t="s">
        <v>1827</v>
      </c>
      <c r="N45" s="10" t="s">
        <v>1827</v>
      </c>
      <c r="O45" s="10" t="s">
        <v>1827</v>
      </c>
      <c r="P45" s="10" t="s">
        <v>1827</v>
      </c>
      <c r="Q45" s="10" t="s">
        <v>1827</v>
      </c>
      <c r="R45" s="10" t="s">
        <v>1827</v>
      </c>
      <c r="S45" s="10" t="s">
        <v>1827</v>
      </c>
      <c r="T45" s="10" t="s">
        <v>1827</v>
      </c>
      <c r="U45" s="10" t="s">
        <v>1827</v>
      </c>
      <c r="V45" s="10" t="s">
        <v>1827</v>
      </c>
      <c r="W45" s="10" t="s">
        <v>1827</v>
      </c>
      <c r="X45" s="10" t="s">
        <v>1827</v>
      </c>
      <c r="Y45" s="10" t="s">
        <v>1827</v>
      </c>
      <c r="Z45" s="10" t="s">
        <v>1827</v>
      </c>
      <c r="AA45" s="10" t="s">
        <v>1827</v>
      </c>
      <c r="AB45" s="10" t="s">
        <v>1827</v>
      </c>
      <c r="AC45" s="10" t="s">
        <v>1827</v>
      </c>
      <c r="AD45" s="10" t="s">
        <v>1827</v>
      </c>
      <c r="AE45" s="10" t="s">
        <v>1827</v>
      </c>
      <c r="AF45" s="10" t="s">
        <v>1827</v>
      </c>
      <c r="AG45" s="10" t="s">
        <v>1827</v>
      </c>
      <c r="AH45" s="10" t="s">
        <v>1827</v>
      </c>
      <c r="AI45" s="10">
        <v>412.81053700000001</v>
      </c>
      <c r="AJ45" s="10">
        <v>428.705333</v>
      </c>
      <c r="AK45" s="10">
        <v>433.24670200000003</v>
      </c>
      <c r="AL45" s="10">
        <v>440.96703100000002</v>
      </c>
      <c r="AM45" s="10">
        <v>449.859419</v>
      </c>
      <c r="AN45" s="10">
        <v>454.13700499999999</v>
      </c>
      <c r="AO45" s="10">
        <v>454.49347</v>
      </c>
      <c r="AP45" s="10">
        <v>454.13700499999999</v>
      </c>
      <c r="AQ45" s="10">
        <v>455.499415</v>
      </c>
      <c r="AR45" s="10">
        <v>465.94456700000001</v>
      </c>
      <c r="AS45" s="10">
        <v>488.19727999999998</v>
      </c>
      <c r="AT45" s="10">
        <v>510.90413000000001</v>
      </c>
      <c r="AU45" s="10">
        <v>549.05163800000003</v>
      </c>
      <c r="AV45" s="10">
        <v>574.48330999999996</v>
      </c>
      <c r="AW45" s="10">
        <v>632.61284699999999</v>
      </c>
      <c r="AX45" s="10">
        <v>648.50764200000003</v>
      </c>
      <c r="AY45" s="10">
        <v>656.68210899999997</v>
      </c>
      <c r="AZ45" s="10">
        <v>673.48517800000002</v>
      </c>
      <c r="BA45" s="10">
        <v>685.29273999999998</v>
      </c>
      <c r="BB45" s="10">
        <v>772.03290800000002</v>
      </c>
      <c r="BC45" s="10">
        <v>772.48704499999997</v>
      </c>
      <c r="BD45" s="10">
        <v>812.90523800000005</v>
      </c>
      <c r="BE45" s="10">
        <v>820.17142999999999</v>
      </c>
      <c r="BF45" s="10">
        <v>813.359375</v>
      </c>
      <c r="BG45" s="10">
        <v>815.63005999999996</v>
      </c>
      <c r="BH45" s="10">
        <v>834.70381399999997</v>
      </c>
      <c r="BI45" s="10">
        <v>826.07521099999997</v>
      </c>
      <c r="BJ45" s="10">
        <v>806.09318299999995</v>
      </c>
      <c r="BK45" s="10">
        <v>806.09318299999995</v>
      </c>
      <c r="BL45" s="10">
        <v>814.96020799999997</v>
      </c>
      <c r="BM45" s="10">
        <v>830.27597900000001</v>
      </c>
      <c r="BN45" s="10">
        <v>842.36737600000004</v>
      </c>
      <c r="BO45" s="10">
        <v>842.36737600000004</v>
      </c>
      <c r="BP45" s="10">
        <v>850.42830800000002</v>
      </c>
      <c r="BQ45" s="10">
        <v>860.90751899999998</v>
      </c>
      <c r="BR45" s="10">
        <v>873.80501100000004</v>
      </c>
      <c r="BS45" s="10">
        <v>885.89640899999995</v>
      </c>
      <c r="BT45" s="10">
        <v>896.37562000000003</v>
      </c>
      <c r="BU45" s="10">
        <v>906.85483099999999</v>
      </c>
      <c r="BV45" s="10">
        <v>905.24264500000004</v>
      </c>
      <c r="BW45" s="10">
        <v>901.21217899999999</v>
      </c>
      <c r="BX45" s="10">
        <v>904.43655200000001</v>
      </c>
      <c r="BY45" s="10">
        <v>903.63045799999998</v>
      </c>
      <c r="BZ45" s="10">
        <v>904.43655200000001</v>
      </c>
      <c r="CA45" s="10">
        <v>898.79389900000001</v>
      </c>
      <c r="CB45" s="10">
        <v>910.88529700000004</v>
      </c>
      <c r="CC45" s="10">
        <v>915.721856</v>
      </c>
      <c r="CD45" s="10">
        <v>910.88529700000004</v>
      </c>
      <c r="CE45" s="10">
        <v>909.97441100000003</v>
      </c>
      <c r="CF45" s="10">
        <v>909.06352600000002</v>
      </c>
      <c r="CG45" s="10">
        <v>913.61795199999995</v>
      </c>
      <c r="CH45" s="10">
        <v>915.43972399999996</v>
      </c>
      <c r="CI45" s="10">
        <v>909.06352600000002</v>
      </c>
      <c r="CJ45" s="10">
        <v>904.50909999999999</v>
      </c>
      <c r="CK45" s="10">
        <v>909.06352600000002</v>
      </c>
      <c r="CL45" s="10">
        <v>883.55873799999995</v>
      </c>
      <c r="CM45" s="10">
        <v>881.73696700000005</v>
      </c>
      <c r="CN45" s="10">
        <v>910.88529700000004</v>
      </c>
      <c r="CO45" s="10">
        <v>897.22201800000005</v>
      </c>
      <c r="CP45" s="10">
        <v>917.26149399999997</v>
      </c>
      <c r="CQ45" s="10">
        <v>915.43972399999996</v>
      </c>
      <c r="CR45" s="10">
        <v>894.48936200000003</v>
      </c>
      <c r="CS45" s="10">
        <v>896.31113200000004</v>
      </c>
      <c r="CT45" s="10">
        <v>896.31113200000004</v>
      </c>
      <c r="CU45" s="10">
        <v>894.48936200000003</v>
      </c>
      <c r="CV45" s="10">
        <v>898.13290300000006</v>
      </c>
      <c r="CW45" s="10">
        <v>931.83565899999996</v>
      </c>
      <c r="CX45" s="10">
        <v>950.05336499999999</v>
      </c>
      <c r="CY45" s="10">
        <v>938.21185600000001</v>
      </c>
      <c r="CZ45" s="10">
        <v>973.73638200000005</v>
      </c>
      <c r="DA45" s="10">
        <v>982.50000999999997</v>
      </c>
      <c r="DB45" s="10">
        <v>978.60506399999997</v>
      </c>
      <c r="DC45" s="10">
        <v>975.68385499999999</v>
      </c>
      <c r="DD45" s="10">
        <v>984.44748200000004</v>
      </c>
      <c r="DE45" s="10">
        <v>998.079792</v>
      </c>
      <c r="DF45" s="10">
        <v>1019.501992</v>
      </c>
      <c r="DG45" s="10">
        <v>1047.7403469999999</v>
      </c>
      <c r="DH45" s="10">
        <v>1059.4251839999999</v>
      </c>
      <c r="DI45" s="10">
        <v>1057.477711</v>
      </c>
      <c r="DJ45" s="10">
        <v>1062.346393</v>
      </c>
      <c r="DK45" s="10">
        <v>1057.477711</v>
      </c>
      <c r="DL45" s="10">
        <v>1051.635293</v>
      </c>
      <c r="DM45" s="10">
        <v>1008.790892</v>
      </c>
      <c r="DN45" s="10">
        <v>1003.92221</v>
      </c>
      <c r="DO45" s="10">
        <v>1000.0272650000001</v>
      </c>
      <c r="DP45" s="10">
        <v>999.05352800000003</v>
      </c>
      <c r="DQ45" s="10">
        <v>1000.0272650000001</v>
      </c>
      <c r="DR45" s="10">
        <v>998.079792</v>
      </c>
      <c r="DS45" s="10">
        <v>988.34242800000004</v>
      </c>
      <c r="DT45" s="10">
        <v>991.26363700000002</v>
      </c>
      <c r="DU45" s="10">
        <v>983.47374600000001</v>
      </c>
      <c r="DV45" s="10">
        <v>983.47374600000001</v>
      </c>
      <c r="DW45" s="10">
        <v>973.73638200000005</v>
      </c>
      <c r="DX45" s="10">
        <v>981.52627299999995</v>
      </c>
      <c r="DY45" s="10">
        <v>975.68385499999999</v>
      </c>
      <c r="DZ45" s="10">
        <v>979.578801</v>
      </c>
      <c r="EA45" s="10">
        <v>960.10407299999997</v>
      </c>
      <c r="EB45" s="10">
        <v>972.76264600000002</v>
      </c>
      <c r="EC45" s="10">
        <v>960.11673199999996</v>
      </c>
      <c r="ED45" s="10">
        <v>953.30739300000005</v>
      </c>
      <c r="EE45" s="10">
        <v>958.17120599999998</v>
      </c>
      <c r="EF45" s="10">
        <v>951.36186799999996</v>
      </c>
      <c r="EG45" s="10">
        <v>957.19844399999999</v>
      </c>
      <c r="EH45" s="10">
        <v>960.11673199999996</v>
      </c>
      <c r="EI45" s="10">
        <v>964.00778200000002</v>
      </c>
      <c r="EJ45" s="10">
        <v>967.89883299999997</v>
      </c>
      <c r="EK45" s="10">
        <v>957.19844399999999</v>
      </c>
      <c r="EL45" s="10">
        <v>984.43579799999998</v>
      </c>
      <c r="EM45" s="10">
        <v>975.68093399999998</v>
      </c>
      <c r="EN45" s="10">
        <v>990.27237400000001</v>
      </c>
      <c r="EO45" s="10">
        <v>980.54474700000003</v>
      </c>
      <c r="EP45" s="10">
        <v>989.29961100000003</v>
      </c>
      <c r="EQ45" s="10">
        <v>974.70817099999999</v>
      </c>
      <c r="ER45" s="10">
        <v>978.59922200000005</v>
      </c>
      <c r="ES45" s="10">
        <v>944.55252900000005</v>
      </c>
      <c r="ET45" s="10">
        <v>987.35408600000005</v>
      </c>
      <c r="EU45" s="10">
        <v>976.65369599999997</v>
      </c>
      <c r="EV45" s="10">
        <v>1021.4007779999999</v>
      </c>
      <c r="EW45" s="10">
        <v>1039.883268</v>
      </c>
      <c r="EX45" s="10">
        <v>1034.046693</v>
      </c>
      <c r="EY45" s="10">
        <v>1056.4202330000001</v>
      </c>
      <c r="EZ45" s="10">
        <v>1064.2023349999999</v>
      </c>
      <c r="FA45" s="10">
        <v>1019.455253</v>
      </c>
      <c r="FB45" s="10">
        <v>1036.9649810000001</v>
      </c>
      <c r="FC45" s="10">
        <v>984.43579799999998</v>
      </c>
      <c r="FD45" s="10">
        <v>998.05447500000002</v>
      </c>
      <c r="FE45" s="10">
        <v>948.44358</v>
      </c>
      <c r="FF45" s="10">
        <v>958.17120599999998</v>
      </c>
      <c r="FG45" s="10">
        <v>978.59922200000005</v>
      </c>
      <c r="FH45" s="10">
        <v>969.84435800000006</v>
      </c>
      <c r="FI45" s="10">
        <v>923.15175099999999</v>
      </c>
      <c r="FJ45" s="10">
        <v>932.87937699999998</v>
      </c>
      <c r="FK45" s="10">
        <v>922.178988</v>
      </c>
      <c r="FL45" s="10">
        <v>906.61478599999998</v>
      </c>
      <c r="FM45" s="10">
        <v>945.52529200000004</v>
      </c>
      <c r="FN45" s="10">
        <v>925.09727599999997</v>
      </c>
      <c r="FO45" s="10">
        <v>970.81712100000004</v>
      </c>
      <c r="FP45" s="10">
        <v>990.27237400000001</v>
      </c>
      <c r="FQ45" s="10">
        <v>993.19066099999998</v>
      </c>
      <c r="FR45" s="10">
        <v>974.70817099999999</v>
      </c>
      <c r="FS45" s="10">
        <v>1012.6459139999999</v>
      </c>
      <c r="FT45" s="10">
        <v>1000</v>
      </c>
      <c r="FU45" s="10">
        <v>1001.945525</v>
      </c>
      <c r="FV45" s="10">
        <v>1009</v>
      </c>
      <c r="FW45" s="10">
        <v>987</v>
      </c>
      <c r="FX45" s="10">
        <v>969</v>
      </c>
      <c r="FY45" s="10">
        <v>998</v>
      </c>
      <c r="FZ45" s="10">
        <v>971</v>
      </c>
      <c r="GA45" s="10">
        <v>932</v>
      </c>
      <c r="GB45" s="10">
        <v>981</v>
      </c>
      <c r="GC45" s="10">
        <v>999</v>
      </c>
      <c r="GD45" s="10">
        <v>988</v>
      </c>
      <c r="GE45" s="10">
        <v>990</v>
      </c>
      <c r="GF45" s="10">
        <v>967</v>
      </c>
      <c r="GG45" s="10">
        <v>1014</v>
      </c>
      <c r="GH45" s="10">
        <v>1030</v>
      </c>
      <c r="GI45" s="10">
        <v>967</v>
      </c>
      <c r="GJ45" s="10">
        <v>1002</v>
      </c>
      <c r="GK45" s="10">
        <v>1046</v>
      </c>
      <c r="GL45" s="10">
        <v>1012</v>
      </c>
      <c r="GM45" s="10">
        <v>1008</v>
      </c>
      <c r="GN45" s="10">
        <v>1067</v>
      </c>
      <c r="GO45" s="10">
        <v>1033</v>
      </c>
      <c r="GP45" s="10">
        <v>1058</v>
      </c>
      <c r="GQ45" s="10">
        <v>1077</v>
      </c>
      <c r="GR45" s="10">
        <v>1082</v>
      </c>
      <c r="GS45" s="10">
        <v>1056</v>
      </c>
    </row>
    <row r="46" spans="1:201" ht="12.6">
      <c r="A46" s="51" t="s">
        <v>1865</v>
      </c>
      <c r="B46" s="51"/>
      <c r="C46" s="51"/>
      <c r="D46" s="51"/>
      <c r="E46" s="51"/>
      <c r="F46" s="51" t="s">
        <v>1827</v>
      </c>
      <c r="G46" s="51" t="s">
        <v>1827</v>
      </c>
      <c r="H46" s="51" t="s">
        <v>1827</v>
      </c>
      <c r="I46" s="51" t="s">
        <v>1827</v>
      </c>
      <c r="J46" s="51" t="s">
        <v>1827</v>
      </c>
      <c r="K46" s="51" t="s">
        <v>1827</v>
      </c>
      <c r="L46" s="51" t="s">
        <v>1827</v>
      </c>
      <c r="M46" s="51" t="s">
        <v>1827</v>
      </c>
      <c r="N46" s="51" t="s">
        <v>1827</v>
      </c>
      <c r="O46" s="51" t="s">
        <v>1827</v>
      </c>
      <c r="P46" s="51" t="s">
        <v>1827</v>
      </c>
      <c r="Q46" s="51" t="s">
        <v>1827</v>
      </c>
      <c r="R46" s="51" t="s">
        <v>1827</v>
      </c>
      <c r="S46" s="51" t="s">
        <v>1827</v>
      </c>
      <c r="T46" s="51" t="s">
        <v>1827</v>
      </c>
      <c r="U46" s="51" t="s">
        <v>1827</v>
      </c>
      <c r="V46" s="51" t="s">
        <v>1827</v>
      </c>
      <c r="W46" s="51" t="s">
        <v>1827</v>
      </c>
      <c r="X46" s="51" t="s">
        <v>1827</v>
      </c>
      <c r="Y46" s="51" t="s">
        <v>1827</v>
      </c>
      <c r="Z46" s="51" t="s">
        <v>1827</v>
      </c>
      <c r="AA46" s="51" t="s">
        <v>1827</v>
      </c>
      <c r="AB46" s="51" t="s">
        <v>1827</v>
      </c>
      <c r="AC46" s="51" t="s">
        <v>1827</v>
      </c>
      <c r="AD46" s="51" t="s">
        <v>1827</v>
      </c>
      <c r="AE46" s="51" t="s">
        <v>1827</v>
      </c>
      <c r="AF46" s="51" t="s">
        <v>1827</v>
      </c>
      <c r="AG46" s="51" t="s">
        <v>1827</v>
      </c>
      <c r="AH46" s="51" t="s">
        <v>1827</v>
      </c>
      <c r="AI46" s="51" t="s">
        <v>1827</v>
      </c>
      <c r="AJ46" s="51" t="s">
        <v>1827</v>
      </c>
      <c r="AK46" s="51" t="s">
        <v>1827</v>
      </c>
      <c r="AL46" s="51" t="s">
        <v>1827</v>
      </c>
      <c r="AM46" s="51" t="s">
        <v>1827</v>
      </c>
      <c r="AN46" s="51" t="s">
        <v>1827</v>
      </c>
      <c r="AO46" s="51" t="s">
        <v>1827</v>
      </c>
      <c r="AP46" s="51" t="s">
        <v>1827</v>
      </c>
      <c r="AQ46" s="51" t="s">
        <v>1827</v>
      </c>
      <c r="AR46" s="51" t="s">
        <v>1827</v>
      </c>
      <c r="AS46" s="51" t="s">
        <v>1827</v>
      </c>
      <c r="AT46" s="51" t="s">
        <v>1827</v>
      </c>
      <c r="AU46" s="51" t="s">
        <v>1827</v>
      </c>
      <c r="AV46" s="51" t="s">
        <v>1827</v>
      </c>
      <c r="AW46" s="51" t="s">
        <v>1827</v>
      </c>
      <c r="AX46" s="51" t="s">
        <v>1827</v>
      </c>
      <c r="AY46" s="51" t="s">
        <v>1827</v>
      </c>
      <c r="AZ46" s="51" t="s">
        <v>1827</v>
      </c>
      <c r="BA46" s="51" t="s">
        <v>1827</v>
      </c>
      <c r="BB46" s="51" t="s">
        <v>1827</v>
      </c>
      <c r="BC46" s="51" t="s">
        <v>1827</v>
      </c>
      <c r="BD46" s="51" t="s">
        <v>1827</v>
      </c>
      <c r="BE46" s="51" t="s">
        <v>1827</v>
      </c>
      <c r="BF46" s="51" t="s">
        <v>1827</v>
      </c>
      <c r="BG46" s="51" t="s">
        <v>1827</v>
      </c>
      <c r="BH46" s="51" t="s">
        <v>1827</v>
      </c>
      <c r="BI46" s="51" t="s">
        <v>1827</v>
      </c>
      <c r="BJ46" s="51" t="s">
        <v>1827</v>
      </c>
      <c r="BK46" s="51" t="s">
        <v>1827</v>
      </c>
      <c r="BL46" s="51" t="s">
        <v>1827</v>
      </c>
      <c r="BM46" s="51" t="s">
        <v>1827</v>
      </c>
      <c r="BN46" s="51" t="s">
        <v>1827</v>
      </c>
      <c r="BO46" s="51" t="s">
        <v>1827</v>
      </c>
      <c r="BP46" s="51" t="s">
        <v>1827</v>
      </c>
      <c r="BQ46" s="51" t="s">
        <v>1827</v>
      </c>
      <c r="BR46" s="51" t="s">
        <v>1827</v>
      </c>
      <c r="BS46" s="51" t="s">
        <v>1827</v>
      </c>
      <c r="BT46" s="51" t="s">
        <v>1827</v>
      </c>
      <c r="BU46" s="51" t="s">
        <v>1827</v>
      </c>
      <c r="BV46" s="51" t="s">
        <v>1827</v>
      </c>
      <c r="BW46" s="51" t="s">
        <v>1827</v>
      </c>
      <c r="BX46" s="51" t="s">
        <v>1827</v>
      </c>
      <c r="BY46" s="51" t="s">
        <v>1827</v>
      </c>
      <c r="BZ46" s="51" t="s">
        <v>1827</v>
      </c>
      <c r="CA46" s="51" t="s">
        <v>1827</v>
      </c>
      <c r="CB46" s="51" t="s">
        <v>1827</v>
      </c>
      <c r="CC46" s="51" t="s">
        <v>1827</v>
      </c>
      <c r="CD46" s="51" t="s">
        <v>1827</v>
      </c>
      <c r="CE46" s="51" t="s">
        <v>1827</v>
      </c>
      <c r="CF46" s="51" t="s">
        <v>1827</v>
      </c>
      <c r="CG46" s="51" t="s">
        <v>1827</v>
      </c>
      <c r="CH46" s="51" t="s">
        <v>1827</v>
      </c>
      <c r="CI46" s="51" t="s">
        <v>1827</v>
      </c>
      <c r="CJ46" s="51" t="s">
        <v>1827</v>
      </c>
      <c r="CK46" s="51" t="s">
        <v>1827</v>
      </c>
      <c r="CL46" s="51" t="s">
        <v>1827</v>
      </c>
      <c r="CM46" s="51" t="s">
        <v>1827</v>
      </c>
      <c r="CN46" s="51" t="s">
        <v>1827</v>
      </c>
      <c r="CO46" s="51" t="s">
        <v>1827</v>
      </c>
      <c r="CP46" s="51" t="s">
        <v>1827</v>
      </c>
      <c r="CQ46" s="51" t="s">
        <v>1827</v>
      </c>
      <c r="CR46" s="51" t="s">
        <v>1827</v>
      </c>
      <c r="CS46" s="51" t="s">
        <v>1827</v>
      </c>
      <c r="CT46" s="51" t="s">
        <v>1827</v>
      </c>
      <c r="CU46" s="51" t="s">
        <v>1827</v>
      </c>
      <c r="CV46" s="51" t="s">
        <v>1827</v>
      </c>
      <c r="CW46" s="51" t="s">
        <v>1827</v>
      </c>
      <c r="CX46" s="51" t="s">
        <v>1827</v>
      </c>
      <c r="CY46" s="51" t="s">
        <v>1827</v>
      </c>
      <c r="CZ46" s="51">
        <v>1122.2707419999999</v>
      </c>
      <c r="DA46" s="51">
        <v>1118.995633</v>
      </c>
      <c r="DB46" s="51">
        <v>1108.0786029999999</v>
      </c>
      <c r="DC46" s="51">
        <v>1114.628821</v>
      </c>
      <c r="DD46" s="51">
        <v>1108.0786029999999</v>
      </c>
      <c r="DE46" s="51">
        <v>1104.8034929999999</v>
      </c>
      <c r="DF46" s="51">
        <v>1136.462882</v>
      </c>
      <c r="DG46" s="51">
        <v>1139.737991</v>
      </c>
      <c r="DH46" s="51">
        <v>1141.9213970000001</v>
      </c>
      <c r="DI46" s="51">
        <v>1164.847162</v>
      </c>
      <c r="DJ46" s="51">
        <v>1155.0218339999999</v>
      </c>
      <c r="DK46" s="51">
        <v>1151.746725</v>
      </c>
      <c r="DL46" s="51">
        <v>1158.2969430000001</v>
      </c>
      <c r="DM46" s="51">
        <v>1179.039301</v>
      </c>
      <c r="DN46" s="51">
        <v>1145.1965070000001</v>
      </c>
      <c r="DO46" s="51">
        <v>1126.637555</v>
      </c>
      <c r="DP46" s="51">
        <v>1105.8951970000001</v>
      </c>
      <c r="DQ46" s="51">
        <v>1108.0786029999999</v>
      </c>
      <c r="DR46" s="51">
        <v>1101.528384</v>
      </c>
      <c r="DS46" s="51">
        <v>1085.152838</v>
      </c>
      <c r="DT46" s="51">
        <v>1086.244541</v>
      </c>
      <c r="DU46" s="51">
        <v>1079.6943229999999</v>
      </c>
      <c r="DV46" s="51">
        <v>1088.427948</v>
      </c>
      <c r="DW46" s="51">
        <v>1090.6113539999999</v>
      </c>
      <c r="DX46" s="51">
        <v>1127.7292580000001</v>
      </c>
      <c r="DY46" s="51">
        <v>1111.3537120000001</v>
      </c>
      <c r="DZ46" s="51">
        <v>1109.170306</v>
      </c>
      <c r="EA46" s="51">
        <v>1088.427948</v>
      </c>
      <c r="EB46" s="51">
        <v>1091.7030569999999</v>
      </c>
      <c r="EC46" s="51">
        <v>1081.877729</v>
      </c>
      <c r="ED46" s="51">
        <v>1084.0611349999999</v>
      </c>
      <c r="EE46" s="51">
        <v>1076.419214</v>
      </c>
      <c r="EF46" s="51">
        <v>1082.9694320000001</v>
      </c>
      <c r="EG46" s="51">
        <v>1078.6026199999999</v>
      </c>
      <c r="EH46" s="51">
        <v>1074.2358079999999</v>
      </c>
      <c r="EI46" s="51">
        <v>1057.8602619999999</v>
      </c>
      <c r="EJ46" s="51">
        <v>1067.68559</v>
      </c>
      <c r="EK46" s="51">
        <v>1080.786026</v>
      </c>
      <c r="EL46" s="51">
        <v>1075.327511</v>
      </c>
      <c r="EM46" s="51">
        <v>1066.5938860000001</v>
      </c>
      <c r="EN46" s="51">
        <v>1099.3449780000001</v>
      </c>
      <c r="EO46" s="51">
        <v>1093.886463</v>
      </c>
      <c r="EP46" s="51">
        <v>1099.3449780000001</v>
      </c>
      <c r="EQ46" s="51">
        <v>1078.6026199999999</v>
      </c>
      <c r="ER46" s="51">
        <v>1077.5109170000001</v>
      </c>
      <c r="ES46" s="51">
        <v>1063.318777</v>
      </c>
      <c r="ET46" s="51">
        <v>1074.2358079999999</v>
      </c>
      <c r="EU46" s="51">
        <v>1054.585153</v>
      </c>
      <c r="EV46" s="51">
        <v>1052.4017469999999</v>
      </c>
      <c r="EW46" s="51">
        <v>1066.5938860000001</v>
      </c>
      <c r="EX46" s="51">
        <v>1061.1353710000001</v>
      </c>
      <c r="EY46" s="51">
        <v>1048.034934</v>
      </c>
      <c r="EZ46" s="51">
        <v>1051.3100440000001</v>
      </c>
      <c r="FA46" s="51">
        <v>1030.5676860000001</v>
      </c>
      <c r="FB46" s="51">
        <v>1014.19214</v>
      </c>
      <c r="FC46" s="51">
        <v>1005.458515</v>
      </c>
      <c r="FD46" s="51">
        <v>1002.183406</v>
      </c>
      <c r="FE46" s="51">
        <v>989.08296900000005</v>
      </c>
      <c r="FF46" s="51">
        <v>1000</v>
      </c>
      <c r="FG46" s="51">
        <v>984.71615699999995</v>
      </c>
      <c r="FH46" s="51">
        <v>996.72489099999996</v>
      </c>
      <c r="FI46" s="51">
        <v>982.53275099999996</v>
      </c>
      <c r="FJ46" s="51">
        <v>982.53275099999996</v>
      </c>
      <c r="FK46" s="51">
        <v>962.88209600000005</v>
      </c>
      <c r="FL46" s="51">
        <v>980.34934499999997</v>
      </c>
      <c r="FM46" s="51">
        <v>993.44978200000003</v>
      </c>
      <c r="FN46" s="51">
        <v>985.80786000000001</v>
      </c>
      <c r="FO46" s="51">
        <v>1012.008734</v>
      </c>
      <c r="FP46" s="51">
        <v>990.17467199999999</v>
      </c>
      <c r="FQ46" s="51">
        <v>1040.3930130000001</v>
      </c>
      <c r="FR46" s="51">
        <v>1028.3842790000001</v>
      </c>
      <c r="FS46" s="51">
        <v>1009.825328</v>
      </c>
      <c r="FT46" s="51">
        <v>1000</v>
      </c>
      <c r="FU46" s="51">
        <v>1007.641921</v>
      </c>
      <c r="FV46" s="51">
        <v>979</v>
      </c>
      <c r="FW46" s="51">
        <v>974</v>
      </c>
      <c r="FX46" s="51">
        <v>980</v>
      </c>
      <c r="FY46" s="51">
        <v>980</v>
      </c>
      <c r="FZ46" s="51">
        <v>971</v>
      </c>
      <c r="GA46" s="51">
        <v>999</v>
      </c>
      <c r="GB46" s="51">
        <v>1013</v>
      </c>
      <c r="GC46" s="51">
        <v>1014</v>
      </c>
      <c r="GD46" s="51">
        <v>1009</v>
      </c>
      <c r="GE46" s="51">
        <v>982</v>
      </c>
      <c r="GF46" s="51">
        <v>949</v>
      </c>
      <c r="GG46" s="51">
        <v>1006</v>
      </c>
      <c r="GH46" s="51">
        <v>1007</v>
      </c>
      <c r="GI46" s="51">
        <v>1023</v>
      </c>
      <c r="GJ46" s="51">
        <v>1016</v>
      </c>
      <c r="GK46" s="51">
        <v>1035</v>
      </c>
      <c r="GL46" s="51">
        <v>1022</v>
      </c>
      <c r="GM46" s="51">
        <v>1048</v>
      </c>
      <c r="GN46" s="51">
        <v>1049</v>
      </c>
      <c r="GO46" s="51">
        <v>1045</v>
      </c>
      <c r="GP46" s="51">
        <v>1058</v>
      </c>
      <c r="GQ46" s="51">
        <v>1051</v>
      </c>
      <c r="GR46" s="51">
        <v>1091</v>
      </c>
      <c r="GS46" s="51">
        <v>1062</v>
      </c>
    </row>
    <row r="47" spans="1:201" ht="12.6">
      <c r="A47" s="51" t="s">
        <v>1866</v>
      </c>
      <c r="B47" s="10"/>
      <c r="C47" s="10"/>
      <c r="D47" s="10"/>
      <c r="E47" s="10"/>
      <c r="F47" s="10" t="s">
        <v>1827</v>
      </c>
      <c r="G47" s="10" t="s">
        <v>1827</v>
      </c>
      <c r="H47" s="10" t="s">
        <v>1827</v>
      </c>
      <c r="I47" s="10" t="s">
        <v>1827</v>
      </c>
      <c r="J47" s="10" t="s">
        <v>1827</v>
      </c>
      <c r="K47" s="10" t="s">
        <v>1827</v>
      </c>
      <c r="L47" s="10" t="s">
        <v>1827</v>
      </c>
      <c r="M47" s="10" t="s">
        <v>1827</v>
      </c>
      <c r="N47" s="10" t="s">
        <v>1827</v>
      </c>
      <c r="O47" s="10" t="s">
        <v>1827</v>
      </c>
      <c r="P47" s="10" t="s">
        <v>1827</v>
      </c>
      <c r="Q47" s="10" t="s">
        <v>1827</v>
      </c>
      <c r="R47" s="10" t="s">
        <v>1827</v>
      </c>
      <c r="S47" s="10" t="s">
        <v>1827</v>
      </c>
      <c r="T47" s="10" t="s">
        <v>1827</v>
      </c>
      <c r="U47" s="10" t="s">
        <v>1827</v>
      </c>
      <c r="V47" s="10" t="s">
        <v>1827</v>
      </c>
      <c r="W47" s="10" t="s">
        <v>1827</v>
      </c>
      <c r="X47" s="10" t="s">
        <v>1827</v>
      </c>
      <c r="Y47" s="10" t="s">
        <v>1827</v>
      </c>
      <c r="Z47" s="10" t="s">
        <v>1827</v>
      </c>
      <c r="AA47" s="10" t="s">
        <v>1827</v>
      </c>
      <c r="AB47" s="10" t="s">
        <v>1827</v>
      </c>
      <c r="AC47" s="10" t="s">
        <v>1827</v>
      </c>
      <c r="AD47" s="10" t="s">
        <v>1827</v>
      </c>
      <c r="AE47" s="10" t="s">
        <v>1827</v>
      </c>
      <c r="AF47" s="10" t="s">
        <v>1827</v>
      </c>
      <c r="AG47" s="10" t="s">
        <v>1827</v>
      </c>
      <c r="AH47" s="10" t="s">
        <v>1827</v>
      </c>
      <c r="AI47" s="10" t="s">
        <v>1827</v>
      </c>
      <c r="AJ47" s="10" t="s">
        <v>1827</v>
      </c>
      <c r="AK47" s="10" t="s">
        <v>1827</v>
      </c>
      <c r="AL47" s="10" t="s">
        <v>1827</v>
      </c>
      <c r="AM47" s="10" t="s">
        <v>1827</v>
      </c>
      <c r="AN47" s="10" t="s">
        <v>1827</v>
      </c>
      <c r="AO47" s="10" t="s">
        <v>1827</v>
      </c>
      <c r="AP47" s="10" t="s">
        <v>1827</v>
      </c>
      <c r="AQ47" s="10" t="s">
        <v>1827</v>
      </c>
      <c r="AR47" s="10" t="s">
        <v>1827</v>
      </c>
      <c r="AS47" s="10" t="s">
        <v>1827</v>
      </c>
      <c r="AT47" s="10" t="s">
        <v>1827</v>
      </c>
      <c r="AU47" s="10" t="s">
        <v>1827</v>
      </c>
      <c r="AV47" s="10" t="s">
        <v>1827</v>
      </c>
      <c r="AW47" s="10" t="s">
        <v>1827</v>
      </c>
      <c r="AX47" s="10" t="s">
        <v>1827</v>
      </c>
      <c r="AY47" s="10" t="s">
        <v>1827</v>
      </c>
      <c r="AZ47" s="10" t="s">
        <v>1827</v>
      </c>
      <c r="BA47" s="10" t="s">
        <v>1827</v>
      </c>
      <c r="BB47" s="10" t="s">
        <v>1827</v>
      </c>
      <c r="BC47" s="10" t="s">
        <v>1827</v>
      </c>
      <c r="BD47" s="10" t="s">
        <v>1827</v>
      </c>
      <c r="BE47" s="10" t="s">
        <v>1827</v>
      </c>
      <c r="BF47" s="10" t="s">
        <v>1827</v>
      </c>
      <c r="BG47" s="10" t="s">
        <v>1827</v>
      </c>
      <c r="BH47" s="10" t="s">
        <v>1827</v>
      </c>
      <c r="BI47" s="10" t="s">
        <v>1827</v>
      </c>
      <c r="BJ47" s="10" t="s">
        <v>1827</v>
      </c>
      <c r="BK47" s="10" t="s">
        <v>1827</v>
      </c>
      <c r="BL47" s="10" t="s">
        <v>1827</v>
      </c>
      <c r="BM47" s="10" t="s">
        <v>1827</v>
      </c>
      <c r="BN47" s="10" t="s">
        <v>1827</v>
      </c>
      <c r="BO47" s="10" t="s">
        <v>1827</v>
      </c>
      <c r="BP47" s="10" t="s">
        <v>1827</v>
      </c>
      <c r="BQ47" s="10" t="s">
        <v>1827</v>
      </c>
      <c r="BR47" s="10" t="s">
        <v>1827</v>
      </c>
      <c r="BS47" s="10" t="s">
        <v>1827</v>
      </c>
      <c r="BT47" s="10" t="s">
        <v>1827</v>
      </c>
      <c r="BU47" s="10" t="s">
        <v>1827</v>
      </c>
      <c r="BV47" s="10" t="s">
        <v>1827</v>
      </c>
      <c r="BW47" s="10" t="s">
        <v>1827</v>
      </c>
      <c r="BX47" s="10" t="s">
        <v>1827</v>
      </c>
      <c r="BY47" s="10" t="s">
        <v>1827</v>
      </c>
      <c r="BZ47" s="10" t="s">
        <v>1827</v>
      </c>
      <c r="CA47" s="10" t="s">
        <v>1827</v>
      </c>
      <c r="CB47" s="10" t="s">
        <v>1827</v>
      </c>
      <c r="CC47" s="10" t="s">
        <v>1827</v>
      </c>
      <c r="CD47" s="10" t="s">
        <v>1827</v>
      </c>
      <c r="CE47" s="10" t="s">
        <v>1827</v>
      </c>
      <c r="CF47" s="10" t="s">
        <v>1827</v>
      </c>
      <c r="CG47" s="10" t="s">
        <v>1827</v>
      </c>
      <c r="CH47" s="10" t="s">
        <v>1827</v>
      </c>
      <c r="CI47" s="10" t="s">
        <v>1827</v>
      </c>
      <c r="CJ47" s="10" t="s">
        <v>1827</v>
      </c>
      <c r="CK47" s="10" t="s">
        <v>1827</v>
      </c>
      <c r="CL47" s="10" t="s">
        <v>1827</v>
      </c>
      <c r="CM47" s="10" t="s">
        <v>1827</v>
      </c>
      <c r="CN47" s="10" t="s">
        <v>1827</v>
      </c>
      <c r="CO47" s="10" t="s">
        <v>1827</v>
      </c>
      <c r="CP47" s="10" t="s">
        <v>1827</v>
      </c>
      <c r="CQ47" s="10" t="s">
        <v>1827</v>
      </c>
      <c r="CR47" s="10" t="s">
        <v>1827</v>
      </c>
      <c r="CS47" s="10" t="s">
        <v>1827</v>
      </c>
      <c r="CT47" s="10" t="s">
        <v>1827</v>
      </c>
      <c r="CU47" s="10" t="s">
        <v>1827</v>
      </c>
      <c r="CV47" s="10" t="s">
        <v>1827</v>
      </c>
      <c r="CW47" s="10" t="s">
        <v>1827</v>
      </c>
      <c r="CX47" s="10" t="s">
        <v>1827</v>
      </c>
      <c r="CY47" s="10" t="s">
        <v>1827</v>
      </c>
      <c r="CZ47" s="10">
        <v>1465.5775960000001</v>
      </c>
      <c r="DA47" s="10">
        <v>1446.9078179999999</v>
      </c>
      <c r="DB47" s="10">
        <v>1402.5670950000001</v>
      </c>
      <c r="DC47" s="10">
        <v>1400.2333719999999</v>
      </c>
      <c r="DD47" s="10">
        <v>1393.232205</v>
      </c>
      <c r="DE47" s="10">
        <v>1369.894982</v>
      </c>
      <c r="DF47" s="10">
        <v>1373.3955659999999</v>
      </c>
      <c r="DG47" s="10">
        <v>1421.2368730000001</v>
      </c>
      <c r="DH47" s="10">
        <v>1437.5729289999999</v>
      </c>
      <c r="DI47" s="10">
        <v>1436.406068</v>
      </c>
      <c r="DJ47" s="10">
        <v>1467.911319</v>
      </c>
      <c r="DK47" s="10">
        <v>1421.2368730000001</v>
      </c>
      <c r="DL47" s="10">
        <v>1444.5740960000001</v>
      </c>
      <c r="DM47" s="10">
        <v>1422.403734</v>
      </c>
      <c r="DN47" s="10">
        <v>1423.5705949999999</v>
      </c>
      <c r="DO47" s="10">
        <v>1389.731622</v>
      </c>
      <c r="DP47" s="10">
        <v>1403.733956</v>
      </c>
      <c r="DQ47" s="10">
        <v>1379.2298719999999</v>
      </c>
      <c r="DR47" s="10">
        <v>1367.5612599999999</v>
      </c>
      <c r="DS47" s="10">
        <v>1327.8879810000001</v>
      </c>
      <c r="DT47" s="10">
        <v>1207.701284</v>
      </c>
      <c r="DU47" s="10">
        <v>1224.0373400000001</v>
      </c>
      <c r="DV47" s="10">
        <v>1198.3663939999999</v>
      </c>
      <c r="DW47" s="10">
        <v>1197.199533</v>
      </c>
      <c r="DX47" s="10">
        <v>1189.0315049999999</v>
      </c>
      <c r="DY47" s="10">
        <v>1164.527421</v>
      </c>
      <c r="DZ47" s="10">
        <v>1184.364061</v>
      </c>
      <c r="EA47" s="10">
        <v>1173.86231</v>
      </c>
      <c r="EB47" s="10">
        <v>1166.861144</v>
      </c>
      <c r="EC47" s="10">
        <v>1176.1960329999999</v>
      </c>
      <c r="ED47" s="10">
        <v>1171.5285879999999</v>
      </c>
      <c r="EE47" s="10">
        <v>1148.1913649999999</v>
      </c>
      <c r="EF47" s="10">
        <v>1133.02217</v>
      </c>
      <c r="EG47" s="10">
        <v>1128.354726</v>
      </c>
      <c r="EH47" s="10">
        <v>1149.3582260000001</v>
      </c>
      <c r="EI47" s="10">
        <v>1138.8564759999999</v>
      </c>
      <c r="EJ47" s="10">
        <v>1140.0233370000001</v>
      </c>
      <c r="EK47" s="10">
        <v>1177.3628940000001</v>
      </c>
      <c r="EL47" s="10">
        <v>1177.3628940000001</v>
      </c>
      <c r="EM47" s="10">
        <v>1206.5344219999999</v>
      </c>
      <c r="EN47" s="10">
        <v>1232.2053679999999</v>
      </c>
      <c r="EO47" s="10">
        <v>1243.873979</v>
      </c>
      <c r="EP47" s="10">
        <v>1261.376896</v>
      </c>
      <c r="EQ47" s="10">
        <v>1240.373396</v>
      </c>
      <c r="ER47" s="10">
        <v>1242.707118</v>
      </c>
      <c r="ES47" s="10">
        <v>1190.1983660000001</v>
      </c>
      <c r="ET47" s="10">
        <v>1236.8728120000001</v>
      </c>
      <c r="EU47" s="10">
        <v>1211.201867</v>
      </c>
      <c r="EV47" s="10">
        <v>1172.6954490000001</v>
      </c>
      <c r="EW47" s="10">
        <v>1233.3722290000001</v>
      </c>
      <c r="EX47" s="10">
        <v>1172.6954490000001</v>
      </c>
      <c r="EY47" s="10">
        <v>1205.367561</v>
      </c>
      <c r="EZ47" s="10">
        <v>1117.852975</v>
      </c>
      <c r="FA47" s="10">
        <v>1116.6861140000001</v>
      </c>
      <c r="FB47" s="10">
        <v>1086.3477250000001</v>
      </c>
      <c r="FC47" s="10">
        <v>1094.5157529999999</v>
      </c>
      <c r="FD47" s="10">
        <v>1089.8483080000001</v>
      </c>
      <c r="FE47" s="10">
        <v>1033.8389729999999</v>
      </c>
      <c r="FF47" s="10">
        <v>1053.6756130000001</v>
      </c>
      <c r="FG47" s="10">
        <v>1035.005834</v>
      </c>
      <c r="FH47" s="10">
        <v>1032.672112</v>
      </c>
      <c r="FI47" s="10">
        <v>997.66627800000003</v>
      </c>
      <c r="FJ47" s="10">
        <v>976.66277700000001</v>
      </c>
      <c r="FK47" s="10">
        <v>983.66394400000001</v>
      </c>
      <c r="FL47" s="10">
        <v>998.83313899999996</v>
      </c>
      <c r="FM47" s="10">
        <v>1035.005834</v>
      </c>
      <c r="FN47" s="10">
        <v>946.324387</v>
      </c>
      <c r="FO47" s="10">
        <v>996.49941699999999</v>
      </c>
      <c r="FP47" s="10">
        <v>992.99883299999999</v>
      </c>
      <c r="FQ47" s="10">
        <v>1016.336056</v>
      </c>
      <c r="FR47" s="10">
        <v>996.49941699999999</v>
      </c>
      <c r="FS47" s="10">
        <v>985.99766599999998</v>
      </c>
      <c r="FT47" s="10">
        <v>1000</v>
      </c>
      <c r="FU47" s="10">
        <v>1021.003501</v>
      </c>
      <c r="FV47" s="10">
        <v>976</v>
      </c>
      <c r="FW47" s="10">
        <v>977</v>
      </c>
      <c r="FX47" s="10">
        <v>996</v>
      </c>
      <c r="FY47" s="10">
        <v>993</v>
      </c>
      <c r="FZ47" s="10">
        <v>926</v>
      </c>
      <c r="GA47" s="10">
        <v>945</v>
      </c>
      <c r="GB47" s="10">
        <v>1036</v>
      </c>
      <c r="GC47" s="10">
        <v>999</v>
      </c>
      <c r="GD47" s="10">
        <v>980</v>
      </c>
      <c r="GE47" s="10">
        <v>987</v>
      </c>
      <c r="GF47" s="10">
        <v>1017</v>
      </c>
      <c r="GG47" s="10">
        <v>1056</v>
      </c>
      <c r="GH47" s="10">
        <v>1018</v>
      </c>
      <c r="GI47" s="10">
        <v>999</v>
      </c>
      <c r="GJ47" s="10">
        <v>1007</v>
      </c>
      <c r="GK47" s="10">
        <v>1041</v>
      </c>
      <c r="GL47" s="10">
        <v>1036</v>
      </c>
      <c r="GM47" s="10">
        <v>1025</v>
      </c>
      <c r="GN47" s="10">
        <v>1052</v>
      </c>
      <c r="GO47" s="10">
        <v>1068</v>
      </c>
      <c r="GP47" s="10">
        <v>1070</v>
      </c>
      <c r="GQ47" s="10">
        <v>1023</v>
      </c>
      <c r="GR47" s="10">
        <v>1046</v>
      </c>
      <c r="GS47" s="10">
        <v>1050</v>
      </c>
    </row>
    <row r="48" spans="1:201" ht="12.6">
      <c r="A48" s="51" t="s">
        <v>1867</v>
      </c>
      <c r="B48" s="10"/>
      <c r="C48" s="10"/>
      <c r="D48" s="10"/>
      <c r="E48" s="10"/>
      <c r="F48" s="10" t="s">
        <v>1827</v>
      </c>
      <c r="G48" s="10" t="s">
        <v>1827</v>
      </c>
      <c r="H48" s="10" t="s">
        <v>1827</v>
      </c>
      <c r="I48" s="10" t="s">
        <v>1827</v>
      </c>
      <c r="J48" s="10" t="s">
        <v>1827</v>
      </c>
      <c r="K48" s="10" t="s">
        <v>1827</v>
      </c>
      <c r="L48" s="10" t="s">
        <v>1827</v>
      </c>
      <c r="M48" s="10" t="s">
        <v>1827</v>
      </c>
      <c r="N48" s="10" t="s">
        <v>1827</v>
      </c>
      <c r="O48" s="10" t="s">
        <v>1827</v>
      </c>
      <c r="P48" s="10" t="s">
        <v>1827</v>
      </c>
      <c r="Q48" s="10" t="s">
        <v>1827</v>
      </c>
      <c r="R48" s="10" t="s">
        <v>1827</v>
      </c>
      <c r="S48" s="10" t="s">
        <v>1827</v>
      </c>
      <c r="T48" s="10" t="s">
        <v>1827</v>
      </c>
      <c r="U48" s="10" t="s">
        <v>1827</v>
      </c>
      <c r="V48" s="10" t="s">
        <v>1827</v>
      </c>
      <c r="W48" s="10" t="s">
        <v>1827</v>
      </c>
      <c r="X48" s="10" t="s">
        <v>1827</v>
      </c>
      <c r="Y48" s="10" t="s">
        <v>1827</v>
      </c>
      <c r="Z48" s="10" t="s">
        <v>1827</v>
      </c>
      <c r="AA48" s="10" t="s">
        <v>1827</v>
      </c>
      <c r="AB48" s="10" t="s">
        <v>1827</v>
      </c>
      <c r="AC48" s="10" t="s">
        <v>1827</v>
      </c>
      <c r="AD48" s="10" t="s">
        <v>1827</v>
      </c>
      <c r="AE48" s="10" t="s">
        <v>1827</v>
      </c>
      <c r="AF48" s="10" t="s">
        <v>1827</v>
      </c>
      <c r="AG48" s="10" t="s">
        <v>1827</v>
      </c>
      <c r="AH48" s="10" t="s">
        <v>1827</v>
      </c>
      <c r="AI48" s="10" t="s">
        <v>1827</v>
      </c>
      <c r="AJ48" s="10" t="s">
        <v>1827</v>
      </c>
      <c r="AK48" s="10" t="s">
        <v>1827</v>
      </c>
      <c r="AL48" s="10" t="s">
        <v>1827</v>
      </c>
      <c r="AM48" s="10" t="s">
        <v>1827</v>
      </c>
      <c r="AN48" s="10" t="s">
        <v>1827</v>
      </c>
      <c r="AO48" s="10" t="s">
        <v>1827</v>
      </c>
      <c r="AP48" s="10" t="s">
        <v>1827</v>
      </c>
      <c r="AQ48" s="10" t="s">
        <v>1827</v>
      </c>
      <c r="AR48" s="10" t="s">
        <v>1827</v>
      </c>
      <c r="AS48" s="10" t="s">
        <v>1827</v>
      </c>
      <c r="AT48" s="10" t="s">
        <v>1827</v>
      </c>
      <c r="AU48" s="10" t="s">
        <v>1827</v>
      </c>
      <c r="AV48" s="10" t="s">
        <v>1827</v>
      </c>
      <c r="AW48" s="10" t="s">
        <v>1827</v>
      </c>
      <c r="AX48" s="10" t="s">
        <v>1827</v>
      </c>
      <c r="AY48" s="10" t="s">
        <v>1827</v>
      </c>
      <c r="AZ48" s="10" t="s">
        <v>1827</v>
      </c>
      <c r="BA48" s="10" t="s">
        <v>1827</v>
      </c>
      <c r="BB48" s="10" t="s">
        <v>1827</v>
      </c>
      <c r="BC48" s="10" t="s">
        <v>1827</v>
      </c>
      <c r="BD48" s="10" t="s">
        <v>1827</v>
      </c>
      <c r="BE48" s="10" t="s">
        <v>1827</v>
      </c>
      <c r="BF48" s="10" t="s">
        <v>1827</v>
      </c>
      <c r="BG48" s="10" t="s">
        <v>1827</v>
      </c>
      <c r="BH48" s="10" t="s">
        <v>1827</v>
      </c>
      <c r="BI48" s="10" t="s">
        <v>1827</v>
      </c>
      <c r="BJ48" s="10" t="s">
        <v>1827</v>
      </c>
      <c r="BK48" s="10" t="s">
        <v>1827</v>
      </c>
      <c r="BL48" s="10" t="s">
        <v>1827</v>
      </c>
      <c r="BM48" s="10" t="s">
        <v>1827</v>
      </c>
      <c r="BN48" s="10" t="s">
        <v>1827</v>
      </c>
      <c r="BO48" s="10" t="s">
        <v>1827</v>
      </c>
      <c r="BP48" s="10" t="s">
        <v>1827</v>
      </c>
      <c r="BQ48" s="10" t="s">
        <v>1827</v>
      </c>
      <c r="BR48" s="10" t="s">
        <v>1827</v>
      </c>
      <c r="BS48" s="10" t="s">
        <v>1827</v>
      </c>
      <c r="BT48" s="10" t="s">
        <v>1827</v>
      </c>
      <c r="BU48" s="10" t="s">
        <v>1827</v>
      </c>
      <c r="BV48" s="10" t="s">
        <v>1827</v>
      </c>
      <c r="BW48" s="10" t="s">
        <v>1827</v>
      </c>
      <c r="BX48" s="10" t="s">
        <v>1827</v>
      </c>
      <c r="BY48" s="10" t="s">
        <v>1827</v>
      </c>
      <c r="BZ48" s="10" t="s">
        <v>1827</v>
      </c>
      <c r="CA48" s="10" t="s">
        <v>1827</v>
      </c>
      <c r="CB48" s="10" t="s">
        <v>1827</v>
      </c>
      <c r="CC48" s="10" t="s">
        <v>1827</v>
      </c>
      <c r="CD48" s="10" t="s">
        <v>1827</v>
      </c>
      <c r="CE48" s="10" t="s">
        <v>1827</v>
      </c>
      <c r="CF48" s="10" t="s">
        <v>1827</v>
      </c>
      <c r="CG48" s="10" t="s">
        <v>1827</v>
      </c>
      <c r="CH48" s="10" t="s">
        <v>1827</v>
      </c>
      <c r="CI48" s="10" t="s">
        <v>1827</v>
      </c>
      <c r="CJ48" s="10" t="s">
        <v>1827</v>
      </c>
      <c r="CK48" s="10" t="s">
        <v>1827</v>
      </c>
      <c r="CL48" s="10" t="s">
        <v>1827</v>
      </c>
      <c r="CM48" s="10" t="s">
        <v>1827</v>
      </c>
      <c r="CN48" s="10" t="s">
        <v>1827</v>
      </c>
      <c r="CO48" s="10" t="s">
        <v>1827</v>
      </c>
      <c r="CP48" s="10" t="s">
        <v>1827</v>
      </c>
      <c r="CQ48" s="10" t="s">
        <v>1827</v>
      </c>
      <c r="CR48" s="10" t="s">
        <v>1827</v>
      </c>
      <c r="CS48" s="10" t="s">
        <v>1827</v>
      </c>
      <c r="CT48" s="10" t="s">
        <v>1827</v>
      </c>
      <c r="CU48" s="10" t="s">
        <v>1827</v>
      </c>
      <c r="CV48" s="10" t="s">
        <v>1827</v>
      </c>
      <c r="CW48" s="10" t="s">
        <v>1827</v>
      </c>
      <c r="CX48" s="10" t="s">
        <v>1827</v>
      </c>
      <c r="CY48" s="10" t="s">
        <v>1827</v>
      </c>
      <c r="CZ48" s="10">
        <v>545.76976400000001</v>
      </c>
      <c r="DA48" s="10">
        <v>542.30235800000003</v>
      </c>
      <c r="DB48" s="10">
        <v>549.93065200000001</v>
      </c>
      <c r="DC48" s="10">
        <v>543.68931999999995</v>
      </c>
      <c r="DD48" s="10">
        <v>547.85020799999995</v>
      </c>
      <c r="DE48" s="10">
        <v>535.36754499999995</v>
      </c>
      <c r="DF48" s="10">
        <v>542.30235800000003</v>
      </c>
      <c r="DG48" s="10">
        <v>564.49375899999995</v>
      </c>
      <c r="DH48" s="10">
        <v>572.12205300000005</v>
      </c>
      <c r="DI48" s="10">
        <v>570.04160899999999</v>
      </c>
      <c r="DJ48" s="10">
        <v>572.12205300000005</v>
      </c>
      <c r="DK48" s="10">
        <v>578.363384</v>
      </c>
      <c r="DL48" s="10">
        <v>584.60471600000005</v>
      </c>
      <c r="DM48" s="10">
        <v>590.846047</v>
      </c>
      <c r="DN48" s="10">
        <v>595.70041600000002</v>
      </c>
      <c r="DO48" s="10">
        <v>598.47434099999998</v>
      </c>
      <c r="DP48" s="10">
        <v>613.73092899999995</v>
      </c>
      <c r="DQ48" s="10">
        <v>614.42441099999996</v>
      </c>
      <c r="DR48" s="10">
        <v>623.43966699999999</v>
      </c>
      <c r="DS48" s="10">
        <v>627.60055499999999</v>
      </c>
      <c r="DT48" s="10">
        <v>641.47018000000003</v>
      </c>
      <c r="DU48" s="10">
        <v>653.25936200000001</v>
      </c>
      <c r="DV48" s="10">
        <v>656.03328699999997</v>
      </c>
      <c r="DW48" s="10">
        <v>658.80721200000005</v>
      </c>
      <c r="DX48" s="10">
        <v>661.58113700000001</v>
      </c>
      <c r="DY48" s="10">
        <v>674.06380000000001</v>
      </c>
      <c r="DZ48" s="10">
        <v>686.54646300000002</v>
      </c>
      <c r="EA48" s="10">
        <v>690.70735100000002</v>
      </c>
      <c r="EB48" s="10">
        <v>693.48127599999998</v>
      </c>
      <c r="EC48" s="10">
        <v>699.02912600000002</v>
      </c>
      <c r="ED48" s="10">
        <v>744.10540900000001</v>
      </c>
      <c r="EE48" s="10">
        <v>773.23162300000001</v>
      </c>
      <c r="EF48" s="10">
        <v>776.699029</v>
      </c>
      <c r="EG48" s="10">
        <v>799.58391099999994</v>
      </c>
      <c r="EH48" s="10">
        <v>825.24271799999997</v>
      </c>
      <c r="EI48" s="10">
        <v>825.93619999999999</v>
      </c>
      <c r="EJ48" s="10">
        <v>842.57974999999999</v>
      </c>
      <c r="EK48" s="10">
        <v>873.09292600000003</v>
      </c>
      <c r="EL48" s="10">
        <v>883.49514599999998</v>
      </c>
      <c r="EM48" s="10">
        <v>880.027739</v>
      </c>
      <c r="EN48" s="10">
        <v>864.07767000000001</v>
      </c>
      <c r="EO48" s="10">
        <v>873.78640800000005</v>
      </c>
      <c r="EP48" s="10">
        <v>875.86685199999999</v>
      </c>
      <c r="EQ48" s="10">
        <v>878.64077699999996</v>
      </c>
      <c r="ER48" s="10">
        <v>897.36477100000002</v>
      </c>
      <c r="ES48" s="10">
        <v>900.13869599999998</v>
      </c>
      <c r="ET48" s="10">
        <v>932.73231599999997</v>
      </c>
      <c r="EU48" s="10">
        <v>928.57142899999997</v>
      </c>
      <c r="EV48" s="10">
        <v>914.70180300000004</v>
      </c>
      <c r="EW48" s="10">
        <v>932.03883499999995</v>
      </c>
      <c r="EX48" s="10">
        <v>943.82801700000005</v>
      </c>
      <c r="EY48" s="10">
        <v>945.90845999999999</v>
      </c>
      <c r="EZ48" s="10">
        <v>950.76282900000001</v>
      </c>
      <c r="FA48" s="10">
        <v>954.23023599999999</v>
      </c>
      <c r="FB48" s="10">
        <v>950.76282900000001</v>
      </c>
      <c r="FC48" s="10">
        <v>952.14979200000005</v>
      </c>
      <c r="FD48" s="10">
        <v>936.19972299999995</v>
      </c>
      <c r="FE48" s="10">
        <v>943.13453500000003</v>
      </c>
      <c r="FF48" s="10">
        <v>943.82801700000005</v>
      </c>
      <c r="FG48" s="10">
        <v>936.19972299999995</v>
      </c>
      <c r="FH48" s="10">
        <v>934.11927900000001</v>
      </c>
      <c r="FI48" s="10">
        <v>947.29542300000003</v>
      </c>
      <c r="FJ48" s="10">
        <v>941.05409199999997</v>
      </c>
      <c r="FK48" s="10">
        <v>947.29542300000003</v>
      </c>
      <c r="FL48" s="10">
        <v>950.06934799999999</v>
      </c>
      <c r="FM48" s="10">
        <v>963.93897400000003</v>
      </c>
      <c r="FN48" s="10">
        <v>968.09986100000003</v>
      </c>
      <c r="FO48" s="10">
        <v>974.34119299999998</v>
      </c>
      <c r="FP48" s="10">
        <v>972.26074900000003</v>
      </c>
      <c r="FQ48" s="10">
        <v>978.50207999999998</v>
      </c>
      <c r="FR48" s="10">
        <v>967.40638000000001</v>
      </c>
      <c r="FS48" s="10">
        <v>992.37170600000002</v>
      </c>
      <c r="FT48" s="10">
        <v>1000</v>
      </c>
      <c r="FU48" s="10">
        <v>1000</v>
      </c>
      <c r="FV48" s="10">
        <v>994</v>
      </c>
      <c r="FW48" s="10">
        <v>995</v>
      </c>
      <c r="FX48" s="10">
        <v>998</v>
      </c>
      <c r="FY48" s="10">
        <v>1006</v>
      </c>
      <c r="FZ48" s="10">
        <v>1017</v>
      </c>
      <c r="GA48" s="10">
        <v>1025</v>
      </c>
      <c r="GB48" s="10">
        <v>1031</v>
      </c>
      <c r="GC48" s="10">
        <v>1037</v>
      </c>
      <c r="GD48" s="10">
        <v>1058</v>
      </c>
      <c r="GE48" s="10">
        <v>1075</v>
      </c>
      <c r="GF48" s="10">
        <v>1093</v>
      </c>
      <c r="GG48" s="10">
        <v>1113</v>
      </c>
      <c r="GH48" s="10">
        <v>1146</v>
      </c>
      <c r="GI48" s="10">
        <v>1154</v>
      </c>
      <c r="GJ48" s="10">
        <v>1158</v>
      </c>
      <c r="GK48" s="10">
        <v>1166</v>
      </c>
      <c r="GL48" s="10">
        <v>1157</v>
      </c>
      <c r="GM48" s="10">
        <v>1229</v>
      </c>
      <c r="GN48" s="10">
        <v>1288</v>
      </c>
      <c r="GO48" s="10">
        <v>1304</v>
      </c>
      <c r="GP48" s="10">
        <v>1325</v>
      </c>
      <c r="GQ48" s="10">
        <v>1371</v>
      </c>
      <c r="GR48" s="10">
        <v>1373</v>
      </c>
      <c r="GS48" s="10">
        <v>1375</v>
      </c>
    </row>
    <row r="49" spans="1:201" ht="12.6">
      <c r="A49" s="51" t="s">
        <v>1868</v>
      </c>
      <c r="B49" s="10"/>
      <c r="C49" s="10"/>
      <c r="D49" s="10"/>
      <c r="E49" s="10"/>
      <c r="F49" s="10" t="s">
        <v>1827</v>
      </c>
      <c r="G49" s="10" t="s">
        <v>1827</v>
      </c>
      <c r="H49" s="10" t="s">
        <v>1827</v>
      </c>
      <c r="I49" s="10" t="s">
        <v>1827</v>
      </c>
      <c r="J49" s="10" t="s">
        <v>1827</v>
      </c>
      <c r="K49" s="10" t="s">
        <v>1827</v>
      </c>
      <c r="L49" s="10" t="s">
        <v>1827</v>
      </c>
      <c r="M49" s="10" t="s">
        <v>1827</v>
      </c>
      <c r="N49" s="10" t="s">
        <v>1827</v>
      </c>
      <c r="O49" s="10" t="s">
        <v>1827</v>
      </c>
      <c r="P49" s="10" t="s">
        <v>1827</v>
      </c>
      <c r="Q49" s="10" t="s">
        <v>1827</v>
      </c>
      <c r="R49" s="10" t="s">
        <v>1827</v>
      </c>
      <c r="S49" s="10" t="s">
        <v>1827</v>
      </c>
      <c r="T49" s="10" t="s">
        <v>1827</v>
      </c>
      <c r="U49" s="10" t="s">
        <v>1827</v>
      </c>
      <c r="V49" s="10" t="s">
        <v>1827</v>
      </c>
      <c r="W49" s="10" t="s">
        <v>1827</v>
      </c>
      <c r="X49" s="10" t="s">
        <v>1827</v>
      </c>
      <c r="Y49" s="10" t="s">
        <v>1827</v>
      </c>
      <c r="Z49" s="10" t="s">
        <v>1827</v>
      </c>
      <c r="AA49" s="10" t="s">
        <v>1827</v>
      </c>
      <c r="AB49" s="10" t="s">
        <v>1827</v>
      </c>
      <c r="AC49" s="10" t="s">
        <v>1827</v>
      </c>
      <c r="AD49" s="10" t="s">
        <v>1827</v>
      </c>
      <c r="AE49" s="10" t="s">
        <v>1827</v>
      </c>
      <c r="AF49" s="10" t="s">
        <v>1827</v>
      </c>
      <c r="AG49" s="10" t="s">
        <v>1827</v>
      </c>
      <c r="AH49" s="10" t="s">
        <v>1827</v>
      </c>
      <c r="AI49" s="10" t="s">
        <v>1827</v>
      </c>
      <c r="AJ49" s="10" t="s">
        <v>1827</v>
      </c>
      <c r="AK49" s="10" t="s">
        <v>1827</v>
      </c>
      <c r="AL49" s="10" t="s">
        <v>1827</v>
      </c>
      <c r="AM49" s="10" t="s">
        <v>1827</v>
      </c>
      <c r="AN49" s="10" t="s">
        <v>1827</v>
      </c>
      <c r="AO49" s="10" t="s">
        <v>1827</v>
      </c>
      <c r="AP49" s="10" t="s">
        <v>1827</v>
      </c>
      <c r="AQ49" s="10" t="s">
        <v>1827</v>
      </c>
      <c r="AR49" s="10" t="s">
        <v>1827</v>
      </c>
      <c r="AS49" s="10" t="s">
        <v>1827</v>
      </c>
      <c r="AT49" s="10" t="s">
        <v>1827</v>
      </c>
      <c r="AU49" s="10" t="s">
        <v>1827</v>
      </c>
      <c r="AV49" s="10" t="s">
        <v>1827</v>
      </c>
      <c r="AW49" s="10" t="s">
        <v>1827</v>
      </c>
      <c r="AX49" s="10" t="s">
        <v>1827</v>
      </c>
      <c r="AY49" s="10" t="s">
        <v>1827</v>
      </c>
      <c r="AZ49" s="10" t="s">
        <v>1827</v>
      </c>
      <c r="BA49" s="10" t="s">
        <v>1827</v>
      </c>
      <c r="BB49" s="10" t="s">
        <v>1827</v>
      </c>
      <c r="BC49" s="10" t="s">
        <v>1827</v>
      </c>
      <c r="BD49" s="10" t="s">
        <v>1827</v>
      </c>
      <c r="BE49" s="10" t="s">
        <v>1827</v>
      </c>
      <c r="BF49" s="10" t="s">
        <v>1827</v>
      </c>
      <c r="BG49" s="10" t="s">
        <v>1827</v>
      </c>
      <c r="BH49" s="10" t="s">
        <v>1827</v>
      </c>
      <c r="BI49" s="10" t="s">
        <v>1827</v>
      </c>
      <c r="BJ49" s="10">
        <v>922.54736500000001</v>
      </c>
      <c r="BK49" s="10">
        <v>908.70915400000001</v>
      </c>
      <c r="BL49" s="10">
        <v>905.01896399999998</v>
      </c>
      <c r="BM49" s="10">
        <v>897.63858500000003</v>
      </c>
      <c r="BN49" s="10">
        <v>929.92774299999996</v>
      </c>
      <c r="BO49" s="10">
        <v>933.617932</v>
      </c>
      <c r="BP49" s="10">
        <v>926.23755300000005</v>
      </c>
      <c r="BQ49" s="10">
        <v>918.85717499999998</v>
      </c>
      <c r="BR49" s="10">
        <v>935.46302700000001</v>
      </c>
      <c r="BS49" s="10">
        <v>941.92085899999995</v>
      </c>
      <c r="BT49" s="10">
        <v>929.00519599999996</v>
      </c>
      <c r="BU49" s="10">
        <v>910.55424900000003</v>
      </c>
      <c r="BV49" s="10">
        <v>953.91397500000005</v>
      </c>
      <c r="BW49" s="10">
        <v>982.51294299999995</v>
      </c>
      <c r="BX49" s="10">
        <v>992.66096400000004</v>
      </c>
      <c r="BY49" s="10">
        <v>1012.957006</v>
      </c>
      <c r="BZ49" s="10">
        <v>1012.957006</v>
      </c>
      <c r="CA49" s="10">
        <v>1007.421721</v>
      </c>
      <c r="CB49" s="10">
        <v>995.42860599999995</v>
      </c>
      <c r="CC49" s="10">
        <v>999.11879499999998</v>
      </c>
      <c r="CD49" s="10">
        <v>990.81586900000002</v>
      </c>
      <c r="CE49" s="10">
        <v>966.04547300000002</v>
      </c>
      <c r="CF49" s="10">
        <v>986.85260500000004</v>
      </c>
      <c r="CG49" s="10">
        <v>969.01792</v>
      </c>
      <c r="CH49" s="10">
        <v>970.008736</v>
      </c>
      <c r="CI49" s="10">
        <v>967.03628900000001</v>
      </c>
      <c r="CJ49" s="10">
        <v>941.27507600000001</v>
      </c>
      <c r="CK49" s="10">
        <v>939.29344400000002</v>
      </c>
      <c r="CL49" s="10">
        <v>940.28426000000002</v>
      </c>
      <c r="CM49" s="10">
        <v>943.25670700000001</v>
      </c>
      <c r="CN49" s="10">
        <v>929.38528599999995</v>
      </c>
      <c r="CO49" s="10">
        <v>926.41283699999997</v>
      </c>
      <c r="CP49" s="10">
        <v>962.08220900000003</v>
      </c>
      <c r="CQ49" s="10">
        <v>970.999551</v>
      </c>
      <c r="CR49" s="10">
        <v>968.02710400000001</v>
      </c>
      <c r="CS49" s="10">
        <v>972.98118399999998</v>
      </c>
      <c r="CT49" s="10">
        <v>989.82505300000003</v>
      </c>
      <c r="CU49" s="10">
        <v>968.02710400000001</v>
      </c>
      <c r="CV49" s="10">
        <v>988.83423800000003</v>
      </c>
      <c r="CW49" s="10">
        <v>1002.705659</v>
      </c>
      <c r="CX49" s="10">
        <v>1029.457688</v>
      </c>
      <c r="CY49" s="10">
        <v>1038.375031</v>
      </c>
      <c r="CZ49" s="10">
        <v>1037.384215</v>
      </c>
      <c r="DA49" s="10">
        <v>1036.3468310000001</v>
      </c>
      <c r="DB49" s="10">
        <v>1048.7954420000001</v>
      </c>
      <c r="DC49" s="10">
        <v>1046.720673</v>
      </c>
      <c r="DD49" s="10">
        <v>1044.645904</v>
      </c>
      <c r="DE49" s="10">
        <v>1029.085141</v>
      </c>
      <c r="DF49" s="10">
        <v>1045.6832890000001</v>
      </c>
      <c r="DG49" s="10">
        <v>1046.720673</v>
      </c>
      <c r="DH49" s="10">
        <v>1050.87021</v>
      </c>
      <c r="DI49" s="10">
        <v>1046.720673</v>
      </c>
      <c r="DJ49" s="10">
        <v>1067.4683580000001</v>
      </c>
      <c r="DK49" s="10">
        <v>1042.571136</v>
      </c>
      <c r="DL49" s="10">
        <v>1043.60852</v>
      </c>
      <c r="DM49" s="10">
        <v>1034.272062</v>
      </c>
      <c r="DN49" s="10">
        <v>1039.458983</v>
      </c>
      <c r="DO49" s="10">
        <v>1046.720673</v>
      </c>
      <c r="DP49" s="10">
        <v>1043.60852</v>
      </c>
      <c r="DQ49" s="10">
        <v>1024.935604</v>
      </c>
      <c r="DR49" s="10">
        <v>1034.272062</v>
      </c>
      <c r="DS49" s="10">
        <v>1018.7112990000001</v>
      </c>
      <c r="DT49" s="10">
        <v>1008.337457</v>
      </c>
      <c r="DU49" s="10">
        <v>1001.075767</v>
      </c>
      <c r="DV49" s="10">
        <v>1010.412226</v>
      </c>
      <c r="DW49" s="10">
        <v>987.58977200000004</v>
      </c>
      <c r="DX49" s="10">
        <v>982.40285100000006</v>
      </c>
      <c r="DY49" s="10">
        <v>988.62715700000001</v>
      </c>
      <c r="DZ49" s="10">
        <v>1015.599147</v>
      </c>
      <c r="EA49" s="10">
        <v>996.92623100000003</v>
      </c>
      <c r="EB49" s="10">
        <v>999.00099899999998</v>
      </c>
      <c r="EC49" s="10">
        <v>1007.9920080000001</v>
      </c>
      <c r="ED49" s="10">
        <v>1003.996004</v>
      </c>
      <c r="EE49" s="10">
        <v>966.03396599999996</v>
      </c>
      <c r="EF49" s="10">
        <v>990.00999000000002</v>
      </c>
      <c r="EG49" s="10">
        <v>988.01198799999997</v>
      </c>
      <c r="EH49" s="10">
        <v>1001.998002</v>
      </c>
      <c r="EI49" s="10">
        <v>965.03496500000006</v>
      </c>
      <c r="EJ49" s="10">
        <v>977.02297699999997</v>
      </c>
      <c r="EK49" s="10">
        <v>995.00499500000001</v>
      </c>
      <c r="EL49" s="10">
        <v>1001.998002</v>
      </c>
      <c r="EM49" s="10">
        <v>964.03596400000004</v>
      </c>
      <c r="EN49" s="10">
        <v>974.02597400000002</v>
      </c>
      <c r="EO49" s="10">
        <v>1011.988012</v>
      </c>
      <c r="EP49" s="10">
        <v>969.03096900000003</v>
      </c>
      <c r="EQ49" s="10">
        <v>951.04895099999999</v>
      </c>
      <c r="ER49" s="10">
        <v>979.02097900000001</v>
      </c>
      <c r="ES49" s="10">
        <v>976.02397599999995</v>
      </c>
      <c r="ET49" s="10">
        <v>972.02797199999998</v>
      </c>
      <c r="EU49" s="10">
        <v>908.09190799999999</v>
      </c>
      <c r="EV49" s="10">
        <v>959.04095900000004</v>
      </c>
      <c r="EW49" s="10">
        <v>978.02197799999999</v>
      </c>
      <c r="EX49" s="10">
        <v>911.08891100000005</v>
      </c>
      <c r="EY49" s="10">
        <v>973.026973</v>
      </c>
      <c r="EZ49" s="10">
        <v>951.04895099999999</v>
      </c>
      <c r="FA49" s="10">
        <v>955.04495499999996</v>
      </c>
      <c r="FB49" s="10">
        <v>948.05194800000004</v>
      </c>
      <c r="FC49" s="10">
        <v>935.06493499999999</v>
      </c>
      <c r="FD49" s="10">
        <v>952.04795200000001</v>
      </c>
      <c r="FE49" s="10">
        <v>980.01998000000003</v>
      </c>
      <c r="FF49" s="10">
        <v>964.03596400000004</v>
      </c>
      <c r="FG49" s="10">
        <v>955.04495499999996</v>
      </c>
      <c r="FH49" s="10">
        <v>997.00299700000005</v>
      </c>
      <c r="FI49" s="10">
        <v>944.05594399999995</v>
      </c>
      <c r="FJ49" s="10">
        <v>942.05794200000003</v>
      </c>
      <c r="FK49" s="10">
        <v>954.04595400000005</v>
      </c>
      <c r="FL49" s="10">
        <v>915.08491500000002</v>
      </c>
      <c r="FM49" s="10">
        <v>871.128871</v>
      </c>
      <c r="FN49" s="10">
        <v>871.128871</v>
      </c>
      <c r="FO49" s="10">
        <v>904.09590400000002</v>
      </c>
      <c r="FP49" s="10">
        <v>925.07492500000001</v>
      </c>
      <c r="FQ49" s="10">
        <v>977.02297699999997</v>
      </c>
      <c r="FR49" s="10">
        <v>944.05594399999995</v>
      </c>
      <c r="FS49" s="10">
        <v>929.07092899999998</v>
      </c>
      <c r="FT49" s="10">
        <v>1000</v>
      </c>
      <c r="FU49" s="10">
        <v>980.01998000000003</v>
      </c>
      <c r="FV49" s="10">
        <v>919</v>
      </c>
      <c r="FW49" s="10">
        <v>950</v>
      </c>
      <c r="FX49" s="10">
        <v>969</v>
      </c>
      <c r="FY49" s="10">
        <v>976</v>
      </c>
      <c r="FZ49" s="10">
        <v>910</v>
      </c>
      <c r="GA49" s="10">
        <v>954</v>
      </c>
      <c r="GB49" s="10">
        <v>981</v>
      </c>
      <c r="GC49" s="10">
        <v>969</v>
      </c>
      <c r="GD49" s="10">
        <v>981</v>
      </c>
      <c r="GE49" s="10">
        <v>984</v>
      </c>
      <c r="GF49" s="10">
        <v>997</v>
      </c>
      <c r="GG49" s="10">
        <v>1036</v>
      </c>
      <c r="GH49" s="10">
        <v>1029</v>
      </c>
      <c r="GI49" s="10">
        <v>1005</v>
      </c>
      <c r="GJ49" s="10">
        <v>1004</v>
      </c>
      <c r="GK49" s="10">
        <v>1012</v>
      </c>
      <c r="GL49" s="10">
        <v>1002</v>
      </c>
      <c r="GM49" s="10">
        <v>1007</v>
      </c>
      <c r="GN49" s="10">
        <v>1035</v>
      </c>
      <c r="GO49" s="10">
        <v>1077</v>
      </c>
      <c r="GP49" s="10">
        <v>1142</v>
      </c>
      <c r="GQ49" s="10">
        <v>1092</v>
      </c>
      <c r="GR49" s="10">
        <v>1139</v>
      </c>
      <c r="GS49" s="10">
        <v>1100</v>
      </c>
    </row>
    <row r="50" spans="1:201" ht="12.6">
      <c r="A50" s="51" t="s">
        <v>1869</v>
      </c>
      <c r="B50" s="10"/>
      <c r="C50" s="10"/>
      <c r="D50" s="10"/>
      <c r="E50" s="10"/>
      <c r="F50" s="10" t="s">
        <v>1827</v>
      </c>
      <c r="G50" s="10" t="s">
        <v>1827</v>
      </c>
      <c r="H50" s="10" t="s">
        <v>1827</v>
      </c>
      <c r="I50" s="10" t="s">
        <v>1827</v>
      </c>
      <c r="J50" s="10" t="s">
        <v>1827</v>
      </c>
      <c r="K50" s="10" t="s">
        <v>1827</v>
      </c>
      <c r="L50" s="10" t="s">
        <v>1827</v>
      </c>
      <c r="M50" s="10" t="s">
        <v>1827</v>
      </c>
      <c r="N50" s="10" t="s">
        <v>1827</v>
      </c>
      <c r="O50" s="10" t="s">
        <v>1827</v>
      </c>
      <c r="P50" s="10" t="s">
        <v>1827</v>
      </c>
      <c r="Q50" s="10" t="s">
        <v>1827</v>
      </c>
      <c r="R50" s="10" t="s">
        <v>1827</v>
      </c>
      <c r="S50" s="10" t="s">
        <v>1827</v>
      </c>
      <c r="T50" s="10" t="s">
        <v>1827</v>
      </c>
      <c r="U50" s="10" t="s">
        <v>1827</v>
      </c>
      <c r="V50" s="10" t="s">
        <v>1827</v>
      </c>
      <c r="W50" s="10" t="s">
        <v>1827</v>
      </c>
      <c r="X50" s="10" t="s">
        <v>1827</v>
      </c>
      <c r="Y50" s="10" t="s">
        <v>1827</v>
      </c>
      <c r="Z50" s="10" t="s">
        <v>1827</v>
      </c>
      <c r="AA50" s="10" t="s">
        <v>1827</v>
      </c>
      <c r="AB50" s="10" t="s">
        <v>1827</v>
      </c>
      <c r="AC50" s="10" t="s">
        <v>1827</v>
      </c>
      <c r="AD50" s="10" t="s">
        <v>1827</v>
      </c>
      <c r="AE50" s="10" t="s">
        <v>1827</v>
      </c>
      <c r="AF50" s="10" t="s">
        <v>1827</v>
      </c>
      <c r="AG50" s="10" t="s">
        <v>1827</v>
      </c>
      <c r="AH50" s="10" t="s">
        <v>1827</v>
      </c>
      <c r="AI50" s="10" t="s">
        <v>1827</v>
      </c>
      <c r="AJ50" s="10" t="s">
        <v>1827</v>
      </c>
      <c r="AK50" s="10" t="s">
        <v>1827</v>
      </c>
      <c r="AL50" s="10" t="s">
        <v>1827</v>
      </c>
      <c r="AM50" s="10" t="s">
        <v>1827</v>
      </c>
      <c r="AN50" s="10" t="s">
        <v>1827</v>
      </c>
      <c r="AO50" s="10" t="s">
        <v>1827</v>
      </c>
      <c r="AP50" s="10" t="s">
        <v>1827</v>
      </c>
      <c r="AQ50" s="10" t="s">
        <v>1827</v>
      </c>
      <c r="AR50" s="10" t="s">
        <v>1827</v>
      </c>
      <c r="AS50" s="10" t="s">
        <v>1827</v>
      </c>
      <c r="AT50" s="10" t="s">
        <v>1827</v>
      </c>
      <c r="AU50" s="10" t="s">
        <v>1827</v>
      </c>
      <c r="AV50" s="10" t="s">
        <v>1827</v>
      </c>
      <c r="AW50" s="10" t="s">
        <v>1827</v>
      </c>
      <c r="AX50" s="10" t="s">
        <v>1827</v>
      </c>
      <c r="AY50" s="10" t="s">
        <v>1827</v>
      </c>
      <c r="AZ50" s="10" t="s">
        <v>1827</v>
      </c>
      <c r="BA50" s="10" t="s">
        <v>1827</v>
      </c>
      <c r="BB50" s="10" t="s">
        <v>1827</v>
      </c>
      <c r="BC50" s="10" t="s">
        <v>1827</v>
      </c>
      <c r="BD50" s="10" t="s">
        <v>1827</v>
      </c>
      <c r="BE50" s="10" t="s">
        <v>1827</v>
      </c>
      <c r="BF50" s="10" t="s">
        <v>1827</v>
      </c>
      <c r="BG50" s="10" t="s">
        <v>1827</v>
      </c>
      <c r="BH50" s="10" t="s">
        <v>1827</v>
      </c>
      <c r="BI50" s="10" t="s">
        <v>1827</v>
      </c>
      <c r="BJ50" s="10" t="s">
        <v>1827</v>
      </c>
      <c r="BK50" s="10" t="s">
        <v>1827</v>
      </c>
      <c r="BL50" s="10" t="s">
        <v>1827</v>
      </c>
      <c r="BM50" s="10" t="s">
        <v>1827</v>
      </c>
      <c r="BN50" s="10" t="s">
        <v>1827</v>
      </c>
      <c r="BO50" s="10" t="s">
        <v>1827</v>
      </c>
      <c r="BP50" s="10" t="s">
        <v>1827</v>
      </c>
      <c r="BQ50" s="10" t="s">
        <v>1827</v>
      </c>
      <c r="BR50" s="10" t="s">
        <v>1827</v>
      </c>
      <c r="BS50" s="10" t="s">
        <v>1827</v>
      </c>
      <c r="BT50" s="10" t="s">
        <v>1827</v>
      </c>
      <c r="BU50" s="10" t="s">
        <v>1827</v>
      </c>
      <c r="BV50" s="10" t="s">
        <v>1827</v>
      </c>
      <c r="BW50" s="10" t="s">
        <v>1827</v>
      </c>
      <c r="BX50" s="10" t="s">
        <v>1827</v>
      </c>
      <c r="BY50" s="10" t="s">
        <v>1827</v>
      </c>
      <c r="BZ50" s="10" t="s">
        <v>1827</v>
      </c>
      <c r="CA50" s="10" t="s">
        <v>1827</v>
      </c>
      <c r="CB50" s="10" t="s">
        <v>1827</v>
      </c>
      <c r="CC50" s="10" t="s">
        <v>1827</v>
      </c>
      <c r="CD50" s="10" t="s">
        <v>1827</v>
      </c>
      <c r="CE50" s="10" t="s">
        <v>1827</v>
      </c>
      <c r="CF50" s="10" t="s">
        <v>1827</v>
      </c>
      <c r="CG50" s="10" t="s">
        <v>1827</v>
      </c>
      <c r="CH50" s="10" t="s">
        <v>1827</v>
      </c>
      <c r="CI50" s="10" t="s">
        <v>1827</v>
      </c>
      <c r="CJ50" s="10" t="s">
        <v>1827</v>
      </c>
      <c r="CK50" s="10" t="s">
        <v>1827</v>
      </c>
      <c r="CL50" s="10" t="s">
        <v>1827</v>
      </c>
      <c r="CM50" s="10" t="s">
        <v>1827</v>
      </c>
      <c r="CN50" s="10" t="s">
        <v>1827</v>
      </c>
      <c r="CO50" s="10" t="s">
        <v>1827</v>
      </c>
      <c r="CP50" s="10" t="s">
        <v>1827</v>
      </c>
      <c r="CQ50" s="10" t="s">
        <v>1827</v>
      </c>
      <c r="CR50" s="10" t="s">
        <v>1827</v>
      </c>
      <c r="CS50" s="10" t="s">
        <v>1827</v>
      </c>
      <c r="CT50" s="10" t="s">
        <v>1827</v>
      </c>
      <c r="CU50" s="10" t="s">
        <v>1827</v>
      </c>
      <c r="CV50" s="10" t="s">
        <v>1827</v>
      </c>
      <c r="CW50" s="10" t="s">
        <v>1827</v>
      </c>
      <c r="CX50" s="10" t="s">
        <v>1827</v>
      </c>
      <c r="CY50" s="10" t="s">
        <v>1827</v>
      </c>
      <c r="CZ50" s="10">
        <v>857.65124600000001</v>
      </c>
      <c r="DA50" s="10">
        <v>860.32028500000001</v>
      </c>
      <c r="DB50" s="10">
        <v>849.64412800000002</v>
      </c>
      <c r="DC50" s="10">
        <v>840.74733100000003</v>
      </c>
      <c r="DD50" s="10">
        <v>862.09964400000001</v>
      </c>
      <c r="DE50" s="10">
        <v>855.87188600000002</v>
      </c>
      <c r="DF50" s="10">
        <v>871.886121</v>
      </c>
      <c r="DG50" s="10">
        <v>897.68683299999998</v>
      </c>
      <c r="DH50" s="10">
        <v>899.46619199999998</v>
      </c>
      <c r="DI50" s="10">
        <v>909.25266899999997</v>
      </c>
      <c r="DJ50" s="10">
        <v>902.13523099999998</v>
      </c>
      <c r="DK50" s="10">
        <v>899.46619199999998</v>
      </c>
      <c r="DL50" s="10">
        <v>912.81138799999997</v>
      </c>
      <c r="DM50" s="10">
        <v>927.04626299999995</v>
      </c>
      <c r="DN50" s="10">
        <v>919.03914599999996</v>
      </c>
      <c r="DO50" s="10">
        <v>927.93594299999995</v>
      </c>
      <c r="DP50" s="10">
        <v>931.49466199999995</v>
      </c>
      <c r="DQ50" s="10">
        <v>912.81138799999997</v>
      </c>
      <c r="DR50" s="10">
        <v>900.35587199999998</v>
      </c>
      <c r="DS50" s="10">
        <v>908.36298899999997</v>
      </c>
      <c r="DT50" s="10">
        <v>902.13523099999998</v>
      </c>
      <c r="DU50" s="10">
        <v>884.34163699999999</v>
      </c>
      <c r="DV50" s="10">
        <v>887.01067599999999</v>
      </c>
      <c r="DW50" s="10">
        <v>884.34163699999999</v>
      </c>
      <c r="DX50" s="10">
        <v>890.56939499999999</v>
      </c>
      <c r="DY50" s="10">
        <v>877.224199</v>
      </c>
      <c r="DZ50" s="10">
        <v>881.67259799999999</v>
      </c>
      <c r="EA50" s="10">
        <v>880.782918</v>
      </c>
      <c r="EB50" s="10">
        <v>889.67971499999999</v>
      </c>
      <c r="EC50" s="10">
        <v>893.23843399999998</v>
      </c>
      <c r="ED50" s="10">
        <v>889.67971499999999</v>
      </c>
      <c r="EE50" s="10">
        <v>903.91459099999997</v>
      </c>
      <c r="EF50" s="10">
        <v>900.35587199999998</v>
      </c>
      <c r="EG50" s="10">
        <v>900.35587199999998</v>
      </c>
      <c r="EH50" s="10">
        <v>894.12811399999998</v>
      </c>
      <c r="EI50" s="10">
        <v>895.90747299999998</v>
      </c>
      <c r="EJ50" s="10">
        <v>889.67971499999999</v>
      </c>
      <c r="EK50" s="10">
        <v>896.79715299999998</v>
      </c>
      <c r="EL50" s="10">
        <v>911.92170799999997</v>
      </c>
      <c r="EM50" s="10">
        <v>941.28113900000005</v>
      </c>
      <c r="EN50" s="10">
        <v>988.43416400000001</v>
      </c>
      <c r="EO50" s="10">
        <v>987.54448400000001</v>
      </c>
      <c r="EP50" s="10">
        <v>995.55160100000001</v>
      </c>
      <c r="EQ50" s="10">
        <v>988.43416400000001</v>
      </c>
      <c r="ER50" s="10">
        <v>994.661922</v>
      </c>
      <c r="ES50" s="10">
        <v>996.441281</v>
      </c>
      <c r="ET50" s="10">
        <v>1015.124555</v>
      </c>
      <c r="EU50" s="10">
        <v>1014.234875</v>
      </c>
      <c r="EV50" s="10">
        <v>1000.88968</v>
      </c>
      <c r="EW50" s="10">
        <v>1001.779359</v>
      </c>
      <c r="EX50" s="10">
        <v>1018.683274</v>
      </c>
      <c r="EY50" s="10">
        <v>1007.117438</v>
      </c>
      <c r="EZ50" s="10">
        <v>1005.338078</v>
      </c>
      <c r="FA50" s="10">
        <v>1002.669039</v>
      </c>
      <c r="FB50" s="10">
        <v>1011.565836</v>
      </c>
      <c r="FC50" s="10">
        <v>1007.117438</v>
      </c>
      <c r="FD50" s="10">
        <v>991.10320300000001</v>
      </c>
      <c r="FE50" s="10">
        <v>991.10320300000001</v>
      </c>
      <c r="FF50" s="10">
        <v>991.99288300000001</v>
      </c>
      <c r="FG50" s="10">
        <v>987.54448400000001</v>
      </c>
      <c r="FH50" s="10">
        <v>992.88256200000001</v>
      </c>
      <c r="FI50" s="10">
        <v>994.661922</v>
      </c>
      <c r="FJ50" s="10">
        <v>986.65480400000001</v>
      </c>
      <c r="FK50" s="10">
        <v>989.32384300000001</v>
      </c>
      <c r="FL50" s="10">
        <v>995.55160100000001</v>
      </c>
      <c r="FM50" s="10">
        <v>1000.88968</v>
      </c>
      <c r="FN50" s="10">
        <v>983.09608500000002</v>
      </c>
      <c r="FO50" s="10">
        <v>988.43416400000001</v>
      </c>
      <c r="FP50" s="10">
        <v>993.77224200000001</v>
      </c>
      <c r="FQ50" s="10">
        <v>1006.227758</v>
      </c>
      <c r="FR50" s="10">
        <v>1005.338078</v>
      </c>
      <c r="FS50" s="10">
        <v>1004.448399</v>
      </c>
      <c r="FT50" s="10">
        <v>1000</v>
      </c>
      <c r="FU50" s="10">
        <v>997.330961</v>
      </c>
      <c r="FV50" s="10">
        <v>992</v>
      </c>
      <c r="FW50" s="10">
        <v>996</v>
      </c>
      <c r="FX50" s="10">
        <v>986</v>
      </c>
      <c r="FY50" s="10">
        <v>990</v>
      </c>
      <c r="FZ50" s="10">
        <v>985</v>
      </c>
      <c r="GA50" s="10">
        <v>981</v>
      </c>
      <c r="GB50" s="10">
        <v>1000</v>
      </c>
      <c r="GC50" s="10">
        <v>997</v>
      </c>
      <c r="GD50" s="10">
        <v>996</v>
      </c>
      <c r="GE50" s="10">
        <v>992</v>
      </c>
      <c r="GF50" s="10">
        <v>989</v>
      </c>
      <c r="GG50" s="10">
        <v>997</v>
      </c>
      <c r="GH50" s="10">
        <v>988</v>
      </c>
      <c r="GI50" s="10">
        <v>994</v>
      </c>
      <c r="GJ50" s="10">
        <v>1014</v>
      </c>
      <c r="GK50" s="10">
        <v>1011</v>
      </c>
      <c r="GL50" s="10">
        <v>1045</v>
      </c>
      <c r="GM50" s="10">
        <v>1041</v>
      </c>
      <c r="GN50" s="10">
        <v>1064</v>
      </c>
      <c r="GO50" s="10">
        <v>1074</v>
      </c>
      <c r="GP50" s="10">
        <v>1074</v>
      </c>
      <c r="GQ50" s="10">
        <v>1074</v>
      </c>
      <c r="GR50" s="10">
        <v>1091</v>
      </c>
      <c r="GS50" s="10">
        <v>1096</v>
      </c>
    </row>
    <row r="51" spans="1:201" ht="12.6">
      <c r="A51" s="51" t="s">
        <v>1870</v>
      </c>
      <c r="B51" s="10"/>
      <c r="C51" s="10"/>
      <c r="D51" s="10"/>
      <c r="E51" s="10"/>
      <c r="F51" s="10" t="s">
        <v>1827</v>
      </c>
      <c r="G51" s="10" t="s">
        <v>1827</v>
      </c>
      <c r="H51" s="10" t="s">
        <v>1827</v>
      </c>
      <c r="I51" s="10" t="s">
        <v>1827</v>
      </c>
      <c r="J51" s="10" t="s">
        <v>1827</v>
      </c>
      <c r="K51" s="10" t="s">
        <v>1827</v>
      </c>
      <c r="L51" s="10" t="s">
        <v>1827</v>
      </c>
      <c r="M51" s="10" t="s">
        <v>1827</v>
      </c>
      <c r="N51" s="10" t="s">
        <v>1827</v>
      </c>
      <c r="O51" s="10" t="s">
        <v>1827</v>
      </c>
      <c r="P51" s="10" t="s">
        <v>1827</v>
      </c>
      <c r="Q51" s="10" t="s">
        <v>1827</v>
      </c>
      <c r="R51" s="10" t="s">
        <v>1827</v>
      </c>
      <c r="S51" s="10" t="s">
        <v>1827</v>
      </c>
      <c r="T51" s="10" t="s">
        <v>1827</v>
      </c>
      <c r="U51" s="10" t="s">
        <v>1827</v>
      </c>
      <c r="V51" s="10" t="s">
        <v>1827</v>
      </c>
      <c r="W51" s="10" t="s">
        <v>1827</v>
      </c>
      <c r="X51" s="10" t="s">
        <v>1827</v>
      </c>
      <c r="Y51" s="10" t="s">
        <v>1827</v>
      </c>
      <c r="Z51" s="10" t="s">
        <v>1827</v>
      </c>
      <c r="AA51" s="10" t="s">
        <v>1827</v>
      </c>
      <c r="AB51" s="10" t="s">
        <v>1827</v>
      </c>
      <c r="AC51" s="10" t="s">
        <v>1827</v>
      </c>
      <c r="AD51" s="10" t="s">
        <v>1827</v>
      </c>
      <c r="AE51" s="10" t="s">
        <v>1827</v>
      </c>
      <c r="AF51" s="10" t="s">
        <v>1827</v>
      </c>
      <c r="AG51" s="10" t="s">
        <v>1827</v>
      </c>
      <c r="AH51" s="10" t="s">
        <v>1827</v>
      </c>
      <c r="AI51" s="10" t="s">
        <v>1827</v>
      </c>
      <c r="AJ51" s="10" t="s">
        <v>1827</v>
      </c>
      <c r="AK51" s="10" t="s">
        <v>1827</v>
      </c>
      <c r="AL51" s="10" t="s">
        <v>1827</v>
      </c>
      <c r="AM51" s="10" t="s">
        <v>1827</v>
      </c>
      <c r="AN51" s="10" t="s">
        <v>1827</v>
      </c>
      <c r="AO51" s="10" t="s">
        <v>1827</v>
      </c>
      <c r="AP51" s="10" t="s">
        <v>1827</v>
      </c>
      <c r="AQ51" s="10" t="s">
        <v>1827</v>
      </c>
      <c r="AR51" s="10" t="s">
        <v>1827</v>
      </c>
      <c r="AS51" s="10" t="s">
        <v>1827</v>
      </c>
      <c r="AT51" s="10" t="s">
        <v>1827</v>
      </c>
      <c r="AU51" s="10" t="s">
        <v>1827</v>
      </c>
      <c r="AV51" s="10" t="s">
        <v>1827</v>
      </c>
      <c r="AW51" s="10" t="s">
        <v>1827</v>
      </c>
      <c r="AX51" s="10" t="s">
        <v>1827</v>
      </c>
      <c r="AY51" s="10" t="s">
        <v>1827</v>
      </c>
      <c r="AZ51" s="10" t="s">
        <v>1827</v>
      </c>
      <c r="BA51" s="10" t="s">
        <v>1827</v>
      </c>
      <c r="BB51" s="10" t="s">
        <v>1827</v>
      </c>
      <c r="BC51" s="10" t="s">
        <v>1827</v>
      </c>
      <c r="BD51" s="10" t="s">
        <v>1827</v>
      </c>
      <c r="BE51" s="10" t="s">
        <v>1827</v>
      </c>
      <c r="BF51" s="10" t="s">
        <v>1827</v>
      </c>
      <c r="BG51" s="10" t="s">
        <v>1827</v>
      </c>
      <c r="BH51" s="10" t="s">
        <v>1827</v>
      </c>
      <c r="BI51" s="10" t="s">
        <v>1827</v>
      </c>
      <c r="BJ51" s="10" t="s">
        <v>1827</v>
      </c>
      <c r="BK51" s="10" t="s">
        <v>1827</v>
      </c>
      <c r="BL51" s="10" t="s">
        <v>1827</v>
      </c>
      <c r="BM51" s="10" t="s">
        <v>1827</v>
      </c>
      <c r="BN51" s="10" t="s">
        <v>1827</v>
      </c>
      <c r="BO51" s="10" t="s">
        <v>1827</v>
      </c>
      <c r="BP51" s="10" t="s">
        <v>1827</v>
      </c>
      <c r="BQ51" s="10" t="s">
        <v>1827</v>
      </c>
      <c r="BR51" s="10" t="s">
        <v>1827</v>
      </c>
      <c r="BS51" s="10" t="s">
        <v>1827</v>
      </c>
      <c r="BT51" s="10" t="s">
        <v>1827</v>
      </c>
      <c r="BU51" s="10" t="s">
        <v>1827</v>
      </c>
      <c r="BV51" s="10" t="s">
        <v>1827</v>
      </c>
      <c r="BW51" s="10" t="s">
        <v>1827</v>
      </c>
      <c r="BX51" s="10" t="s">
        <v>1827</v>
      </c>
      <c r="BY51" s="10" t="s">
        <v>1827</v>
      </c>
      <c r="BZ51" s="10" t="s">
        <v>1827</v>
      </c>
      <c r="CA51" s="10" t="s">
        <v>1827</v>
      </c>
      <c r="CB51" s="10" t="s">
        <v>1827</v>
      </c>
      <c r="CC51" s="10" t="s">
        <v>1827</v>
      </c>
      <c r="CD51" s="10" t="s">
        <v>1827</v>
      </c>
      <c r="CE51" s="10" t="s">
        <v>1827</v>
      </c>
      <c r="CF51" s="10" t="s">
        <v>1827</v>
      </c>
      <c r="CG51" s="10" t="s">
        <v>1827</v>
      </c>
      <c r="CH51" s="10" t="s">
        <v>1827</v>
      </c>
      <c r="CI51" s="10" t="s">
        <v>1827</v>
      </c>
      <c r="CJ51" s="10" t="s">
        <v>1827</v>
      </c>
      <c r="CK51" s="10" t="s">
        <v>1827</v>
      </c>
      <c r="CL51" s="10" t="s">
        <v>1827</v>
      </c>
      <c r="CM51" s="10" t="s">
        <v>1827</v>
      </c>
      <c r="CN51" s="10" t="s">
        <v>1827</v>
      </c>
      <c r="CO51" s="10" t="s">
        <v>1827</v>
      </c>
      <c r="CP51" s="10" t="s">
        <v>1827</v>
      </c>
      <c r="CQ51" s="10" t="s">
        <v>1827</v>
      </c>
      <c r="CR51" s="10" t="s">
        <v>1827</v>
      </c>
      <c r="CS51" s="10" t="s">
        <v>1827</v>
      </c>
      <c r="CT51" s="10" t="s">
        <v>1827</v>
      </c>
      <c r="CU51" s="10" t="s">
        <v>1827</v>
      </c>
      <c r="CV51" s="10" t="s">
        <v>1827</v>
      </c>
      <c r="CW51" s="10" t="s">
        <v>1827</v>
      </c>
      <c r="CX51" s="10" t="s">
        <v>1827</v>
      </c>
      <c r="CY51" s="10" t="s">
        <v>1827</v>
      </c>
      <c r="CZ51" s="10">
        <v>826.00896899999998</v>
      </c>
      <c r="DA51" s="10">
        <v>828.69955200000004</v>
      </c>
      <c r="DB51" s="10">
        <v>807.17488800000001</v>
      </c>
      <c r="DC51" s="10">
        <v>815.24663699999996</v>
      </c>
      <c r="DD51" s="10">
        <v>825.11210800000003</v>
      </c>
      <c r="DE51" s="10">
        <v>828.69955200000004</v>
      </c>
      <c r="DF51" s="10">
        <v>837.66816100000005</v>
      </c>
      <c r="DG51" s="10">
        <v>869.05829600000004</v>
      </c>
      <c r="DH51" s="10">
        <v>872.64574000000005</v>
      </c>
      <c r="DI51" s="10">
        <v>883.40807199999995</v>
      </c>
      <c r="DJ51" s="10">
        <v>867.26457400000004</v>
      </c>
      <c r="DK51" s="10">
        <v>869.95515699999999</v>
      </c>
      <c r="DL51" s="10">
        <v>869.95515699999999</v>
      </c>
      <c r="DM51" s="10">
        <v>880.717489</v>
      </c>
      <c r="DN51" s="10">
        <v>870.85201800000004</v>
      </c>
      <c r="DO51" s="10">
        <v>865.47085200000004</v>
      </c>
      <c r="DP51" s="10">
        <v>875.33632299999999</v>
      </c>
      <c r="DQ51" s="10">
        <v>879.82062800000006</v>
      </c>
      <c r="DR51" s="10">
        <v>878.923767</v>
      </c>
      <c r="DS51" s="10">
        <v>869.95515699999999</v>
      </c>
      <c r="DT51" s="10">
        <v>872.64574000000005</v>
      </c>
      <c r="DU51" s="10">
        <v>868.16143499999998</v>
      </c>
      <c r="DV51" s="10">
        <v>867.26457400000004</v>
      </c>
      <c r="DW51" s="10">
        <v>875.33632299999999</v>
      </c>
      <c r="DX51" s="10">
        <v>886.99551599999995</v>
      </c>
      <c r="DY51" s="10">
        <v>890.58295999999996</v>
      </c>
      <c r="DZ51" s="10">
        <v>884.30493300000001</v>
      </c>
      <c r="EA51" s="10">
        <v>897.75784799999997</v>
      </c>
      <c r="EB51" s="10">
        <v>896.86098700000002</v>
      </c>
      <c r="EC51" s="10">
        <v>900.44843000000003</v>
      </c>
      <c r="ED51" s="10">
        <v>903.13901299999998</v>
      </c>
      <c r="EE51" s="10">
        <v>899.55156999999997</v>
      </c>
      <c r="EF51" s="10">
        <v>916.59192800000005</v>
      </c>
      <c r="EG51" s="10">
        <v>917.488789</v>
      </c>
      <c r="EH51" s="10">
        <v>921.97309399999995</v>
      </c>
      <c r="EI51" s="10">
        <v>920.17937199999994</v>
      </c>
      <c r="EJ51" s="10">
        <v>926.45739900000001</v>
      </c>
      <c r="EK51" s="10">
        <v>941.70403599999997</v>
      </c>
      <c r="EL51" s="10">
        <v>974.88789199999997</v>
      </c>
      <c r="EM51" s="10">
        <v>1008.96861</v>
      </c>
      <c r="EN51" s="10">
        <v>1031.3901350000001</v>
      </c>
      <c r="EO51" s="10">
        <v>1039.4618829999999</v>
      </c>
      <c r="EP51" s="10">
        <v>1008.96861</v>
      </c>
      <c r="EQ51" s="10">
        <v>1011.659193</v>
      </c>
      <c r="ER51" s="10">
        <v>1013.452915</v>
      </c>
      <c r="ES51" s="10">
        <v>995.51569500000005</v>
      </c>
      <c r="ET51" s="10">
        <v>1004.4843049999999</v>
      </c>
      <c r="EU51" s="10">
        <v>1005.381166</v>
      </c>
      <c r="EV51" s="10">
        <v>1011.659193</v>
      </c>
      <c r="EW51" s="10">
        <v>1003.587444</v>
      </c>
      <c r="EX51" s="10">
        <v>981.16591900000003</v>
      </c>
      <c r="EY51" s="10">
        <v>999.10313900000006</v>
      </c>
      <c r="EZ51" s="10">
        <v>970.40358700000002</v>
      </c>
      <c r="FA51" s="10">
        <v>985.65022399999998</v>
      </c>
      <c r="FB51" s="10">
        <v>986.54708500000004</v>
      </c>
      <c r="FC51" s="10">
        <v>1007.174888</v>
      </c>
      <c r="FD51" s="10">
        <v>1005.381166</v>
      </c>
      <c r="FE51" s="10">
        <v>1010.762332</v>
      </c>
      <c r="FF51" s="10">
        <v>1003.587444</v>
      </c>
      <c r="FG51" s="10">
        <v>1019.730942</v>
      </c>
      <c r="FH51" s="10">
        <v>1000</v>
      </c>
      <c r="FI51" s="10">
        <v>1004.4843049999999</v>
      </c>
      <c r="FJ51" s="10">
        <v>988.34080700000004</v>
      </c>
      <c r="FK51" s="10">
        <v>992.82511199999999</v>
      </c>
      <c r="FL51" s="10">
        <v>1000.8968609999999</v>
      </c>
      <c r="FM51" s="10">
        <v>1001.793722</v>
      </c>
      <c r="FN51" s="10">
        <v>992.82511199999999</v>
      </c>
      <c r="FO51" s="10">
        <v>999.10313900000006</v>
      </c>
      <c r="FP51" s="10">
        <v>982.06277999999998</v>
      </c>
      <c r="FQ51" s="10">
        <v>982.95964100000003</v>
      </c>
      <c r="FR51" s="10">
        <v>1000</v>
      </c>
      <c r="FS51" s="10">
        <v>1007.174888</v>
      </c>
      <c r="FT51" s="10">
        <v>1000</v>
      </c>
      <c r="FU51" s="10">
        <v>980.26905799999997</v>
      </c>
      <c r="FV51" s="10">
        <v>984</v>
      </c>
      <c r="FW51" s="10">
        <v>1001</v>
      </c>
      <c r="FX51" s="10">
        <v>989</v>
      </c>
      <c r="FY51" s="10">
        <v>972</v>
      </c>
      <c r="FZ51" s="10">
        <v>960</v>
      </c>
      <c r="GA51" s="10">
        <v>990</v>
      </c>
      <c r="GB51" s="10">
        <v>972</v>
      </c>
      <c r="GC51" s="10">
        <v>984</v>
      </c>
      <c r="GD51" s="10">
        <v>985</v>
      </c>
      <c r="GE51" s="10">
        <v>968</v>
      </c>
      <c r="GF51" s="10">
        <v>966</v>
      </c>
      <c r="GG51" s="10">
        <v>984</v>
      </c>
      <c r="GH51" s="10">
        <v>992</v>
      </c>
      <c r="GI51" s="10">
        <v>993</v>
      </c>
      <c r="GJ51" s="10">
        <v>989</v>
      </c>
      <c r="GK51" s="10">
        <v>1000</v>
      </c>
      <c r="GL51" s="10">
        <v>1037</v>
      </c>
      <c r="GM51" s="10">
        <v>1065</v>
      </c>
      <c r="GN51" s="10">
        <v>1114</v>
      </c>
      <c r="GO51" s="10">
        <v>1143</v>
      </c>
      <c r="GP51" s="10">
        <v>1183</v>
      </c>
      <c r="GQ51" s="10">
        <v>1192</v>
      </c>
      <c r="GR51" s="10">
        <v>1247</v>
      </c>
      <c r="GS51" s="10">
        <v>1245</v>
      </c>
    </row>
    <row r="52" spans="1:201" ht="12.6">
      <c r="A52" s="51" t="s">
        <v>1871</v>
      </c>
      <c r="B52" s="10"/>
      <c r="C52" s="10"/>
      <c r="D52" s="10"/>
      <c r="E52" s="10"/>
      <c r="F52" s="10" t="s">
        <v>1827</v>
      </c>
      <c r="G52" s="10" t="s">
        <v>1827</v>
      </c>
      <c r="H52" s="10" t="s">
        <v>1827</v>
      </c>
      <c r="I52" s="10" t="s">
        <v>1827</v>
      </c>
      <c r="J52" s="10" t="s">
        <v>1827</v>
      </c>
      <c r="K52" s="10" t="s">
        <v>1827</v>
      </c>
      <c r="L52" s="10" t="s">
        <v>1827</v>
      </c>
      <c r="M52" s="10" t="s">
        <v>1827</v>
      </c>
      <c r="N52" s="10" t="s">
        <v>1827</v>
      </c>
      <c r="O52" s="10" t="s">
        <v>1827</v>
      </c>
      <c r="P52" s="10" t="s">
        <v>1827</v>
      </c>
      <c r="Q52" s="10" t="s">
        <v>1827</v>
      </c>
      <c r="R52" s="10" t="s">
        <v>1827</v>
      </c>
      <c r="S52" s="10" t="s">
        <v>1827</v>
      </c>
      <c r="T52" s="10" t="s">
        <v>1827</v>
      </c>
      <c r="U52" s="10" t="s">
        <v>1827</v>
      </c>
      <c r="V52" s="10" t="s">
        <v>1827</v>
      </c>
      <c r="W52" s="10" t="s">
        <v>1827</v>
      </c>
      <c r="X52" s="10" t="s">
        <v>1827</v>
      </c>
      <c r="Y52" s="10" t="s">
        <v>1827</v>
      </c>
      <c r="Z52" s="10" t="s">
        <v>1827</v>
      </c>
      <c r="AA52" s="10" t="s">
        <v>1827</v>
      </c>
      <c r="AB52" s="10" t="s">
        <v>1827</v>
      </c>
      <c r="AC52" s="10" t="s">
        <v>1827</v>
      </c>
      <c r="AD52" s="10" t="s">
        <v>1827</v>
      </c>
      <c r="AE52" s="10" t="s">
        <v>1827</v>
      </c>
      <c r="AF52" s="10" t="s">
        <v>1827</v>
      </c>
      <c r="AG52" s="10" t="s">
        <v>1827</v>
      </c>
      <c r="AH52" s="10" t="s">
        <v>1827</v>
      </c>
      <c r="AI52" s="10" t="s">
        <v>1827</v>
      </c>
      <c r="AJ52" s="10" t="s">
        <v>1827</v>
      </c>
      <c r="AK52" s="10" t="s">
        <v>1827</v>
      </c>
      <c r="AL52" s="10" t="s">
        <v>1827</v>
      </c>
      <c r="AM52" s="10" t="s">
        <v>1827</v>
      </c>
      <c r="AN52" s="10" t="s">
        <v>1827</v>
      </c>
      <c r="AO52" s="10" t="s">
        <v>1827</v>
      </c>
      <c r="AP52" s="10" t="s">
        <v>1827</v>
      </c>
      <c r="AQ52" s="10" t="s">
        <v>1827</v>
      </c>
      <c r="AR52" s="10" t="s">
        <v>1827</v>
      </c>
      <c r="AS52" s="10" t="s">
        <v>1827</v>
      </c>
      <c r="AT52" s="10" t="s">
        <v>1827</v>
      </c>
      <c r="AU52" s="10" t="s">
        <v>1827</v>
      </c>
      <c r="AV52" s="10" t="s">
        <v>1827</v>
      </c>
      <c r="AW52" s="10" t="s">
        <v>1827</v>
      </c>
      <c r="AX52" s="10" t="s">
        <v>1827</v>
      </c>
      <c r="AY52" s="10" t="s">
        <v>1827</v>
      </c>
      <c r="AZ52" s="10" t="s">
        <v>1827</v>
      </c>
      <c r="BA52" s="10" t="s">
        <v>1827</v>
      </c>
      <c r="BB52" s="10" t="s">
        <v>1827</v>
      </c>
      <c r="BC52" s="10" t="s">
        <v>1827</v>
      </c>
      <c r="BD52" s="10" t="s">
        <v>1827</v>
      </c>
      <c r="BE52" s="10" t="s">
        <v>1827</v>
      </c>
      <c r="BF52" s="10" t="s">
        <v>1827</v>
      </c>
      <c r="BG52" s="10" t="s">
        <v>1827</v>
      </c>
      <c r="BH52" s="10" t="s">
        <v>1827</v>
      </c>
      <c r="BI52" s="10" t="s">
        <v>1827</v>
      </c>
      <c r="BJ52" s="10" t="s">
        <v>1827</v>
      </c>
      <c r="BK52" s="10" t="s">
        <v>1827</v>
      </c>
      <c r="BL52" s="10" t="s">
        <v>1827</v>
      </c>
      <c r="BM52" s="10" t="s">
        <v>1827</v>
      </c>
      <c r="BN52" s="10" t="s">
        <v>1827</v>
      </c>
      <c r="BO52" s="10" t="s">
        <v>1827</v>
      </c>
      <c r="BP52" s="10" t="s">
        <v>1827</v>
      </c>
      <c r="BQ52" s="10" t="s">
        <v>1827</v>
      </c>
      <c r="BR52" s="10" t="s">
        <v>1827</v>
      </c>
      <c r="BS52" s="10" t="s">
        <v>1827</v>
      </c>
      <c r="BT52" s="10" t="s">
        <v>1827</v>
      </c>
      <c r="BU52" s="10" t="s">
        <v>1827</v>
      </c>
      <c r="BV52" s="10" t="s">
        <v>1827</v>
      </c>
      <c r="BW52" s="10" t="s">
        <v>1827</v>
      </c>
      <c r="BX52" s="10" t="s">
        <v>1827</v>
      </c>
      <c r="BY52" s="10" t="s">
        <v>1827</v>
      </c>
      <c r="BZ52" s="10" t="s">
        <v>1827</v>
      </c>
      <c r="CA52" s="10" t="s">
        <v>1827</v>
      </c>
      <c r="CB52" s="10" t="s">
        <v>1827</v>
      </c>
      <c r="CC52" s="10" t="s">
        <v>1827</v>
      </c>
      <c r="CD52" s="10" t="s">
        <v>1827</v>
      </c>
      <c r="CE52" s="10" t="s">
        <v>1827</v>
      </c>
      <c r="CF52" s="10" t="s">
        <v>1827</v>
      </c>
      <c r="CG52" s="10" t="s">
        <v>1827</v>
      </c>
      <c r="CH52" s="10" t="s">
        <v>1827</v>
      </c>
      <c r="CI52" s="10" t="s">
        <v>1827</v>
      </c>
      <c r="CJ52" s="10" t="s">
        <v>1827</v>
      </c>
      <c r="CK52" s="10" t="s">
        <v>1827</v>
      </c>
      <c r="CL52" s="10" t="s">
        <v>1827</v>
      </c>
      <c r="CM52" s="10" t="s">
        <v>1827</v>
      </c>
      <c r="CN52" s="10" t="s">
        <v>1827</v>
      </c>
      <c r="CO52" s="10" t="s">
        <v>1827</v>
      </c>
      <c r="CP52" s="10" t="s">
        <v>1827</v>
      </c>
      <c r="CQ52" s="10" t="s">
        <v>1827</v>
      </c>
      <c r="CR52" s="10" t="s">
        <v>1827</v>
      </c>
      <c r="CS52" s="10" t="s">
        <v>1827</v>
      </c>
      <c r="CT52" s="10" t="s">
        <v>1827</v>
      </c>
      <c r="CU52" s="10" t="s">
        <v>1827</v>
      </c>
      <c r="CV52" s="10" t="s">
        <v>1827</v>
      </c>
      <c r="CW52" s="10" t="s">
        <v>1827</v>
      </c>
      <c r="CX52" s="10" t="s">
        <v>1827</v>
      </c>
      <c r="CY52" s="10" t="s">
        <v>1827</v>
      </c>
      <c r="CZ52" s="10">
        <v>989.38428899999997</v>
      </c>
      <c r="DA52" s="10">
        <v>992.56900199999995</v>
      </c>
      <c r="DB52" s="10">
        <v>1000</v>
      </c>
      <c r="DC52" s="10">
        <v>986.19957499999998</v>
      </c>
      <c r="DD52" s="10">
        <v>986.19957499999998</v>
      </c>
      <c r="DE52" s="10">
        <v>994.69214399999998</v>
      </c>
      <c r="DF52" s="10">
        <v>1012.7388539999999</v>
      </c>
      <c r="DG52" s="10">
        <v>1021.2314229999999</v>
      </c>
      <c r="DH52" s="10">
        <v>1019.10828</v>
      </c>
      <c r="DI52" s="10">
        <v>1028.6624200000001</v>
      </c>
      <c r="DJ52" s="10">
        <v>1021.2314229999999</v>
      </c>
      <c r="DK52" s="10">
        <v>1021.2314229999999</v>
      </c>
      <c r="DL52" s="10">
        <v>1030.7855629999999</v>
      </c>
      <c r="DM52" s="10">
        <v>1043.524416</v>
      </c>
      <c r="DN52" s="10">
        <v>1025.477707</v>
      </c>
      <c r="DO52" s="10">
        <v>1020.169851</v>
      </c>
      <c r="DP52" s="10">
        <v>1046.70913</v>
      </c>
      <c r="DQ52" s="10">
        <v>1054.1401269999999</v>
      </c>
      <c r="DR52" s="10">
        <v>1055.201699</v>
      </c>
      <c r="DS52" s="10">
        <v>1056.2632699999999</v>
      </c>
      <c r="DT52" s="10">
        <v>1050.955414</v>
      </c>
      <c r="DU52" s="10">
        <v>1045.6475579999999</v>
      </c>
      <c r="DV52" s="10">
        <v>1061.5711249999999</v>
      </c>
      <c r="DW52" s="10">
        <v>1061.5711249999999</v>
      </c>
      <c r="DX52" s="10">
        <v>1070.0636939999999</v>
      </c>
      <c r="DY52" s="10">
        <v>1072.186837</v>
      </c>
      <c r="DZ52" s="10">
        <v>1062.6326959999999</v>
      </c>
      <c r="EA52" s="10">
        <v>1065.8174100000001</v>
      </c>
      <c r="EB52" s="10">
        <v>1061.5711249999999</v>
      </c>
      <c r="EC52" s="10">
        <v>1071.1252649999999</v>
      </c>
      <c r="ED52" s="10">
        <v>1087.0488319999999</v>
      </c>
      <c r="EE52" s="10">
        <v>1063.694268</v>
      </c>
      <c r="EF52" s="10">
        <v>1074.3099790000001</v>
      </c>
      <c r="EG52" s="10">
        <v>1054.1401269999999</v>
      </c>
      <c r="EH52" s="10">
        <v>1082.8025479999999</v>
      </c>
      <c r="EI52" s="10">
        <v>1077.494692</v>
      </c>
      <c r="EJ52" s="10">
        <v>1075.3715500000001</v>
      </c>
      <c r="EK52" s="10">
        <v>1102.972399</v>
      </c>
      <c r="EL52" s="10">
        <v>1080.679406</v>
      </c>
      <c r="EM52" s="10">
        <v>1104.03397</v>
      </c>
      <c r="EN52" s="10">
        <v>1102.972399</v>
      </c>
      <c r="EO52" s="10">
        <v>1130.5732479999999</v>
      </c>
      <c r="EP52" s="10">
        <v>1095.541401</v>
      </c>
      <c r="EQ52" s="10">
        <v>1099.7876859999999</v>
      </c>
      <c r="ER52" s="10">
        <v>1062.6326959999999</v>
      </c>
      <c r="ES52" s="10">
        <v>1071.1252649999999</v>
      </c>
      <c r="ET52" s="10">
        <v>1069.002123</v>
      </c>
      <c r="EU52" s="10">
        <v>1078.5562629999999</v>
      </c>
      <c r="EV52" s="10">
        <v>1091.2951169999999</v>
      </c>
      <c r="EW52" s="10">
        <v>1077.494692</v>
      </c>
      <c r="EX52" s="10">
        <v>1071.1252649999999</v>
      </c>
      <c r="EY52" s="10">
        <v>1072.186837</v>
      </c>
      <c r="EZ52" s="10">
        <v>1067.940552</v>
      </c>
      <c r="FA52" s="10">
        <v>1071.1252649999999</v>
      </c>
      <c r="FB52" s="10">
        <v>1053.0785559999999</v>
      </c>
      <c r="FC52" s="10">
        <v>1056.2632699999999</v>
      </c>
      <c r="FD52" s="10">
        <v>1055.201699</v>
      </c>
      <c r="FE52" s="10">
        <v>1076.433121</v>
      </c>
      <c r="FF52" s="10">
        <v>1054.1401269999999</v>
      </c>
      <c r="FG52" s="10">
        <v>1049.8938430000001</v>
      </c>
      <c r="FH52" s="10">
        <v>1061.5711249999999</v>
      </c>
      <c r="FI52" s="10">
        <v>1066.8789810000001</v>
      </c>
      <c r="FJ52" s="10">
        <v>1040.3397030000001</v>
      </c>
      <c r="FK52" s="10">
        <v>1048.8322720000001</v>
      </c>
      <c r="FL52" s="10">
        <v>1067.940552</v>
      </c>
      <c r="FM52" s="10">
        <v>1032.9087050000001</v>
      </c>
      <c r="FN52" s="10">
        <v>1013.800425</v>
      </c>
      <c r="FO52" s="10">
        <v>1019.10828</v>
      </c>
      <c r="FP52" s="10">
        <v>1011.677282</v>
      </c>
      <c r="FQ52" s="10">
        <v>1010.615711</v>
      </c>
      <c r="FR52" s="10">
        <v>1003.184713</v>
      </c>
      <c r="FS52" s="10">
        <v>1010.615711</v>
      </c>
      <c r="FT52" s="10">
        <v>1000</v>
      </c>
      <c r="FU52" s="10">
        <v>1012.7388539999999</v>
      </c>
      <c r="FV52" s="10">
        <v>995</v>
      </c>
      <c r="FW52" s="10">
        <v>1005</v>
      </c>
      <c r="FX52" s="10">
        <v>1009</v>
      </c>
      <c r="FY52" s="10">
        <v>1029</v>
      </c>
      <c r="FZ52" s="10">
        <v>1014</v>
      </c>
      <c r="GA52" s="10">
        <v>1006</v>
      </c>
      <c r="GB52" s="10">
        <v>1032</v>
      </c>
      <c r="GC52" s="10">
        <v>1016</v>
      </c>
      <c r="GD52" s="10">
        <v>1018</v>
      </c>
      <c r="GE52" s="10">
        <v>1022</v>
      </c>
      <c r="GF52" s="10">
        <v>1035</v>
      </c>
      <c r="GG52" s="10">
        <v>1022</v>
      </c>
      <c r="GH52" s="10">
        <v>1002</v>
      </c>
      <c r="GI52" s="10">
        <v>1007</v>
      </c>
      <c r="GJ52" s="10">
        <v>1012</v>
      </c>
      <c r="GK52" s="10">
        <v>1015</v>
      </c>
      <c r="GL52" s="10">
        <v>1036</v>
      </c>
      <c r="GM52" s="10">
        <v>1066</v>
      </c>
      <c r="GN52" s="10">
        <v>1085</v>
      </c>
      <c r="GO52" s="10">
        <v>1141</v>
      </c>
      <c r="GP52" s="10">
        <v>1184</v>
      </c>
      <c r="GQ52" s="10">
        <v>1215</v>
      </c>
      <c r="GR52" s="10">
        <v>1252</v>
      </c>
      <c r="GS52" s="10">
        <v>1231</v>
      </c>
    </row>
    <row r="53" spans="1:201" ht="12.6">
      <c r="A53" s="51" t="s">
        <v>1872</v>
      </c>
      <c r="B53" s="10"/>
      <c r="C53" s="10"/>
      <c r="D53" s="10"/>
      <c r="E53" s="10"/>
      <c r="F53" s="10" t="s">
        <v>1827</v>
      </c>
      <c r="G53" s="10" t="s">
        <v>1827</v>
      </c>
      <c r="H53" s="10" t="s">
        <v>1827</v>
      </c>
      <c r="I53" s="10" t="s">
        <v>1827</v>
      </c>
      <c r="J53" s="10" t="s">
        <v>1827</v>
      </c>
      <c r="K53" s="10" t="s">
        <v>1827</v>
      </c>
      <c r="L53" s="10" t="s">
        <v>1827</v>
      </c>
      <c r="M53" s="10" t="s">
        <v>1827</v>
      </c>
      <c r="N53" s="10" t="s">
        <v>1827</v>
      </c>
      <c r="O53" s="10" t="s">
        <v>1827</v>
      </c>
      <c r="P53" s="10" t="s">
        <v>1827</v>
      </c>
      <c r="Q53" s="10" t="s">
        <v>1827</v>
      </c>
      <c r="R53" s="10" t="s">
        <v>1827</v>
      </c>
      <c r="S53" s="10" t="s">
        <v>1827</v>
      </c>
      <c r="T53" s="10" t="s">
        <v>1827</v>
      </c>
      <c r="U53" s="10" t="s">
        <v>1827</v>
      </c>
      <c r="V53" s="10" t="s">
        <v>1827</v>
      </c>
      <c r="W53" s="10" t="s">
        <v>1827</v>
      </c>
      <c r="X53" s="10" t="s">
        <v>1827</v>
      </c>
      <c r="Y53" s="10" t="s">
        <v>1827</v>
      </c>
      <c r="Z53" s="10" t="s">
        <v>1827</v>
      </c>
      <c r="AA53" s="10" t="s">
        <v>1827</v>
      </c>
      <c r="AB53" s="10" t="s">
        <v>1827</v>
      </c>
      <c r="AC53" s="10" t="s">
        <v>1827</v>
      </c>
      <c r="AD53" s="10" t="s">
        <v>1827</v>
      </c>
      <c r="AE53" s="10">
        <v>240.33451099999999</v>
      </c>
      <c r="AF53" s="10">
        <v>260.85380700000002</v>
      </c>
      <c r="AG53" s="10">
        <v>268.24425400000001</v>
      </c>
      <c r="AH53" s="10">
        <v>284.934303</v>
      </c>
      <c r="AI53" s="10">
        <v>287.73512399999998</v>
      </c>
      <c r="AJ53" s="10">
        <v>306.613314</v>
      </c>
      <c r="AK53" s="10">
        <v>311.46551699999998</v>
      </c>
      <c r="AL53" s="10">
        <v>314.83525500000002</v>
      </c>
      <c r="AM53" s="10">
        <v>315.04859900000002</v>
      </c>
      <c r="AN53" s="10">
        <v>317.253151</v>
      </c>
      <c r="AO53" s="10">
        <v>317.64701700000001</v>
      </c>
      <c r="AP53" s="10">
        <v>317.833009</v>
      </c>
      <c r="AQ53" s="10">
        <v>316.689705</v>
      </c>
      <c r="AR53" s="10">
        <v>330.21788900000001</v>
      </c>
      <c r="AS53" s="10">
        <v>337.51534099999998</v>
      </c>
      <c r="AT53" s="10">
        <v>353.729468</v>
      </c>
      <c r="AU53" s="10">
        <v>385.45204799999999</v>
      </c>
      <c r="AV53" s="10">
        <v>411.74803800000001</v>
      </c>
      <c r="AW53" s="10">
        <v>419.17677800000001</v>
      </c>
      <c r="AX53" s="10">
        <v>452.212242</v>
      </c>
      <c r="AY53" s="10">
        <v>463.043543</v>
      </c>
      <c r="AZ53" s="10">
        <v>462.93413600000002</v>
      </c>
      <c r="BA53" s="10">
        <v>465.76230800000002</v>
      </c>
      <c r="BB53" s="10">
        <v>522.916561</v>
      </c>
      <c r="BC53" s="10">
        <v>539.16351099999997</v>
      </c>
      <c r="BD53" s="10">
        <v>549.02108799999996</v>
      </c>
      <c r="BE53" s="10">
        <v>552.50023299999998</v>
      </c>
      <c r="BF53" s="10">
        <v>562.40157299999998</v>
      </c>
      <c r="BG53" s="10">
        <v>567.27565800000002</v>
      </c>
      <c r="BH53" s="10">
        <v>569.18481099999997</v>
      </c>
      <c r="BI53" s="10">
        <v>540.41622199999995</v>
      </c>
      <c r="BJ53" s="10">
        <v>547.03534999999999</v>
      </c>
      <c r="BK53" s="10">
        <v>569.35986200000002</v>
      </c>
      <c r="BL53" s="10">
        <v>575.80393900000001</v>
      </c>
      <c r="BM53" s="10">
        <v>596.53657899999996</v>
      </c>
      <c r="BN53" s="10">
        <v>604.15678100000002</v>
      </c>
      <c r="BO53" s="10">
        <v>627.53160200000002</v>
      </c>
      <c r="BP53" s="10">
        <v>628.19351400000005</v>
      </c>
      <c r="BQ53" s="10">
        <v>620.83041900000001</v>
      </c>
      <c r="BR53" s="10">
        <v>612.055972</v>
      </c>
      <c r="BS53" s="10">
        <v>602.04522399999996</v>
      </c>
      <c r="BT53" s="10">
        <v>592.96443799999997</v>
      </c>
      <c r="BU53" s="10">
        <v>585.42628999999999</v>
      </c>
      <c r="BV53" s="10">
        <v>587.64725399999998</v>
      </c>
      <c r="BW53" s="10">
        <v>587.13304100000005</v>
      </c>
      <c r="BX53" s="10">
        <v>579.37061000000006</v>
      </c>
      <c r="BY53" s="10">
        <v>583.39679000000001</v>
      </c>
      <c r="BZ53" s="10">
        <v>575.86958300000003</v>
      </c>
      <c r="CA53" s="10">
        <v>575.69453199999998</v>
      </c>
      <c r="CB53" s="10">
        <v>565.83695499999999</v>
      </c>
      <c r="CC53" s="10">
        <v>574.13548200000002</v>
      </c>
      <c r="CD53" s="10">
        <v>595.27292699999998</v>
      </c>
      <c r="CE53" s="10">
        <v>566.10455300000001</v>
      </c>
      <c r="CF53" s="10">
        <v>551.81800399999997</v>
      </c>
      <c r="CG53" s="10">
        <v>558.36600599999997</v>
      </c>
      <c r="CH53" s="10">
        <v>553.00854900000002</v>
      </c>
      <c r="CI53" s="10">
        <v>560.15182500000003</v>
      </c>
      <c r="CJ53" s="10">
        <v>558.96127799999999</v>
      </c>
      <c r="CK53" s="10">
        <v>548.84163899999999</v>
      </c>
      <c r="CL53" s="10">
        <v>550.62745700000005</v>
      </c>
      <c r="CM53" s="10">
        <v>547.65109299999995</v>
      </c>
      <c r="CN53" s="10">
        <v>548.84163899999999</v>
      </c>
      <c r="CO53" s="10">
        <v>548.24636599999997</v>
      </c>
      <c r="CP53" s="10">
        <v>558.96127799999999</v>
      </c>
      <c r="CQ53" s="10">
        <v>573.24782900000002</v>
      </c>
      <c r="CR53" s="10">
        <v>568.48564599999997</v>
      </c>
      <c r="CS53" s="10">
        <v>547.65109299999995</v>
      </c>
      <c r="CT53" s="10">
        <v>528.00708699999996</v>
      </c>
      <c r="CU53" s="10">
        <v>532.76927000000001</v>
      </c>
      <c r="CV53" s="10">
        <v>542.88890900000001</v>
      </c>
      <c r="CW53" s="10">
        <v>523.24490300000002</v>
      </c>
      <c r="CX53" s="10">
        <v>525.03072199999997</v>
      </c>
      <c r="CY53" s="10">
        <v>522.64963</v>
      </c>
      <c r="CZ53" s="10">
        <v>521.45908499999996</v>
      </c>
      <c r="DA53" s="10">
        <v>518.85178900000005</v>
      </c>
      <c r="DB53" s="10">
        <v>519.89470700000004</v>
      </c>
      <c r="DC53" s="10">
        <v>520.41616599999998</v>
      </c>
      <c r="DD53" s="10">
        <v>520.41616599999998</v>
      </c>
      <c r="DE53" s="10">
        <v>527.19513400000005</v>
      </c>
      <c r="DF53" s="10">
        <v>541.79598899999996</v>
      </c>
      <c r="DG53" s="10">
        <v>550.66079300000001</v>
      </c>
      <c r="DH53" s="10">
        <v>554.83246599999995</v>
      </c>
      <c r="DI53" s="10">
        <v>562.65435200000002</v>
      </c>
      <c r="DJ53" s="10">
        <v>569.95477900000003</v>
      </c>
      <c r="DK53" s="10">
        <v>573.60499300000004</v>
      </c>
      <c r="DL53" s="10">
        <v>582.99125600000002</v>
      </c>
      <c r="DM53" s="10">
        <v>589.77022399999998</v>
      </c>
      <c r="DN53" s="10">
        <v>589.77022399999998</v>
      </c>
      <c r="DO53" s="10">
        <v>605.93545600000004</v>
      </c>
      <c r="DP53" s="10">
        <v>615.32171900000003</v>
      </c>
      <c r="DQ53" s="10">
        <v>606.45691499999998</v>
      </c>
      <c r="DR53" s="10">
        <v>621.05776900000001</v>
      </c>
      <c r="DS53" s="10">
        <v>628.87965599999995</v>
      </c>
      <c r="DT53" s="10">
        <v>621.05776900000001</v>
      </c>
      <c r="DU53" s="10">
        <v>627.31527800000003</v>
      </c>
      <c r="DV53" s="10">
        <v>630.44403299999999</v>
      </c>
      <c r="DW53" s="10">
        <v>636.70154200000002</v>
      </c>
      <c r="DX53" s="10">
        <v>648.69510100000002</v>
      </c>
      <c r="DY53" s="10">
        <v>674.768055</v>
      </c>
      <c r="DZ53" s="10">
        <v>677.89680999999996</v>
      </c>
      <c r="EA53" s="10">
        <v>695.62641799999994</v>
      </c>
      <c r="EB53" s="10">
        <v>710.22727299999997</v>
      </c>
      <c r="EC53" s="10">
        <v>713.06818199999998</v>
      </c>
      <c r="ED53" s="10">
        <v>719.46022700000003</v>
      </c>
      <c r="EE53" s="10">
        <v>722.30113600000004</v>
      </c>
      <c r="EF53" s="10">
        <v>757.10227299999997</v>
      </c>
      <c r="EG53" s="10">
        <v>761.36363600000004</v>
      </c>
      <c r="EH53" s="10">
        <v>764.20454500000005</v>
      </c>
      <c r="EI53" s="10">
        <v>774.85795499999995</v>
      </c>
      <c r="EJ53" s="10">
        <v>786.93181800000002</v>
      </c>
      <c r="EK53" s="10">
        <v>797.58522700000003</v>
      </c>
      <c r="EL53" s="10">
        <v>795.45454500000005</v>
      </c>
      <c r="EM53" s="10">
        <v>786.93181800000002</v>
      </c>
      <c r="EN53" s="10">
        <v>789.77272700000003</v>
      </c>
      <c r="EO53" s="10">
        <v>787.64204500000005</v>
      </c>
      <c r="EP53" s="10">
        <v>796.875</v>
      </c>
      <c r="EQ53" s="10">
        <v>804.6875</v>
      </c>
      <c r="ER53" s="10">
        <v>795.45454500000005</v>
      </c>
      <c r="ES53" s="10">
        <v>799.00568199999998</v>
      </c>
      <c r="ET53" s="10">
        <v>834.51704500000005</v>
      </c>
      <c r="EU53" s="10">
        <v>839.48863600000004</v>
      </c>
      <c r="EV53" s="10">
        <v>843.75</v>
      </c>
      <c r="EW53" s="10">
        <v>848.01136399999996</v>
      </c>
      <c r="EX53" s="10">
        <v>856.53409099999999</v>
      </c>
      <c r="EY53" s="10">
        <v>857.95454500000005</v>
      </c>
      <c r="EZ53" s="10">
        <v>879.97159099999999</v>
      </c>
      <c r="FA53" s="10">
        <v>890.625</v>
      </c>
      <c r="FB53" s="10">
        <v>893.46590900000001</v>
      </c>
      <c r="FC53" s="10">
        <v>899.14772700000003</v>
      </c>
      <c r="FD53" s="10">
        <v>908.38068199999998</v>
      </c>
      <c r="FE53" s="10">
        <v>919.03409099999999</v>
      </c>
      <c r="FF53" s="10">
        <v>933.23863600000004</v>
      </c>
      <c r="FG53" s="10">
        <v>936.78977299999997</v>
      </c>
      <c r="FH53" s="10">
        <v>941.05113600000004</v>
      </c>
      <c r="FI53" s="10">
        <v>958.80681800000002</v>
      </c>
      <c r="FJ53" s="10">
        <v>962.35795499999995</v>
      </c>
      <c r="FK53" s="10">
        <v>967.32954500000005</v>
      </c>
      <c r="FL53" s="10">
        <v>970.17045499999995</v>
      </c>
      <c r="FM53" s="10">
        <v>970.88068199999998</v>
      </c>
      <c r="FN53" s="10">
        <v>970.17045499999995</v>
      </c>
      <c r="FO53" s="10">
        <v>971.59090900000001</v>
      </c>
      <c r="FP53" s="10">
        <v>977.27272700000003</v>
      </c>
      <c r="FQ53" s="10">
        <v>978.69318199999998</v>
      </c>
      <c r="FR53" s="10">
        <v>984.375</v>
      </c>
      <c r="FS53" s="10">
        <v>989.34659099999999</v>
      </c>
      <c r="FT53" s="10">
        <v>1000</v>
      </c>
      <c r="FU53" s="10">
        <v>1000.710227</v>
      </c>
      <c r="FV53" s="10">
        <v>1006</v>
      </c>
      <c r="FW53" s="10">
        <v>1019</v>
      </c>
      <c r="FX53" s="10">
        <v>1034</v>
      </c>
      <c r="FY53" s="10">
        <v>1044</v>
      </c>
      <c r="FZ53" s="10">
        <v>1054</v>
      </c>
      <c r="GA53" s="10">
        <v>1051</v>
      </c>
      <c r="GB53" s="10">
        <v>1056</v>
      </c>
      <c r="GC53" s="10">
        <v>1070</v>
      </c>
      <c r="GD53" s="10">
        <v>1078</v>
      </c>
      <c r="GE53" s="10">
        <v>1105</v>
      </c>
      <c r="GF53" s="10">
        <v>1106</v>
      </c>
      <c r="GG53" s="10">
        <v>1133</v>
      </c>
      <c r="GH53" s="10">
        <v>1149</v>
      </c>
      <c r="GI53" s="10">
        <v>1165</v>
      </c>
      <c r="GJ53" s="10">
        <v>1222</v>
      </c>
      <c r="GK53" s="10">
        <v>1237</v>
      </c>
      <c r="GL53" s="10">
        <v>1268</v>
      </c>
      <c r="GM53" s="10">
        <v>1298</v>
      </c>
      <c r="GN53" s="10">
        <v>1315</v>
      </c>
      <c r="GO53" s="10">
        <v>1333</v>
      </c>
      <c r="GP53" s="10">
        <v>1352</v>
      </c>
      <c r="GQ53" s="10">
        <v>1364</v>
      </c>
      <c r="GR53" s="10">
        <v>1377</v>
      </c>
      <c r="GS53" s="10">
        <v>1395</v>
      </c>
    </row>
    <row r="54" spans="1:201" ht="12.6">
      <c r="A54" s="51" t="s">
        <v>1873</v>
      </c>
      <c r="B54" s="10"/>
      <c r="C54" s="10"/>
      <c r="D54" s="10"/>
      <c r="E54" s="10"/>
      <c r="F54" s="10" t="s">
        <v>1827</v>
      </c>
      <c r="G54" s="10" t="s">
        <v>1827</v>
      </c>
      <c r="H54" s="10" t="s">
        <v>1827</v>
      </c>
      <c r="I54" s="10" t="s">
        <v>1827</v>
      </c>
      <c r="J54" s="10" t="s">
        <v>1827</v>
      </c>
      <c r="K54" s="10" t="s">
        <v>1827</v>
      </c>
      <c r="L54" s="10" t="s">
        <v>1827</v>
      </c>
      <c r="M54" s="10" t="s">
        <v>1827</v>
      </c>
      <c r="N54" s="10" t="s">
        <v>1827</v>
      </c>
      <c r="O54" s="10" t="s">
        <v>1827</v>
      </c>
      <c r="P54" s="10" t="s">
        <v>1827</v>
      </c>
      <c r="Q54" s="10" t="s">
        <v>1827</v>
      </c>
      <c r="R54" s="10" t="s">
        <v>1827</v>
      </c>
      <c r="S54" s="10" t="s">
        <v>1827</v>
      </c>
      <c r="T54" s="10" t="s">
        <v>1827</v>
      </c>
      <c r="U54" s="10" t="s">
        <v>1827</v>
      </c>
      <c r="V54" s="10" t="s">
        <v>1827</v>
      </c>
      <c r="W54" s="10" t="s">
        <v>1827</v>
      </c>
      <c r="X54" s="10" t="s">
        <v>1827</v>
      </c>
      <c r="Y54" s="10" t="s">
        <v>1827</v>
      </c>
      <c r="Z54" s="10" t="s">
        <v>1827</v>
      </c>
      <c r="AA54" s="10" t="s">
        <v>1827</v>
      </c>
      <c r="AB54" s="10" t="s">
        <v>1827</v>
      </c>
      <c r="AC54" s="10" t="s">
        <v>1827</v>
      </c>
      <c r="AD54" s="10" t="s">
        <v>1827</v>
      </c>
      <c r="AE54" s="10" t="s">
        <v>1827</v>
      </c>
      <c r="AF54" s="10" t="s">
        <v>1827</v>
      </c>
      <c r="AG54" s="10" t="s">
        <v>1827</v>
      </c>
      <c r="AH54" s="10" t="s">
        <v>1827</v>
      </c>
      <c r="AI54" s="10" t="s">
        <v>1827</v>
      </c>
      <c r="AJ54" s="10" t="s">
        <v>1827</v>
      </c>
      <c r="AK54" s="10" t="s">
        <v>1827</v>
      </c>
      <c r="AL54" s="10" t="s">
        <v>1827</v>
      </c>
      <c r="AM54" s="10" t="s">
        <v>1827</v>
      </c>
      <c r="AN54" s="10" t="s">
        <v>1827</v>
      </c>
      <c r="AO54" s="10" t="s">
        <v>1827</v>
      </c>
      <c r="AP54" s="10" t="s">
        <v>1827</v>
      </c>
      <c r="AQ54" s="10" t="s">
        <v>1827</v>
      </c>
      <c r="AR54" s="10" t="s">
        <v>1827</v>
      </c>
      <c r="AS54" s="10" t="s">
        <v>1827</v>
      </c>
      <c r="AT54" s="10" t="s">
        <v>1827</v>
      </c>
      <c r="AU54" s="10" t="s">
        <v>1827</v>
      </c>
      <c r="AV54" s="10" t="s">
        <v>1827</v>
      </c>
      <c r="AW54" s="10" t="s">
        <v>1827</v>
      </c>
      <c r="AX54" s="10" t="s">
        <v>1827</v>
      </c>
      <c r="AY54" s="10" t="s">
        <v>1827</v>
      </c>
      <c r="AZ54" s="10" t="s">
        <v>1827</v>
      </c>
      <c r="BA54" s="10" t="s">
        <v>1827</v>
      </c>
      <c r="BB54" s="10" t="s">
        <v>1827</v>
      </c>
      <c r="BC54" s="10" t="s">
        <v>1827</v>
      </c>
      <c r="BD54" s="10" t="s">
        <v>1827</v>
      </c>
      <c r="BE54" s="10" t="s">
        <v>1827</v>
      </c>
      <c r="BF54" s="10" t="s">
        <v>1827</v>
      </c>
      <c r="BG54" s="10" t="s">
        <v>1827</v>
      </c>
      <c r="BH54" s="10" t="s">
        <v>1827</v>
      </c>
      <c r="BI54" s="10" t="s">
        <v>1827</v>
      </c>
      <c r="BJ54" s="10" t="s">
        <v>1827</v>
      </c>
      <c r="BK54" s="10" t="s">
        <v>1827</v>
      </c>
      <c r="BL54" s="10" t="s">
        <v>1827</v>
      </c>
      <c r="BM54" s="10" t="s">
        <v>1827</v>
      </c>
      <c r="BN54" s="10" t="s">
        <v>1827</v>
      </c>
      <c r="BO54" s="10" t="s">
        <v>1827</v>
      </c>
      <c r="BP54" s="10" t="s">
        <v>1827</v>
      </c>
      <c r="BQ54" s="10" t="s">
        <v>1827</v>
      </c>
      <c r="BR54" s="10" t="s">
        <v>1827</v>
      </c>
      <c r="BS54" s="10" t="s">
        <v>1827</v>
      </c>
      <c r="BT54" s="10" t="s">
        <v>1827</v>
      </c>
      <c r="BU54" s="10" t="s">
        <v>1827</v>
      </c>
      <c r="BV54" s="10" t="s">
        <v>1827</v>
      </c>
      <c r="BW54" s="10" t="s">
        <v>1827</v>
      </c>
      <c r="BX54" s="10" t="s">
        <v>1827</v>
      </c>
      <c r="BY54" s="10" t="s">
        <v>1827</v>
      </c>
      <c r="BZ54" s="10" t="s">
        <v>1827</v>
      </c>
      <c r="CA54" s="10" t="s">
        <v>1827</v>
      </c>
      <c r="CB54" s="10" t="s">
        <v>1827</v>
      </c>
      <c r="CC54" s="10" t="s">
        <v>1827</v>
      </c>
      <c r="CD54" s="10" t="s">
        <v>1827</v>
      </c>
      <c r="CE54" s="10" t="s">
        <v>1827</v>
      </c>
      <c r="CF54" s="10" t="s">
        <v>1827</v>
      </c>
      <c r="CG54" s="10" t="s">
        <v>1827</v>
      </c>
      <c r="CH54" s="10" t="s">
        <v>1827</v>
      </c>
      <c r="CI54" s="10" t="s">
        <v>1827</v>
      </c>
      <c r="CJ54" s="10" t="s">
        <v>1827</v>
      </c>
      <c r="CK54" s="10" t="s">
        <v>1827</v>
      </c>
      <c r="CL54" s="10" t="s">
        <v>1827</v>
      </c>
      <c r="CM54" s="10" t="s">
        <v>1827</v>
      </c>
      <c r="CN54" s="10" t="s">
        <v>1827</v>
      </c>
      <c r="CO54" s="10" t="s">
        <v>1827</v>
      </c>
      <c r="CP54" s="10" t="s">
        <v>1827</v>
      </c>
      <c r="CQ54" s="10" t="s">
        <v>1827</v>
      </c>
      <c r="CR54" s="10" t="s">
        <v>1827</v>
      </c>
      <c r="CS54" s="10" t="s">
        <v>1827</v>
      </c>
      <c r="CT54" s="10" t="s">
        <v>1827</v>
      </c>
      <c r="CU54" s="10" t="s">
        <v>1827</v>
      </c>
      <c r="CV54" s="10" t="s">
        <v>1827</v>
      </c>
      <c r="CW54" s="10" t="s">
        <v>1827</v>
      </c>
      <c r="CX54" s="10" t="s">
        <v>1827</v>
      </c>
      <c r="CY54" s="10" t="s">
        <v>1827</v>
      </c>
      <c r="CZ54" s="10">
        <v>829.63709700000004</v>
      </c>
      <c r="DA54" s="10">
        <v>847.78225799999996</v>
      </c>
      <c r="DB54" s="10">
        <v>845.76612899999998</v>
      </c>
      <c r="DC54" s="10">
        <v>835.68548399999997</v>
      </c>
      <c r="DD54" s="10">
        <v>833.669355</v>
      </c>
      <c r="DE54" s="10">
        <v>837.70161299999995</v>
      </c>
      <c r="DF54" s="10">
        <v>844.75806499999999</v>
      </c>
      <c r="DG54" s="10">
        <v>847.78225799999996</v>
      </c>
      <c r="DH54" s="10">
        <v>835.68548399999997</v>
      </c>
      <c r="DI54" s="10">
        <v>840.72580600000003</v>
      </c>
      <c r="DJ54" s="10">
        <v>852.82258100000001</v>
      </c>
      <c r="DK54" s="10">
        <v>860.88709700000004</v>
      </c>
      <c r="DL54" s="10">
        <v>866.93548399999997</v>
      </c>
      <c r="DM54" s="10">
        <v>872.98387100000002</v>
      </c>
      <c r="DN54" s="10">
        <v>881.04838700000005</v>
      </c>
      <c r="DO54" s="10">
        <v>886.08870999999999</v>
      </c>
      <c r="DP54" s="10">
        <v>889.11290299999996</v>
      </c>
      <c r="DQ54" s="10">
        <v>893.14516100000003</v>
      </c>
      <c r="DR54" s="10">
        <v>905.24193500000001</v>
      </c>
      <c r="DS54" s="10">
        <v>974.79838700000005</v>
      </c>
      <c r="DT54" s="10">
        <v>969.75806499999999</v>
      </c>
      <c r="DU54" s="10">
        <v>967.74193500000001</v>
      </c>
      <c r="DV54" s="10">
        <v>979.83870999999999</v>
      </c>
      <c r="DW54" s="10">
        <v>985.88709700000004</v>
      </c>
      <c r="DX54" s="10">
        <v>981.85483899999997</v>
      </c>
      <c r="DY54" s="10">
        <v>997.98387100000002</v>
      </c>
      <c r="DZ54" s="10">
        <v>1012.096774</v>
      </c>
      <c r="EA54" s="10">
        <v>1021.169355</v>
      </c>
      <c r="EB54" s="10">
        <v>1008.064516</v>
      </c>
      <c r="EC54" s="10">
        <v>1007.056452</v>
      </c>
      <c r="ED54" s="10">
        <v>965.72580600000003</v>
      </c>
      <c r="EE54" s="10">
        <v>975.80645200000004</v>
      </c>
      <c r="EF54" s="10">
        <v>983.87096799999995</v>
      </c>
      <c r="EG54" s="10">
        <v>824.59677399999998</v>
      </c>
      <c r="EH54" s="10">
        <v>821.57258100000001</v>
      </c>
      <c r="EI54" s="10">
        <v>821.57258100000001</v>
      </c>
      <c r="EJ54" s="10">
        <v>825.60483899999997</v>
      </c>
      <c r="EK54" s="10">
        <v>827.62096799999995</v>
      </c>
      <c r="EL54" s="10">
        <v>829.63709700000004</v>
      </c>
      <c r="EM54" s="10">
        <v>842.74193500000001</v>
      </c>
      <c r="EN54" s="10">
        <v>859.87903200000005</v>
      </c>
      <c r="EO54" s="10">
        <v>863.91129000000001</v>
      </c>
      <c r="EP54" s="10">
        <v>873.99193500000001</v>
      </c>
      <c r="EQ54" s="10">
        <v>898.18548399999997</v>
      </c>
      <c r="ER54" s="10">
        <v>886.08870999999999</v>
      </c>
      <c r="ES54" s="10">
        <v>894.15322600000002</v>
      </c>
      <c r="ET54" s="10">
        <v>903.22580600000003</v>
      </c>
      <c r="EU54" s="10">
        <v>912.29838700000005</v>
      </c>
      <c r="EV54" s="10">
        <v>905.24193500000001</v>
      </c>
      <c r="EW54" s="10">
        <v>910.28225799999996</v>
      </c>
      <c r="EX54" s="10">
        <v>911.29032299999994</v>
      </c>
      <c r="EY54" s="10">
        <v>905.24193500000001</v>
      </c>
      <c r="EZ54" s="10">
        <v>917.33870999999999</v>
      </c>
      <c r="FA54" s="10">
        <v>917.33870999999999</v>
      </c>
      <c r="FB54" s="10">
        <v>917.33870999999999</v>
      </c>
      <c r="FC54" s="10">
        <v>1003.024194</v>
      </c>
      <c r="FD54" s="10">
        <v>1009.072581</v>
      </c>
      <c r="FE54" s="10">
        <v>1000</v>
      </c>
      <c r="FF54" s="10">
        <v>1007.056452</v>
      </c>
      <c r="FG54" s="10">
        <v>992.94354799999996</v>
      </c>
      <c r="FH54" s="10">
        <v>995.96774200000004</v>
      </c>
      <c r="FI54" s="10">
        <v>997.98387100000002</v>
      </c>
      <c r="FJ54" s="10">
        <v>1010.080645</v>
      </c>
      <c r="FK54" s="10">
        <v>1013.104839</v>
      </c>
      <c r="FL54" s="10">
        <v>1007.056452</v>
      </c>
      <c r="FM54" s="10">
        <v>1002.016129</v>
      </c>
      <c r="FN54" s="10">
        <v>1008.064516</v>
      </c>
      <c r="FO54" s="10">
        <v>997.98387100000002</v>
      </c>
      <c r="FP54" s="10">
        <v>990.92741899999999</v>
      </c>
      <c r="FQ54" s="10">
        <v>1001.008065</v>
      </c>
      <c r="FR54" s="10">
        <v>994.95967700000006</v>
      </c>
      <c r="FS54" s="10">
        <v>1018.145161</v>
      </c>
      <c r="FT54" s="10">
        <v>1000</v>
      </c>
      <c r="FU54" s="10">
        <v>1003.024194</v>
      </c>
      <c r="FV54" s="10">
        <v>996</v>
      </c>
      <c r="FW54" s="10">
        <v>999</v>
      </c>
      <c r="FX54" s="10">
        <v>976</v>
      </c>
      <c r="FY54" s="10">
        <v>983</v>
      </c>
      <c r="FZ54" s="10">
        <v>984</v>
      </c>
      <c r="GA54" s="10">
        <v>972</v>
      </c>
      <c r="GB54" s="10">
        <v>987</v>
      </c>
      <c r="GC54" s="10">
        <v>977</v>
      </c>
      <c r="GD54" s="10">
        <v>987</v>
      </c>
      <c r="GE54" s="10">
        <v>993</v>
      </c>
      <c r="GF54" s="10">
        <v>1000</v>
      </c>
      <c r="GG54" s="10">
        <v>986</v>
      </c>
      <c r="GH54" s="10">
        <v>972</v>
      </c>
      <c r="GI54" s="10">
        <v>987</v>
      </c>
      <c r="GJ54" s="10">
        <v>973</v>
      </c>
      <c r="GK54" s="10">
        <v>962</v>
      </c>
      <c r="GL54" s="10">
        <v>952</v>
      </c>
      <c r="GM54" s="10">
        <v>980</v>
      </c>
      <c r="GN54" s="10">
        <v>981</v>
      </c>
      <c r="GO54" s="10">
        <v>999</v>
      </c>
      <c r="GP54" s="10">
        <v>1017</v>
      </c>
      <c r="GQ54" s="10">
        <v>1017</v>
      </c>
      <c r="GR54" s="10">
        <v>1034</v>
      </c>
      <c r="GS54" s="10">
        <v>909</v>
      </c>
    </row>
    <row r="55" spans="1:201" ht="12.6">
      <c r="A55" s="51" t="s">
        <v>1874</v>
      </c>
      <c r="B55" s="10"/>
      <c r="C55" s="10"/>
      <c r="D55" s="10"/>
      <c r="E55" s="10"/>
      <c r="F55" s="10" t="s">
        <v>1827</v>
      </c>
      <c r="G55" s="10" t="s">
        <v>1827</v>
      </c>
      <c r="H55" s="10" t="s">
        <v>1827</v>
      </c>
      <c r="I55" s="10" t="s">
        <v>1827</v>
      </c>
      <c r="J55" s="10" t="s">
        <v>1827</v>
      </c>
      <c r="K55" s="10" t="s">
        <v>1827</v>
      </c>
      <c r="L55" s="10" t="s">
        <v>1827</v>
      </c>
      <c r="M55" s="10" t="s">
        <v>1827</v>
      </c>
      <c r="N55" s="10" t="s">
        <v>1827</v>
      </c>
      <c r="O55" s="10" t="s">
        <v>1827</v>
      </c>
      <c r="P55" s="10" t="s">
        <v>1827</v>
      </c>
      <c r="Q55" s="10" t="s">
        <v>1827</v>
      </c>
      <c r="R55" s="10" t="s">
        <v>1827</v>
      </c>
      <c r="S55" s="10" t="s">
        <v>1827</v>
      </c>
      <c r="T55" s="10" t="s">
        <v>1827</v>
      </c>
      <c r="U55" s="10" t="s">
        <v>1827</v>
      </c>
      <c r="V55" s="10" t="s">
        <v>1827</v>
      </c>
      <c r="W55" s="10" t="s">
        <v>1827</v>
      </c>
      <c r="X55" s="10" t="s">
        <v>1827</v>
      </c>
      <c r="Y55" s="10" t="s">
        <v>1827</v>
      </c>
      <c r="Z55" s="10" t="s">
        <v>1827</v>
      </c>
      <c r="AA55" s="10" t="s">
        <v>1827</v>
      </c>
      <c r="AB55" s="10" t="s">
        <v>1827</v>
      </c>
      <c r="AC55" s="10" t="s">
        <v>1827</v>
      </c>
      <c r="AD55" s="10" t="s">
        <v>1827</v>
      </c>
      <c r="AE55" s="10" t="s">
        <v>1827</v>
      </c>
      <c r="AF55" s="10" t="s">
        <v>1827</v>
      </c>
      <c r="AG55" s="10" t="s">
        <v>1827</v>
      </c>
      <c r="AH55" s="10" t="s">
        <v>1827</v>
      </c>
      <c r="AI55" s="10" t="s">
        <v>1827</v>
      </c>
      <c r="AJ55" s="10" t="s">
        <v>1827</v>
      </c>
      <c r="AK55" s="10" t="s">
        <v>1827</v>
      </c>
      <c r="AL55" s="10" t="s">
        <v>1827</v>
      </c>
      <c r="AM55" s="10" t="s">
        <v>1827</v>
      </c>
      <c r="AN55" s="10" t="s">
        <v>1827</v>
      </c>
      <c r="AO55" s="10" t="s">
        <v>1827</v>
      </c>
      <c r="AP55" s="10" t="s">
        <v>1827</v>
      </c>
      <c r="AQ55" s="10" t="s">
        <v>1827</v>
      </c>
      <c r="AR55" s="10" t="s">
        <v>1827</v>
      </c>
      <c r="AS55" s="10" t="s">
        <v>1827</v>
      </c>
      <c r="AT55" s="10" t="s">
        <v>1827</v>
      </c>
      <c r="AU55" s="10" t="s">
        <v>1827</v>
      </c>
      <c r="AV55" s="10" t="s">
        <v>1827</v>
      </c>
      <c r="AW55" s="10" t="s">
        <v>1827</v>
      </c>
      <c r="AX55" s="10" t="s">
        <v>1827</v>
      </c>
      <c r="AY55" s="10" t="s">
        <v>1827</v>
      </c>
      <c r="AZ55" s="10" t="s">
        <v>1827</v>
      </c>
      <c r="BA55" s="10" t="s">
        <v>1827</v>
      </c>
      <c r="BB55" s="10" t="s">
        <v>1827</v>
      </c>
      <c r="BC55" s="10" t="s">
        <v>1827</v>
      </c>
      <c r="BD55" s="10" t="s">
        <v>1827</v>
      </c>
      <c r="BE55" s="10" t="s">
        <v>1827</v>
      </c>
      <c r="BF55" s="10" t="s">
        <v>1827</v>
      </c>
      <c r="BG55" s="10" t="s">
        <v>1827</v>
      </c>
      <c r="BH55" s="10" t="s">
        <v>1827</v>
      </c>
      <c r="BI55" s="10" t="s">
        <v>1827</v>
      </c>
      <c r="BJ55" s="10" t="s">
        <v>1827</v>
      </c>
      <c r="BK55" s="10" t="s">
        <v>1827</v>
      </c>
      <c r="BL55" s="10" t="s">
        <v>1827</v>
      </c>
      <c r="BM55" s="10" t="s">
        <v>1827</v>
      </c>
      <c r="BN55" s="10" t="s">
        <v>1827</v>
      </c>
      <c r="BO55" s="10" t="s">
        <v>1827</v>
      </c>
      <c r="BP55" s="10" t="s">
        <v>1827</v>
      </c>
      <c r="BQ55" s="10" t="s">
        <v>1827</v>
      </c>
      <c r="BR55" s="10" t="s">
        <v>1827</v>
      </c>
      <c r="BS55" s="10" t="s">
        <v>1827</v>
      </c>
      <c r="BT55" s="10" t="s">
        <v>1827</v>
      </c>
      <c r="BU55" s="10" t="s">
        <v>1827</v>
      </c>
      <c r="BV55" s="10" t="s">
        <v>1827</v>
      </c>
      <c r="BW55" s="10" t="s">
        <v>1827</v>
      </c>
      <c r="BX55" s="10" t="s">
        <v>1827</v>
      </c>
      <c r="BY55" s="10" t="s">
        <v>1827</v>
      </c>
      <c r="BZ55" s="10" t="s">
        <v>1827</v>
      </c>
      <c r="CA55" s="10" t="s">
        <v>1827</v>
      </c>
      <c r="CB55" s="10" t="s">
        <v>1827</v>
      </c>
      <c r="CC55" s="10" t="s">
        <v>1827</v>
      </c>
      <c r="CD55" s="10" t="s">
        <v>1827</v>
      </c>
      <c r="CE55" s="10" t="s">
        <v>1827</v>
      </c>
      <c r="CF55" s="10" t="s">
        <v>1827</v>
      </c>
      <c r="CG55" s="10" t="s">
        <v>1827</v>
      </c>
      <c r="CH55" s="10" t="s">
        <v>1827</v>
      </c>
      <c r="CI55" s="10" t="s">
        <v>1827</v>
      </c>
      <c r="CJ55" s="10" t="s">
        <v>1827</v>
      </c>
      <c r="CK55" s="10" t="s">
        <v>1827</v>
      </c>
      <c r="CL55" s="10" t="s">
        <v>1827</v>
      </c>
      <c r="CM55" s="10" t="s">
        <v>1827</v>
      </c>
      <c r="CN55" s="10" t="s">
        <v>1827</v>
      </c>
      <c r="CO55" s="10" t="s">
        <v>1827</v>
      </c>
      <c r="CP55" s="10" t="s">
        <v>1827</v>
      </c>
      <c r="CQ55" s="10" t="s">
        <v>1827</v>
      </c>
      <c r="CR55" s="10" t="s">
        <v>1827</v>
      </c>
      <c r="CS55" s="10" t="s">
        <v>1827</v>
      </c>
      <c r="CT55" s="10" t="s">
        <v>1827</v>
      </c>
      <c r="CU55" s="10" t="s">
        <v>1827</v>
      </c>
      <c r="CV55" s="10" t="s">
        <v>1827</v>
      </c>
      <c r="CW55" s="10" t="s">
        <v>1827</v>
      </c>
      <c r="CX55" s="10" t="s">
        <v>1827</v>
      </c>
      <c r="CY55" s="10" t="s">
        <v>1827</v>
      </c>
      <c r="CZ55" s="10">
        <v>697.61499100000003</v>
      </c>
      <c r="DA55" s="10">
        <v>703.57751299999995</v>
      </c>
      <c r="DB55" s="10">
        <v>701.02214700000002</v>
      </c>
      <c r="DC55" s="10">
        <v>702.72572400000001</v>
      </c>
      <c r="DD55" s="10">
        <v>718.05792199999996</v>
      </c>
      <c r="DE55" s="10">
        <v>729.98296400000004</v>
      </c>
      <c r="DF55" s="10">
        <v>754.68483800000001</v>
      </c>
      <c r="DG55" s="10">
        <v>765.75809200000003</v>
      </c>
      <c r="DH55" s="10">
        <v>787.90459999999996</v>
      </c>
      <c r="DI55" s="10">
        <v>798.97785299999998</v>
      </c>
      <c r="DJ55" s="10">
        <v>804.08858599999996</v>
      </c>
      <c r="DK55" s="10">
        <v>819.42078400000003</v>
      </c>
      <c r="DL55" s="10">
        <v>818.56899499999997</v>
      </c>
      <c r="DM55" s="10">
        <v>821.97614999999996</v>
      </c>
      <c r="DN55" s="10">
        <v>827.938671</v>
      </c>
      <c r="DO55" s="10">
        <v>830.49403700000005</v>
      </c>
      <c r="DP55" s="10">
        <v>835.60477000000003</v>
      </c>
      <c r="DQ55" s="10">
        <v>834.75298099999998</v>
      </c>
      <c r="DR55" s="10">
        <v>839.01192500000002</v>
      </c>
      <c r="DS55" s="10">
        <v>839.86371399999996</v>
      </c>
      <c r="DT55" s="10">
        <v>836.45655899999997</v>
      </c>
      <c r="DU55" s="10">
        <v>833.04940399999998</v>
      </c>
      <c r="DV55" s="10">
        <v>836.45655899999997</v>
      </c>
      <c r="DW55" s="10">
        <v>830.49403700000005</v>
      </c>
      <c r="DX55" s="10">
        <v>834.75298099999998</v>
      </c>
      <c r="DY55" s="10">
        <v>835.60477000000003</v>
      </c>
      <c r="DZ55" s="10">
        <v>843.27086899999995</v>
      </c>
      <c r="EA55" s="10">
        <v>848.38160100000005</v>
      </c>
      <c r="EB55" s="10">
        <v>851.78875600000003</v>
      </c>
      <c r="EC55" s="10">
        <v>856.04769999999996</v>
      </c>
      <c r="ED55" s="10">
        <v>865.41737599999999</v>
      </c>
      <c r="EE55" s="10">
        <v>873.08347500000002</v>
      </c>
      <c r="EF55" s="10">
        <v>875.63884199999995</v>
      </c>
      <c r="EG55" s="10">
        <v>879.04599700000006</v>
      </c>
      <c r="EH55" s="10">
        <v>877.34241899999995</v>
      </c>
      <c r="EI55" s="10">
        <v>883.30493999999999</v>
      </c>
      <c r="EJ55" s="10">
        <v>883.30493999999999</v>
      </c>
      <c r="EK55" s="10">
        <v>901.19250399999999</v>
      </c>
      <c r="EL55" s="10">
        <v>901.19250399999999</v>
      </c>
      <c r="EM55" s="10">
        <v>900.34071600000004</v>
      </c>
      <c r="EN55" s="10">
        <v>912.26575800000001</v>
      </c>
      <c r="EO55" s="10">
        <v>919.93185700000004</v>
      </c>
      <c r="EP55" s="10">
        <v>927.59795599999995</v>
      </c>
      <c r="EQ55" s="10">
        <v>921.63543400000003</v>
      </c>
      <c r="ER55" s="10">
        <v>929.30153299999995</v>
      </c>
      <c r="ES55" s="10">
        <v>931.00511100000006</v>
      </c>
      <c r="ET55" s="10">
        <v>947.18909699999995</v>
      </c>
      <c r="EU55" s="10">
        <v>953.15161799999998</v>
      </c>
      <c r="EV55" s="10">
        <v>959.11414000000002</v>
      </c>
      <c r="EW55" s="10">
        <v>960.81771700000002</v>
      </c>
      <c r="EX55" s="10">
        <v>961.66950599999996</v>
      </c>
      <c r="EY55" s="10">
        <v>969.33560499999999</v>
      </c>
      <c r="EZ55" s="10">
        <v>969.33560499999999</v>
      </c>
      <c r="FA55" s="10">
        <v>981.26064699999995</v>
      </c>
      <c r="FB55" s="10">
        <v>977.00170400000002</v>
      </c>
      <c r="FC55" s="10">
        <v>966.78023900000005</v>
      </c>
      <c r="FD55" s="10">
        <v>979.55706999999995</v>
      </c>
      <c r="FE55" s="10">
        <v>977.00170400000002</v>
      </c>
      <c r="FF55" s="10">
        <v>985.51959099999999</v>
      </c>
      <c r="FG55" s="10">
        <v>981.26064699999995</v>
      </c>
      <c r="FH55" s="10">
        <v>987.22316899999998</v>
      </c>
      <c r="FI55" s="10">
        <v>982.112436</v>
      </c>
      <c r="FJ55" s="10">
        <v>999.14821099999995</v>
      </c>
      <c r="FK55" s="10">
        <v>982.112436</v>
      </c>
      <c r="FL55" s="10">
        <v>994.03747899999996</v>
      </c>
      <c r="FM55" s="10">
        <v>994.03747899999996</v>
      </c>
      <c r="FN55" s="10">
        <v>985.51959099999999</v>
      </c>
      <c r="FO55" s="10">
        <v>970.18739400000004</v>
      </c>
      <c r="FP55" s="10">
        <v>982.112436</v>
      </c>
      <c r="FQ55" s="10">
        <v>991.48211200000003</v>
      </c>
      <c r="FR55" s="10">
        <v>990.63032399999997</v>
      </c>
      <c r="FS55" s="10">
        <v>965.92845</v>
      </c>
      <c r="FT55" s="10">
        <v>1000</v>
      </c>
      <c r="FU55" s="10">
        <v>1012.776831</v>
      </c>
      <c r="FV55" s="10">
        <v>1002</v>
      </c>
      <c r="FW55" s="10">
        <v>998</v>
      </c>
      <c r="FX55" s="10">
        <v>1003</v>
      </c>
      <c r="FY55" s="10">
        <v>988</v>
      </c>
      <c r="FZ55" s="10">
        <v>992</v>
      </c>
      <c r="GA55" s="10">
        <v>990</v>
      </c>
      <c r="GB55" s="10">
        <v>999</v>
      </c>
      <c r="GC55" s="10">
        <v>1031</v>
      </c>
      <c r="GD55" s="10">
        <v>1027</v>
      </c>
      <c r="GE55" s="10">
        <v>1021</v>
      </c>
      <c r="GF55" s="10">
        <v>1012</v>
      </c>
      <c r="GG55" s="10">
        <v>1008</v>
      </c>
      <c r="GH55" s="10">
        <v>1013</v>
      </c>
      <c r="GI55" s="10">
        <v>1013</v>
      </c>
      <c r="GJ55" s="10">
        <v>1016</v>
      </c>
      <c r="GK55" s="10">
        <v>1010</v>
      </c>
      <c r="GL55" s="10">
        <v>998</v>
      </c>
      <c r="GM55" s="10">
        <v>1003</v>
      </c>
      <c r="GN55" s="10">
        <v>1014</v>
      </c>
      <c r="GO55" s="10">
        <v>1044</v>
      </c>
      <c r="GP55" s="10">
        <v>1051</v>
      </c>
      <c r="GQ55" s="10">
        <v>1085</v>
      </c>
      <c r="GR55" s="10">
        <v>1098</v>
      </c>
      <c r="GS55" s="10">
        <v>1098</v>
      </c>
    </row>
    <row r="56" spans="1:201" ht="12.6">
      <c r="A56" s="51" t="s">
        <v>1875</v>
      </c>
      <c r="B56" s="10"/>
      <c r="C56" s="10"/>
      <c r="D56" s="10"/>
      <c r="E56" s="10"/>
      <c r="F56" s="10" t="s">
        <v>1827</v>
      </c>
      <c r="G56" s="10" t="s">
        <v>1827</v>
      </c>
      <c r="H56" s="10" t="s">
        <v>1827</v>
      </c>
      <c r="I56" s="10" t="s">
        <v>1827</v>
      </c>
      <c r="J56" s="10" t="s">
        <v>1827</v>
      </c>
      <c r="K56" s="10" t="s">
        <v>1827</v>
      </c>
      <c r="L56" s="10" t="s">
        <v>1827</v>
      </c>
      <c r="M56" s="10" t="s">
        <v>1827</v>
      </c>
      <c r="N56" s="10" t="s">
        <v>1827</v>
      </c>
      <c r="O56" s="10" t="s">
        <v>1827</v>
      </c>
      <c r="P56" s="10" t="s">
        <v>1827</v>
      </c>
      <c r="Q56" s="10" t="s">
        <v>1827</v>
      </c>
      <c r="R56" s="10" t="s">
        <v>1827</v>
      </c>
      <c r="S56" s="10" t="s">
        <v>1827</v>
      </c>
      <c r="T56" s="10" t="s">
        <v>1827</v>
      </c>
      <c r="U56" s="10" t="s">
        <v>1827</v>
      </c>
      <c r="V56" s="10" t="s">
        <v>1827</v>
      </c>
      <c r="W56" s="10" t="s">
        <v>1827</v>
      </c>
      <c r="X56" s="10" t="s">
        <v>1827</v>
      </c>
      <c r="Y56" s="10" t="s">
        <v>1827</v>
      </c>
      <c r="Z56" s="10" t="s">
        <v>1827</v>
      </c>
      <c r="AA56" s="10" t="s">
        <v>1827</v>
      </c>
      <c r="AB56" s="10" t="s">
        <v>1827</v>
      </c>
      <c r="AC56" s="10" t="s">
        <v>1827</v>
      </c>
      <c r="AD56" s="10" t="s">
        <v>1827</v>
      </c>
      <c r="AE56" s="10" t="s">
        <v>1827</v>
      </c>
      <c r="AF56" s="10" t="s">
        <v>1827</v>
      </c>
      <c r="AG56" s="10" t="s">
        <v>1827</v>
      </c>
      <c r="AH56" s="10" t="s">
        <v>1827</v>
      </c>
      <c r="AI56" s="10" t="s">
        <v>1827</v>
      </c>
      <c r="AJ56" s="10" t="s">
        <v>1827</v>
      </c>
      <c r="AK56" s="10" t="s">
        <v>1827</v>
      </c>
      <c r="AL56" s="10" t="s">
        <v>1827</v>
      </c>
      <c r="AM56" s="10" t="s">
        <v>1827</v>
      </c>
      <c r="AN56" s="10" t="s">
        <v>1827</v>
      </c>
      <c r="AO56" s="10" t="s">
        <v>1827</v>
      </c>
      <c r="AP56" s="10" t="s">
        <v>1827</v>
      </c>
      <c r="AQ56" s="10" t="s">
        <v>1827</v>
      </c>
      <c r="AR56" s="10" t="s">
        <v>1827</v>
      </c>
      <c r="AS56" s="10" t="s">
        <v>1827</v>
      </c>
      <c r="AT56" s="10" t="s">
        <v>1827</v>
      </c>
      <c r="AU56" s="10" t="s">
        <v>1827</v>
      </c>
      <c r="AV56" s="10" t="s">
        <v>1827</v>
      </c>
      <c r="AW56" s="10" t="s">
        <v>1827</v>
      </c>
      <c r="AX56" s="10" t="s">
        <v>1827</v>
      </c>
      <c r="AY56" s="10" t="s">
        <v>1827</v>
      </c>
      <c r="AZ56" s="10" t="s">
        <v>1827</v>
      </c>
      <c r="BA56" s="10" t="s">
        <v>1827</v>
      </c>
      <c r="BB56" s="10" t="s">
        <v>1827</v>
      </c>
      <c r="BC56" s="10" t="s">
        <v>1827</v>
      </c>
      <c r="BD56" s="10" t="s">
        <v>1827</v>
      </c>
      <c r="BE56" s="10" t="s">
        <v>1827</v>
      </c>
      <c r="BF56" s="10" t="s">
        <v>1827</v>
      </c>
      <c r="BG56" s="10" t="s">
        <v>1827</v>
      </c>
      <c r="BH56" s="10" t="s">
        <v>1827</v>
      </c>
      <c r="BI56" s="10" t="s">
        <v>1827</v>
      </c>
      <c r="BJ56" s="10" t="s">
        <v>1827</v>
      </c>
      <c r="BK56" s="10" t="s">
        <v>1827</v>
      </c>
      <c r="BL56" s="10" t="s">
        <v>1827</v>
      </c>
      <c r="BM56" s="10" t="s">
        <v>1827</v>
      </c>
      <c r="BN56" s="10" t="s">
        <v>1827</v>
      </c>
      <c r="BO56" s="10" t="s">
        <v>1827</v>
      </c>
      <c r="BP56" s="10" t="s">
        <v>1827</v>
      </c>
      <c r="BQ56" s="10" t="s">
        <v>1827</v>
      </c>
      <c r="BR56" s="10" t="s">
        <v>1827</v>
      </c>
      <c r="BS56" s="10" t="s">
        <v>1827</v>
      </c>
      <c r="BT56" s="10" t="s">
        <v>1827</v>
      </c>
      <c r="BU56" s="10" t="s">
        <v>1827</v>
      </c>
      <c r="BV56" s="10" t="s">
        <v>1827</v>
      </c>
      <c r="BW56" s="10" t="s">
        <v>1827</v>
      </c>
      <c r="BX56" s="10" t="s">
        <v>1827</v>
      </c>
      <c r="BY56" s="10" t="s">
        <v>1827</v>
      </c>
      <c r="BZ56" s="10" t="s">
        <v>1827</v>
      </c>
      <c r="CA56" s="10" t="s">
        <v>1827</v>
      </c>
      <c r="CB56" s="10" t="s">
        <v>1827</v>
      </c>
      <c r="CC56" s="10" t="s">
        <v>1827</v>
      </c>
      <c r="CD56" s="10" t="s">
        <v>1827</v>
      </c>
      <c r="CE56" s="10" t="s">
        <v>1827</v>
      </c>
      <c r="CF56" s="10" t="s">
        <v>1827</v>
      </c>
      <c r="CG56" s="10" t="s">
        <v>1827</v>
      </c>
      <c r="CH56" s="10" t="s">
        <v>1827</v>
      </c>
      <c r="CI56" s="10" t="s">
        <v>1827</v>
      </c>
      <c r="CJ56" s="10" t="s">
        <v>1827</v>
      </c>
      <c r="CK56" s="10" t="s">
        <v>1827</v>
      </c>
      <c r="CL56" s="10" t="s">
        <v>1827</v>
      </c>
      <c r="CM56" s="10" t="s">
        <v>1827</v>
      </c>
      <c r="CN56" s="10" t="s">
        <v>1827</v>
      </c>
      <c r="CO56" s="10" t="s">
        <v>1827</v>
      </c>
      <c r="CP56" s="10" t="s">
        <v>1827</v>
      </c>
      <c r="CQ56" s="10" t="s">
        <v>1827</v>
      </c>
      <c r="CR56" s="10" t="s">
        <v>1827</v>
      </c>
      <c r="CS56" s="10" t="s">
        <v>1827</v>
      </c>
      <c r="CT56" s="10" t="s">
        <v>1827</v>
      </c>
      <c r="CU56" s="10" t="s">
        <v>1827</v>
      </c>
      <c r="CV56" s="10" t="s">
        <v>1827</v>
      </c>
      <c r="CW56" s="10" t="s">
        <v>1827</v>
      </c>
      <c r="CX56" s="10" t="s">
        <v>1827</v>
      </c>
      <c r="CY56" s="10" t="s">
        <v>1827</v>
      </c>
      <c r="CZ56" s="10">
        <v>781.65731700000003</v>
      </c>
      <c r="DA56" s="10">
        <v>789.47388999999998</v>
      </c>
      <c r="DB56" s="10">
        <v>797.29046300000005</v>
      </c>
      <c r="DC56" s="10">
        <v>801.19875000000002</v>
      </c>
      <c r="DD56" s="10">
        <v>805.88869399999999</v>
      </c>
      <c r="DE56" s="10">
        <v>806.67035099999998</v>
      </c>
      <c r="DF56" s="10">
        <v>825.43012699999997</v>
      </c>
      <c r="DG56" s="10">
        <v>834.02835700000003</v>
      </c>
      <c r="DH56" s="10">
        <v>838.718301</v>
      </c>
      <c r="DI56" s="10">
        <v>838.718301</v>
      </c>
      <c r="DJ56" s="10">
        <v>847.31653100000005</v>
      </c>
      <c r="DK56" s="10">
        <v>852.78813200000002</v>
      </c>
      <c r="DL56" s="10">
        <v>859.82304899999997</v>
      </c>
      <c r="DM56" s="10">
        <v>864.51299300000005</v>
      </c>
      <c r="DN56" s="10">
        <v>870.76625100000001</v>
      </c>
      <c r="DO56" s="10">
        <v>870.76625100000001</v>
      </c>
      <c r="DP56" s="10">
        <v>873.111223</v>
      </c>
      <c r="DQ56" s="10">
        <v>876.23785199999998</v>
      </c>
      <c r="DR56" s="10">
        <v>878.58282399999996</v>
      </c>
      <c r="DS56" s="10">
        <v>879.36448199999995</v>
      </c>
      <c r="DT56" s="10">
        <v>885.61773900000003</v>
      </c>
      <c r="DU56" s="10">
        <v>886.39939700000002</v>
      </c>
      <c r="DV56" s="10">
        <v>891.87099799999999</v>
      </c>
      <c r="DW56" s="10">
        <v>900.46922900000004</v>
      </c>
      <c r="DX56" s="10">
        <v>909.06745899999999</v>
      </c>
      <c r="DY56" s="10">
        <v>914.53906099999995</v>
      </c>
      <c r="DZ56" s="10">
        <v>916.88403300000004</v>
      </c>
      <c r="EA56" s="10">
        <v>930.17220699999996</v>
      </c>
      <c r="EB56" s="10">
        <v>937.20712300000002</v>
      </c>
      <c r="EC56" s="10">
        <v>940.01874399999997</v>
      </c>
      <c r="ED56" s="10">
        <v>941.89315799999997</v>
      </c>
      <c r="EE56" s="10">
        <v>944.70478000000003</v>
      </c>
      <c r="EF56" s="10">
        <v>948.45360800000003</v>
      </c>
      <c r="EG56" s="10">
        <v>953.13964399999998</v>
      </c>
      <c r="EH56" s="10">
        <v>955.01405799999998</v>
      </c>
      <c r="EI56" s="10">
        <v>955.01405799999998</v>
      </c>
      <c r="EJ56" s="10">
        <v>966.26054399999998</v>
      </c>
      <c r="EK56" s="10">
        <v>969.07216500000004</v>
      </c>
      <c r="EL56" s="10">
        <v>973.75820099999999</v>
      </c>
      <c r="EM56" s="10">
        <v>975.63261499999999</v>
      </c>
      <c r="EN56" s="10">
        <v>977.50702899999999</v>
      </c>
      <c r="EO56" s="10">
        <v>977.50702899999999</v>
      </c>
      <c r="EP56" s="10">
        <v>970.94657900000004</v>
      </c>
      <c r="EQ56" s="10">
        <v>968.13495799999998</v>
      </c>
      <c r="ER56" s="10">
        <v>970.00937199999998</v>
      </c>
      <c r="ES56" s="10">
        <v>964.38612899999998</v>
      </c>
      <c r="ET56" s="10">
        <v>981.25585799999999</v>
      </c>
      <c r="EU56" s="10">
        <v>983.13027199999999</v>
      </c>
      <c r="EV56" s="10">
        <v>984.06747900000005</v>
      </c>
      <c r="EW56" s="10">
        <v>982.19306500000005</v>
      </c>
      <c r="EX56" s="10">
        <v>984.06747900000005</v>
      </c>
      <c r="EY56" s="10">
        <v>987.81630700000005</v>
      </c>
      <c r="EZ56" s="10">
        <v>987.81630700000005</v>
      </c>
      <c r="FA56" s="10">
        <v>992.502343</v>
      </c>
      <c r="FB56" s="10">
        <v>998.125586</v>
      </c>
      <c r="FC56" s="10">
        <v>1001.874414</v>
      </c>
      <c r="FD56" s="10">
        <v>1001.874414</v>
      </c>
      <c r="FE56" s="10">
        <v>997.18837900000005</v>
      </c>
      <c r="FF56" s="10">
        <v>990.62792899999999</v>
      </c>
      <c r="FG56" s="10">
        <v>991.56513600000005</v>
      </c>
      <c r="FH56" s="10">
        <v>987.81630700000005</v>
      </c>
      <c r="FI56" s="10">
        <v>985.00468599999999</v>
      </c>
      <c r="FJ56" s="10">
        <v>982.19306500000005</v>
      </c>
      <c r="FK56" s="10">
        <v>983.13027199999999</v>
      </c>
      <c r="FL56" s="10">
        <v>983.13027199999999</v>
      </c>
      <c r="FM56" s="10">
        <v>986.87909999999999</v>
      </c>
      <c r="FN56" s="10">
        <v>987.81630700000005</v>
      </c>
      <c r="FO56" s="10">
        <v>986.87909999999999</v>
      </c>
      <c r="FP56" s="10">
        <v>986.87909999999999</v>
      </c>
      <c r="FQ56" s="10">
        <v>995.31396400000006</v>
      </c>
      <c r="FR56" s="10">
        <v>1000</v>
      </c>
      <c r="FS56" s="10">
        <v>1002.8116209999999</v>
      </c>
      <c r="FT56" s="10">
        <v>1000</v>
      </c>
      <c r="FU56" s="10">
        <v>1001.874414</v>
      </c>
      <c r="FV56" s="10">
        <v>990</v>
      </c>
      <c r="FW56" s="10">
        <v>993</v>
      </c>
      <c r="FX56" s="10">
        <v>1002</v>
      </c>
      <c r="FY56" s="10">
        <v>1007</v>
      </c>
      <c r="FZ56" s="10">
        <v>1009</v>
      </c>
      <c r="GA56" s="10">
        <v>1012</v>
      </c>
      <c r="GB56" s="10">
        <v>1011</v>
      </c>
      <c r="GC56" s="10">
        <v>1009</v>
      </c>
      <c r="GD56" s="10">
        <v>1011</v>
      </c>
      <c r="GE56" s="10">
        <v>1013</v>
      </c>
      <c r="GF56" s="10">
        <v>1019</v>
      </c>
      <c r="GG56" s="10">
        <v>1022</v>
      </c>
      <c r="GH56" s="10">
        <v>1021</v>
      </c>
      <c r="GI56" s="10">
        <v>1022</v>
      </c>
      <c r="GJ56" s="10">
        <v>1028</v>
      </c>
      <c r="GK56" s="10">
        <v>1028</v>
      </c>
      <c r="GL56" s="10">
        <v>1030</v>
      </c>
      <c r="GM56" s="10">
        <v>1031</v>
      </c>
      <c r="GN56" s="10">
        <v>1035</v>
      </c>
      <c r="GO56" s="10">
        <v>1038</v>
      </c>
      <c r="GP56" s="10">
        <v>1050</v>
      </c>
      <c r="GQ56" s="10">
        <v>1048</v>
      </c>
      <c r="GR56" s="10">
        <v>1059</v>
      </c>
      <c r="GS56" s="10">
        <v>1069</v>
      </c>
    </row>
    <row r="57" spans="1:201" ht="12.6">
      <c r="A57" s="51" t="s">
        <v>1876</v>
      </c>
      <c r="B57" s="10"/>
      <c r="C57" s="10"/>
      <c r="D57" s="10"/>
      <c r="E57" s="10"/>
      <c r="F57" s="10" t="s">
        <v>1827</v>
      </c>
      <c r="G57" s="10" t="s">
        <v>1827</v>
      </c>
      <c r="H57" s="10" t="s">
        <v>1827</v>
      </c>
      <c r="I57" s="10" t="s">
        <v>1827</v>
      </c>
      <c r="J57" s="10" t="s">
        <v>1827</v>
      </c>
      <c r="K57" s="10" t="s">
        <v>1827</v>
      </c>
      <c r="L57" s="10" t="s">
        <v>1827</v>
      </c>
      <c r="M57" s="10" t="s">
        <v>1827</v>
      </c>
      <c r="N57" s="10" t="s">
        <v>1827</v>
      </c>
      <c r="O57" s="10" t="s">
        <v>1827</v>
      </c>
      <c r="P57" s="10" t="s">
        <v>1827</v>
      </c>
      <c r="Q57" s="10" t="s">
        <v>1827</v>
      </c>
      <c r="R57" s="10" t="s">
        <v>1827</v>
      </c>
      <c r="S57" s="10" t="s">
        <v>1827</v>
      </c>
      <c r="T57" s="10" t="s">
        <v>1827</v>
      </c>
      <c r="U57" s="10" t="s">
        <v>1827</v>
      </c>
      <c r="V57" s="10" t="s">
        <v>1827</v>
      </c>
      <c r="W57" s="10" t="s">
        <v>1827</v>
      </c>
      <c r="X57" s="10" t="s">
        <v>1827</v>
      </c>
      <c r="Y57" s="10" t="s">
        <v>1827</v>
      </c>
      <c r="Z57" s="10" t="s">
        <v>1827</v>
      </c>
      <c r="AA57" s="10" t="s">
        <v>1827</v>
      </c>
      <c r="AB57" s="10" t="s">
        <v>1827</v>
      </c>
      <c r="AC57" s="10" t="s">
        <v>1827</v>
      </c>
      <c r="AD57" s="10" t="s">
        <v>1827</v>
      </c>
      <c r="AE57" s="10" t="s">
        <v>1827</v>
      </c>
      <c r="AF57" s="10" t="s">
        <v>1827</v>
      </c>
      <c r="AG57" s="10" t="s">
        <v>1827</v>
      </c>
      <c r="AH57" s="10" t="s">
        <v>1827</v>
      </c>
      <c r="AI57" s="10" t="s">
        <v>1827</v>
      </c>
      <c r="AJ57" s="10" t="s">
        <v>1827</v>
      </c>
      <c r="AK57" s="10" t="s">
        <v>1827</v>
      </c>
      <c r="AL57" s="10" t="s">
        <v>1827</v>
      </c>
      <c r="AM57" s="10" t="s">
        <v>1827</v>
      </c>
      <c r="AN57" s="10" t="s">
        <v>1827</v>
      </c>
      <c r="AO57" s="10" t="s">
        <v>1827</v>
      </c>
      <c r="AP57" s="10" t="s">
        <v>1827</v>
      </c>
      <c r="AQ57" s="10" t="s">
        <v>1827</v>
      </c>
      <c r="AR57" s="10" t="s">
        <v>1827</v>
      </c>
      <c r="AS57" s="10" t="s">
        <v>1827</v>
      </c>
      <c r="AT57" s="10" t="s">
        <v>1827</v>
      </c>
      <c r="AU57" s="10" t="s">
        <v>1827</v>
      </c>
      <c r="AV57" s="10" t="s">
        <v>1827</v>
      </c>
      <c r="AW57" s="10" t="s">
        <v>1827</v>
      </c>
      <c r="AX57" s="10" t="s">
        <v>1827</v>
      </c>
      <c r="AY57" s="10" t="s">
        <v>1827</v>
      </c>
      <c r="AZ57" s="10" t="s">
        <v>1827</v>
      </c>
      <c r="BA57" s="10" t="s">
        <v>1827</v>
      </c>
      <c r="BB57" s="10" t="s">
        <v>1827</v>
      </c>
      <c r="BC57" s="10" t="s">
        <v>1827</v>
      </c>
      <c r="BD57" s="10" t="s">
        <v>1827</v>
      </c>
      <c r="BE57" s="10" t="s">
        <v>1827</v>
      </c>
      <c r="BF57" s="10" t="s">
        <v>1827</v>
      </c>
      <c r="BG57" s="10" t="s">
        <v>1827</v>
      </c>
      <c r="BH57" s="10" t="s">
        <v>1827</v>
      </c>
      <c r="BI57" s="10" t="s">
        <v>1827</v>
      </c>
      <c r="BJ57" s="10" t="s">
        <v>1827</v>
      </c>
      <c r="BK57" s="10" t="s">
        <v>1827</v>
      </c>
      <c r="BL57" s="10" t="s">
        <v>1827</v>
      </c>
      <c r="BM57" s="10" t="s">
        <v>1827</v>
      </c>
      <c r="BN57" s="10" t="s">
        <v>1827</v>
      </c>
      <c r="BO57" s="10" t="s">
        <v>1827</v>
      </c>
      <c r="BP57" s="10" t="s">
        <v>1827</v>
      </c>
      <c r="BQ57" s="10" t="s">
        <v>1827</v>
      </c>
      <c r="BR57" s="10" t="s">
        <v>1827</v>
      </c>
      <c r="BS57" s="10" t="s">
        <v>1827</v>
      </c>
      <c r="BT57" s="10" t="s">
        <v>1827</v>
      </c>
      <c r="BU57" s="10" t="s">
        <v>1827</v>
      </c>
      <c r="BV57" s="10" t="s">
        <v>1827</v>
      </c>
      <c r="BW57" s="10" t="s">
        <v>1827</v>
      </c>
      <c r="BX57" s="10" t="s">
        <v>1827</v>
      </c>
      <c r="BY57" s="10" t="s">
        <v>1827</v>
      </c>
      <c r="BZ57" s="10" t="s">
        <v>1827</v>
      </c>
      <c r="CA57" s="10" t="s">
        <v>1827</v>
      </c>
      <c r="CB57" s="10" t="s">
        <v>1827</v>
      </c>
      <c r="CC57" s="10" t="s">
        <v>1827</v>
      </c>
      <c r="CD57" s="10" t="s">
        <v>1827</v>
      </c>
      <c r="CE57" s="10" t="s">
        <v>1827</v>
      </c>
      <c r="CF57" s="10" t="s">
        <v>1827</v>
      </c>
      <c r="CG57" s="10" t="s">
        <v>1827</v>
      </c>
      <c r="CH57" s="10" t="s">
        <v>1827</v>
      </c>
      <c r="CI57" s="10" t="s">
        <v>1827</v>
      </c>
      <c r="CJ57" s="10" t="s">
        <v>1827</v>
      </c>
      <c r="CK57" s="10" t="s">
        <v>1827</v>
      </c>
      <c r="CL57" s="10" t="s">
        <v>1827</v>
      </c>
      <c r="CM57" s="10" t="s">
        <v>1827</v>
      </c>
      <c r="CN57" s="10" t="s">
        <v>1827</v>
      </c>
      <c r="CO57" s="10" t="s">
        <v>1827</v>
      </c>
      <c r="CP57" s="10" t="s">
        <v>1827</v>
      </c>
      <c r="CQ57" s="10" t="s">
        <v>1827</v>
      </c>
      <c r="CR57" s="10" t="s">
        <v>1827</v>
      </c>
      <c r="CS57" s="10" t="s">
        <v>1827</v>
      </c>
      <c r="CT57" s="10" t="s">
        <v>1827</v>
      </c>
      <c r="CU57" s="10" t="s">
        <v>1827</v>
      </c>
      <c r="CV57" s="10" t="s">
        <v>1827</v>
      </c>
      <c r="CW57" s="10" t="s">
        <v>1827</v>
      </c>
      <c r="CX57" s="10" t="s">
        <v>1827</v>
      </c>
      <c r="CY57" s="10" t="s">
        <v>1827</v>
      </c>
      <c r="CZ57" s="10">
        <v>576.98170700000003</v>
      </c>
      <c r="DA57" s="10">
        <v>586.89024400000005</v>
      </c>
      <c r="DB57" s="10">
        <v>588.41463399999998</v>
      </c>
      <c r="DC57" s="10">
        <v>594.51219500000002</v>
      </c>
      <c r="DD57" s="10">
        <v>599.84756100000004</v>
      </c>
      <c r="DE57" s="10">
        <v>606.70731699999999</v>
      </c>
      <c r="DF57" s="10">
        <v>611.28048799999999</v>
      </c>
      <c r="DG57" s="10">
        <v>614.32926799999996</v>
      </c>
      <c r="DH57" s="10">
        <v>623.47560999999996</v>
      </c>
      <c r="DI57" s="10">
        <v>628.04877999999997</v>
      </c>
      <c r="DJ57" s="10">
        <v>637.95731699999999</v>
      </c>
      <c r="DK57" s="10">
        <v>647.86585400000001</v>
      </c>
      <c r="DL57" s="10">
        <v>665.39634100000001</v>
      </c>
      <c r="DM57" s="10">
        <v>675.30487800000003</v>
      </c>
      <c r="DN57" s="10">
        <v>678.35365899999999</v>
      </c>
      <c r="DO57" s="10">
        <v>685.21341500000005</v>
      </c>
      <c r="DP57" s="10">
        <v>688.26219500000002</v>
      </c>
      <c r="DQ57" s="10">
        <v>688.26219500000002</v>
      </c>
      <c r="DR57" s="10">
        <v>695.12195099999997</v>
      </c>
      <c r="DS57" s="10">
        <v>703.50609799999995</v>
      </c>
      <c r="DT57" s="10">
        <v>711.12804900000003</v>
      </c>
      <c r="DU57" s="10">
        <v>714.176829</v>
      </c>
      <c r="DV57" s="10">
        <v>716.46341500000005</v>
      </c>
      <c r="DW57" s="10">
        <v>725.60975599999995</v>
      </c>
      <c r="DX57" s="10">
        <v>733.23170700000003</v>
      </c>
      <c r="DY57" s="10">
        <v>739.32926799999996</v>
      </c>
      <c r="DZ57" s="10">
        <v>740.85365899999999</v>
      </c>
      <c r="EA57" s="10">
        <v>750.76219500000002</v>
      </c>
      <c r="EB57" s="10">
        <v>762.19512199999997</v>
      </c>
      <c r="EC57" s="10">
        <v>735.51829299999997</v>
      </c>
      <c r="ED57" s="10">
        <v>737.04268300000001</v>
      </c>
      <c r="EE57" s="10">
        <v>746.18902400000002</v>
      </c>
      <c r="EF57" s="10">
        <v>770.57926799999996</v>
      </c>
      <c r="EG57" s="10">
        <v>738.56707300000005</v>
      </c>
      <c r="EH57" s="10">
        <v>744.66463399999998</v>
      </c>
      <c r="EI57" s="10">
        <v>746.18902400000002</v>
      </c>
      <c r="EJ57" s="10">
        <v>759.14634100000001</v>
      </c>
      <c r="EK57" s="10">
        <v>763.71951200000001</v>
      </c>
      <c r="EL57" s="10">
        <v>773.62804900000003</v>
      </c>
      <c r="EM57" s="10">
        <v>779.72560999999996</v>
      </c>
      <c r="EN57" s="10">
        <v>785.823171</v>
      </c>
      <c r="EO57" s="10">
        <v>794.96951200000001</v>
      </c>
      <c r="EP57" s="10">
        <v>801.82926799999996</v>
      </c>
      <c r="EQ57" s="10">
        <v>810.97560999999996</v>
      </c>
      <c r="ER57" s="10">
        <v>822.40853700000002</v>
      </c>
      <c r="ES57" s="10">
        <v>833.07926799999996</v>
      </c>
      <c r="ET57" s="10">
        <v>875</v>
      </c>
      <c r="EU57" s="10">
        <v>881.85975599999995</v>
      </c>
      <c r="EV57" s="10">
        <v>886.43292699999995</v>
      </c>
      <c r="EW57" s="10">
        <v>891.00609799999995</v>
      </c>
      <c r="EX57" s="10">
        <v>897.10365899999999</v>
      </c>
      <c r="EY57" s="10">
        <v>900.91463399999998</v>
      </c>
      <c r="EZ57" s="10">
        <v>906.25</v>
      </c>
      <c r="FA57" s="10">
        <v>916.92073200000004</v>
      </c>
      <c r="FB57" s="10">
        <v>929.87804900000003</v>
      </c>
      <c r="FC57" s="10">
        <v>931.40243899999996</v>
      </c>
      <c r="FD57" s="10">
        <v>937.5</v>
      </c>
      <c r="FE57" s="10">
        <v>946.64634100000001</v>
      </c>
      <c r="FF57" s="10">
        <v>950.45731699999999</v>
      </c>
      <c r="FG57" s="10">
        <v>957.31707300000005</v>
      </c>
      <c r="FH57" s="10">
        <v>961.12804900000003</v>
      </c>
      <c r="FI57" s="10">
        <v>971.79877999999997</v>
      </c>
      <c r="FJ57" s="10">
        <v>975.60975599999995</v>
      </c>
      <c r="FK57" s="10">
        <v>976.37195099999997</v>
      </c>
      <c r="FL57" s="10">
        <v>982.46951200000001</v>
      </c>
      <c r="FM57" s="10">
        <v>956.55487800000003</v>
      </c>
      <c r="FN57" s="10">
        <v>964.93902400000002</v>
      </c>
      <c r="FO57" s="10">
        <v>968.75</v>
      </c>
      <c r="FP57" s="10">
        <v>974.08536600000002</v>
      </c>
      <c r="FQ57" s="10">
        <v>981.70731699999999</v>
      </c>
      <c r="FR57" s="10">
        <v>993.14024400000005</v>
      </c>
      <c r="FS57" s="10">
        <v>994.66463399999998</v>
      </c>
      <c r="FT57" s="10">
        <v>1000</v>
      </c>
      <c r="FU57" s="10">
        <v>1006.097561</v>
      </c>
      <c r="FV57" s="10">
        <v>1003</v>
      </c>
      <c r="FW57" s="10">
        <v>1006</v>
      </c>
      <c r="FX57" s="10">
        <v>1006</v>
      </c>
      <c r="FY57" s="10">
        <v>1014</v>
      </c>
      <c r="FZ57" s="10">
        <v>1016</v>
      </c>
      <c r="GA57" s="10">
        <v>1006</v>
      </c>
      <c r="GB57" s="10">
        <v>1012</v>
      </c>
      <c r="GC57" s="10">
        <v>1020</v>
      </c>
      <c r="GD57" s="10">
        <v>1024</v>
      </c>
      <c r="GE57" s="10">
        <v>1026</v>
      </c>
      <c r="GF57" s="10">
        <v>1029</v>
      </c>
      <c r="GG57" s="10">
        <v>1041</v>
      </c>
      <c r="GH57" s="10">
        <v>1043</v>
      </c>
      <c r="GI57" s="10">
        <v>1044</v>
      </c>
      <c r="GJ57" s="10">
        <v>1052</v>
      </c>
      <c r="GK57" s="10">
        <v>1051</v>
      </c>
      <c r="GL57" s="10">
        <v>1055</v>
      </c>
      <c r="GM57" s="10">
        <v>1061</v>
      </c>
      <c r="GN57" s="10">
        <v>1078</v>
      </c>
      <c r="GO57" s="10">
        <v>1094</v>
      </c>
      <c r="GP57" s="10">
        <v>1104</v>
      </c>
      <c r="GQ57" s="10">
        <v>1114</v>
      </c>
      <c r="GR57" s="10">
        <v>1128</v>
      </c>
      <c r="GS57" s="10">
        <v>1147</v>
      </c>
    </row>
    <row r="58" spans="1:201" ht="12.6">
      <c r="A58" s="51" t="s">
        <v>1877</v>
      </c>
      <c r="B58" s="10"/>
      <c r="C58" s="10"/>
      <c r="D58" s="10"/>
      <c r="E58" s="10"/>
      <c r="F58" s="10" t="s">
        <v>1827</v>
      </c>
      <c r="G58" s="10" t="s">
        <v>1827</v>
      </c>
      <c r="H58" s="10" t="s">
        <v>1827</v>
      </c>
      <c r="I58" s="10" t="s">
        <v>1827</v>
      </c>
      <c r="J58" s="10" t="s">
        <v>1827</v>
      </c>
      <c r="K58" s="10" t="s">
        <v>1827</v>
      </c>
      <c r="L58" s="10" t="s">
        <v>1827</v>
      </c>
      <c r="M58" s="10" t="s">
        <v>1827</v>
      </c>
      <c r="N58" s="10" t="s">
        <v>1827</v>
      </c>
      <c r="O58" s="10" t="s">
        <v>1827</v>
      </c>
      <c r="P58" s="10" t="s">
        <v>1827</v>
      </c>
      <c r="Q58" s="10" t="s">
        <v>1827</v>
      </c>
      <c r="R58" s="10" t="s">
        <v>1827</v>
      </c>
      <c r="S58" s="10" t="s">
        <v>1827</v>
      </c>
      <c r="T58" s="10" t="s">
        <v>1827</v>
      </c>
      <c r="U58" s="10" t="s">
        <v>1827</v>
      </c>
      <c r="V58" s="10" t="s">
        <v>1827</v>
      </c>
      <c r="W58" s="10" t="s">
        <v>1827</v>
      </c>
      <c r="X58" s="10" t="s">
        <v>1827</v>
      </c>
      <c r="Y58" s="10" t="s">
        <v>1827</v>
      </c>
      <c r="Z58" s="10" t="s">
        <v>1827</v>
      </c>
      <c r="AA58" s="10" t="s">
        <v>1827</v>
      </c>
      <c r="AB58" s="10" t="s">
        <v>1827</v>
      </c>
      <c r="AC58" s="10" t="s">
        <v>1827</v>
      </c>
      <c r="AD58" s="10" t="s">
        <v>1827</v>
      </c>
      <c r="AE58" s="10">
        <v>89.825393000000005</v>
      </c>
      <c r="AF58" s="10">
        <v>97.738206000000005</v>
      </c>
      <c r="AG58" s="10">
        <v>105.377092</v>
      </c>
      <c r="AH58" s="10">
        <v>111.140851</v>
      </c>
      <c r="AI58" s="10">
        <v>113.572304</v>
      </c>
      <c r="AJ58" s="10">
        <v>117.740509</v>
      </c>
      <c r="AK58" s="10">
        <v>120.793239</v>
      </c>
      <c r="AL58" s="10">
        <v>120.813007</v>
      </c>
      <c r="AM58" s="10">
        <v>120.813007</v>
      </c>
      <c r="AN58" s="10">
        <v>120.813007</v>
      </c>
      <c r="AO58" s="10">
        <v>120.897727</v>
      </c>
      <c r="AP58" s="10">
        <v>121.166006</v>
      </c>
      <c r="AQ58" s="10">
        <v>121.41734099999999</v>
      </c>
      <c r="AR58" s="10">
        <v>133.10864900000001</v>
      </c>
      <c r="AS58" s="10">
        <v>132.70764199999999</v>
      </c>
      <c r="AT58" s="10">
        <v>136.80524800000001</v>
      </c>
      <c r="AU58" s="10">
        <v>143.37101899999999</v>
      </c>
      <c r="AV58" s="10">
        <v>152.10561200000001</v>
      </c>
      <c r="AW58" s="10">
        <v>158.595136</v>
      </c>
      <c r="AX58" s="10">
        <v>161.729761</v>
      </c>
      <c r="AY58" s="10">
        <v>174.05364299999999</v>
      </c>
      <c r="AZ58" s="10">
        <v>176.87480600000001</v>
      </c>
      <c r="BA58" s="10">
        <v>179.218716</v>
      </c>
      <c r="BB58" s="10">
        <v>205.504391</v>
      </c>
      <c r="BC58" s="10">
        <v>211.32745299999999</v>
      </c>
      <c r="BD58" s="10">
        <v>226.66735299999999</v>
      </c>
      <c r="BE58" s="10">
        <v>236.70662799999999</v>
      </c>
      <c r="BF58" s="10">
        <v>243.38253499999999</v>
      </c>
      <c r="BG58" s="10">
        <v>243.07189600000001</v>
      </c>
      <c r="BH58" s="10">
        <v>258.79868299999998</v>
      </c>
      <c r="BI58" s="10">
        <v>279.492862</v>
      </c>
      <c r="BJ58" s="10">
        <v>282.39874500000002</v>
      </c>
      <c r="BK58" s="10">
        <v>286.98490099999998</v>
      </c>
      <c r="BL58" s="10">
        <v>294.55601100000001</v>
      </c>
      <c r="BM58" s="10">
        <v>312.095798</v>
      </c>
      <c r="BN58" s="10">
        <v>313.78736600000002</v>
      </c>
      <c r="BO58" s="10">
        <v>318.89031199999999</v>
      </c>
      <c r="BP58" s="10">
        <v>325.26405099999999</v>
      </c>
      <c r="BQ58" s="10">
        <v>333.04978399999999</v>
      </c>
      <c r="BR58" s="10">
        <v>340.35543999999999</v>
      </c>
      <c r="BS58" s="10">
        <v>343.32345099999998</v>
      </c>
      <c r="BT58" s="10">
        <v>353.69030900000001</v>
      </c>
      <c r="BU58" s="10">
        <v>356.737392</v>
      </c>
      <c r="BV58" s="10">
        <v>358.72547800000001</v>
      </c>
      <c r="BW58" s="10">
        <v>358.91186199999999</v>
      </c>
      <c r="BX58" s="10">
        <v>361.67654599999997</v>
      </c>
      <c r="BY58" s="10">
        <v>363.255154</v>
      </c>
      <c r="BZ58" s="10">
        <v>365.45786399999997</v>
      </c>
      <c r="CA58" s="10">
        <v>370.16545200000002</v>
      </c>
      <c r="CB58" s="10">
        <v>372.38792999999998</v>
      </c>
      <c r="CC58" s="10">
        <v>376.25679200000002</v>
      </c>
      <c r="CD58" s="10">
        <v>378.43973499999998</v>
      </c>
      <c r="CE58" s="10">
        <v>386.38697000000002</v>
      </c>
      <c r="CF58" s="10">
        <v>391.30668600000001</v>
      </c>
      <c r="CG58" s="10">
        <v>398.49704100000002</v>
      </c>
      <c r="CH58" s="10">
        <v>401.146119</v>
      </c>
      <c r="CI58" s="10">
        <v>404.93051700000001</v>
      </c>
      <c r="CJ58" s="10">
        <v>408.33647400000001</v>
      </c>
      <c r="CK58" s="10">
        <v>409.850233</v>
      </c>
      <c r="CL58" s="10">
        <v>411.363992</v>
      </c>
      <c r="CM58" s="10">
        <v>412.87775099999999</v>
      </c>
      <c r="CN58" s="10">
        <v>419.68966599999999</v>
      </c>
      <c r="CO58" s="10">
        <v>423.85250300000001</v>
      </c>
      <c r="CP58" s="10">
        <v>425.74470200000002</v>
      </c>
      <c r="CQ58" s="10">
        <v>429.90753899999999</v>
      </c>
      <c r="CR58" s="10">
        <v>438.61165299999999</v>
      </c>
      <c r="CS58" s="10">
        <v>440.88229100000001</v>
      </c>
      <c r="CT58" s="10">
        <v>444.28824900000001</v>
      </c>
      <c r="CU58" s="10">
        <v>451.47860400000002</v>
      </c>
      <c r="CV58" s="10">
        <v>454.506122</v>
      </c>
      <c r="CW58" s="10">
        <v>458.66895799999998</v>
      </c>
      <c r="CX58" s="10">
        <v>463.21023500000001</v>
      </c>
      <c r="CY58" s="10">
        <v>465.10243400000002</v>
      </c>
      <c r="CZ58" s="10">
        <v>465.10243400000002</v>
      </c>
      <c r="DA58" s="10">
        <v>466.96284400000002</v>
      </c>
      <c r="DB58" s="10">
        <v>469.75345800000002</v>
      </c>
      <c r="DC58" s="10">
        <v>473.47427800000003</v>
      </c>
      <c r="DD58" s="10">
        <v>482.77632699999998</v>
      </c>
      <c r="DE58" s="10">
        <v>487.89245399999999</v>
      </c>
      <c r="DF58" s="10">
        <v>493.938785</v>
      </c>
      <c r="DG58" s="10">
        <v>497.659604</v>
      </c>
      <c r="DH58" s="10">
        <v>506.96165300000001</v>
      </c>
      <c r="DI58" s="10">
        <v>511.61267700000002</v>
      </c>
      <c r="DJ58" s="10">
        <v>519.98452099999997</v>
      </c>
      <c r="DK58" s="10">
        <v>528.35636499999998</v>
      </c>
      <c r="DL58" s="10">
        <v>539.053721</v>
      </c>
      <c r="DM58" s="10">
        <v>543.239643</v>
      </c>
      <c r="DN58" s="10">
        <v>547.42556500000001</v>
      </c>
      <c r="DO58" s="10">
        <v>549.75107700000001</v>
      </c>
      <c r="DP58" s="10">
        <v>558.12292100000002</v>
      </c>
      <c r="DQ58" s="10">
        <v>566.49476500000003</v>
      </c>
      <c r="DR58" s="10">
        <v>577.19212100000004</v>
      </c>
      <c r="DS58" s="10">
        <v>586.95927200000006</v>
      </c>
      <c r="DT58" s="10">
        <v>596.72642299999995</v>
      </c>
      <c r="DU58" s="10">
        <v>605.56336899999997</v>
      </c>
      <c r="DV58" s="10">
        <v>616.26072599999998</v>
      </c>
      <c r="DW58" s="10">
        <v>623.70236399999999</v>
      </c>
      <c r="DX58" s="10">
        <v>628.353388</v>
      </c>
      <c r="DY58" s="10">
        <v>637.190335</v>
      </c>
      <c r="DZ58" s="10">
        <v>644.63197400000001</v>
      </c>
      <c r="EA58" s="10">
        <v>652.53871500000002</v>
      </c>
      <c r="EB58" s="10">
        <v>661.37566100000004</v>
      </c>
      <c r="EC58" s="10">
        <v>669.97354499999994</v>
      </c>
      <c r="ED58" s="10">
        <v>684.52381000000003</v>
      </c>
      <c r="EE58" s="10">
        <v>699.73545000000001</v>
      </c>
      <c r="EF58" s="10">
        <v>708.33333300000004</v>
      </c>
      <c r="EG58" s="10">
        <v>717.59259299999997</v>
      </c>
      <c r="EH58" s="10">
        <v>722.22222199999999</v>
      </c>
      <c r="EI58" s="10">
        <v>730.82010600000001</v>
      </c>
      <c r="EJ58" s="10">
        <v>746.031746</v>
      </c>
      <c r="EK58" s="10">
        <v>754.62963000000002</v>
      </c>
      <c r="EL58" s="10">
        <v>757.27513199999999</v>
      </c>
      <c r="EM58" s="10">
        <v>768.51851899999997</v>
      </c>
      <c r="EN58" s="10">
        <v>777.77777800000001</v>
      </c>
      <c r="EO58" s="10">
        <v>789.68254000000002</v>
      </c>
      <c r="EP58" s="10">
        <v>790.34391500000004</v>
      </c>
      <c r="EQ58" s="10">
        <v>796.957672</v>
      </c>
      <c r="ER58" s="10">
        <v>802.91005299999995</v>
      </c>
      <c r="ES58" s="10">
        <v>805.55555600000002</v>
      </c>
      <c r="ET58" s="10">
        <v>836.64021200000002</v>
      </c>
      <c r="EU58" s="10">
        <v>849.86772499999995</v>
      </c>
      <c r="EV58" s="10">
        <v>857.14285700000005</v>
      </c>
      <c r="EW58" s="10">
        <v>863.75661400000001</v>
      </c>
      <c r="EX58" s="10">
        <v>871.69312200000002</v>
      </c>
      <c r="EY58" s="10">
        <v>875.66137600000002</v>
      </c>
      <c r="EZ58" s="10">
        <v>878.968254</v>
      </c>
      <c r="FA58" s="10">
        <v>883.59788400000002</v>
      </c>
      <c r="FB58" s="10">
        <v>887.56613800000002</v>
      </c>
      <c r="FC58" s="10">
        <v>891.53439200000003</v>
      </c>
      <c r="FD58" s="10">
        <v>903.43915300000003</v>
      </c>
      <c r="FE58" s="10">
        <v>903.43915300000003</v>
      </c>
      <c r="FF58" s="10">
        <v>907.40740700000003</v>
      </c>
      <c r="FG58" s="10">
        <v>923.94179899999995</v>
      </c>
      <c r="FH58" s="10">
        <v>925.925926</v>
      </c>
      <c r="FI58" s="10">
        <v>934.52381000000003</v>
      </c>
      <c r="FJ58" s="10">
        <v>938.49206300000003</v>
      </c>
      <c r="FK58" s="10">
        <v>943.78306899999995</v>
      </c>
      <c r="FL58" s="10">
        <v>949.73545000000001</v>
      </c>
      <c r="FM58" s="10">
        <v>957.010582</v>
      </c>
      <c r="FN58" s="10">
        <v>960.978836</v>
      </c>
      <c r="FO58" s="10">
        <v>961.64021200000002</v>
      </c>
      <c r="FP58" s="10">
        <v>965.60846600000002</v>
      </c>
      <c r="FQ58" s="10">
        <v>972.88359800000001</v>
      </c>
      <c r="FR58" s="10">
        <v>986.11111100000005</v>
      </c>
      <c r="FS58" s="10">
        <v>988.09523799999999</v>
      </c>
      <c r="FT58" s="10">
        <v>1000</v>
      </c>
      <c r="FU58" s="10">
        <v>1000.661376</v>
      </c>
      <c r="FV58" s="10">
        <v>996</v>
      </c>
      <c r="FW58" s="10">
        <v>1011</v>
      </c>
      <c r="FX58" s="10">
        <v>1016</v>
      </c>
      <c r="FY58" s="10">
        <v>1020</v>
      </c>
      <c r="FZ58" s="10">
        <v>1027</v>
      </c>
      <c r="GA58" s="10">
        <v>1046</v>
      </c>
      <c r="GB58" s="10">
        <v>1047</v>
      </c>
      <c r="GC58" s="10">
        <v>1054</v>
      </c>
      <c r="GD58" s="10">
        <v>1060</v>
      </c>
      <c r="GE58" s="10">
        <v>1060</v>
      </c>
      <c r="GF58" s="10">
        <v>1064</v>
      </c>
      <c r="GG58" s="10">
        <v>1077</v>
      </c>
      <c r="GH58" s="10">
        <v>1093</v>
      </c>
      <c r="GI58" s="10">
        <v>1108</v>
      </c>
      <c r="GJ58" s="10">
        <v>1132</v>
      </c>
      <c r="GK58" s="10">
        <v>1153</v>
      </c>
      <c r="GL58" s="10">
        <v>1177</v>
      </c>
      <c r="GM58" s="10">
        <v>1189</v>
      </c>
      <c r="GN58" s="10">
        <v>1204</v>
      </c>
      <c r="GO58" s="10">
        <v>1208</v>
      </c>
      <c r="GP58" s="10">
        <v>1244</v>
      </c>
      <c r="GQ58" s="10">
        <v>1246</v>
      </c>
      <c r="GR58" s="10">
        <v>1265</v>
      </c>
      <c r="GS58" s="10">
        <v>1268</v>
      </c>
    </row>
    <row r="59" spans="1:201" ht="12.6">
      <c r="A59" s="51" t="s">
        <v>1878</v>
      </c>
      <c r="B59" s="10"/>
      <c r="C59" s="10"/>
      <c r="D59" s="10"/>
      <c r="E59" s="10"/>
      <c r="F59" s="10" t="s">
        <v>1827</v>
      </c>
      <c r="G59" s="10" t="s">
        <v>1827</v>
      </c>
      <c r="H59" s="10" t="s">
        <v>1827</v>
      </c>
      <c r="I59" s="10" t="s">
        <v>1827</v>
      </c>
      <c r="J59" s="10" t="s">
        <v>1827</v>
      </c>
      <c r="K59" s="10" t="s">
        <v>1827</v>
      </c>
      <c r="L59" s="10" t="s">
        <v>1827</v>
      </c>
      <c r="M59" s="10" t="s">
        <v>1827</v>
      </c>
      <c r="N59" s="10" t="s">
        <v>1827</v>
      </c>
      <c r="O59" s="10" t="s">
        <v>1827</v>
      </c>
      <c r="P59" s="10" t="s">
        <v>1827</v>
      </c>
      <c r="Q59" s="10" t="s">
        <v>1827</v>
      </c>
      <c r="R59" s="10" t="s">
        <v>1827</v>
      </c>
      <c r="S59" s="10" t="s">
        <v>1827</v>
      </c>
      <c r="T59" s="10" t="s">
        <v>1827</v>
      </c>
      <c r="U59" s="10" t="s">
        <v>1827</v>
      </c>
      <c r="V59" s="10" t="s">
        <v>1827</v>
      </c>
      <c r="W59" s="10" t="s">
        <v>1827</v>
      </c>
      <c r="X59" s="10" t="s">
        <v>1827</v>
      </c>
      <c r="Y59" s="10" t="s">
        <v>1827</v>
      </c>
      <c r="Z59" s="10" t="s">
        <v>1827</v>
      </c>
      <c r="AA59" s="10" t="s">
        <v>1827</v>
      </c>
      <c r="AB59" s="10" t="s">
        <v>1827</v>
      </c>
      <c r="AC59" s="10" t="s">
        <v>1827</v>
      </c>
      <c r="AD59" s="10" t="s">
        <v>1827</v>
      </c>
      <c r="AE59" s="10" t="s">
        <v>1827</v>
      </c>
      <c r="AF59" s="10" t="s">
        <v>1827</v>
      </c>
      <c r="AG59" s="10" t="s">
        <v>1827</v>
      </c>
      <c r="AH59" s="10" t="s">
        <v>1827</v>
      </c>
      <c r="AI59" s="10" t="s">
        <v>1827</v>
      </c>
      <c r="AJ59" s="10" t="s">
        <v>1827</v>
      </c>
      <c r="AK59" s="10" t="s">
        <v>1827</v>
      </c>
      <c r="AL59" s="10" t="s">
        <v>1827</v>
      </c>
      <c r="AM59" s="10" t="s">
        <v>1827</v>
      </c>
      <c r="AN59" s="10" t="s">
        <v>1827</v>
      </c>
      <c r="AO59" s="10" t="s">
        <v>1827</v>
      </c>
      <c r="AP59" s="10" t="s">
        <v>1827</v>
      </c>
      <c r="AQ59" s="10" t="s">
        <v>1827</v>
      </c>
      <c r="AR59" s="10" t="s">
        <v>1827</v>
      </c>
      <c r="AS59" s="10" t="s">
        <v>1827</v>
      </c>
      <c r="AT59" s="10" t="s">
        <v>1827</v>
      </c>
      <c r="AU59" s="10" t="s">
        <v>1827</v>
      </c>
      <c r="AV59" s="10" t="s">
        <v>1827</v>
      </c>
      <c r="AW59" s="10" t="s">
        <v>1827</v>
      </c>
      <c r="AX59" s="10" t="s">
        <v>1827</v>
      </c>
      <c r="AY59" s="10" t="s">
        <v>1827</v>
      </c>
      <c r="AZ59" s="10" t="s">
        <v>1827</v>
      </c>
      <c r="BA59" s="10" t="s">
        <v>1827</v>
      </c>
      <c r="BB59" s="10" t="s">
        <v>1827</v>
      </c>
      <c r="BC59" s="10" t="s">
        <v>1827</v>
      </c>
      <c r="BD59" s="10" t="s">
        <v>1827</v>
      </c>
      <c r="BE59" s="10" t="s">
        <v>1827</v>
      </c>
      <c r="BF59" s="10" t="s">
        <v>1827</v>
      </c>
      <c r="BG59" s="10" t="s">
        <v>1827</v>
      </c>
      <c r="BH59" s="10" t="s">
        <v>1827</v>
      </c>
      <c r="BI59" s="10" t="s">
        <v>1827</v>
      </c>
      <c r="BJ59" s="10" t="s">
        <v>1827</v>
      </c>
      <c r="BK59" s="10" t="s">
        <v>1827</v>
      </c>
      <c r="BL59" s="10" t="s">
        <v>1827</v>
      </c>
      <c r="BM59" s="10" t="s">
        <v>1827</v>
      </c>
      <c r="BN59" s="10" t="s">
        <v>1827</v>
      </c>
      <c r="BO59" s="10" t="s">
        <v>1827</v>
      </c>
      <c r="BP59" s="10" t="s">
        <v>1827</v>
      </c>
      <c r="BQ59" s="10" t="s">
        <v>1827</v>
      </c>
      <c r="BR59" s="10" t="s">
        <v>1827</v>
      </c>
      <c r="BS59" s="10" t="s">
        <v>1827</v>
      </c>
      <c r="BT59" s="10" t="s">
        <v>1827</v>
      </c>
      <c r="BU59" s="10" t="s">
        <v>1827</v>
      </c>
      <c r="BV59" s="10" t="s">
        <v>1827</v>
      </c>
      <c r="BW59" s="10" t="s">
        <v>1827</v>
      </c>
      <c r="BX59" s="10" t="s">
        <v>1827</v>
      </c>
      <c r="BY59" s="10" t="s">
        <v>1827</v>
      </c>
      <c r="BZ59" s="10" t="s">
        <v>1827</v>
      </c>
      <c r="CA59" s="10" t="s">
        <v>1827</v>
      </c>
      <c r="CB59" s="10" t="s">
        <v>1827</v>
      </c>
      <c r="CC59" s="10" t="s">
        <v>1827</v>
      </c>
      <c r="CD59" s="10" t="s">
        <v>1827</v>
      </c>
      <c r="CE59" s="10" t="s">
        <v>1827</v>
      </c>
      <c r="CF59" s="10" t="s">
        <v>1827</v>
      </c>
      <c r="CG59" s="10" t="s">
        <v>1827</v>
      </c>
      <c r="CH59" s="10" t="s">
        <v>1827</v>
      </c>
      <c r="CI59" s="10" t="s">
        <v>1827</v>
      </c>
      <c r="CJ59" s="10" t="s">
        <v>1827</v>
      </c>
      <c r="CK59" s="10" t="s">
        <v>1827</v>
      </c>
      <c r="CL59" s="10" t="s">
        <v>1827</v>
      </c>
      <c r="CM59" s="10" t="s">
        <v>1827</v>
      </c>
      <c r="CN59" s="10" t="s">
        <v>1827</v>
      </c>
      <c r="CO59" s="10" t="s">
        <v>1827</v>
      </c>
      <c r="CP59" s="10" t="s">
        <v>1827</v>
      </c>
      <c r="CQ59" s="10" t="s">
        <v>1827</v>
      </c>
      <c r="CR59" s="10" t="s">
        <v>1827</v>
      </c>
      <c r="CS59" s="10" t="s">
        <v>1827</v>
      </c>
      <c r="CT59" s="10" t="s">
        <v>1827</v>
      </c>
      <c r="CU59" s="10" t="s">
        <v>1827</v>
      </c>
      <c r="CV59" s="10" t="s">
        <v>1827</v>
      </c>
      <c r="CW59" s="10" t="s">
        <v>1827</v>
      </c>
      <c r="CX59" s="10" t="s">
        <v>1827</v>
      </c>
      <c r="CY59" s="10" t="s">
        <v>1827</v>
      </c>
      <c r="CZ59" s="10">
        <v>513.57466099999999</v>
      </c>
      <c r="DA59" s="10">
        <v>513.57466099999999</v>
      </c>
      <c r="DB59" s="10">
        <v>513.57466099999999</v>
      </c>
      <c r="DC59" s="10">
        <v>513.57466099999999</v>
      </c>
      <c r="DD59" s="10">
        <v>514.32880799999998</v>
      </c>
      <c r="DE59" s="10">
        <v>514.32880799999998</v>
      </c>
      <c r="DF59" s="10">
        <v>542.98642500000005</v>
      </c>
      <c r="DG59" s="10">
        <v>542.98642500000005</v>
      </c>
      <c r="DH59" s="10">
        <v>542.98642500000005</v>
      </c>
      <c r="DI59" s="10">
        <v>542.98642500000005</v>
      </c>
      <c r="DJ59" s="10">
        <v>576.92307700000003</v>
      </c>
      <c r="DK59" s="10">
        <v>588.23529399999995</v>
      </c>
      <c r="DL59" s="10">
        <v>588.23529399999995</v>
      </c>
      <c r="DM59" s="10">
        <v>650.07541500000002</v>
      </c>
      <c r="DN59" s="10">
        <v>650.07541500000002</v>
      </c>
      <c r="DO59" s="10">
        <v>650.07541500000002</v>
      </c>
      <c r="DP59" s="10">
        <v>653.09200599999997</v>
      </c>
      <c r="DQ59" s="10">
        <v>653.09200599999997</v>
      </c>
      <c r="DR59" s="10">
        <v>653.09200599999997</v>
      </c>
      <c r="DS59" s="10">
        <v>657.616893</v>
      </c>
      <c r="DT59" s="10">
        <v>659.87933599999997</v>
      </c>
      <c r="DU59" s="10">
        <v>662.89592800000003</v>
      </c>
      <c r="DV59" s="10">
        <v>662.89592800000003</v>
      </c>
      <c r="DW59" s="10">
        <v>710.40724</v>
      </c>
      <c r="DX59" s="10">
        <v>710.40724</v>
      </c>
      <c r="DY59" s="10">
        <v>741.32730000000004</v>
      </c>
      <c r="DZ59" s="10">
        <v>749.62292600000001</v>
      </c>
      <c r="EA59" s="10">
        <v>749.62292600000001</v>
      </c>
      <c r="EB59" s="10">
        <v>754.14781300000004</v>
      </c>
      <c r="EC59" s="10">
        <v>754.14781300000004</v>
      </c>
      <c r="ED59" s="10">
        <v>754.14781300000004</v>
      </c>
      <c r="EE59" s="10">
        <v>754.14781300000004</v>
      </c>
      <c r="EF59" s="10">
        <v>766.96832600000005</v>
      </c>
      <c r="EG59" s="10">
        <v>766.96832600000005</v>
      </c>
      <c r="EH59" s="10">
        <v>766.96832600000005</v>
      </c>
      <c r="EI59" s="10">
        <v>766.96832600000005</v>
      </c>
      <c r="EJ59" s="10">
        <v>742.83559600000001</v>
      </c>
      <c r="EK59" s="10">
        <v>742.83559600000001</v>
      </c>
      <c r="EL59" s="10">
        <v>742.83559600000001</v>
      </c>
      <c r="EM59" s="10">
        <v>742.83559600000001</v>
      </c>
      <c r="EN59" s="10">
        <v>748.11463000000003</v>
      </c>
      <c r="EO59" s="10">
        <v>748.11463000000003</v>
      </c>
      <c r="EP59" s="10">
        <v>748.11463000000003</v>
      </c>
      <c r="EQ59" s="10">
        <v>748.11463000000003</v>
      </c>
      <c r="ER59" s="10">
        <v>751.88536999999997</v>
      </c>
      <c r="ES59" s="10">
        <v>751.88536999999997</v>
      </c>
      <c r="ET59" s="10">
        <v>878.58220200000005</v>
      </c>
      <c r="EU59" s="10">
        <v>878.58220200000005</v>
      </c>
      <c r="EV59" s="10">
        <v>878.58220200000005</v>
      </c>
      <c r="EW59" s="10">
        <v>882.35294099999999</v>
      </c>
      <c r="EX59" s="10">
        <v>886.87782800000002</v>
      </c>
      <c r="EY59" s="10">
        <v>886.87782800000002</v>
      </c>
      <c r="EZ59" s="10">
        <v>890.64856699999996</v>
      </c>
      <c r="FA59" s="10">
        <v>890.64856699999996</v>
      </c>
      <c r="FB59" s="10">
        <v>943.43891399999995</v>
      </c>
      <c r="FC59" s="10">
        <v>943.43891399999995</v>
      </c>
      <c r="FD59" s="10">
        <v>946.45550500000002</v>
      </c>
      <c r="FE59" s="10">
        <v>952.48868800000002</v>
      </c>
      <c r="FF59" s="10">
        <v>952.48868800000002</v>
      </c>
      <c r="FG59" s="10">
        <v>952.48868800000002</v>
      </c>
      <c r="FH59" s="10">
        <v>952.48868800000002</v>
      </c>
      <c r="FI59" s="10">
        <v>984.91704400000003</v>
      </c>
      <c r="FJ59" s="10">
        <v>984.91704400000003</v>
      </c>
      <c r="FK59" s="10">
        <v>984.91704400000003</v>
      </c>
      <c r="FL59" s="10">
        <v>987.17948699999999</v>
      </c>
      <c r="FM59" s="10">
        <v>967.57164399999999</v>
      </c>
      <c r="FN59" s="10">
        <v>967.57164399999999</v>
      </c>
      <c r="FO59" s="10">
        <v>967.57164399999999</v>
      </c>
      <c r="FP59" s="10">
        <v>969.83408699999995</v>
      </c>
      <c r="FQ59" s="10">
        <v>979.63800900000001</v>
      </c>
      <c r="FR59" s="10">
        <v>979.63800900000001</v>
      </c>
      <c r="FS59" s="10">
        <v>979.63800900000001</v>
      </c>
      <c r="FT59" s="10">
        <v>1000</v>
      </c>
      <c r="FU59" s="10">
        <v>1005.279035</v>
      </c>
      <c r="FV59" s="10">
        <v>1011</v>
      </c>
      <c r="FW59" s="10">
        <v>1022</v>
      </c>
      <c r="FX59" s="10">
        <v>1037</v>
      </c>
      <c r="FY59" s="10">
        <v>1042</v>
      </c>
      <c r="FZ59" s="10">
        <v>1042</v>
      </c>
      <c r="GA59" s="10">
        <v>1042</v>
      </c>
      <c r="GB59" s="10">
        <v>1047</v>
      </c>
      <c r="GC59" s="10">
        <v>1053</v>
      </c>
      <c r="GD59" s="10">
        <v>1053</v>
      </c>
      <c r="GE59" s="10">
        <v>1053</v>
      </c>
      <c r="GF59" s="10">
        <v>1064</v>
      </c>
      <c r="GG59" s="10">
        <v>1064</v>
      </c>
      <c r="GH59" s="10">
        <v>1070</v>
      </c>
      <c r="GI59" s="10">
        <v>1069</v>
      </c>
      <c r="GJ59" s="10">
        <v>1075</v>
      </c>
      <c r="GK59" s="10">
        <v>1098</v>
      </c>
      <c r="GL59" s="10">
        <v>1104</v>
      </c>
      <c r="GM59" s="10">
        <v>1113</v>
      </c>
      <c r="GN59" s="10">
        <v>1145</v>
      </c>
      <c r="GO59" s="10">
        <v>1202</v>
      </c>
      <c r="GP59" s="10">
        <v>1202</v>
      </c>
      <c r="GQ59" s="10">
        <v>1202</v>
      </c>
      <c r="GR59" s="10">
        <v>1221</v>
      </c>
      <c r="GS59" s="10">
        <v>1228</v>
      </c>
    </row>
    <row r="60" spans="1:201" ht="12.6">
      <c r="A60" s="51" t="s">
        <v>1879</v>
      </c>
      <c r="B60" s="10"/>
      <c r="C60" s="10"/>
      <c r="D60" s="10"/>
      <c r="E60" s="10"/>
      <c r="F60" s="10" t="s">
        <v>1827</v>
      </c>
      <c r="G60" s="10" t="s">
        <v>1827</v>
      </c>
      <c r="H60" s="10" t="s">
        <v>1827</v>
      </c>
      <c r="I60" s="10" t="s">
        <v>1827</v>
      </c>
      <c r="J60" s="10" t="s">
        <v>1827</v>
      </c>
      <c r="K60" s="10" t="s">
        <v>1827</v>
      </c>
      <c r="L60" s="10" t="s">
        <v>1827</v>
      </c>
      <c r="M60" s="10" t="s">
        <v>1827</v>
      </c>
      <c r="N60" s="10" t="s">
        <v>1827</v>
      </c>
      <c r="O60" s="10" t="s">
        <v>1827</v>
      </c>
      <c r="P60" s="10" t="s">
        <v>1827</v>
      </c>
      <c r="Q60" s="10" t="s">
        <v>1827</v>
      </c>
      <c r="R60" s="10" t="s">
        <v>1827</v>
      </c>
      <c r="S60" s="10" t="s">
        <v>1827</v>
      </c>
      <c r="T60" s="10" t="s">
        <v>1827</v>
      </c>
      <c r="U60" s="10" t="s">
        <v>1827</v>
      </c>
      <c r="V60" s="10" t="s">
        <v>1827</v>
      </c>
      <c r="W60" s="10" t="s">
        <v>1827</v>
      </c>
      <c r="X60" s="10" t="s">
        <v>1827</v>
      </c>
      <c r="Y60" s="10" t="s">
        <v>1827</v>
      </c>
      <c r="Z60" s="10" t="s">
        <v>1827</v>
      </c>
      <c r="AA60" s="10" t="s">
        <v>1827</v>
      </c>
      <c r="AB60" s="10" t="s">
        <v>1827</v>
      </c>
      <c r="AC60" s="10" t="s">
        <v>1827</v>
      </c>
      <c r="AD60" s="10" t="s">
        <v>1827</v>
      </c>
      <c r="AE60" s="10" t="s">
        <v>1827</v>
      </c>
      <c r="AF60" s="10" t="s">
        <v>1827</v>
      </c>
      <c r="AG60" s="10" t="s">
        <v>1827</v>
      </c>
      <c r="AH60" s="10" t="s">
        <v>1827</v>
      </c>
      <c r="AI60" s="10" t="s">
        <v>1827</v>
      </c>
      <c r="AJ60" s="10" t="s">
        <v>1827</v>
      </c>
      <c r="AK60" s="10" t="s">
        <v>1827</v>
      </c>
      <c r="AL60" s="10" t="s">
        <v>1827</v>
      </c>
      <c r="AM60" s="10" t="s">
        <v>1827</v>
      </c>
      <c r="AN60" s="10" t="s">
        <v>1827</v>
      </c>
      <c r="AO60" s="10" t="s">
        <v>1827</v>
      </c>
      <c r="AP60" s="10" t="s">
        <v>1827</v>
      </c>
      <c r="AQ60" s="10" t="s">
        <v>1827</v>
      </c>
      <c r="AR60" s="10" t="s">
        <v>1827</v>
      </c>
      <c r="AS60" s="10" t="s">
        <v>1827</v>
      </c>
      <c r="AT60" s="10" t="s">
        <v>1827</v>
      </c>
      <c r="AU60" s="10" t="s">
        <v>1827</v>
      </c>
      <c r="AV60" s="10" t="s">
        <v>1827</v>
      </c>
      <c r="AW60" s="10" t="s">
        <v>1827</v>
      </c>
      <c r="AX60" s="10" t="s">
        <v>1827</v>
      </c>
      <c r="AY60" s="10" t="s">
        <v>1827</v>
      </c>
      <c r="AZ60" s="10" t="s">
        <v>1827</v>
      </c>
      <c r="BA60" s="10" t="s">
        <v>1827</v>
      </c>
      <c r="BB60" s="10" t="s">
        <v>1827</v>
      </c>
      <c r="BC60" s="10" t="s">
        <v>1827</v>
      </c>
      <c r="BD60" s="10" t="s">
        <v>1827</v>
      </c>
      <c r="BE60" s="10" t="s">
        <v>1827</v>
      </c>
      <c r="BF60" s="10" t="s">
        <v>1827</v>
      </c>
      <c r="BG60" s="10" t="s">
        <v>1827</v>
      </c>
      <c r="BH60" s="10" t="s">
        <v>1827</v>
      </c>
      <c r="BI60" s="10" t="s">
        <v>1827</v>
      </c>
      <c r="BJ60" s="10" t="s">
        <v>1827</v>
      </c>
      <c r="BK60" s="10" t="s">
        <v>1827</v>
      </c>
      <c r="BL60" s="10" t="s">
        <v>1827</v>
      </c>
      <c r="BM60" s="10" t="s">
        <v>1827</v>
      </c>
      <c r="BN60" s="10" t="s">
        <v>1827</v>
      </c>
      <c r="BO60" s="10" t="s">
        <v>1827</v>
      </c>
      <c r="BP60" s="10" t="s">
        <v>1827</v>
      </c>
      <c r="BQ60" s="10" t="s">
        <v>1827</v>
      </c>
      <c r="BR60" s="10" t="s">
        <v>1827</v>
      </c>
      <c r="BS60" s="10" t="s">
        <v>1827</v>
      </c>
      <c r="BT60" s="10" t="s">
        <v>1827</v>
      </c>
      <c r="BU60" s="10" t="s">
        <v>1827</v>
      </c>
      <c r="BV60" s="10" t="s">
        <v>1827</v>
      </c>
      <c r="BW60" s="10" t="s">
        <v>1827</v>
      </c>
      <c r="BX60" s="10" t="s">
        <v>1827</v>
      </c>
      <c r="BY60" s="10" t="s">
        <v>1827</v>
      </c>
      <c r="BZ60" s="10" t="s">
        <v>1827</v>
      </c>
      <c r="CA60" s="10" t="s">
        <v>1827</v>
      </c>
      <c r="CB60" s="10" t="s">
        <v>1827</v>
      </c>
      <c r="CC60" s="10" t="s">
        <v>1827</v>
      </c>
      <c r="CD60" s="10" t="s">
        <v>1827</v>
      </c>
      <c r="CE60" s="10" t="s">
        <v>1827</v>
      </c>
      <c r="CF60" s="10" t="s">
        <v>1827</v>
      </c>
      <c r="CG60" s="10" t="s">
        <v>1827</v>
      </c>
      <c r="CH60" s="10" t="s">
        <v>1827</v>
      </c>
      <c r="CI60" s="10" t="s">
        <v>1827</v>
      </c>
      <c r="CJ60" s="10" t="s">
        <v>1827</v>
      </c>
      <c r="CK60" s="10" t="s">
        <v>1827</v>
      </c>
      <c r="CL60" s="10" t="s">
        <v>1827</v>
      </c>
      <c r="CM60" s="10" t="s">
        <v>1827</v>
      </c>
      <c r="CN60" s="10" t="s">
        <v>1827</v>
      </c>
      <c r="CO60" s="10" t="s">
        <v>1827</v>
      </c>
      <c r="CP60" s="10" t="s">
        <v>1827</v>
      </c>
      <c r="CQ60" s="10" t="s">
        <v>1827</v>
      </c>
      <c r="CR60" s="10" t="s">
        <v>1827</v>
      </c>
      <c r="CS60" s="10" t="s">
        <v>1827</v>
      </c>
      <c r="CT60" s="10" t="s">
        <v>1827</v>
      </c>
      <c r="CU60" s="10" t="s">
        <v>1827</v>
      </c>
      <c r="CV60" s="10" t="s">
        <v>1827</v>
      </c>
      <c r="CW60" s="10" t="s">
        <v>1827</v>
      </c>
      <c r="CX60" s="10" t="s">
        <v>1827</v>
      </c>
      <c r="CY60" s="10" t="s">
        <v>1827</v>
      </c>
      <c r="CZ60" s="10">
        <v>535.55120699999998</v>
      </c>
      <c r="DA60" s="10">
        <v>535.55120699999998</v>
      </c>
      <c r="DB60" s="10">
        <v>537.50815399999999</v>
      </c>
      <c r="DC60" s="10">
        <v>537.50815399999999</v>
      </c>
      <c r="DD60" s="10">
        <v>537.50815399999999</v>
      </c>
      <c r="DE60" s="10">
        <v>540.11741700000005</v>
      </c>
      <c r="DF60" s="10">
        <v>543.37899500000003</v>
      </c>
      <c r="DG60" s="10">
        <v>543.37899500000003</v>
      </c>
      <c r="DH60" s="10">
        <v>544.03131099999996</v>
      </c>
      <c r="DI60" s="10">
        <v>545.33594300000004</v>
      </c>
      <c r="DJ60" s="10">
        <v>543.37899500000003</v>
      </c>
      <c r="DK60" s="10">
        <v>549.902153</v>
      </c>
      <c r="DL60" s="10">
        <v>556.42530999999997</v>
      </c>
      <c r="DM60" s="10">
        <v>561.64383599999996</v>
      </c>
      <c r="DN60" s="10">
        <v>566.86236099999996</v>
      </c>
      <c r="DO60" s="10">
        <v>570.12393999999995</v>
      </c>
      <c r="DP60" s="10">
        <v>575.99478099999999</v>
      </c>
      <c r="DQ60" s="10">
        <v>587.08414900000002</v>
      </c>
      <c r="DR60" s="10">
        <v>589.69341199999997</v>
      </c>
      <c r="DS60" s="10">
        <v>589.69341199999997</v>
      </c>
      <c r="DT60" s="10">
        <v>592.95498999999995</v>
      </c>
      <c r="DU60" s="10">
        <v>602.08740999999998</v>
      </c>
      <c r="DV60" s="10">
        <v>610.56751499999996</v>
      </c>
      <c r="DW60" s="10">
        <v>611.87214600000004</v>
      </c>
      <c r="DX60" s="10">
        <v>619.04761900000005</v>
      </c>
      <c r="DY60" s="10">
        <v>637.31245899999999</v>
      </c>
      <c r="DZ60" s="10">
        <v>645.14024800000004</v>
      </c>
      <c r="EA60" s="10">
        <v>649.706458</v>
      </c>
      <c r="EB60" s="10">
        <v>652.31572100000005</v>
      </c>
      <c r="EC60" s="10">
        <v>673.84213999999997</v>
      </c>
      <c r="ED60" s="10">
        <v>687.54076999999995</v>
      </c>
      <c r="EE60" s="10">
        <v>690.15003300000001</v>
      </c>
      <c r="EF60" s="10">
        <v>696.02087400000005</v>
      </c>
      <c r="EG60" s="10">
        <v>722.76581899999996</v>
      </c>
      <c r="EH60" s="10">
        <v>726.02739699999995</v>
      </c>
      <c r="EI60" s="10">
        <v>728.63666000000001</v>
      </c>
      <c r="EJ60" s="10">
        <v>733.20286999999996</v>
      </c>
      <c r="EK60" s="10">
        <v>774.29876100000001</v>
      </c>
      <c r="EL60" s="10">
        <v>774.95107599999994</v>
      </c>
      <c r="EM60" s="10">
        <v>774.29876100000001</v>
      </c>
      <c r="EN60" s="10">
        <v>776.25570800000003</v>
      </c>
      <c r="EO60" s="10">
        <v>808.87149399999998</v>
      </c>
      <c r="EP60" s="10">
        <v>814.74233500000003</v>
      </c>
      <c r="EQ60" s="10">
        <v>815.39465099999995</v>
      </c>
      <c r="ER60" s="10">
        <v>819.30854499999998</v>
      </c>
      <c r="ES60" s="10">
        <v>840.18264799999997</v>
      </c>
      <c r="ET60" s="10">
        <v>851.92433100000005</v>
      </c>
      <c r="EU60" s="10">
        <v>851.92433100000005</v>
      </c>
      <c r="EV60" s="10">
        <v>855.83822599999996</v>
      </c>
      <c r="EW60" s="10">
        <v>881.27853900000002</v>
      </c>
      <c r="EX60" s="10">
        <v>881.27853900000002</v>
      </c>
      <c r="EY60" s="10">
        <v>881.27853900000002</v>
      </c>
      <c r="EZ60" s="10">
        <v>881.27853900000002</v>
      </c>
      <c r="FA60" s="10">
        <v>896.93411600000002</v>
      </c>
      <c r="FB60" s="10">
        <v>898.23874799999999</v>
      </c>
      <c r="FC60" s="10">
        <v>899.54337899999996</v>
      </c>
      <c r="FD60" s="10">
        <v>902.80495800000006</v>
      </c>
      <c r="FE60" s="10">
        <v>923.67906100000005</v>
      </c>
      <c r="FF60" s="10">
        <v>923.67906100000005</v>
      </c>
      <c r="FG60" s="10">
        <v>924.33137599999998</v>
      </c>
      <c r="FH60" s="10">
        <v>925.63600799999995</v>
      </c>
      <c r="FI60" s="10">
        <v>938.682322</v>
      </c>
      <c r="FJ60" s="10">
        <v>938.682322</v>
      </c>
      <c r="FK60" s="10">
        <v>939.33463800000004</v>
      </c>
      <c r="FL60" s="10">
        <v>939.33463800000004</v>
      </c>
      <c r="FM60" s="10">
        <v>953.03326800000002</v>
      </c>
      <c r="FN60" s="10">
        <v>953.03326800000002</v>
      </c>
      <c r="FO60" s="10">
        <v>953.68558399999995</v>
      </c>
      <c r="FP60" s="10">
        <v>953.68558399999995</v>
      </c>
      <c r="FQ60" s="10">
        <v>988.25831700000003</v>
      </c>
      <c r="FR60" s="10">
        <v>995.43379000000004</v>
      </c>
      <c r="FS60" s="10">
        <v>996.08610599999997</v>
      </c>
      <c r="FT60" s="10">
        <v>1000</v>
      </c>
      <c r="FU60" s="10">
        <v>1015.0032619999999</v>
      </c>
      <c r="FV60" s="10">
        <v>1022</v>
      </c>
      <c r="FW60" s="10">
        <v>1022</v>
      </c>
      <c r="FX60" s="10">
        <v>1022</v>
      </c>
      <c r="FY60" s="10">
        <v>1049</v>
      </c>
      <c r="FZ60" s="10">
        <v>1062</v>
      </c>
      <c r="GA60" s="10">
        <v>1062</v>
      </c>
      <c r="GB60" s="10">
        <v>1065</v>
      </c>
      <c r="GC60" s="10">
        <v>1078</v>
      </c>
      <c r="GD60" s="10">
        <v>1087</v>
      </c>
      <c r="GE60" s="10">
        <v>1087</v>
      </c>
      <c r="GF60" s="10">
        <v>1087</v>
      </c>
      <c r="GG60" s="10">
        <v>1105</v>
      </c>
      <c r="GH60" s="10">
        <v>1115</v>
      </c>
      <c r="GI60" s="10">
        <v>1116</v>
      </c>
      <c r="GJ60" s="10">
        <v>1118</v>
      </c>
      <c r="GK60" s="10">
        <v>1142</v>
      </c>
      <c r="GL60" s="10">
        <v>1161</v>
      </c>
      <c r="GM60" s="10">
        <v>1161</v>
      </c>
      <c r="GN60" s="10">
        <v>1218</v>
      </c>
      <c r="GO60" s="10">
        <v>1240</v>
      </c>
      <c r="GP60" s="10">
        <v>1255</v>
      </c>
      <c r="GQ60" s="10">
        <v>1277</v>
      </c>
      <c r="GR60" s="10">
        <v>1307</v>
      </c>
      <c r="GS60" s="10">
        <v>1356</v>
      </c>
    </row>
    <row r="61" spans="1:201" ht="12.6">
      <c r="A61" s="51" t="s">
        <v>1880</v>
      </c>
      <c r="B61" s="10"/>
      <c r="C61" s="10"/>
      <c r="D61" s="10"/>
      <c r="E61" s="10"/>
      <c r="F61" s="10" t="s">
        <v>1827</v>
      </c>
      <c r="G61" s="10" t="s">
        <v>1827</v>
      </c>
      <c r="H61" s="10" t="s">
        <v>1827</v>
      </c>
      <c r="I61" s="10" t="s">
        <v>1827</v>
      </c>
      <c r="J61" s="10" t="s">
        <v>1827</v>
      </c>
      <c r="K61" s="10" t="s">
        <v>1827</v>
      </c>
      <c r="L61" s="10" t="s">
        <v>1827</v>
      </c>
      <c r="M61" s="10" t="s">
        <v>1827</v>
      </c>
      <c r="N61" s="10" t="s">
        <v>1827</v>
      </c>
      <c r="O61" s="10" t="s">
        <v>1827</v>
      </c>
      <c r="P61" s="10" t="s">
        <v>1827</v>
      </c>
      <c r="Q61" s="10" t="s">
        <v>1827</v>
      </c>
      <c r="R61" s="10" t="s">
        <v>1827</v>
      </c>
      <c r="S61" s="10" t="s">
        <v>1827</v>
      </c>
      <c r="T61" s="10" t="s">
        <v>1827</v>
      </c>
      <c r="U61" s="10" t="s">
        <v>1827</v>
      </c>
      <c r="V61" s="10" t="s">
        <v>1827</v>
      </c>
      <c r="W61" s="10" t="s">
        <v>1827</v>
      </c>
      <c r="X61" s="10" t="s">
        <v>1827</v>
      </c>
      <c r="Y61" s="10" t="s">
        <v>1827</v>
      </c>
      <c r="Z61" s="10" t="s">
        <v>1827</v>
      </c>
      <c r="AA61" s="10" t="s">
        <v>1827</v>
      </c>
      <c r="AB61" s="10" t="s">
        <v>1827</v>
      </c>
      <c r="AC61" s="10" t="s">
        <v>1827</v>
      </c>
      <c r="AD61" s="10" t="s">
        <v>1827</v>
      </c>
      <c r="AE61" s="10">
        <v>589.51368400000001</v>
      </c>
      <c r="AF61" s="10">
        <v>630.00387999999998</v>
      </c>
      <c r="AG61" s="10">
        <v>645.95456300000001</v>
      </c>
      <c r="AH61" s="10">
        <v>658.416787</v>
      </c>
      <c r="AI61" s="10">
        <v>667.84765900000002</v>
      </c>
      <c r="AJ61" s="10">
        <v>684.88096700000006</v>
      </c>
      <c r="AK61" s="10">
        <v>698.97915799999998</v>
      </c>
      <c r="AL61" s="10">
        <v>710.19034699999997</v>
      </c>
      <c r="AM61" s="10">
        <v>717.15523900000005</v>
      </c>
      <c r="AN61" s="10">
        <v>737.66497800000002</v>
      </c>
      <c r="AO61" s="10">
        <v>771.55115899999998</v>
      </c>
      <c r="AP61" s="10">
        <v>777.75821199999996</v>
      </c>
      <c r="AQ61" s="10">
        <v>800.49334899999997</v>
      </c>
      <c r="AR61" s="10">
        <v>819.87234699999999</v>
      </c>
      <c r="AS61" s="10">
        <v>856.21247900000003</v>
      </c>
      <c r="AT61" s="10">
        <v>926.65531599999997</v>
      </c>
      <c r="AU61" s="10">
        <v>964.71561899999995</v>
      </c>
      <c r="AV61" s="10">
        <v>989.086724</v>
      </c>
      <c r="AW61" s="10">
        <v>1018.08906</v>
      </c>
      <c r="AX61" s="10">
        <v>1021.180558</v>
      </c>
      <c r="AY61" s="10">
        <v>1055.030651</v>
      </c>
      <c r="AZ61" s="10">
        <v>1112.758652</v>
      </c>
      <c r="BA61" s="10">
        <v>1181.15653</v>
      </c>
      <c r="BB61" s="10">
        <v>1355.050256</v>
      </c>
      <c r="BC61" s="10">
        <v>1367.8733540000001</v>
      </c>
      <c r="BD61" s="10">
        <v>1380.7084809999999</v>
      </c>
      <c r="BE61" s="10">
        <v>1325.0134109999999</v>
      </c>
      <c r="BF61" s="10">
        <v>1317.218507</v>
      </c>
      <c r="BG61" s="10">
        <v>1265.0961</v>
      </c>
      <c r="BH61" s="10">
        <v>1192.4278650000001</v>
      </c>
      <c r="BI61" s="10">
        <v>1183.49019</v>
      </c>
      <c r="BJ61" s="10">
        <v>1202.9173040000001</v>
      </c>
      <c r="BK61" s="10">
        <v>1206.62229</v>
      </c>
      <c r="BL61" s="10">
        <v>1152.118107</v>
      </c>
      <c r="BM61" s="10">
        <v>1175.5028179999999</v>
      </c>
      <c r="BN61" s="10">
        <v>1173.5300339999999</v>
      </c>
      <c r="BO61" s="10">
        <v>1167.0222530000001</v>
      </c>
      <c r="BP61" s="10">
        <v>1171.461016</v>
      </c>
      <c r="BQ61" s="10">
        <v>1106.912474</v>
      </c>
      <c r="BR61" s="10">
        <v>1116.4275500000001</v>
      </c>
      <c r="BS61" s="10">
        <v>1145.5982939999999</v>
      </c>
      <c r="BT61" s="10">
        <v>1170.7512959999999</v>
      </c>
      <c r="BU61" s="10">
        <v>1184.78934</v>
      </c>
      <c r="BV61" s="10">
        <v>1200.006245</v>
      </c>
      <c r="BW61" s="10">
        <v>1229.1409020000001</v>
      </c>
      <c r="BX61" s="10">
        <v>1255.7614619999999</v>
      </c>
      <c r="BY61" s="10">
        <v>1270.4851699999999</v>
      </c>
      <c r="BZ61" s="10">
        <v>1292.4624679999999</v>
      </c>
      <c r="CA61" s="10">
        <v>1326.144153</v>
      </c>
      <c r="CB61" s="10">
        <v>1344.7412549999999</v>
      </c>
      <c r="CC61" s="10">
        <v>1363.0255970000001</v>
      </c>
      <c r="CD61" s="10">
        <v>1363.1098019999999</v>
      </c>
      <c r="CE61" s="10">
        <v>1371.2884610000001</v>
      </c>
      <c r="CF61" s="10">
        <v>1376.7408989999999</v>
      </c>
      <c r="CG61" s="10">
        <v>1378.10401</v>
      </c>
      <c r="CH61" s="10">
        <v>1378.10401</v>
      </c>
      <c r="CI61" s="10">
        <v>1372.65157</v>
      </c>
      <c r="CJ61" s="10">
        <v>1375.37779</v>
      </c>
      <c r="CK61" s="10">
        <v>1369.9253510000001</v>
      </c>
      <c r="CL61" s="10">
        <v>1367.1991310000001</v>
      </c>
      <c r="CM61" s="10">
        <v>1356.294253</v>
      </c>
      <c r="CN61" s="10">
        <v>1356.294253</v>
      </c>
      <c r="CO61" s="10">
        <v>1346.752485</v>
      </c>
      <c r="CP61" s="10">
        <v>1315.4009579999999</v>
      </c>
      <c r="CQ61" s="10">
        <v>1293.5912020000001</v>
      </c>
      <c r="CR61" s="10">
        <v>1256.787237</v>
      </c>
      <c r="CS61" s="10">
        <v>1204.989065</v>
      </c>
      <c r="CT61" s="10">
        <v>1209.0783939999999</v>
      </c>
      <c r="CU61" s="10">
        <v>1199.536625</v>
      </c>
      <c r="CV61" s="10">
        <v>1187.2686369999999</v>
      </c>
      <c r="CW61" s="10">
        <v>1161.369551</v>
      </c>
      <c r="CX61" s="10">
        <v>1143.649124</v>
      </c>
      <c r="CY61" s="10">
        <v>1157.2802220000001</v>
      </c>
      <c r="CZ61" s="10">
        <v>1150.4646729999999</v>
      </c>
      <c r="DA61" s="10">
        <v>1137.809561</v>
      </c>
      <c r="DB61" s="10">
        <v>1168.8721069999999</v>
      </c>
      <c r="DC61" s="10">
        <v>1165.420713</v>
      </c>
      <c r="DD61" s="10">
        <v>1163.119784</v>
      </c>
      <c r="DE61" s="10">
        <v>1153.9160670000001</v>
      </c>
      <c r="DF61" s="10">
        <v>1166.5711779999999</v>
      </c>
      <c r="DG61" s="10">
        <v>1172.3235010000001</v>
      </c>
      <c r="DH61" s="10">
        <v>1160.8188540000001</v>
      </c>
      <c r="DI61" s="10">
        <v>1167.721642</v>
      </c>
      <c r="DJ61" s="10">
        <v>1175.774895</v>
      </c>
      <c r="DK61" s="10">
        <v>1165.420713</v>
      </c>
      <c r="DL61" s="10">
        <v>1161.969319</v>
      </c>
      <c r="DM61" s="10">
        <v>1165.420713</v>
      </c>
      <c r="DN61" s="10">
        <v>1145.8628140000001</v>
      </c>
      <c r="DO61" s="10">
        <v>1136.6590960000001</v>
      </c>
      <c r="DP61" s="10">
        <v>1134.3581670000001</v>
      </c>
      <c r="DQ61" s="10">
        <v>1133.2077019999999</v>
      </c>
      <c r="DR61" s="10">
        <v>1133.2077019999999</v>
      </c>
      <c r="DS61" s="10">
        <v>1125.15445</v>
      </c>
      <c r="DT61" s="10">
        <v>1126.3049149999999</v>
      </c>
      <c r="DU61" s="10">
        <v>1120.5525909999999</v>
      </c>
      <c r="DV61" s="10">
        <v>1103.295621</v>
      </c>
      <c r="DW61" s="10">
        <v>1104.446085</v>
      </c>
      <c r="DX61" s="10">
        <v>1107.8974800000001</v>
      </c>
      <c r="DY61" s="10">
        <v>1105.59655</v>
      </c>
      <c r="DZ61" s="10">
        <v>1106.7470149999999</v>
      </c>
      <c r="EA61" s="10">
        <v>1096.3928330000001</v>
      </c>
      <c r="EB61" s="10">
        <v>1094.0919040000001</v>
      </c>
      <c r="EC61" s="10">
        <v>1065.645514</v>
      </c>
      <c r="ED61" s="10">
        <v>1073.3041579999999</v>
      </c>
      <c r="EE61" s="10">
        <v>1072.2100660000001</v>
      </c>
      <c r="EF61" s="10">
        <v>1070.021882</v>
      </c>
      <c r="EG61" s="10">
        <v>1062.363239</v>
      </c>
      <c r="EH61" s="10">
        <v>1061.269147</v>
      </c>
      <c r="EI61" s="10">
        <v>1043.763676</v>
      </c>
      <c r="EJ61" s="10">
        <v>1039.387309</v>
      </c>
      <c r="EK61" s="10">
        <v>1031.7286650000001</v>
      </c>
      <c r="EL61" s="10">
        <v>1040.4813999999999</v>
      </c>
      <c r="EM61" s="10">
        <v>1078.774617</v>
      </c>
      <c r="EN61" s="10">
        <v>1120.350109</v>
      </c>
      <c r="EO61" s="10">
        <v>1136.7614880000001</v>
      </c>
      <c r="EP61" s="10">
        <v>1140.043764</v>
      </c>
      <c r="EQ61" s="10">
        <v>1130.1969369999999</v>
      </c>
      <c r="ER61" s="10">
        <v>1126.914661</v>
      </c>
      <c r="ES61" s="10">
        <v>1125.820569</v>
      </c>
      <c r="ET61" s="10">
        <v>1147.702407</v>
      </c>
      <c r="EU61" s="10">
        <v>1144.4201310000001</v>
      </c>
      <c r="EV61" s="10">
        <v>1143.326039</v>
      </c>
      <c r="EW61" s="10">
        <v>1144.4201310000001</v>
      </c>
      <c r="EX61" s="10">
        <v>1136.7614880000001</v>
      </c>
      <c r="EY61" s="10">
        <v>1134.573304</v>
      </c>
      <c r="EZ61" s="10">
        <v>1126.914661</v>
      </c>
      <c r="FA61" s="10">
        <v>1123.6323850000001</v>
      </c>
      <c r="FB61" s="10">
        <v>1103.938731</v>
      </c>
      <c r="FC61" s="10">
        <v>1107.2210070000001</v>
      </c>
      <c r="FD61" s="10">
        <v>1096.280088</v>
      </c>
      <c r="FE61" s="10">
        <v>1084.245077</v>
      </c>
      <c r="FF61" s="10">
        <v>1074.3982490000001</v>
      </c>
      <c r="FG61" s="10">
        <v>1062.363239</v>
      </c>
      <c r="FH61" s="10">
        <v>1054.7045949999999</v>
      </c>
      <c r="FI61" s="10">
        <v>1049.234136</v>
      </c>
      <c r="FJ61" s="10">
        <v>1054.7045949999999</v>
      </c>
      <c r="FK61" s="10">
        <v>1037.1991250000001</v>
      </c>
      <c r="FL61" s="10">
        <v>1026.258206</v>
      </c>
      <c r="FM61" s="10">
        <v>1030.634573</v>
      </c>
      <c r="FN61" s="10">
        <v>1032.8227569999999</v>
      </c>
      <c r="FO61" s="10">
        <v>1027.352298</v>
      </c>
      <c r="FP61" s="10">
        <v>994.52954</v>
      </c>
      <c r="FQ61" s="10">
        <v>984.68271300000004</v>
      </c>
      <c r="FR61" s="10">
        <v>1015.317287</v>
      </c>
      <c r="FS61" s="10">
        <v>1007.658643</v>
      </c>
      <c r="FT61" s="10">
        <v>1000</v>
      </c>
      <c r="FU61" s="10">
        <v>1009.846827</v>
      </c>
      <c r="FV61" s="10">
        <v>947</v>
      </c>
      <c r="FW61" s="10">
        <v>989</v>
      </c>
      <c r="FX61" s="10">
        <v>980</v>
      </c>
      <c r="FY61" s="10">
        <v>981</v>
      </c>
      <c r="FZ61" s="10">
        <v>984</v>
      </c>
      <c r="GA61" s="10">
        <v>970</v>
      </c>
      <c r="GB61" s="10">
        <v>970</v>
      </c>
      <c r="GC61" s="10">
        <v>950</v>
      </c>
      <c r="GD61" s="10">
        <v>939</v>
      </c>
      <c r="GE61" s="10">
        <v>939</v>
      </c>
      <c r="GF61" s="10">
        <v>954</v>
      </c>
      <c r="GG61" s="10">
        <v>931</v>
      </c>
      <c r="GH61" s="10">
        <v>946</v>
      </c>
      <c r="GI61" s="10">
        <v>952</v>
      </c>
      <c r="GJ61" s="10">
        <v>957</v>
      </c>
      <c r="GK61" s="10">
        <v>931</v>
      </c>
      <c r="GL61" s="10">
        <v>937</v>
      </c>
      <c r="GM61" s="10">
        <v>937</v>
      </c>
      <c r="GN61" s="10">
        <v>964</v>
      </c>
      <c r="GO61" s="10">
        <v>977</v>
      </c>
      <c r="GP61" s="10">
        <v>985</v>
      </c>
      <c r="GQ61" s="10">
        <v>987</v>
      </c>
      <c r="GR61" s="10">
        <v>999</v>
      </c>
      <c r="GS61" s="10">
        <v>1045</v>
      </c>
    </row>
    <row r="62" spans="1:201" ht="12.6">
      <c r="A62" s="51" t="s">
        <v>1881</v>
      </c>
      <c r="B62" s="10"/>
      <c r="C62" s="10"/>
      <c r="D62" s="10"/>
      <c r="E62" s="10"/>
      <c r="F62" s="10" t="s">
        <v>1827</v>
      </c>
      <c r="G62" s="10" t="s">
        <v>1827</v>
      </c>
      <c r="H62" s="10" t="s">
        <v>1827</v>
      </c>
      <c r="I62" s="10" t="s">
        <v>1827</v>
      </c>
      <c r="J62" s="10" t="s">
        <v>1827</v>
      </c>
      <c r="K62" s="10" t="s">
        <v>1827</v>
      </c>
      <c r="L62" s="10" t="s">
        <v>1827</v>
      </c>
      <c r="M62" s="10" t="s">
        <v>1827</v>
      </c>
      <c r="N62" s="10" t="s">
        <v>1827</v>
      </c>
      <c r="O62" s="10" t="s">
        <v>1827</v>
      </c>
      <c r="P62" s="10" t="s">
        <v>1827</v>
      </c>
      <c r="Q62" s="10" t="s">
        <v>1827</v>
      </c>
      <c r="R62" s="10" t="s">
        <v>1827</v>
      </c>
      <c r="S62" s="10" t="s">
        <v>1827</v>
      </c>
      <c r="T62" s="10" t="s">
        <v>1827</v>
      </c>
      <c r="U62" s="10" t="s">
        <v>1827</v>
      </c>
      <c r="V62" s="10" t="s">
        <v>1827</v>
      </c>
      <c r="W62" s="10" t="s">
        <v>1827</v>
      </c>
      <c r="X62" s="10" t="s">
        <v>1827</v>
      </c>
      <c r="Y62" s="10" t="s">
        <v>1827</v>
      </c>
      <c r="Z62" s="10" t="s">
        <v>1827</v>
      </c>
      <c r="AA62" s="10" t="s">
        <v>1827</v>
      </c>
      <c r="AB62" s="10" t="s">
        <v>1827</v>
      </c>
      <c r="AC62" s="10" t="s">
        <v>1827</v>
      </c>
      <c r="AD62" s="10" t="s">
        <v>1827</v>
      </c>
      <c r="AE62" s="10">
        <v>437.72745200000003</v>
      </c>
      <c r="AF62" s="10">
        <v>450.86610999999999</v>
      </c>
      <c r="AG62" s="10">
        <v>467.14662099999998</v>
      </c>
      <c r="AH62" s="10">
        <v>486.57918599999999</v>
      </c>
      <c r="AI62" s="10">
        <v>514.11120300000005</v>
      </c>
      <c r="AJ62" s="10">
        <v>532.46248200000002</v>
      </c>
      <c r="AK62" s="10">
        <v>551.11978399999998</v>
      </c>
      <c r="AL62" s="10">
        <v>563.17715599999997</v>
      </c>
      <c r="AM62" s="10">
        <v>567.62471300000004</v>
      </c>
      <c r="AN62" s="10">
        <v>577.48890800000004</v>
      </c>
      <c r="AO62" s="10">
        <v>589.79109900000003</v>
      </c>
      <c r="AP62" s="10">
        <v>612.76334799999995</v>
      </c>
      <c r="AQ62" s="10">
        <v>641.193038</v>
      </c>
      <c r="AR62" s="10">
        <v>672.46875699999998</v>
      </c>
      <c r="AS62" s="10">
        <v>702.62238500000001</v>
      </c>
      <c r="AT62" s="10">
        <v>727.93062299999997</v>
      </c>
      <c r="AU62" s="10">
        <v>751.13749199999995</v>
      </c>
      <c r="AV62" s="10">
        <v>772.48781199999996</v>
      </c>
      <c r="AW62" s="10">
        <v>791.76736400000004</v>
      </c>
      <c r="AX62" s="10">
        <v>807.82345799999996</v>
      </c>
      <c r="AY62" s="10">
        <v>826.11353099999997</v>
      </c>
      <c r="AZ62" s="10">
        <v>844.70962799999995</v>
      </c>
      <c r="BA62" s="10">
        <v>869.64043600000002</v>
      </c>
      <c r="BB62" s="10">
        <v>905.97576200000003</v>
      </c>
      <c r="BC62" s="10">
        <v>966.09940400000005</v>
      </c>
      <c r="BD62" s="10">
        <v>1019.714922</v>
      </c>
      <c r="BE62" s="10">
        <v>1060.814032</v>
      </c>
      <c r="BF62" s="10">
        <v>1087.8768110000001</v>
      </c>
      <c r="BG62" s="10">
        <v>1087.5707870000001</v>
      </c>
      <c r="BH62" s="10">
        <v>1063.8640780000001</v>
      </c>
      <c r="BI62" s="10">
        <v>1039.8105410000001</v>
      </c>
      <c r="BJ62" s="10">
        <v>1020.082151</v>
      </c>
      <c r="BK62" s="10">
        <v>1031.578477</v>
      </c>
      <c r="BL62" s="10">
        <v>991.24442899999997</v>
      </c>
      <c r="BM62" s="10">
        <v>988.08217500000001</v>
      </c>
      <c r="BN62" s="10">
        <v>988.38819999999998</v>
      </c>
      <c r="BO62" s="10">
        <v>998.99705400000005</v>
      </c>
      <c r="BP62" s="10">
        <v>973.250181</v>
      </c>
      <c r="BQ62" s="10">
        <v>953.56259399999999</v>
      </c>
      <c r="BR62" s="10">
        <v>943.677998</v>
      </c>
      <c r="BS62" s="10">
        <v>922.15426500000001</v>
      </c>
      <c r="BT62" s="10">
        <v>902.11985200000004</v>
      </c>
      <c r="BU62" s="10">
        <v>896.193175</v>
      </c>
      <c r="BV62" s="10">
        <v>920.79755599999999</v>
      </c>
      <c r="BW62" s="10">
        <v>944.055429</v>
      </c>
      <c r="BX62" s="10">
        <v>942.27028499999994</v>
      </c>
      <c r="BY62" s="10">
        <v>975.70857799999999</v>
      </c>
      <c r="BZ62" s="10">
        <v>1000.731193</v>
      </c>
      <c r="CA62" s="10">
        <v>1026.7024859999999</v>
      </c>
      <c r="CB62" s="10">
        <v>1050.970239</v>
      </c>
      <c r="CC62" s="10">
        <v>1052.051526</v>
      </c>
      <c r="CD62" s="10">
        <v>1082.9498149999999</v>
      </c>
      <c r="CE62" s="10">
        <v>1112.1894589999999</v>
      </c>
      <c r="CF62" s="10">
        <v>1118.687158</v>
      </c>
      <c r="CG62" s="10">
        <v>1100.277012</v>
      </c>
      <c r="CH62" s="10">
        <v>1106.774711</v>
      </c>
      <c r="CI62" s="10">
        <v>1139.263205</v>
      </c>
      <c r="CJ62" s="10">
        <v>1136.014355</v>
      </c>
      <c r="CK62" s="10">
        <v>1139.263205</v>
      </c>
      <c r="CL62" s="10">
        <v>1152.258603</v>
      </c>
      <c r="CM62" s="10">
        <v>1157.673352</v>
      </c>
      <c r="CN62" s="10">
        <v>1139.263205</v>
      </c>
      <c r="CO62" s="10">
        <v>1119.7701079999999</v>
      </c>
      <c r="CP62" s="10">
        <v>1084.032764</v>
      </c>
      <c r="CQ62" s="10">
        <v>1077.5350659999999</v>
      </c>
      <c r="CR62" s="10">
        <v>1010.3921769999999</v>
      </c>
      <c r="CS62" s="10">
        <v>985.484331</v>
      </c>
      <c r="CT62" s="10">
        <v>1030.9682230000001</v>
      </c>
      <c r="CU62" s="10">
        <v>1046.1295210000001</v>
      </c>
      <c r="CV62" s="10">
        <v>1038.548873</v>
      </c>
      <c r="CW62" s="10">
        <v>1015.806926</v>
      </c>
      <c r="CX62" s="10">
        <v>995.23087999999996</v>
      </c>
      <c r="CY62" s="10">
        <v>1008.226278</v>
      </c>
      <c r="CZ62" s="10">
        <v>949.74698699999999</v>
      </c>
      <c r="DA62" s="10">
        <v>930.75204799999995</v>
      </c>
      <c r="DB62" s="10">
        <v>932.65154199999995</v>
      </c>
      <c r="DC62" s="10">
        <v>949.74698699999999</v>
      </c>
      <c r="DD62" s="10">
        <v>926.95306000000005</v>
      </c>
      <c r="DE62" s="10">
        <v>941.19926499999997</v>
      </c>
      <c r="DF62" s="10">
        <v>947.84749399999998</v>
      </c>
      <c r="DG62" s="10">
        <v>967.79218000000003</v>
      </c>
      <c r="DH62" s="10">
        <v>969.69167500000003</v>
      </c>
      <c r="DI62" s="10">
        <v>980.13889099999994</v>
      </c>
      <c r="DJ62" s="10">
        <v>995.33484299999998</v>
      </c>
      <c r="DK62" s="10">
        <v>1018.12877</v>
      </c>
      <c r="DL62" s="10">
        <v>1019.078517</v>
      </c>
      <c r="DM62" s="10">
        <v>991.53585399999997</v>
      </c>
      <c r="DN62" s="10">
        <v>987.73686699999996</v>
      </c>
      <c r="DO62" s="10">
        <v>1003.882566</v>
      </c>
      <c r="DP62" s="10">
        <v>973.49066200000004</v>
      </c>
      <c r="DQ62" s="10">
        <v>936.45052999999996</v>
      </c>
      <c r="DR62" s="10">
        <v>929.80230100000006</v>
      </c>
      <c r="DS62" s="10">
        <v>920.30483100000004</v>
      </c>
      <c r="DT62" s="10">
        <v>923.15407100000004</v>
      </c>
      <c r="DU62" s="10">
        <v>893.71191499999998</v>
      </c>
      <c r="DV62" s="10">
        <v>889.91292699999997</v>
      </c>
      <c r="DW62" s="10">
        <v>929.80230100000006</v>
      </c>
      <c r="DX62" s="10">
        <v>924.10381900000004</v>
      </c>
      <c r="DY62" s="10">
        <v>904.159132</v>
      </c>
      <c r="DZ62" s="10">
        <v>886.11393899999996</v>
      </c>
      <c r="EA62" s="10">
        <v>887.06368599999996</v>
      </c>
      <c r="EB62" s="10">
        <v>904.159132</v>
      </c>
      <c r="EC62" s="10">
        <v>862.567812</v>
      </c>
      <c r="ED62" s="10">
        <v>871.60940300000004</v>
      </c>
      <c r="EE62" s="10">
        <v>877.93851700000005</v>
      </c>
      <c r="EF62" s="10">
        <v>887.88426800000002</v>
      </c>
      <c r="EG62" s="10">
        <v>862.567812</v>
      </c>
      <c r="EH62" s="10">
        <v>881.55515400000002</v>
      </c>
      <c r="EI62" s="10">
        <v>893.30922199999998</v>
      </c>
      <c r="EJ62" s="10">
        <v>885.17178999999999</v>
      </c>
      <c r="EK62" s="10">
        <v>814.647378</v>
      </c>
      <c r="EL62" s="10">
        <v>824.59312799999998</v>
      </c>
      <c r="EM62" s="10">
        <v>853.52622099999996</v>
      </c>
      <c r="EN62" s="10">
        <v>891.50090399999999</v>
      </c>
      <c r="EO62" s="10">
        <v>919.52983700000004</v>
      </c>
      <c r="EP62" s="10">
        <v>933.99638300000004</v>
      </c>
      <c r="EQ62" s="10">
        <v>937.61302000000001</v>
      </c>
      <c r="ER62" s="10">
        <v>915.91320099999996</v>
      </c>
      <c r="ES62" s="10">
        <v>935.80470200000002</v>
      </c>
      <c r="ET62" s="10">
        <v>962.02531599999998</v>
      </c>
      <c r="EU62" s="10">
        <v>952.98372500000005</v>
      </c>
      <c r="EV62" s="10">
        <v>976.49186299999997</v>
      </c>
      <c r="EW62" s="10">
        <v>992.76672699999995</v>
      </c>
      <c r="EX62" s="10">
        <v>1010.84991</v>
      </c>
      <c r="EY62" s="10">
        <v>1037.974684</v>
      </c>
      <c r="EZ62" s="10">
        <v>1028.0289330000001</v>
      </c>
      <c r="FA62" s="10">
        <v>999.09584099999995</v>
      </c>
      <c r="FB62" s="10">
        <v>1001.808318</v>
      </c>
      <c r="FC62" s="10">
        <v>1019.8915009999999</v>
      </c>
      <c r="FD62" s="10">
        <v>1000.904159</v>
      </c>
      <c r="FE62" s="10">
        <v>987.34177199999999</v>
      </c>
      <c r="FF62" s="10">
        <v>995.47920399999998</v>
      </c>
      <c r="FG62" s="10">
        <v>993.670886</v>
      </c>
      <c r="FH62" s="10">
        <v>979.20434</v>
      </c>
      <c r="FI62" s="10">
        <v>968.35442999999998</v>
      </c>
      <c r="FJ62" s="10">
        <v>965.64195299999994</v>
      </c>
      <c r="FK62" s="10">
        <v>957.50452099999995</v>
      </c>
      <c r="FL62" s="10">
        <v>935.80470200000002</v>
      </c>
      <c r="FM62" s="10">
        <v>939.42133799999999</v>
      </c>
      <c r="FN62" s="10">
        <v>939.42133799999999</v>
      </c>
      <c r="FO62" s="10">
        <v>971.97106699999995</v>
      </c>
      <c r="FP62" s="10">
        <v>977.39602200000002</v>
      </c>
      <c r="FQ62" s="10">
        <v>973.77938500000005</v>
      </c>
      <c r="FR62" s="10">
        <v>983.72513600000002</v>
      </c>
      <c r="FS62" s="10">
        <v>994.57504500000005</v>
      </c>
      <c r="FT62" s="10">
        <v>1000</v>
      </c>
      <c r="FU62" s="10">
        <v>990.95840899999996</v>
      </c>
      <c r="FV62" s="10">
        <v>999</v>
      </c>
      <c r="FW62" s="10">
        <v>1016</v>
      </c>
      <c r="FX62" s="10">
        <v>982</v>
      </c>
      <c r="FY62" s="10">
        <v>979</v>
      </c>
      <c r="FZ62" s="10">
        <v>972</v>
      </c>
      <c r="GA62" s="10">
        <v>990</v>
      </c>
      <c r="GB62" s="10">
        <v>951</v>
      </c>
      <c r="GC62" s="10">
        <v>961</v>
      </c>
      <c r="GD62" s="10">
        <v>953</v>
      </c>
      <c r="GE62" s="10">
        <v>972</v>
      </c>
      <c r="GF62" s="10">
        <v>951</v>
      </c>
      <c r="GG62" s="10">
        <v>964</v>
      </c>
      <c r="GH62" s="10">
        <v>1008</v>
      </c>
      <c r="GI62" s="10">
        <v>1052</v>
      </c>
      <c r="GJ62" s="10">
        <v>1083</v>
      </c>
      <c r="GK62" s="10">
        <v>1094</v>
      </c>
      <c r="GL62" s="10">
        <v>1124</v>
      </c>
      <c r="GM62" s="10">
        <v>1169</v>
      </c>
      <c r="GN62" s="10">
        <v>1151</v>
      </c>
      <c r="GO62" s="10">
        <v>1137</v>
      </c>
      <c r="GP62" s="10">
        <v>1133</v>
      </c>
      <c r="GQ62" s="10">
        <v>1148</v>
      </c>
      <c r="GR62" s="10">
        <v>1164</v>
      </c>
      <c r="GS62" s="10">
        <v>1182</v>
      </c>
    </row>
    <row r="63" spans="1:201" ht="12.6">
      <c r="A63" s="51" t="s">
        <v>1882</v>
      </c>
      <c r="B63" s="10"/>
      <c r="C63" s="10"/>
      <c r="D63" s="10"/>
      <c r="E63" s="10"/>
      <c r="F63" s="10" t="s">
        <v>1827</v>
      </c>
      <c r="G63" s="10" t="s">
        <v>1827</v>
      </c>
      <c r="H63" s="10" t="s">
        <v>1827</v>
      </c>
      <c r="I63" s="10" t="s">
        <v>1827</v>
      </c>
      <c r="J63" s="10" t="s">
        <v>1827</v>
      </c>
      <c r="K63" s="10" t="s">
        <v>1827</v>
      </c>
      <c r="L63" s="10" t="s">
        <v>1827</v>
      </c>
      <c r="M63" s="10" t="s">
        <v>1827</v>
      </c>
      <c r="N63" s="10" t="s">
        <v>1827</v>
      </c>
      <c r="O63" s="10" t="s">
        <v>1827</v>
      </c>
      <c r="P63" s="10" t="s">
        <v>1827</v>
      </c>
      <c r="Q63" s="10" t="s">
        <v>1827</v>
      </c>
      <c r="R63" s="10" t="s">
        <v>1827</v>
      </c>
      <c r="S63" s="10" t="s">
        <v>1827</v>
      </c>
      <c r="T63" s="10" t="s">
        <v>1827</v>
      </c>
      <c r="U63" s="10" t="s">
        <v>1827</v>
      </c>
      <c r="V63" s="10" t="s">
        <v>1827</v>
      </c>
      <c r="W63" s="10" t="s">
        <v>1827</v>
      </c>
      <c r="X63" s="10" t="s">
        <v>1827</v>
      </c>
      <c r="Y63" s="10" t="s">
        <v>1827</v>
      </c>
      <c r="Z63" s="10" t="s">
        <v>1827</v>
      </c>
      <c r="AA63" s="10" t="s">
        <v>1827</v>
      </c>
      <c r="AB63" s="10" t="s">
        <v>1827</v>
      </c>
      <c r="AC63" s="10" t="s">
        <v>1827</v>
      </c>
      <c r="AD63" s="10" t="s">
        <v>1827</v>
      </c>
      <c r="AE63" s="10">
        <v>443.20481799999999</v>
      </c>
      <c r="AF63" s="10">
        <v>457.64917100000002</v>
      </c>
      <c r="AG63" s="10">
        <v>466.66837900000002</v>
      </c>
      <c r="AH63" s="10">
        <v>470.17164600000001</v>
      </c>
      <c r="AI63" s="10">
        <v>472.67614099999997</v>
      </c>
      <c r="AJ63" s="10">
        <v>497.00227799999999</v>
      </c>
      <c r="AK63" s="10">
        <v>497.47139900000002</v>
      </c>
      <c r="AL63" s="10">
        <v>496.27589899999998</v>
      </c>
      <c r="AM63" s="10">
        <v>496.96444600000001</v>
      </c>
      <c r="AN63" s="10">
        <v>509.10103199999998</v>
      </c>
      <c r="AO63" s="10">
        <v>552.87294699999995</v>
      </c>
      <c r="AP63" s="10">
        <v>602.21376699999996</v>
      </c>
      <c r="AQ63" s="10">
        <v>607.69944399999997</v>
      </c>
      <c r="AR63" s="10">
        <v>612.299846</v>
      </c>
      <c r="AS63" s="10">
        <v>626.61557000000005</v>
      </c>
      <c r="AT63" s="10">
        <v>656.10959200000002</v>
      </c>
      <c r="AU63" s="10">
        <v>734.52828199999999</v>
      </c>
      <c r="AV63" s="10">
        <v>791.11019599999997</v>
      </c>
      <c r="AW63" s="10">
        <v>796.24781599999994</v>
      </c>
      <c r="AX63" s="10">
        <v>793.90221599999995</v>
      </c>
      <c r="AY63" s="10">
        <v>758.21127100000001</v>
      </c>
      <c r="AZ63" s="10">
        <v>738.21314299999995</v>
      </c>
      <c r="BA63" s="10">
        <v>753.72436600000003</v>
      </c>
      <c r="BB63" s="10">
        <v>744.55382799999995</v>
      </c>
      <c r="BC63" s="10">
        <v>767.35154199999999</v>
      </c>
      <c r="BD63" s="10">
        <v>758.49122999999997</v>
      </c>
      <c r="BE63" s="10">
        <v>737.04791</v>
      </c>
      <c r="BF63" s="10">
        <v>741.25485500000002</v>
      </c>
      <c r="BG63" s="10">
        <v>769.80307200000004</v>
      </c>
      <c r="BH63" s="10">
        <v>774.81206299999997</v>
      </c>
      <c r="BI63" s="10">
        <v>746.43030799999997</v>
      </c>
      <c r="BJ63" s="10">
        <v>756.64501600000006</v>
      </c>
      <c r="BK63" s="10">
        <v>771.05153700000005</v>
      </c>
      <c r="BL63" s="10">
        <v>818.56884400000001</v>
      </c>
      <c r="BM63" s="10">
        <v>831.88579600000003</v>
      </c>
      <c r="BN63" s="10">
        <v>840.81420700000001</v>
      </c>
      <c r="BO63" s="10">
        <v>845.73996599999998</v>
      </c>
      <c r="BP63" s="10">
        <v>839.86840099999995</v>
      </c>
      <c r="BQ63" s="10">
        <v>795.68789800000002</v>
      </c>
      <c r="BR63" s="10">
        <v>796.54290800000001</v>
      </c>
      <c r="BS63" s="10">
        <v>805.94043799999997</v>
      </c>
      <c r="BT63" s="10">
        <v>877.66281900000001</v>
      </c>
      <c r="BU63" s="10">
        <v>894.57383500000003</v>
      </c>
      <c r="BV63" s="10">
        <v>908.26154399999996</v>
      </c>
      <c r="BW63" s="10">
        <v>968.25592700000004</v>
      </c>
      <c r="BX63" s="10">
        <v>972.75796500000001</v>
      </c>
      <c r="BY63" s="10">
        <v>983.16940099999999</v>
      </c>
      <c r="BZ63" s="10">
        <v>989.44198700000004</v>
      </c>
      <c r="CA63" s="10">
        <v>1006.640528</v>
      </c>
      <c r="CB63" s="10">
        <v>1061.194634</v>
      </c>
      <c r="CC63" s="10">
        <v>1025.6323190000001</v>
      </c>
      <c r="CD63" s="10">
        <v>1028.4319049999999</v>
      </c>
      <c r="CE63" s="10">
        <v>1036.6593600000001</v>
      </c>
      <c r="CF63" s="10">
        <v>1047.9721119999999</v>
      </c>
      <c r="CG63" s="10">
        <v>1078.8250680000001</v>
      </c>
      <c r="CH63" s="10">
        <v>1077.7966369999999</v>
      </c>
      <c r="CI63" s="10">
        <v>1089.1093880000001</v>
      </c>
      <c r="CJ63" s="10">
        <v>1089.1093880000001</v>
      </c>
      <c r="CK63" s="10">
        <v>1111.7348890000001</v>
      </c>
      <c r="CL63" s="10">
        <v>1128.189799</v>
      </c>
      <c r="CM63" s="10">
        <v>1152.8721660000001</v>
      </c>
      <c r="CN63" s="10">
        <v>1164.1849159999999</v>
      </c>
      <c r="CO63" s="10">
        <v>1158.0143250000001</v>
      </c>
      <c r="CP63" s="10">
        <v>1103.5074340000001</v>
      </c>
      <c r="CQ63" s="10">
        <v>1050.0289760000001</v>
      </c>
      <c r="CR63" s="10">
        <v>1021.232882</v>
      </c>
      <c r="CS63" s="10">
        <v>1026.375041</v>
      </c>
      <c r="CT63" s="10">
        <v>1045.915248</v>
      </c>
      <c r="CU63" s="10">
        <v>1044.8868150000001</v>
      </c>
      <c r="CV63" s="10">
        <v>1046.943679</v>
      </c>
      <c r="CW63" s="10">
        <v>1046.943679</v>
      </c>
      <c r="CX63" s="10">
        <v>1034.602496</v>
      </c>
      <c r="CY63" s="10">
        <v>1092.1946829999999</v>
      </c>
      <c r="CZ63" s="10">
        <v>1120.990777</v>
      </c>
      <c r="DA63" s="10">
        <v>1116.506813</v>
      </c>
      <c r="DB63" s="10">
        <v>1154.6204990000001</v>
      </c>
      <c r="DC63" s="10">
        <v>1190.492205</v>
      </c>
      <c r="DD63" s="10">
        <v>1208.4280570000001</v>
      </c>
      <c r="DE63" s="10">
        <v>1230.8478720000001</v>
      </c>
      <c r="DF63" s="10">
        <v>1277.929486</v>
      </c>
      <c r="DG63" s="10">
        <v>1286.8974109999999</v>
      </c>
      <c r="DH63" s="10">
        <v>1286.8974109999999</v>
      </c>
      <c r="DI63" s="10">
        <v>1285.776421</v>
      </c>
      <c r="DJ63" s="10">
        <v>1284.6554289999999</v>
      </c>
      <c r="DK63" s="10">
        <v>1289.1393929999999</v>
      </c>
      <c r="DL63" s="10">
        <v>1280.1714669999999</v>
      </c>
      <c r="DM63" s="10">
        <v>1276.8084940000001</v>
      </c>
      <c r="DN63" s="10">
        <v>1252.1466969999999</v>
      </c>
      <c r="DO63" s="10">
        <v>1245.420752</v>
      </c>
      <c r="DP63" s="10">
        <v>1214.033011</v>
      </c>
      <c r="DQ63" s="10">
        <v>1179.2822960000001</v>
      </c>
      <c r="DR63" s="10">
        <v>1098.5709609999999</v>
      </c>
      <c r="DS63" s="10">
        <v>1131.079694</v>
      </c>
      <c r="DT63" s="10">
        <v>1107.5388869999999</v>
      </c>
      <c r="DU63" s="10">
        <v>1098.5709609999999</v>
      </c>
      <c r="DV63" s="10">
        <v>1107.5388869999999</v>
      </c>
      <c r="DW63" s="10">
        <v>1089.6030350000001</v>
      </c>
      <c r="DX63" s="10">
        <v>1054.8523210000001</v>
      </c>
      <c r="DY63" s="10">
        <v>1052.6103390000001</v>
      </c>
      <c r="DZ63" s="10">
        <v>1016.738634</v>
      </c>
      <c r="EA63" s="10">
        <v>1081.7560989999999</v>
      </c>
      <c r="EB63" s="10">
        <v>1062.6992560000001</v>
      </c>
      <c r="EC63" s="10">
        <v>1069.075452</v>
      </c>
      <c r="ED63" s="10">
        <v>1066.950053</v>
      </c>
      <c r="EE63" s="10">
        <v>1054.197662</v>
      </c>
      <c r="EF63" s="10">
        <v>1072.263549</v>
      </c>
      <c r="EG63" s="10">
        <v>1046.758767</v>
      </c>
      <c r="EH63" s="10">
        <v>1020.191286</v>
      </c>
      <c r="EI63" s="10">
        <v>1022.316684</v>
      </c>
      <c r="EJ63" s="10">
        <v>1030.818278</v>
      </c>
      <c r="EK63" s="10">
        <v>1039.319872</v>
      </c>
      <c r="EL63" s="10">
        <v>1034.006376</v>
      </c>
      <c r="EM63" s="10">
        <v>1045.696068</v>
      </c>
      <c r="EN63" s="10">
        <v>1087.141339</v>
      </c>
      <c r="EO63" s="10">
        <v>1100.9564290000001</v>
      </c>
      <c r="EP63" s="10">
        <v>1100.9564290000001</v>
      </c>
      <c r="EQ63" s="10">
        <v>1097.7683320000001</v>
      </c>
      <c r="ER63" s="10">
        <v>1098.8310309999999</v>
      </c>
      <c r="ES63" s="10">
        <v>1088.2040380000001</v>
      </c>
      <c r="ET63" s="10">
        <v>1131.7747079999999</v>
      </c>
      <c r="EU63" s="10">
        <v>1124.3358129999999</v>
      </c>
      <c r="EV63" s="10">
        <v>1125.398512</v>
      </c>
      <c r="EW63" s="10">
        <v>1100.9564290000001</v>
      </c>
      <c r="EX63" s="10">
        <v>1106.2699259999999</v>
      </c>
      <c r="EY63" s="10">
        <v>1088.2040380000001</v>
      </c>
      <c r="EZ63" s="10">
        <v>1092.454835</v>
      </c>
      <c r="FA63" s="10">
        <v>1082.8905420000001</v>
      </c>
      <c r="FB63" s="10">
        <v>1089.266738</v>
      </c>
      <c r="FC63" s="10">
        <v>1092.454835</v>
      </c>
      <c r="FD63" s="10">
        <v>1082.8905420000001</v>
      </c>
      <c r="FE63" s="10">
        <v>1056.3230610000001</v>
      </c>
      <c r="FF63" s="10">
        <v>1041.445271</v>
      </c>
      <c r="FG63" s="10">
        <v>1053.134963</v>
      </c>
      <c r="FH63" s="10">
        <v>1038.257173</v>
      </c>
      <c r="FI63" s="10">
        <v>1030.818278</v>
      </c>
      <c r="FJ63" s="10">
        <v>1004.250797</v>
      </c>
      <c r="FK63" s="10">
        <v>998.93730100000005</v>
      </c>
      <c r="FL63" s="10">
        <v>989.37300700000003</v>
      </c>
      <c r="FM63" s="10">
        <v>1002.125399</v>
      </c>
      <c r="FN63" s="10">
        <v>1009.564293</v>
      </c>
      <c r="FO63" s="10">
        <v>1020.191286</v>
      </c>
      <c r="FP63" s="10">
        <v>1022.316684</v>
      </c>
      <c r="FQ63" s="10">
        <v>1028.6928800000001</v>
      </c>
      <c r="FR63" s="10">
        <v>1008.501594</v>
      </c>
      <c r="FS63" s="10">
        <v>997.87460099999998</v>
      </c>
      <c r="FT63" s="10">
        <v>1000</v>
      </c>
      <c r="FU63" s="10">
        <v>998.93730100000005</v>
      </c>
      <c r="FV63" s="10">
        <v>1000</v>
      </c>
      <c r="FW63" s="10">
        <v>1006</v>
      </c>
      <c r="FX63" s="10">
        <v>1005</v>
      </c>
      <c r="FY63" s="10">
        <v>1001</v>
      </c>
      <c r="FZ63" s="10">
        <v>1022</v>
      </c>
      <c r="GA63" s="10">
        <v>1026</v>
      </c>
      <c r="GB63" s="10">
        <v>1032</v>
      </c>
      <c r="GC63" s="10">
        <v>1003</v>
      </c>
      <c r="GD63" s="10">
        <v>1008</v>
      </c>
      <c r="GE63" s="10">
        <v>1006</v>
      </c>
      <c r="GF63" s="10">
        <v>1020</v>
      </c>
      <c r="GG63" s="10">
        <v>1041</v>
      </c>
      <c r="GH63" s="10">
        <v>1007</v>
      </c>
      <c r="GI63" s="10">
        <v>1005</v>
      </c>
      <c r="GJ63" s="10">
        <v>1021</v>
      </c>
      <c r="GK63" s="10">
        <v>1026</v>
      </c>
      <c r="GL63" s="10">
        <v>1039</v>
      </c>
      <c r="GM63" s="10">
        <v>1034</v>
      </c>
      <c r="GN63" s="10">
        <v>1046</v>
      </c>
      <c r="GO63" s="10">
        <v>1045</v>
      </c>
      <c r="GP63" s="10">
        <v>1029</v>
      </c>
      <c r="GQ63" s="10">
        <v>1071</v>
      </c>
      <c r="GR63" s="10">
        <v>1076</v>
      </c>
      <c r="GS63" s="10">
        <v>1106</v>
      </c>
    </row>
    <row r="64" spans="1:201" ht="12.6">
      <c r="A64" s="51" t="s">
        <v>1883</v>
      </c>
      <c r="B64" s="10"/>
      <c r="C64" s="10"/>
      <c r="D64" s="10"/>
      <c r="E64" s="10"/>
      <c r="F64" s="10" t="s">
        <v>1827</v>
      </c>
      <c r="G64" s="10" t="s">
        <v>1827</v>
      </c>
      <c r="H64" s="10" t="s">
        <v>1827</v>
      </c>
      <c r="I64" s="10" t="s">
        <v>1827</v>
      </c>
      <c r="J64" s="10" t="s">
        <v>1827</v>
      </c>
      <c r="K64" s="10" t="s">
        <v>1827</v>
      </c>
      <c r="L64" s="10" t="s">
        <v>1827</v>
      </c>
      <c r="M64" s="10" t="s">
        <v>1827</v>
      </c>
      <c r="N64" s="10" t="s">
        <v>1827</v>
      </c>
      <c r="O64" s="10" t="s">
        <v>1827</v>
      </c>
      <c r="P64" s="10" t="s">
        <v>1827</v>
      </c>
      <c r="Q64" s="10" t="s">
        <v>1827</v>
      </c>
      <c r="R64" s="10" t="s">
        <v>1827</v>
      </c>
      <c r="S64" s="10" t="s">
        <v>1827</v>
      </c>
      <c r="T64" s="10" t="s">
        <v>1827</v>
      </c>
      <c r="U64" s="10" t="s">
        <v>1827</v>
      </c>
      <c r="V64" s="10" t="s">
        <v>1827</v>
      </c>
      <c r="W64" s="10" t="s">
        <v>1827</v>
      </c>
      <c r="X64" s="10" t="s">
        <v>1827</v>
      </c>
      <c r="Y64" s="10" t="s">
        <v>1827</v>
      </c>
      <c r="Z64" s="10" t="s">
        <v>1827</v>
      </c>
      <c r="AA64" s="10" t="s">
        <v>1827</v>
      </c>
      <c r="AB64" s="10" t="s">
        <v>1827</v>
      </c>
      <c r="AC64" s="10" t="s">
        <v>1827</v>
      </c>
      <c r="AD64" s="10" t="s">
        <v>1827</v>
      </c>
      <c r="AE64" s="10">
        <v>1138.8968709999999</v>
      </c>
      <c r="AF64" s="10">
        <v>1174.986564</v>
      </c>
      <c r="AG64" s="10">
        <v>1212.6137120000001</v>
      </c>
      <c r="AH64" s="10">
        <v>1253.8498279999999</v>
      </c>
      <c r="AI64" s="10">
        <v>1313.130793</v>
      </c>
      <c r="AJ64" s="10">
        <v>1326.352891</v>
      </c>
      <c r="AK64" s="10">
        <v>1348.961546</v>
      </c>
      <c r="AL64" s="10">
        <v>1362.361666</v>
      </c>
      <c r="AM64" s="10">
        <v>1352.4572290000001</v>
      </c>
      <c r="AN64" s="10">
        <v>1389.906356</v>
      </c>
      <c r="AO64" s="10">
        <v>1371.2141610000001</v>
      </c>
      <c r="AP64" s="10">
        <v>1374.515639</v>
      </c>
      <c r="AQ64" s="10">
        <v>1412.7092170000001</v>
      </c>
      <c r="AR64" s="10">
        <v>1406.057708</v>
      </c>
      <c r="AS64" s="10">
        <v>1457.3600980000001</v>
      </c>
      <c r="AT64" s="10">
        <v>1533.5044969999999</v>
      </c>
      <c r="AU64" s="10">
        <v>1533.4073940000001</v>
      </c>
      <c r="AV64" s="10">
        <v>1533.892906</v>
      </c>
      <c r="AW64" s="10">
        <v>1599.0809260000001</v>
      </c>
      <c r="AX64" s="10">
        <v>1588.6586119999999</v>
      </c>
      <c r="AY64" s="10">
        <v>1560.434205</v>
      </c>
      <c r="AZ64" s="10">
        <v>1527.532704</v>
      </c>
      <c r="BA64" s="10">
        <v>1555.967498</v>
      </c>
      <c r="BB64" s="10">
        <v>1782.2644439999999</v>
      </c>
      <c r="BC64" s="10">
        <v>1829.6827410000001</v>
      </c>
      <c r="BD64" s="10">
        <v>1846.2872379999999</v>
      </c>
      <c r="BE64" s="10">
        <v>1830.6861329999999</v>
      </c>
      <c r="BF64" s="10">
        <v>1809.7120319999999</v>
      </c>
      <c r="BG64" s="10">
        <v>1810.909627</v>
      </c>
      <c r="BH64" s="10">
        <v>1807.640517</v>
      </c>
      <c r="BI64" s="10">
        <v>1697.2513670000001</v>
      </c>
      <c r="BJ64" s="10">
        <v>1618.37192</v>
      </c>
      <c r="BK64" s="10">
        <v>1496.395227</v>
      </c>
      <c r="BL64" s="10">
        <v>1494.032406</v>
      </c>
      <c r="BM64" s="10">
        <v>1507.7885659999999</v>
      </c>
      <c r="BN64" s="10">
        <v>1668.2501440000001</v>
      </c>
      <c r="BO64" s="10">
        <v>1739.264302</v>
      </c>
      <c r="BP64" s="10">
        <v>1734.376818</v>
      </c>
      <c r="BQ64" s="10">
        <v>1726.2040400000001</v>
      </c>
      <c r="BR64" s="10">
        <v>1679.174152</v>
      </c>
      <c r="BS64" s="10">
        <v>1548.1183940000001</v>
      </c>
      <c r="BT64" s="10">
        <v>1586.619463</v>
      </c>
      <c r="BU64" s="10">
        <v>1590.0018600000001</v>
      </c>
      <c r="BV64" s="10">
        <v>1592.963481</v>
      </c>
      <c r="BW64" s="10">
        <v>1577.702233</v>
      </c>
      <c r="BX64" s="10">
        <v>1576.9577830000001</v>
      </c>
      <c r="BY64" s="10">
        <v>1586.5709119999999</v>
      </c>
      <c r="BZ64" s="10">
        <v>1693.7880520000001</v>
      </c>
      <c r="CA64" s="10">
        <v>1708.579972</v>
      </c>
      <c r="CB64" s="10">
        <v>1738.4065660000001</v>
      </c>
      <c r="CC64" s="10">
        <v>1722.85401</v>
      </c>
      <c r="CD64" s="10">
        <v>1732.46714</v>
      </c>
      <c r="CE64" s="10">
        <v>1735.9320749999999</v>
      </c>
      <c r="CF64" s="10">
        <v>1730.734672</v>
      </c>
      <c r="CG64" s="10">
        <v>1727.2697390000001</v>
      </c>
      <c r="CH64" s="10">
        <v>1713.4100020000001</v>
      </c>
      <c r="CI64" s="10">
        <v>1751.5242800000001</v>
      </c>
      <c r="CJ64" s="10">
        <v>1768.8489500000001</v>
      </c>
      <c r="CK64" s="10">
        <v>1663.1684540000001</v>
      </c>
      <c r="CL64" s="10">
        <v>1654.5061189999999</v>
      </c>
      <c r="CM64" s="10">
        <v>1649.308718</v>
      </c>
      <c r="CN64" s="10">
        <v>1640.6463819999999</v>
      </c>
      <c r="CO64" s="10">
        <v>1602.5321039999999</v>
      </c>
      <c r="CP64" s="10">
        <v>1600.7996370000001</v>
      </c>
      <c r="CQ64" s="10">
        <v>1588.6723669999999</v>
      </c>
      <c r="CR64" s="10">
        <v>1457.004864</v>
      </c>
      <c r="CS64" s="10">
        <v>1443.145129</v>
      </c>
      <c r="CT64" s="10">
        <v>1417.1581209999999</v>
      </c>
      <c r="CU64" s="10">
        <v>1380.77631</v>
      </c>
      <c r="CV64" s="10">
        <v>1339.197099</v>
      </c>
      <c r="CW64" s="10">
        <v>1382.5087779999999</v>
      </c>
      <c r="CX64" s="10">
        <v>1446.6100610000001</v>
      </c>
      <c r="CY64" s="10">
        <v>1420.6230539999999</v>
      </c>
      <c r="CZ64" s="10">
        <v>1411.9607189999999</v>
      </c>
      <c r="DA64" s="10">
        <v>1402.076994</v>
      </c>
      <c r="DB64" s="10">
        <v>1416.1966010000001</v>
      </c>
      <c r="DC64" s="10">
        <v>1406.312876</v>
      </c>
      <c r="DD64" s="10">
        <v>1375.2497410000001</v>
      </c>
      <c r="DE64" s="10">
        <v>1359.718173</v>
      </c>
      <c r="DF64" s="10">
        <v>1410.5487579999999</v>
      </c>
      <c r="DG64" s="10">
        <v>1488.206598</v>
      </c>
      <c r="DH64" s="10">
        <v>1433.14013</v>
      </c>
      <c r="DI64" s="10">
        <v>1475.4989519999999</v>
      </c>
      <c r="DJ64" s="10">
        <v>1462.7913060000001</v>
      </c>
      <c r="DK64" s="10">
        <v>1512.20993</v>
      </c>
      <c r="DL64" s="10">
        <v>1457.1434630000001</v>
      </c>
      <c r="DM64" s="10">
        <v>1492.4424799999999</v>
      </c>
      <c r="DN64" s="10">
        <v>1440.199934</v>
      </c>
      <c r="DO64" s="10">
        <v>1411.9607189999999</v>
      </c>
      <c r="DP64" s="10">
        <v>1359.718173</v>
      </c>
      <c r="DQ64" s="10">
        <v>1423.2564050000001</v>
      </c>
      <c r="DR64" s="10">
        <v>1371.0138589999999</v>
      </c>
      <c r="DS64" s="10">
        <v>1291.944058</v>
      </c>
      <c r="DT64" s="10">
        <v>1276.412491</v>
      </c>
      <c r="DU64" s="10">
        <v>1290.532097</v>
      </c>
      <c r="DV64" s="10">
        <v>1304.6517040000001</v>
      </c>
      <c r="DW64" s="10">
        <v>1291.944058</v>
      </c>
      <c r="DX64" s="10">
        <v>1263.7048440000001</v>
      </c>
      <c r="DY64" s="10">
        <v>1259.4689619999999</v>
      </c>
      <c r="DZ64" s="10">
        <v>1263.7048440000001</v>
      </c>
      <c r="EA64" s="10">
        <v>1207.2264150000001</v>
      </c>
      <c r="EB64" s="10">
        <v>1226.9938649999999</v>
      </c>
      <c r="EC64" s="10">
        <v>1244.171779</v>
      </c>
      <c r="ED64" s="10">
        <v>1267.484663</v>
      </c>
      <c r="EE64" s="10">
        <v>1271.1656439999999</v>
      </c>
      <c r="EF64" s="10">
        <v>1225.766871</v>
      </c>
      <c r="EG64" s="10">
        <v>1196.3190179999999</v>
      </c>
      <c r="EH64" s="10">
        <v>1177.9141099999999</v>
      </c>
      <c r="EI64" s="10">
        <v>1184.04908</v>
      </c>
      <c r="EJ64" s="10">
        <v>1154.6012270000001</v>
      </c>
      <c r="EK64" s="10">
        <v>1165.644172</v>
      </c>
      <c r="EL64" s="10">
        <v>1245.3987729999999</v>
      </c>
      <c r="EM64" s="10">
        <v>1368.09816</v>
      </c>
      <c r="EN64" s="10">
        <v>1344.7852760000001</v>
      </c>
      <c r="EO64" s="10">
        <v>1320.2453989999999</v>
      </c>
      <c r="EP64" s="10">
        <v>1292.0245399999999</v>
      </c>
      <c r="EQ64" s="10">
        <v>1294.4785280000001</v>
      </c>
      <c r="ER64" s="10">
        <v>1263.8036810000001</v>
      </c>
      <c r="ES64" s="10">
        <v>1204.9079750000001</v>
      </c>
      <c r="ET64" s="10">
        <v>1266.2576690000001</v>
      </c>
      <c r="EU64" s="10">
        <v>1255.2147239999999</v>
      </c>
      <c r="EV64" s="10">
        <v>1137.423313</v>
      </c>
      <c r="EW64" s="10">
        <v>1154.6012270000001</v>
      </c>
      <c r="EX64" s="10">
        <v>1148.4662579999999</v>
      </c>
      <c r="EY64" s="10">
        <v>1198.7730059999999</v>
      </c>
      <c r="EZ64" s="10">
        <v>1147.239264</v>
      </c>
      <c r="FA64" s="10">
        <v>1146.0122699999999</v>
      </c>
      <c r="FB64" s="10">
        <v>1152.1472389999999</v>
      </c>
      <c r="FC64" s="10">
        <v>1106.748466</v>
      </c>
      <c r="FD64" s="10">
        <v>1171.779141</v>
      </c>
      <c r="FE64" s="10">
        <v>1161.9631899999999</v>
      </c>
      <c r="FF64" s="10">
        <v>1087.1165639999999</v>
      </c>
      <c r="FG64" s="10">
        <v>1006.134969</v>
      </c>
      <c r="FH64" s="10">
        <v>1035.5828220000001</v>
      </c>
      <c r="FI64" s="10">
        <v>949.69325200000003</v>
      </c>
      <c r="FJ64" s="10">
        <v>997.54601200000002</v>
      </c>
      <c r="FK64" s="10">
        <v>1014.723926</v>
      </c>
      <c r="FL64" s="10">
        <v>1069.9386500000001</v>
      </c>
      <c r="FM64" s="10">
        <v>1000</v>
      </c>
      <c r="FN64" s="10">
        <v>1079.7546010000001</v>
      </c>
      <c r="FO64" s="10">
        <v>984.04908</v>
      </c>
      <c r="FP64" s="10">
        <v>996.31901800000003</v>
      </c>
      <c r="FQ64" s="10">
        <v>992.63803700000005</v>
      </c>
      <c r="FR64" s="10">
        <v>996.31901800000003</v>
      </c>
      <c r="FS64" s="10">
        <v>1026.9938649999999</v>
      </c>
      <c r="FT64" s="10">
        <v>1000</v>
      </c>
      <c r="FU64" s="10">
        <v>986.50306699999999</v>
      </c>
      <c r="FV64" s="10">
        <v>1011</v>
      </c>
      <c r="FW64" s="10">
        <v>992</v>
      </c>
      <c r="FX64" s="10">
        <v>1031</v>
      </c>
      <c r="FY64" s="10">
        <v>988</v>
      </c>
      <c r="FZ64" s="10">
        <v>988</v>
      </c>
      <c r="GA64" s="10">
        <v>1000</v>
      </c>
      <c r="GB64" s="10">
        <v>1019</v>
      </c>
      <c r="GC64" s="10">
        <v>973</v>
      </c>
      <c r="GD64" s="10">
        <v>1030</v>
      </c>
      <c r="GE64" s="10">
        <v>1017</v>
      </c>
      <c r="GF64" s="10">
        <v>1022</v>
      </c>
      <c r="GG64" s="10">
        <v>1075</v>
      </c>
      <c r="GH64" s="10">
        <v>1111</v>
      </c>
      <c r="GI64" s="10">
        <v>1136</v>
      </c>
      <c r="GJ64" s="10">
        <v>1156</v>
      </c>
      <c r="GK64" s="10">
        <v>1107</v>
      </c>
      <c r="GL64" s="10">
        <v>1157</v>
      </c>
      <c r="GM64" s="10">
        <v>1193</v>
      </c>
      <c r="GN64" s="10">
        <v>1285</v>
      </c>
      <c r="GO64" s="10">
        <v>1223</v>
      </c>
      <c r="GP64" s="10">
        <v>1262</v>
      </c>
      <c r="GQ64" s="10">
        <v>1262</v>
      </c>
      <c r="GR64" s="10">
        <v>1230</v>
      </c>
      <c r="GS64" s="10">
        <v>1252</v>
      </c>
    </row>
    <row r="65" spans="1:201" ht="12.6">
      <c r="A65" s="51" t="s">
        <v>1884</v>
      </c>
      <c r="B65" s="10"/>
      <c r="C65" s="10"/>
      <c r="D65" s="10"/>
      <c r="E65" s="10"/>
      <c r="F65" s="10" t="s">
        <v>1827</v>
      </c>
      <c r="G65" s="10" t="s">
        <v>1827</v>
      </c>
      <c r="H65" s="10" t="s">
        <v>1827</v>
      </c>
      <c r="I65" s="10" t="s">
        <v>1827</v>
      </c>
      <c r="J65" s="10" t="s">
        <v>1827</v>
      </c>
      <c r="K65" s="10" t="s">
        <v>1827</v>
      </c>
      <c r="L65" s="10" t="s">
        <v>1827</v>
      </c>
      <c r="M65" s="10" t="s">
        <v>1827</v>
      </c>
      <c r="N65" s="10" t="s">
        <v>1827</v>
      </c>
      <c r="O65" s="10" t="s">
        <v>1827</v>
      </c>
      <c r="P65" s="10" t="s">
        <v>1827</v>
      </c>
      <c r="Q65" s="10" t="s">
        <v>1827</v>
      </c>
      <c r="R65" s="10" t="s">
        <v>1827</v>
      </c>
      <c r="S65" s="10" t="s">
        <v>1827</v>
      </c>
      <c r="T65" s="10" t="s">
        <v>1827</v>
      </c>
      <c r="U65" s="10" t="s">
        <v>1827</v>
      </c>
      <c r="V65" s="10" t="s">
        <v>1827</v>
      </c>
      <c r="W65" s="10" t="s">
        <v>1827</v>
      </c>
      <c r="X65" s="10" t="s">
        <v>1827</v>
      </c>
      <c r="Y65" s="10" t="s">
        <v>1827</v>
      </c>
      <c r="Z65" s="10" t="s">
        <v>1827</v>
      </c>
      <c r="AA65" s="10" t="s">
        <v>1827</v>
      </c>
      <c r="AB65" s="10" t="s">
        <v>1827</v>
      </c>
      <c r="AC65" s="10" t="s">
        <v>1827</v>
      </c>
      <c r="AD65" s="10" t="s">
        <v>1827</v>
      </c>
      <c r="AE65" s="10" t="s">
        <v>1827</v>
      </c>
      <c r="AF65" s="10" t="s">
        <v>1827</v>
      </c>
      <c r="AG65" s="10" t="s">
        <v>1827</v>
      </c>
      <c r="AH65" s="10" t="s">
        <v>1827</v>
      </c>
      <c r="AI65" s="10" t="s">
        <v>1827</v>
      </c>
      <c r="AJ65" s="10" t="s">
        <v>1827</v>
      </c>
      <c r="AK65" s="10" t="s">
        <v>1827</v>
      </c>
      <c r="AL65" s="10" t="s">
        <v>1827</v>
      </c>
      <c r="AM65" s="10" t="s">
        <v>1827</v>
      </c>
      <c r="AN65" s="10" t="s">
        <v>1827</v>
      </c>
      <c r="AO65" s="10" t="s">
        <v>1827</v>
      </c>
      <c r="AP65" s="10" t="s">
        <v>1827</v>
      </c>
      <c r="AQ65" s="10" t="s">
        <v>1827</v>
      </c>
      <c r="AR65" s="10" t="s">
        <v>1827</v>
      </c>
      <c r="AS65" s="10" t="s">
        <v>1827</v>
      </c>
      <c r="AT65" s="10" t="s">
        <v>1827</v>
      </c>
      <c r="AU65" s="10" t="s">
        <v>1827</v>
      </c>
      <c r="AV65" s="10" t="s">
        <v>1827</v>
      </c>
      <c r="AW65" s="10" t="s">
        <v>1827</v>
      </c>
      <c r="AX65" s="10" t="s">
        <v>1827</v>
      </c>
      <c r="AY65" s="10" t="s">
        <v>1827</v>
      </c>
      <c r="AZ65" s="10" t="s">
        <v>1827</v>
      </c>
      <c r="BA65" s="10" t="s">
        <v>1827</v>
      </c>
      <c r="BB65" s="10" t="s">
        <v>1827</v>
      </c>
      <c r="BC65" s="10" t="s">
        <v>1827</v>
      </c>
      <c r="BD65" s="10" t="s">
        <v>1827</v>
      </c>
      <c r="BE65" s="10" t="s">
        <v>1827</v>
      </c>
      <c r="BF65" s="10" t="s">
        <v>1827</v>
      </c>
      <c r="BG65" s="10" t="s">
        <v>1827</v>
      </c>
      <c r="BH65" s="10" t="s">
        <v>1827</v>
      </c>
      <c r="BI65" s="10" t="s">
        <v>1827</v>
      </c>
      <c r="BJ65" s="10" t="s">
        <v>1827</v>
      </c>
      <c r="BK65" s="10" t="s">
        <v>1827</v>
      </c>
      <c r="BL65" s="10" t="s">
        <v>1827</v>
      </c>
      <c r="BM65" s="10" t="s">
        <v>1827</v>
      </c>
      <c r="BN65" s="10" t="s">
        <v>1827</v>
      </c>
      <c r="BO65" s="10" t="s">
        <v>1827</v>
      </c>
      <c r="BP65" s="10" t="s">
        <v>1827</v>
      </c>
      <c r="BQ65" s="10" t="s">
        <v>1827</v>
      </c>
      <c r="BR65" s="10" t="s">
        <v>1827</v>
      </c>
      <c r="BS65" s="10" t="s">
        <v>1827</v>
      </c>
      <c r="BT65" s="10" t="s">
        <v>1827</v>
      </c>
      <c r="BU65" s="10" t="s">
        <v>1827</v>
      </c>
      <c r="BV65" s="10" t="s">
        <v>1827</v>
      </c>
      <c r="BW65" s="10" t="s">
        <v>1827</v>
      </c>
      <c r="BX65" s="10" t="s">
        <v>1827</v>
      </c>
      <c r="BY65" s="10" t="s">
        <v>1827</v>
      </c>
      <c r="BZ65" s="10" t="s">
        <v>1827</v>
      </c>
      <c r="CA65" s="10" t="s">
        <v>1827</v>
      </c>
      <c r="CB65" s="10" t="s">
        <v>1827</v>
      </c>
      <c r="CC65" s="10" t="s">
        <v>1827</v>
      </c>
      <c r="CD65" s="10" t="s">
        <v>1827</v>
      </c>
      <c r="CE65" s="10" t="s">
        <v>1827</v>
      </c>
      <c r="CF65" s="10" t="s">
        <v>1827</v>
      </c>
      <c r="CG65" s="10" t="s">
        <v>1827</v>
      </c>
      <c r="CH65" s="10" t="s">
        <v>1827</v>
      </c>
      <c r="CI65" s="10" t="s">
        <v>1827</v>
      </c>
      <c r="CJ65" s="10" t="s">
        <v>1827</v>
      </c>
      <c r="CK65" s="10" t="s">
        <v>1827</v>
      </c>
      <c r="CL65" s="10" t="s">
        <v>1827</v>
      </c>
      <c r="CM65" s="10" t="s">
        <v>1827</v>
      </c>
      <c r="CN65" s="10" t="s">
        <v>1827</v>
      </c>
      <c r="CO65" s="10" t="s">
        <v>1827</v>
      </c>
      <c r="CP65" s="10" t="s">
        <v>1827</v>
      </c>
      <c r="CQ65" s="10" t="s">
        <v>1827</v>
      </c>
      <c r="CR65" s="10" t="s">
        <v>1827</v>
      </c>
      <c r="CS65" s="10" t="s">
        <v>1827</v>
      </c>
      <c r="CT65" s="10" t="s">
        <v>1827</v>
      </c>
      <c r="CU65" s="10" t="s">
        <v>1827</v>
      </c>
      <c r="CV65" s="10" t="s">
        <v>1827</v>
      </c>
      <c r="CW65" s="10" t="s">
        <v>1827</v>
      </c>
      <c r="CX65" s="10" t="s">
        <v>1827</v>
      </c>
      <c r="CY65" s="10" t="s">
        <v>1827</v>
      </c>
      <c r="CZ65" s="10">
        <v>705.56414199999995</v>
      </c>
      <c r="DA65" s="10">
        <v>710.97372499999994</v>
      </c>
      <c r="DB65" s="10">
        <v>712.51931999999999</v>
      </c>
      <c r="DC65" s="10">
        <v>704.01854700000001</v>
      </c>
      <c r="DD65" s="10">
        <v>731.83925799999997</v>
      </c>
      <c r="DE65" s="10">
        <v>732.61205600000005</v>
      </c>
      <c r="DF65" s="10">
        <v>751.15919599999995</v>
      </c>
      <c r="DG65" s="10">
        <v>758.88717199999996</v>
      </c>
      <c r="DH65" s="10">
        <v>769.70633699999996</v>
      </c>
      <c r="DI65" s="10">
        <v>777.43431199999998</v>
      </c>
      <c r="DJ65" s="10">
        <v>769.70633699999996</v>
      </c>
      <c r="DK65" s="10">
        <v>765.06955200000004</v>
      </c>
      <c r="DL65" s="10">
        <v>773.57032500000003</v>
      </c>
      <c r="DM65" s="10">
        <v>782.07109700000001</v>
      </c>
      <c r="DN65" s="10">
        <v>779.75270499999999</v>
      </c>
      <c r="DO65" s="10">
        <v>782.84389499999997</v>
      </c>
      <c r="DP65" s="10">
        <v>785.93508499999996</v>
      </c>
      <c r="DQ65" s="10">
        <v>778.97990700000003</v>
      </c>
      <c r="DR65" s="10">
        <v>779.75270499999999</v>
      </c>
      <c r="DS65" s="10">
        <v>785.16228699999999</v>
      </c>
      <c r="DT65" s="10">
        <v>782.84389499999997</v>
      </c>
      <c r="DU65" s="10">
        <v>763.523957</v>
      </c>
      <c r="DV65" s="10">
        <v>783.61669199999994</v>
      </c>
      <c r="DW65" s="10">
        <v>794.43585800000005</v>
      </c>
      <c r="DX65" s="10">
        <v>779.75270499999999</v>
      </c>
      <c r="DY65" s="10">
        <v>777.43431199999998</v>
      </c>
      <c r="DZ65" s="10">
        <v>769.70633699999996</v>
      </c>
      <c r="EA65" s="10">
        <v>776.66151500000001</v>
      </c>
      <c r="EB65" s="10">
        <v>772.79752699999995</v>
      </c>
      <c r="EC65" s="10">
        <v>791.34466799999996</v>
      </c>
      <c r="ED65" s="10">
        <v>788.25347799999997</v>
      </c>
      <c r="EE65" s="10">
        <v>795.98145299999999</v>
      </c>
      <c r="EF65" s="10">
        <v>795.98145299999999</v>
      </c>
      <c r="EG65" s="10">
        <v>800.61823800000002</v>
      </c>
      <c r="EH65" s="10">
        <v>813.75579600000003</v>
      </c>
      <c r="EI65" s="10">
        <v>833.84853199999998</v>
      </c>
      <c r="EJ65" s="10">
        <v>843.12210200000004</v>
      </c>
      <c r="EK65" s="10">
        <v>859.35085000000004</v>
      </c>
      <c r="EL65" s="10">
        <v>858.57805299999995</v>
      </c>
      <c r="EM65" s="10">
        <v>914.21947399999999</v>
      </c>
      <c r="EN65" s="10">
        <v>921.17465200000004</v>
      </c>
      <c r="EO65" s="10">
        <v>921.17465200000004</v>
      </c>
      <c r="EP65" s="10">
        <v>918.85626000000002</v>
      </c>
      <c r="EQ65" s="10">
        <v>911.90108199999997</v>
      </c>
      <c r="ER65" s="10">
        <v>901.08191699999998</v>
      </c>
      <c r="ES65" s="10">
        <v>901.08191699999998</v>
      </c>
      <c r="ET65" s="10">
        <v>905.71870200000001</v>
      </c>
      <c r="EU65" s="10">
        <v>914.21947399999999</v>
      </c>
      <c r="EV65" s="10">
        <v>907.26429700000006</v>
      </c>
      <c r="EW65" s="10">
        <v>946.67697099999998</v>
      </c>
      <c r="EX65" s="10">
        <v>955.17774299999996</v>
      </c>
      <c r="EY65" s="10">
        <v>959.04173100000003</v>
      </c>
      <c r="EZ65" s="10">
        <v>965.99690899999996</v>
      </c>
      <c r="FA65" s="10">
        <v>969.08809900000006</v>
      </c>
      <c r="FB65" s="10">
        <v>962.90571899999998</v>
      </c>
      <c r="FC65" s="10">
        <v>962.13292100000001</v>
      </c>
      <c r="FD65" s="10">
        <v>962.13292100000001</v>
      </c>
      <c r="FE65" s="10">
        <v>960.58732599999996</v>
      </c>
      <c r="FF65" s="10">
        <v>964.45131400000002</v>
      </c>
      <c r="FG65" s="10">
        <v>962.13292100000001</v>
      </c>
      <c r="FH65" s="10">
        <v>963.67851599999995</v>
      </c>
      <c r="FI65" s="10">
        <v>962.90571899999998</v>
      </c>
      <c r="FJ65" s="10">
        <v>950.54095800000005</v>
      </c>
      <c r="FK65" s="10">
        <v>948.22256600000003</v>
      </c>
      <c r="FL65" s="10">
        <v>968.31530099999998</v>
      </c>
      <c r="FM65" s="10">
        <v>969.86089600000003</v>
      </c>
      <c r="FN65" s="10">
        <v>986.08964500000002</v>
      </c>
      <c r="FO65" s="10">
        <v>984.54404899999997</v>
      </c>
      <c r="FP65" s="10">
        <v>980.68006200000002</v>
      </c>
      <c r="FQ65" s="10">
        <v>986.86244199999999</v>
      </c>
      <c r="FR65" s="10">
        <v>986.86244199999999</v>
      </c>
      <c r="FS65" s="10">
        <v>988.40803700000004</v>
      </c>
      <c r="FT65" s="10">
        <v>1000</v>
      </c>
      <c r="FU65" s="10">
        <v>1005.409583</v>
      </c>
      <c r="FV65" s="10">
        <v>988</v>
      </c>
      <c r="FW65" s="10">
        <v>965</v>
      </c>
      <c r="FX65" s="10">
        <v>981</v>
      </c>
      <c r="FY65" s="10">
        <v>987</v>
      </c>
      <c r="FZ65" s="10">
        <v>984</v>
      </c>
      <c r="GA65" s="10">
        <v>968</v>
      </c>
      <c r="GB65" s="10">
        <v>979</v>
      </c>
      <c r="GC65" s="10">
        <v>986</v>
      </c>
      <c r="GD65" s="10">
        <v>989</v>
      </c>
      <c r="GE65" s="10">
        <v>1011</v>
      </c>
      <c r="GF65" s="10">
        <v>1022</v>
      </c>
      <c r="GG65" s="10">
        <v>1018</v>
      </c>
      <c r="GH65" s="10">
        <v>1021</v>
      </c>
      <c r="GI65" s="10">
        <v>1031</v>
      </c>
      <c r="GJ65" s="10">
        <v>1039</v>
      </c>
      <c r="GK65" s="10">
        <v>1072</v>
      </c>
      <c r="GL65" s="10">
        <v>1085</v>
      </c>
      <c r="GM65" s="10">
        <v>1095</v>
      </c>
      <c r="GN65" s="10">
        <v>1127</v>
      </c>
      <c r="GO65" s="10">
        <v>1182</v>
      </c>
      <c r="GP65" s="10">
        <v>1215</v>
      </c>
      <c r="GQ65" s="10">
        <v>1232</v>
      </c>
      <c r="GR65" s="10">
        <v>1259</v>
      </c>
      <c r="GS65" s="10">
        <v>1298</v>
      </c>
    </row>
    <row r="66" spans="1:201" ht="12.6">
      <c r="A66" s="51" t="s">
        <v>40</v>
      </c>
      <c r="B66" s="215"/>
      <c r="C66" s="215"/>
      <c r="D66" s="215"/>
      <c r="E66" s="215"/>
      <c r="F66" s="215" t="s">
        <v>1827</v>
      </c>
      <c r="G66" s="215" t="s">
        <v>1827</v>
      </c>
      <c r="H66" s="215" t="s">
        <v>1827</v>
      </c>
      <c r="I66" s="215" t="s">
        <v>1827</v>
      </c>
      <c r="J66" s="215" t="s">
        <v>1827</v>
      </c>
      <c r="K66" s="215" t="s">
        <v>1827</v>
      </c>
      <c r="L66" s="215" t="s">
        <v>1827</v>
      </c>
      <c r="M66" s="215" t="s">
        <v>1827</v>
      </c>
      <c r="N66" s="215" t="s">
        <v>1827</v>
      </c>
      <c r="O66" s="215" t="s">
        <v>1827</v>
      </c>
      <c r="P66" s="215" t="s">
        <v>1827</v>
      </c>
      <c r="Q66" s="215" t="s">
        <v>1827</v>
      </c>
      <c r="R66" s="215" t="s">
        <v>1827</v>
      </c>
      <c r="S66" s="215" t="s">
        <v>1827</v>
      </c>
      <c r="T66" s="215" t="s">
        <v>1827</v>
      </c>
      <c r="U66" s="215" t="s">
        <v>1827</v>
      </c>
      <c r="V66" s="215" t="s">
        <v>1827</v>
      </c>
      <c r="W66" s="215" t="s">
        <v>1827</v>
      </c>
      <c r="X66" s="215" t="s">
        <v>1827</v>
      </c>
      <c r="Y66" s="215" t="s">
        <v>1827</v>
      </c>
      <c r="Z66" s="215" t="s">
        <v>1827</v>
      </c>
      <c r="AA66" s="215" t="s">
        <v>1827</v>
      </c>
      <c r="AB66" s="215" t="s">
        <v>1827</v>
      </c>
      <c r="AC66" s="215" t="s">
        <v>1827</v>
      </c>
      <c r="AD66" s="215" t="s">
        <v>1827</v>
      </c>
      <c r="AE66" s="215">
        <v>279.67263100000002</v>
      </c>
      <c r="AF66" s="215">
        <v>293.14932099999999</v>
      </c>
      <c r="AG66" s="215">
        <v>303.26131199999998</v>
      </c>
      <c r="AH66" s="215">
        <v>308.31283400000001</v>
      </c>
      <c r="AI66" s="215">
        <v>313.36883</v>
      </c>
      <c r="AJ66" s="215">
        <v>330.21469200000001</v>
      </c>
      <c r="AK66" s="215">
        <v>353.80337300000002</v>
      </c>
      <c r="AL66" s="215">
        <v>358.854895</v>
      </c>
      <c r="AM66" s="215">
        <v>358.854895</v>
      </c>
      <c r="AN66" s="215">
        <v>358.854895</v>
      </c>
      <c r="AO66" s="215">
        <v>358.854895</v>
      </c>
      <c r="AP66" s="215">
        <v>358.854895</v>
      </c>
      <c r="AQ66" s="215">
        <v>358.854895</v>
      </c>
      <c r="AR66" s="215">
        <v>358.854895</v>
      </c>
      <c r="AS66" s="215">
        <v>414.824321</v>
      </c>
      <c r="AT66" s="215">
        <v>451.28565700000001</v>
      </c>
      <c r="AU66" s="215">
        <v>455.52732400000002</v>
      </c>
      <c r="AV66" s="215">
        <v>486.051221</v>
      </c>
      <c r="AW66" s="215">
        <v>484.35544900000002</v>
      </c>
      <c r="AX66" s="215">
        <v>455.52732400000002</v>
      </c>
      <c r="AY66" s="215">
        <v>454.67720100000003</v>
      </c>
      <c r="AZ66" s="215">
        <v>424.99895400000003</v>
      </c>
      <c r="BA66" s="215">
        <v>394.47058199999998</v>
      </c>
      <c r="BB66" s="215">
        <v>422.72599300000002</v>
      </c>
      <c r="BC66" s="215">
        <v>445.83144600000003</v>
      </c>
      <c r="BD66" s="215">
        <v>465.67511100000002</v>
      </c>
      <c r="BE66" s="215">
        <v>465.67958599999997</v>
      </c>
      <c r="BF66" s="215">
        <v>465.50956100000002</v>
      </c>
      <c r="BG66" s="215">
        <v>465.40217699999999</v>
      </c>
      <c r="BH66" s="215">
        <v>457.23204600000003</v>
      </c>
      <c r="BI66" s="215">
        <v>452.92326300000002</v>
      </c>
      <c r="BJ66" s="215">
        <v>447.43325700000003</v>
      </c>
      <c r="BK66" s="215">
        <v>445.43322999999998</v>
      </c>
      <c r="BL66" s="215">
        <v>463.07104900000002</v>
      </c>
      <c r="BM66" s="215">
        <v>463.32608599999998</v>
      </c>
      <c r="BN66" s="215">
        <v>462.98603700000001</v>
      </c>
      <c r="BO66" s="215">
        <v>467.724355</v>
      </c>
      <c r="BP66" s="215">
        <v>470.34183999999999</v>
      </c>
      <c r="BQ66" s="215">
        <v>477.69764199999997</v>
      </c>
      <c r="BR66" s="215">
        <v>543.94461100000001</v>
      </c>
      <c r="BS66" s="215">
        <v>518.01137900000003</v>
      </c>
      <c r="BT66" s="215">
        <v>490.31078600000001</v>
      </c>
      <c r="BU66" s="215">
        <v>493.514408</v>
      </c>
      <c r="BV66" s="215">
        <v>507.73831100000001</v>
      </c>
      <c r="BW66" s="215">
        <v>499.78294799999998</v>
      </c>
      <c r="BX66" s="215">
        <v>499.99324200000001</v>
      </c>
      <c r="BY66" s="215">
        <v>510.80322899999999</v>
      </c>
      <c r="BZ66" s="215">
        <v>522.68258200000002</v>
      </c>
      <c r="CA66" s="215">
        <v>519.25971800000002</v>
      </c>
      <c r="CB66" s="215">
        <v>513.10303599999997</v>
      </c>
      <c r="CC66" s="215">
        <v>495.92607299999997</v>
      </c>
      <c r="CD66" s="215">
        <v>486.91029300000002</v>
      </c>
      <c r="CE66" s="215">
        <v>471.32916299999999</v>
      </c>
      <c r="CF66" s="215">
        <v>472.30298399999998</v>
      </c>
      <c r="CG66" s="215">
        <v>487.39720399999999</v>
      </c>
      <c r="CH66" s="215">
        <v>488.37102399999998</v>
      </c>
      <c r="CI66" s="215">
        <v>484.96265199999999</v>
      </c>
      <c r="CJ66" s="215">
        <v>484.47574200000003</v>
      </c>
      <c r="CK66" s="215">
        <v>474.73753599999998</v>
      </c>
      <c r="CL66" s="215">
        <v>475.71135600000002</v>
      </c>
      <c r="CM66" s="215">
        <v>481.06736999999998</v>
      </c>
      <c r="CN66" s="215">
        <v>481.06736999999998</v>
      </c>
      <c r="CO66" s="215">
        <v>481.06736999999998</v>
      </c>
      <c r="CP66" s="215">
        <v>485.93647199999998</v>
      </c>
      <c r="CQ66" s="215">
        <v>484.96265199999999</v>
      </c>
      <c r="CR66" s="215">
        <v>481.55428000000001</v>
      </c>
      <c r="CS66" s="215">
        <v>481.06736999999998</v>
      </c>
      <c r="CT66" s="215">
        <v>485.44956200000001</v>
      </c>
      <c r="CU66" s="215">
        <v>475.224446</v>
      </c>
      <c r="CV66" s="215">
        <v>448.44438000000002</v>
      </c>
      <c r="CW66" s="215">
        <v>447.95747</v>
      </c>
      <c r="CX66" s="215">
        <v>442.60145599999998</v>
      </c>
      <c r="CY66" s="215">
        <v>432.86325099999999</v>
      </c>
      <c r="CZ66" s="215">
        <v>432.37634000000003</v>
      </c>
      <c r="DA66" s="215">
        <v>465.66931899999997</v>
      </c>
      <c r="DB66" s="215">
        <v>495.07091000000003</v>
      </c>
      <c r="DC66" s="215">
        <v>517.55447900000001</v>
      </c>
      <c r="DD66" s="215">
        <v>540.038049</v>
      </c>
      <c r="DE66" s="215">
        <v>610.51539300000002</v>
      </c>
      <c r="DF66" s="215">
        <v>609.65063999999995</v>
      </c>
      <c r="DG66" s="215">
        <v>556.46834999999999</v>
      </c>
      <c r="DH66" s="215">
        <v>591.92321000000004</v>
      </c>
      <c r="DI66" s="215">
        <v>567.71013500000004</v>
      </c>
      <c r="DJ66" s="215">
        <v>515.824974</v>
      </c>
      <c r="DK66" s="215">
        <v>517.55447900000001</v>
      </c>
      <c r="DL66" s="215">
        <v>569.00726399999996</v>
      </c>
      <c r="DM66" s="215">
        <v>555.60359700000004</v>
      </c>
      <c r="DN66" s="215">
        <v>552.144587</v>
      </c>
      <c r="DO66" s="215">
        <v>587.16707099999996</v>
      </c>
      <c r="DP66" s="215">
        <v>530.09339299999999</v>
      </c>
      <c r="DQ66" s="215">
        <v>567.71013500000004</v>
      </c>
      <c r="DR66" s="215">
        <v>556.03597400000001</v>
      </c>
      <c r="DS66" s="215">
        <v>585.43756499999995</v>
      </c>
      <c r="DT66" s="215">
        <v>631.26945699999999</v>
      </c>
      <c r="DU66" s="215">
        <v>635.160844</v>
      </c>
      <c r="DV66" s="215">
        <v>631.26945699999999</v>
      </c>
      <c r="DW66" s="215">
        <v>630.40470400000004</v>
      </c>
      <c r="DX66" s="215">
        <v>675.37184400000001</v>
      </c>
      <c r="DY66" s="215">
        <v>764.00899400000003</v>
      </c>
      <c r="DZ66" s="215">
        <v>741.09304699999996</v>
      </c>
      <c r="EA66" s="215">
        <v>778.709789</v>
      </c>
      <c r="EB66" s="215">
        <v>892.85714299999995</v>
      </c>
      <c r="EC66" s="215">
        <v>885.71428600000002</v>
      </c>
      <c r="ED66" s="215">
        <v>750.89285700000005</v>
      </c>
      <c r="EE66" s="215">
        <v>757.14285700000005</v>
      </c>
      <c r="EF66" s="215">
        <v>817.85714299999995</v>
      </c>
      <c r="EG66" s="215">
        <v>833.03571399999998</v>
      </c>
      <c r="EH66" s="215">
        <v>877.67857100000003</v>
      </c>
      <c r="EI66" s="215">
        <v>912.5</v>
      </c>
      <c r="EJ66" s="215">
        <v>1029.4642859999999</v>
      </c>
      <c r="EK66" s="215">
        <v>1076.7857140000001</v>
      </c>
      <c r="EL66" s="215">
        <v>835.71428600000002</v>
      </c>
      <c r="EM66" s="215">
        <v>827.67857100000003</v>
      </c>
      <c r="EN66" s="215">
        <v>854.46428600000002</v>
      </c>
      <c r="EO66" s="215">
        <v>872.32142899999997</v>
      </c>
      <c r="EP66" s="215">
        <v>863.39285700000005</v>
      </c>
      <c r="EQ66" s="215">
        <v>923.21428600000002</v>
      </c>
      <c r="ER66" s="215">
        <v>935.71428600000002</v>
      </c>
      <c r="ES66" s="215">
        <v>923.21428600000002</v>
      </c>
      <c r="ET66" s="215">
        <v>985.71428600000002</v>
      </c>
      <c r="EU66" s="215">
        <v>1081.25</v>
      </c>
      <c r="EV66" s="215">
        <v>1124.107143</v>
      </c>
      <c r="EW66" s="215">
        <v>1086.607143</v>
      </c>
      <c r="EX66" s="215">
        <v>1096.4285709999999</v>
      </c>
      <c r="EY66" s="215">
        <v>1121.4285709999999</v>
      </c>
      <c r="EZ66" s="215">
        <v>1125.892857</v>
      </c>
      <c r="FA66" s="215">
        <v>1115.1785709999999</v>
      </c>
      <c r="FB66" s="215">
        <v>1106.25</v>
      </c>
      <c r="FC66" s="215">
        <v>1123.2142859999999</v>
      </c>
      <c r="FD66" s="215">
        <v>1094.642857</v>
      </c>
      <c r="FE66" s="215">
        <v>1156.25</v>
      </c>
      <c r="FF66" s="215">
        <v>1116.0714290000001</v>
      </c>
      <c r="FG66" s="215">
        <v>1126.7857140000001</v>
      </c>
      <c r="FH66" s="215">
        <v>1125</v>
      </c>
      <c r="FI66" s="215">
        <v>1135.7142859999999</v>
      </c>
      <c r="FJ66" s="215">
        <v>1071.4285709999999</v>
      </c>
      <c r="FK66" s="215">
        <v>958.03571399999998</v>
      </c>
      <c r="FL66" s="215">
        <v>1041.9642859999999</v>
      </c>
      <c r="FM66" s="215">
        <v>1058.9285709999999</v>
      </c>
      <c r="FN66" s="215">
        <v>984.82142899999997</v>
      </c>
      <c r="FO66" s="215">
        <v>908.92857100000003</v>
      </c>
      <c r="FP66" s="215">
        <v>957.14285700000005</v>
      </c>
      <c r="FQ66" s="215">
        <v>941.07142899999997</v>
      </c>
      <c r="FR66" s="215">
        <v>979.46428600000002</v>
      </c>
      <c r="FS66" s="215">
        <v>1019.642857</v>
      </c>
      <c r="FT66" s="215">
        <v>1000</v>
      </c>
      <c r="FU66" s="215">
        <v>983.03571399999998</v>
      </c>
      <c r="FV66" s="215">
        <v>1043</v>
      </c>
      <c r="FW66" s="215">
        <v>1071</v>
      </c>
      <c r="FX66" s="215">
        <v>1105</v>
      </c>
      <c r="FY66" s="215">
        <v>1166</v>
      </c>
      <c r="FZ66" s="215">
        <v>1159</v>
      </c>
      <c r="GA66" s="215">
        <v>1078</v>
      </c>
      <c r="GB66" s="215">
        <v>1141</v>
      </c>
      <c r="GC66" s="215">
        <v>1132</v>
      </c>
      <c r="GD66" s="215">
        <v>1150</v>
      </c>
      <c r="GE66" s="215">
        <v>1123</v>
      </c>
      <c r="GF66" s="215">
        <v>987</v>
      </c>
      <c r="GG66" s="215">
        <v>1004</v>
      </c>
      <c r="GH66" s="215">
        <v>1007</v>
      </c>
      <c r="GI66" s="215">
        <v>1080</v>
      </c>
      <c r="GJ66" s="215">
        <v>1146</v>
      </c>
      <c r="GK66" s="215">
        <v>1220</v>
      </c>
      <c r="GL66" s="215">
        <v>1314</v>
      </c>
      <c r="GM66" s="215">
        <v>1429</v>
      </c>
      <c r="GN66" s="215">
        <v>1518</v>
      </c>
      <c r="GO66" s="215">
        <v>1449</v>
      </c>
      <c r="GP66" s="215">
        <v>1345</v>
      </c>
      <c r="GQ66" s="215">
        <v>1310</v>
      </c>
      <c r="GR66" s="215">
        <v>1290</v>
      </c>
      <c r="GS66" s="215">
        <v>1503</v>
      </c>
    </row>
    <row r="67" spans="1:201" ht="12.6">
      <c r="A67" s="51" t="s">
        <v>1885</v>
      </c>
      <c r="B67" s="10"/>
      <c r="C67" s="10"/>
      <c r="D67" s="10"/>
      <c r="E67" s="10"/>
      <c r="F67" s="10" t="s">
        <v>1827</v>
      </c>
      <c r="G67" s="10" t="s">
        <v>1827</v>
      </c>
      <c r="H67" s="10" t="s">
        <v>1827</v>
      </c>
      <c r="I67" s="10" t="s">
        <v>1827</v>
      </c>
      <c r="J67" s="10" t="s">
        <v>1827</v>
      </c>
      <c r="K67" s="10" t="s">
        <v>1827</v>
      </c>
      <c r="L67" s="10" t="s">
        <v>1827</v>
      </c>
      <c r="M67" s="10" t="s">
        <v>1827</v>
      </c>
      <c r="N67" s="10" t="s">
        <v>1827</v>
      </c>
      <c r="O67" s="10" t="s">
        <v>1827</v>
      </c>
      <c r="P67" s="10" t="s">
        <v>1827</v>
      </c>
      <c r="Q67" s="10" t="s">
        <v>1827</v>
      </c>
      <c r="R67" s="10" t="s">
        <v>1827</v>
      </c>
      <c r="S67" s="10" t="s">
        <v>1827</v>
      </c>
      <c r="T67" s="10" t="s">
        <v>1827</v>
      </c>
      <c r="U67" s="10" t="s">
        <v>1827</v>
      </c>
      <c r="V67" s="10" t="s">
        <v>1827</v>
      </c>
      <c r="W67" s="10" t="s">
        <v>1827</v>
      </c>
      <c r="X67" s="10" t="s">
        <v>1827</v>
      </c>
      <c r="Y67" s="10" t="s">
        <v>1827</v>
      </c>
      <c r="Z67" s="10" t="s">
        <v>1827</v>
      </c>
      <c r="AA67" s="10" t="s">
        <v>1827</v>
      </c>
      <c r="AB67" s="10" t="s">
        <v>1827</v>
      </c>
      <c r="AC67" s="10" t="s">
        <v>1827</v>
      </c>
      <c r="AD67" s="10" t="s">
        <v>1827</v>
      </c>
      <c r="AE67" s="10" t="s">
        <v>1827</v>
      </c>
      <c r="AF67" s="10" t="s">
        <v>1827</v>
      </c>
      <c r="AG67" s="10" t="s">
        <v>1827</v>
      </c>
      <c r="AH67" s="10" t="s">
        <v>1827</v>
      </c>
      <c r="AI67" s="10" t="s">
        <v>1827</v>
      </c>
      <c r="AJ67" s="10" t="s">
        <v>1827</v>
      </c>
      <c r="AK67" s="10" t="s">
        <v>1827</v>
      </c>
      <c r="AL67" s="10" t="s">
        <v>1827</v>
      </c>
      <c r="AM67" s="10" t="s">
        <v>1827</v>
      </c>
      <c r="AN67" s="10" t="s">
        <v>1827</v>
      </c>
      <c r="AO67" s="10" t="s">
        <v>1827</v>
      </c>
      <c r="AP67" s="10" t="s">
        <v>1827</v>
      </c>
      <c r="AQ67" s="10" t="s">
        <v>1827</v>
      </c>
      <c r="AR67" s="10" t="s">
        <v>1827</v>
      </c>
      <c r="AS67" s="10" t="s">
        <v>1827</v>
      </c>
      <c r="AT67" s="10" t="s">
        <v>1827</v>
      </c>
      <c r="AU67" s="10" t="s">
        <v>1827</v>
      </c>
      <c r="AV67" s="10" t="s">
        <v>1827</v>
      </c>
      <c r="AW67" s="10" t="s">
        <v>1827</v>
      </c>
      <c r="AX67" s="10" t="s">
        <v>1827</v>
      </c>
      <c r="AY67" s="10" t="s">
        <v>1827</v>
      </c>
      <c r="AZ67" s="10" t="s">
        <v>1827</v>
      </c>
      <c r="BA67" s="10" t="s">
        <v>1827</v>
      </c>
      <c r="BB67" s="10" t="s">
        <v>1827</v>
      </c>
      <c r="BC67" s="10" t="s">
        <v>1827</v>
      </c>
      <c r="BD67" s="10" t="s">
        <v>1827</v>
      </c>
      <c r="BE67" s="10" t="s">
        <v>1827</v>
      </c>
      <c r="BF67" s="10" t="s">
        <v>1827</v>
      </c>
      <c r="BG67" s="10" t="s">
        <v>1827</v>
      </c>
      <c r="BH67" s="10" t="s">
        <v>1827</v>
      </c>
      <c r="BI67" s="10" t="s">
        <v>1827</v>
      </c>
      <c r="BJ67" s="10" t="s">
        <v>1827</v>
      </c>
      <c r="BK67" s="10" t="s">
        <v>1827</v>
      </c>
      <c r="BL67" s="10" t="s">
        <v>1827</v>
      </c>
      <c r="BM67" s="10" t="s">
        <v>1827</v>
      </c>
      <c r="BN67" s="10" t="s">
        <v>1827</v>
      </c>
      <c r="BO67" s="10" t="s">
        <v>1827</v>
      </c>
      <c r="BP67" s="10" t="s">
        <v>1827</v>
      </c>
      <c r="BQ67" s="10" t="s">
        <v>1827</v>
      </c>
      <c r="BR67" s="10" t="s">
        <v>1827</v>
      </c>
      <c r="BS67" s="10" t="s">
        <v>1827</v>
      </c>
      <c r="BT67" s="10" t="s">
        <v>1827</v>
      </c>
      <c r="BU67" s="10" t="s">
        <v>1827</v>
      </c>
      <c r="BV67" s="10" t="s">
        <v>1827</v>
      </c>
      <c r="BW67" s="10" t="s">
        <v>1827</v>
      </c>
      <c r="BX67" s="10" t="s">
        <v>1827</v>
      </c>
      <c r="BY67" s="10" t="s">
        <v>1827</v>
      </c>
      <c r="BZ67" s="10" t="s">
        <v>1827</v>
      </c>
      <c r="CA67" s="10" t="s">
        <v>1827</v>
      </c>
      <c r="CB67" s="10" t="s">
        <v>1827</v>
      </c>
      <c r="CC67" s="10" t="s">
        <v>1827</v>
      </c>
      <c r="CD67" s="10" t="s">
        <v>1827</v>
      </c>
      <c r="CE67" s="10" t="s">
        <v>1827</v>
      </c>
      <c r="CF67" s="10" t="s">
        <v>1827</v>
      </c>
      <c r="CG67" s="10" t="s">
        <v>1827</v>
      </c>
      <c r="CH67" s="10" t="s">
        <v>1827</v>
      </c>
      <c r="CI67" s="10" t="s">
        <v>1827</v>
      </c>
      <c r="CJ67" s="10" t="s">
        <v>1827</v>
      </c>
      <c r="CK67" s="10" t="s">
        <v>1827</v>
      </c>
      <c r="CL67" s="10" t="s">
        <v>1827</v>
      </c>
      <c r="CM67" s="10" t="s">
        <v>1827</v>
      </c>
      <c r="CN67" s="10" t="s">
        <v>1827</v>
      </c>
      <c r="CO67" s="10" t="s">
        <v>1827</v>
      </c>
      <c r="CP67" s="10" t="s">
        <v>1827</v>
      </c>
      <c r="CQ67" s="10" t="s">
        <v>1827</v>
      </c>
      <c r="CR67" s="10" t="s">
        <v>1827</v>
      </c>
      <c r="CS67" s="10" t="s">
        <v>1827</v>
      </c>
      <c r="CT67" s="10" t="s">
        <v>1827</v>
      </c>
      <c r="CU67" s="10" t="s">
        <v>1827</v>
      </c>
      <c r="CV67" s="10" t="s">
        <v>1827</v>
      </c>
      <c r="CW67" s="10" t="s">
        <v>1827</v>
      </c>
      <c r="CX67" s="10" t="s">
        <v>1827</v>
      </c>
      <c r="CY67" s="10" t="s">
        <v>1827</v>
      </c>
      <c r="CZ67" s="10">
        <v>471.00712099999998</v>
      </c>
      <c r="DA67" s="10">
        <v>502.54323499999998</v>
      </c>
      <c r="DB67" s="10">
        <v>534.07934899999998</v>
      </c>
      <c r="DC67" s="10">
        <v>549.33875899999998</v>
      </c>
      <c r="DD67" s="10">
        <v>572.73652100000004</v>
      </c>
      <c r="DE67" s="10">
        <v>631.73957299999995</v>
      </c>
      <c r="DF67" s="10">
        <v>697.86368300000004</v>
      </c>
      <c r="DG67" s="10">
        <v>609.359105</v>
      </c>
      <c r="DH67" s="10">
        <v>629.70498499999997</v>
      </c>
      <c r="DI67" s="10">
        <v>642.92980699999998</v>
      </c>
      <c r="DJ67" s="10">
        <v>613.42828099999997</v>
      </c>
      <c r="DK67" s="10">
        <v>568.66734499999995</v>
      </c>
      <c r="DL67" s="10">
        <v>601.22075299999995</v>
      </c>
      <c r="DM67" s="10">
        <v>593.082401</v>
      </c>
      <c r="DN67" s="10">
        <v>600.20345899999995</v>
      </c>
      <c r="DO67" s="10">
        <v>638.86063100000001</v>
      </c>
      <c r="DP67" s="10">
        <v>563.58087499999999</v>
      </c>
      <c r="DQ67" s="10">
        <v>570.70193300000005</v>
      </c>
      <c r="DR67" s="10">
        <v>557.47711100000004</v>
      </c>
      <c r="DS67" s="10">
        <v>596.13428299999998</v>
      </c>
      <c r="DT67" s="10">
        <v>649.03357100000005</v>
      </c>
      <c r="DU67" s="10">
        <v>682.60427300000003</v>
      </c>
      <c r="DV67" s="10">
        <v>707.01932899999997</v>
      </c>
      <c r="DW67" s="10">
        <v>700.91556500000002</v>
      </c>
      <c r="DX67" s="10">
        <v>747.71108900000002</v>
      </c>
      <c r="DY67" s="10">
        <v>830.11190199999999</v>
      </c>
      <c r="DZ67" s="10">
        <v>831.12919599999998</v>
      </c>
      <c r="EA67" s="10">
        <v>886.06307200000003</v>
      </c>
      <c r="EB67" s="10">
        <v>1017.293998</v>
      </c>
      <c r="EC67" s="10">
        <v>998.98270600000001</v>
      </c>
      <c r="ED67" s="10">
        <v>841.30213600000002</v>
      </c>
      <c r="EE67" s="10">
        <v>806.71414000000004</v>
      </c>
      <c r="EF67" s="10">
        <v>839.26754800000003</v>
      </c>
      <c r="EG67" s="10">
        <v>886.06307200000003</v>
      </c>
      <c r="EH67" s="10">
        <v>980.67141400000003</v>
      </c>
      <c r="EI67" s="10">
        <v>1033.570702</v>
      </c>
      <c r="EJ67" s="10">
        <v>1300.101729</v>
      </c>
      <c r="EK67" s="10">
        <v>1365.208545</v>
      </c>
      <c r="EL67" s="10">
        <v>1027.466938</v>
      </c>
      <c r="EM67" s="10">
        <v>850.45778199999995</v>
      </c>
      <c r="EN67" s="10">
        <v>848.42319399999997</v>
      </c>
      <c r="EO67" s="10">
        <v>880.97660199999996</v>
      </c>
      <c r="EP67" s="10">
        <v>881.99389599999995</v>
      </c>
      <c r="EQ67" s="10">
        <v>935.91047800000001</v>
      </c>
      <c r="ER67" s="10">
        <v>982.70600200000001</v>
      </c>
      <c r="ES67" s="10">
        <v>984.74059</v>
      </c>
      <c r="ET67" s="10">
        <v>1047.8128180000001</v>
      </c>
      <c r="EU67" s="10">
        <v>1191.251272</v>
      </c>
      <c r="EV67" s="10">
        <v>1275.6866729999999</v>
      </c>
      <c r="EW67" s="10">
        <v>1191.251272</v>
      </c>
      <c r="EX67" s="10">
        <v>1250.2543230000001</v>
      </c>
      <c r="EY67" s="10">
        <v>1251.2716170000001</v>
      </c>
      <c r="EZ67" s="10">
        <v>1237.0295020000001</v>
      </c>
      <c r="FA67" s="10">
        <v>1233.9776199999999</v>
      </c>
      <c r="FB67" s="10">
        <v>1240.0813840000001</v>
      </c>
      <c r="FC67" s="10">
        <v>1216.683622</v>
      </c>
      <c r="FD67" s="10">
        <v>1170.9053919999999</v>
      </c>
      <c r="FE67" s="10">
        <v>1242.1159720000001</v>
      </c>
      <c r="FF67" s="10">
        <v>1228.8911499999999</v>
      </c>
      <c r="FG67" s="10">
        <v>1209.5625640000001</v>
      </c>
      <c r="FH67" s="10">
        <v>1194.3031539999999</v>
      </c>
      <c r="FI67" s="10">
        <v>1193.28586</v>
      </c>
      <c r="FJ67" s="10">
        <v>1114.9542220000001</v>
      </c>
      <c r="FK67" s="10">
        <v>953.204476</v>
      </c>
      <c r="FL67" s="10">
        <v>1036.622584</v>
      </c>
      <c r="FM67" s="10">
        <v>1023.3977619999999</v>
      </c>
      <c r="FN67" s="10">
        <v>939.97965399999998</v>
      </c>
      <c r="FO67" s="10">
        <v>802.64496399999996</v>
      </c>
      <c r="FP67" s="10">
        <v>890.132248</v>
      </c>
      <c r="FQ67" s="10">
        <v>912.51271599999995</v>
      </c>
      <c r="FR67" s="10">
        <v>967.44659200000001</v>
      </c>
      <c r="FS67" s="10">
        <v>1020.34588</v>
      </c>
      <c r="FT67" s="10">
        <v>1000</v>
      </c>
      <c r="FU67" s="10">
        <v>979.65412000000003</v>
      </c>
      <c r="FV67" s="10">
        <v>1064</v>
      </c>
      <c r="FW67" s="10">
        <v>1114</v>
      </c>
      <c r="FX67" s="10">
        <v>1166</v>
      </c>
      <c r="FY67" s="10">
        <v>1250</v>
      </c>
      <c r="FZ67" s="10">
        <v>1282</v>
      </c>
      <c r="GA67" s="10">
        <v>1226</v>
      </c>
      <c r="GB67" s="10">
        <v>1268</v>
      </c>
      <c r="GC67" s="10">
        <v>1204</v>
      </c>
      <c r="GD67" s="10">
        <v>1203</v>
      </c>
      <c r="GE67" s="10">
        <v>1171</v>
      </c>
      <c r="GF67" s="10">
        <v>1016</v>
      </c>
      <c r="GG67" s="10">
        <v>999</v>
      </c>
      <c r="GH67" s="10">
        <v>988</v>
      </c>
      <c r="GI67" s="10">
        <v>1105</v>
      </c>
      <c r="GJ67" s="10">
        <v>1195</v>
      </c>
      <c r="GK67" s="10">
        <v>1289</v>
      </c>
      <c r="GL67" s="10">
        <v>1427</v>
      </c>
      <c r="GM67" s="10">
        <v>1641</v>
      </c>
      <c r="GN67" s="10">
        <v>2084</v>
      </c>
      <c r="GO67" s="10">
        <v>2112</v>
      </c>
      <c r="GP67" s="10">
        <v>2040</v>
      </c>
      <c r="GQ67" s="10">
        <v>1829</v>
      </c>
      <c r="GR67" s="10">
        <v>1622</v>
      </c>
      <c r="GS67" s="10">
        <v>1730</v>
      </c>
    </row>
    <row r="68" spans="1:201" ht="12.6">
      <c r="A68" s="51" t="s">
        <v>1886</v>
      </c>
      <c r="B68" s="10"/>
      <c r="C68" s="10"/>
      <c r="D68" s="10"/>
      <c r="E68" s="10"/>
      <c r="F68" s="10" t="s">
        <v>1827</v>
      </c>
      <c r="G68" s="10" t="s">
        <v>1827</v>
      </c>
      <c r="H68" s="10" t="s">
        <v>1827</v>
      </c>
      <c r="I68" s="10" t="s">
        <v>1827</v>
      </c>
      <c r="J68" s="10" t="s">
        <v>1827</v>
      </c>
      <c r="K68" s="10" t="s">
        <v>1827</v>
      </c>
      <c r="L68" s="10" t="s">
        <v>1827</v>
      </c>
      <c r="M68" s="10" t="s">
        <v>1827</v>
      </c>
      <c r="N68" s="10" t="s">
        <v>1827</v>
      </c>
      <c r="O68" s="10" t="s">
        <v>1827</v>
      </c>
      <c r="P68" s="10" t="s">
        <v>1827</v>
      </c>
      <c r="Q68" s="10" t="s">
        <v>1827</v>
      </c>
      <c r="R68" s="10" t="s">
        <v>1827</v>
      </c>
      <c r="S68" s="10" t="s">
        <v>1827</v>
      </c>
      <c r="T68" s="10" t="s">
        <v>1827</v>
      </c>
      <c r="U68" s="10" t="s">
        <v>1827</v>
      </c>
      <c r="V68" s="10" t="s">
        <v>1827</v>
      </c>
      <c r="W68" s="10" t="s">
        <v>1827</v>
      </c>
      <c r="X68" s="10" t="s">
        <v>1827</v>
      </c>
      <c r="Y68" s="10" t="s">
        <v>1827</v>
      </c>
      <c r="Z68" s="10" t="s">
        <v>1827</v>
      </c>
      <c r="AA68" s="10" t="s">
        <v>1827</v>
      </c>
      <c r="AB68" s="10" t="s">
        <v>1827</v>
      </c>
      <c r="AC68" s="10" t="s">
        <v>1827</v>
      </c>
      <c r="AD68" s="10" t="s">
        <v>1827</v>
      </c>
      <c r="AE68" s="10">
        <v>278.163408</v>
      </c>
      <c r="AF68" s="10">
        <v>284.048069</v>
      </c>
      <c r="AG68" s="10">
        <v>292.83262400000001</v>
      </c>
      <c r="AH68" s="10">
        <v>300.59396299999997</v>
      </c>
      <c r="AI68" s="10">
        <v>307.124617</v>
      </c>
      <c r="AJ68" s="10">
        <v>311.94834200000003</v>
      </c>
      <c r="AK68" s="10">
        <v>318.31396100000001</v>
      </c>
      <c r="AL68" s="10">
        <v>322.85476899999998</v>
      </c>
      <c r="AM68" s="10">
        <v>322.133332</v>
      </c>
      <c r="AN68" s="10">
        <v>318.72418900000002</v>
      </c>
      <c r="AO68" s="10">
        <v>319.11084199999999</v>
      </c>
      <c r="AP68" s="10">
        <v>318.346968</v>
      </c>
      <c r="AQ68" s="10">
        <v>315.44236000000001</v>
      </c>
      <c r="AR68" s="10">
        <v>331.98353900000001</v>
      </c>
      <c r="AS68" s="10">
        <v>334.65709800000002</v>
      </c>
      <c r="AT68" s="10">
        <v>334.16671000000002</v>
      </c>
      <c r="AU68" s="10">
        <v>361.68033000000003</v>
      </c>
      <c r="AV68" s="10">
        <v>372.516029</v>
      </c>
      <c r="AW68" s="10">
        <v>379.041967</v>
      </c>
      <c r="AX68" s="10">
        <v>386.37421699999999</v>
      </c>
      <c r="AY68" s="10">
        <v>404.73077599999999</v>
      </c>
      <c r="AZ68" s="10">
        <v>416.78301499999998</v>
      </c>
      <c r="BA68" s="10">
        <v>421.531296</v>
      </c>
      <c r="BB68" s="10">
        <v>455.76418000000001</v>
      </c>
      <c r="BC68" s="10">
        <v>462.987979</v>
      </c>
      <c r="BD68" s="10">
        <v>467.326031</v>
      </c>
      <c r="BE68" s="10">
        <v>452.05326000000002</v>
      </c>
      <c r="BF68" s="10">
        <v>458.45660199999998</v>
      </c>
      <c r="BG68" s="10">
        <v>470.62672199999997</v>
      </c>
      <c r="BH68" s="10">
        <v>463.912172</v>
      </c>
      <c r="BI68" s="10">
        <v>471.69237299999998</v>
      </c>
      <c r="BJ68" s="10">
        <v>471.52733899999998</v>
      </c>
      <c r="BK68" s="10">
        <v>476.75186200000002</v>
      </c>
      <c r="BL68" s="10">
        <v>483.48527200000001</v>
      </c>
      <c r="BM68" s="10">
        <v>489.91219000000001</v>
      </c>
      <c r="BN68" s="10">
        <v>492.75078400000001</v>
      </c>
      <c r="BO68" s="10">
        <v>497.09355199999999</v>
      </c>
      <c r="BP68" s="10">
        <v>501.648506</v>
      </c>
      <c r="BQ68" s="10">
        <v>501.16283299999998</v>
      </c>
      <c r="BR68" s="10">
        <v>498.64959099999999</v>
      </c>
      <c r="BS68" s="10">
        <v>502.76602600000001</v>
      </c>
      <c r="BT68" s="10">
        <v>509.08920699999999</v>
      </c>
      <c r="BU68" s="10">
        <v>506.10443900000001</v>
      </c>
      <c r="BV68" s="10">
        <v>499.875563</v>
      </c>
      <c r="BW68" s="10">
        <v>500.45554099999998</v>
      </c>
      <c r="BX68" s="10">
        <v>503.62420500000002</v>
      </c>
      <c r="BY68" s="10">
        <v>510.24916400000001</v>
      </c>
      <c r="BZ68" s="10">
        <v>513.03117499999996</v>
      </c>
      <c r="CA68" s="10">
        <v>517.91148299999998</v>
      </c>
      <c r="CB68" s="10">
        <v>521.37249399999996</v>
      </c>
      <c r="CC68" s="10">
        <v>524.02247799999998</v>
      </c>
      <c r="CD68" s="10">
        <v>524.824074</v>
      </c>
      <c r="CE68" s="10">
        <v>521.67512999999997</v>
      </c>
      <c r="CF68" s="10">
        <v>523.24960199999998</v>
      </c>
      <c r="CG68" s="10">
        <v>528.49784299999999</v>
      </c>
      <c r="CH68" s="10">
        <v>537.41985199999999</v>
      </c>
      <c r="CI68" s="10">
        <v>539.51914799999997</v>
      </c>
      <c r="CJ68" s="10">
        <v>543.71774100000005</v>
      </c>
      <c r="CK68" s="10">
        <v>546.34186099999999</v>
      </c>
      <c r="CL68" s="10">
        <v>546.86668499999996</v>
      </c>
      <c r="CM68" s="10">
        <v>552.11492599999997</v>
      </c>
      <c r="CN68" s="10">
        <v>555.78869499999996</v>
      </c>
      <c r="CO68" s="10">
        <v>558.93763899999999</v>
      </c>
      <c r="CP68" s="10">
        <v>561.03693499999997</v>
      </c>
      <c r="CQ68" s="10">
        <v>563.66105600000003</v>
      </c>
      <c r="CR68" s="10">
        <v>563.66105600000003</v>
      </c>
      <c r="CS68" s="10">
        <v>566.80999999999995</v>
      </c>
      <c r="CT68" s="10">
        <v>565.23552800000004</v>
      </c>
      <c r="CU68" s="10">
        <v>564.71070399999996</v>
      </c>
      <c r="CV68" s="10">
        <v>564.71070399999996</v>
      </c>
      <c r="CW68" s="10">
        <v>558.41281500000002</v>
      </c>
      <c r="CX68" s="10">
        <v>559.98728700000004</v>
      </c>
      <c r="CY68" s="10">
        <v>563.66105600000003</v>
      </c>
      <c r="CZ68" s="10">
        <v>565.23552800000004</v>
      </c>
      <c r="DA68" s="10">
        <v>570.32264799999996</v>
      </c>
      <c r="DB68" s="10">
        <v>572.58358999999996</v>
      </c>
      <c r="DC68" s="10">
        <v>574.27929600000004</v>
      </c>
      <c r="DD68" s="10">
        <v>573.14882499999999</v>
      </c>
      <c r="DE68" s="10">
        <v>584.45353599999999</v>
      </c>
      <c r="DF68" s="10">
        <v>592.36683300000004</v>
      </c>
      <c r="DG68" s="10">
        <v>608.75866399999995</v>
      </c>
      <c r="DH68" s="10">
        <v>613.84578399999998</v>
      </c>
      <c r="DI68" s="10">
        <v>615.54148999999995</v>
      </c>
      <c r="DJ68" s="10">
        <v>618.36766799999998</v>
      </c>
      <c r="DK68" s="10">
        <v>624.58525799999995</v>
      </c>
      <c r="DL68" s="10">
        <v>634.75949800000001</v>
      </c>
      <c r="DM68" s="10">
        <v>638.71614699999998</v>
      </c>
      <c r="DN68" s="10">
        <v>648.32515000000001</v>
      </c>
      <c r="DO68" s="10">
        <v>653.41227000000003</v>
      </c>
      <c r="DP68" s="10">
        <v>656.23844799999995</v>
      </c>
      <c r="DQ68" s="10">
        <v>661.32556799999998</v>
      </c>
      <c r="DR68" s="10">
        <v>665.28221599999995</v>
      </c>
      <c r="DS68" s="10">
        <v>670.36933599999998</v>
      </c>
      <c r="DT68" s="10">
        <v>673.76074900000003</v>
      </c>
      <c r="DU68" s="10">
        <v>684.500225</v>
      </c>
      <c r="DV68" s="10">
        <v>698.065877</v>
      </c>
      <c r="DW68" s="10">
        <v>705.97917500000005</v>
      </c>
      <c r="DX68" s="10">
        <v>705.97917500000005</v>
      </c>
      <c r="DY68" s="10">
        <v>718.97959100000003</v>
      </c>
      <c r="DZ68" s="10">
        <v>729.15383099999997</v>
      </c>
      <c r="EA68" s="10">
        <v>731.980009</v>
      </c>
      <c r="EB68" s="10">
        <v>733.67571499999997</v>
      </c>
      <c r="EC68" s="10">
        <v>741.74614799999995</v>
      </c>
      <c r="ED68" s="10">
        <v>748.34923000000003</v>
      </c>
      <c r="EE68" s="10">
        <v>758.62068999999997</v>
      </c>
      <c r="EF68" s="10">
        <v>765.957447</v>
      </c>
      <c r="EG68" s="10">
        <v>771.09317699999997</v>
      </c>
      <c r="EH68" s="10">
        <v>777.69625799999994</v>
      </c>
      <c r="EI68" s="10">
        <v>790.902421</v>
      </c>
      <c r="EJ68" s="10">
        <v>802.64123300000006</v>
      </c>
      <c r="EK68" s="10">
        <v>809.97798999999998</v>
      </c>
      <c r="EL68" s="10">
        <v>816.58107099999995</v>
      </c>
      <c r="EM68" s="10">
        <v>825.38517999999999</v>
      </c>
      <c r="EN68" s="10">
        <v>843.72707300000002</v>
      </c>
      <c r="EO68" s="10">
        <v>848.86280299999999</v>
      </c>
      <c r="EP68" s="10">
        <v>850.33015399999999</v>
      </c>
      <c r="EQ68" s="10">
        <v>856.93323599999997</v>
      </c>
      <c r="ER68" s="10">
        <v>862.06896600000005</v>
      </c>
      <c r="ES68" s="10">
        <v>865.00366799999995</v>
      </c>
      <c r="ET68" s="10">
        <v>884.07923700000003</v>
      </c>
      <c r="EU68" s="10">
        <v>892.88334599999996</v>
      </c>
      <c r="EV68" s="10">
        <v>895.81804799999998</v>
      </c>
      <c r="EW68" s="10">
        <v>901.687454</v>
      </c>
      <c r="EX68" s="10">
        <v>904.62215700000002</v>
      </c>
      <c r="EY68" s="10">
        <v>906.08950800000002</v>
      </c>
      <c r="EZ68" s="10">
        <v>912.69259</v>
      </c>
      <c r="FA68" s="10">
        <v>911.95891400000005</v>
      </c>
      <c r="FB68" s="10">
        <v>912.69259</v>
      </c>
      <c r="FC68" s="10">
        <v>918.56199600000002</v>
      </c>
      <c r="FD68" s="10">
        <v>921.49669800000004</v>
      </c>
      <c r="FE68" s="10">
        <v>925.89875300000006</v>
      </c>
      <c r="FF68" s="10">
        <v>925.89875300000006</v>
      </c>
      <c r="FG68" s="10">
        <v>946.44167300000004</v>
      </c>
      <c r="FH68" s="10">
        <v>947.90902400000004</v>
      </c>
      <c r="FI68" s="10">
        <v>954.51210600000002</v>
      </c>
      <c r="FJ68" s="10">
        <v>956.71313299999997</v>
      </c>
      <c r="FK68" s="10">
        <v>964.78356599999995</v>
      </c>
      <c r="FL68" s="10">
        <v>966.25091699999996</v>
      </c>
      <c r="FM68" s="10">
        <v>975.055026</v>
      </c>
      <c r="FN68" s="10">
        <v>982.39178300000003</v>
      </c>
      <c r="FO68" s="10">
        <v>985.32648600000005</v>
      </c>
      <c r="FP68" s="10">
        <v>990.46221600000001</v>
      </c>
      <c r="FQ68" s="10">
        <v>991.92956700000002</v>
      </c>
      <c r="FR68" s="10">
        <v>983.85913400000004</v>
      </c>
      <c r="FS68" s="10">
        <v>985.32648600000005</v>
      </c>
      <c r="FT68" s="10">
        <v>1000</v>
      </c>
      <c r="FU68" s="10">
        <v>1001.467351</v>
      </c>
      <c r="FV68" s="10">
        <v>1009</v>
      </c>
      <c r="FW68" s="10">
        <v>1019</v>
      </c>
      <c r="FX68" s="10">
        <v>1023</v>
      </c>
      <c r="FY68" s="10">
        <v>1029</v>
      </c>
      <c r="FZ68" s="10">
        <v>1030</v>
      </c>
      <c r="GA68" s="10">
        <v>1035</v>
      </c>
      <c r="GB68" s="10">
        <v>1041</v>
      </c>
      <c r="GC68" s="10">
        <v>1050</v>
      </c>
      <c r="GD68" s="10">
        <v>1052</v>
      </c>
      <c r="GE68" s="10">
        <v>1058</v>
      </c>
      <c r="GF68" s="10">
        <v>1071</v>
      </c>
      <c r="GG68" s="10">
        <v>1070</v>
      </c>
      <c r="GH68" s="10">
        <v>1077</v>
      </c>
      <c r="GI68" s="10">
        <v>1084</v>
      </c>
      <c r="GJ68" s="10">
        <v>1097</v>
      </c>
      <c r="GK68" s="10">
        <v>1108</v>
      </c>
      <c r="GL68" s="10">
        <v>1114</v>
      </c>
      <c r="GM68" s="10">
        <v>1133</v>
      </c>
      <c r="GN68" s="10">
        <v>1153</v>
      </c>
      <c r="GO68" s="10">
        <v>1185</v>
      </c>
      <c r="GP68" s="10">
        <v>1207</v>
      </c>
      <c r="GQ68" s="10">
        <v>1221</v>
      </c>
      <c r="GR68" s="10">
        <v>1235</v>
      </c>
      <c r="GS68" s="10">
        <v>1256</v>
      </c>
    </row>
    <row r="69" spans="1:201" ht="12.6">
      <c r="A69" s="51" t="s">
        <v>1887</v>
      </c>
      <c r="B69" s="10"/>
      <c r="C69" s="10"/>
      <c r="D69" s="10"/>
      <c r="E69" s="10"/>
      <c r="F69" s="10" t="s">
        <v>1827</v>
      </c>
      <c r="G69" s="10" t="s">
        <v>1827</v>
      </c>
      <c r="H69" s="10" t="s">
        <v>1827</v>
      </c>
      <c r="I69" s="10" t="s">
        <v>1827</v>
      </c>
      <c r="J69" s="10" t="s">
        <v>1827</v>
      </c>
      <c r="K69" s="10" t="s">
        <v>1827</v>
      </c>
      <c r="L69" s="10" t="s">
        <v>1827</v>
      </c>
      <c r="M69" s="10" t="s">
        <v>1827</v>
      </c>
      <c r="N69" s="10" t="s">
        <v>1827</v>
      </c>
      <c r="O69" s="10" t="s">
        <v>1827</v>
      </c>
      <c r="P69" s="10" t="s">
        <v>1827</v>
      </c>
      <c r="Q69" s="10" t="s">
        <v>1827</v>
      </c>
      <c r="R69" s="10" t="s">
        <v>1827</v>
      </c>
      <c r="S69" s="10" t="s">
        <v>1827</v>
      </c>
      <c r="T69" s="10" t="s">
        <v>1827</v>
      </c>
      <c r="U69" s="10" t="s">
        <v>1827</v>
      </c>
      <c r="V69" s="10" t="s">
        <v>1827</v>
      </c>
      <c r="W69" s="10" t="s">
        <v>1827</v>
      </c>
      <c r="X69" s="10" t="s">
        <v>1827</v>
      </c>
      <c r="Y69" s="10" t="s">
        <v>1827</v>
      </c>
      <c r="Z69" s="10" t="s">
        <v>1827</v>
      </c>
      <c r="AA69" s="10" t="s">
        <v>1827</v>
      </c>
      <c r="AB69" s="10" t="s">
        <v>1827</v>
      </c>
      <c r="AC69" s="10" t="s">
        <v>1827</v>
      </c>
      <c r="AD69" s="10" t="s">
        <v>1827</v>
      </c>
      <c r="AE69" s="10" t="s">
        <v>1827</v>
      </c>
      <c r="AF69" s="10" t="s">
        <v>1827</v>
      </c>
      <c r="AG69" s="10" t="s">
        <v>1827</v>
      </c>
      <c r="AH69" s="10" t="s">
        <v>1827</v>
      </c>
      <c r="AI69" s="10" t="s">
        <v>1827</v>
      </c>
      <c r="AJ69" s="10" t="s">
        <v>1827</v>
      </c>
      <c r="AK69" s="10" t="s">
        <v>1827</v>
      </c>
      <c r="AL69" s="10" t="s">
        <v>1827</v>
      </c>
      <c r="AM69" s="10" t="s">
        <v>1827</v>
      </c>
      <c r="AN69" s="10" t="s">
        <v>1827</v>
      </c>
      <c r="AO69" s="10" t="s">
        <v>1827</v>
      </c>
      <c r="AP69" s="10" t="s">
        <v>1827</v>
      </c>
      <c r="AQ69" s="10" t="s">
        <v>1827</v>
      </c>
      <c r="AR69" s="10" t="s">
        <v>1827</v>
      </c>
      <c r="AS69" s="10" t="s">
        <v>1827</v>
      </c>
      <c r="AT69" s="10" t="s">
        <v>1827</v>
      </c>
      <c r="AU69" s="10" t="s">
        <v>1827</v>
      </c>
      <c r="AV69" s="10" t="s">
        <v>1827</v>
      </c>
      <c r="AW69" s="10" t="s">
        <v>1827</v>
      </c>
      <c r="AX69" s="10" t="s">
        <v>1827</v>
      </c>
      <c r="AY69" s="10" t="s">
        <v>1827</v>
      </c>
      <c r="AZ69" s="10" t="s">
        <v>1827</v>
      </c>
      <c r="BA69" s="10" t="s">
        <v>1827</v>
      </c>
      <c r="BB69" s="10" t="s">
        <v>1827</v>
      </c>
      <c r="BC69" s="10" t="s">
        <v>1827</v>
      </c>
      <c r="BD69" s="10" t="s">
        <v>1827</v>
      </c>
      <c r="BE69" s="10" t="s">
        <v>1827</v>
      </c>
      <c r="BF69" s="10" t="s">
        <v>1827</v>
      </c>
      <c r="BG69" s="10" t="s">
        <v>1827</v>
      </c>
      <c r="BH69" s="10" t="s">
        <v>1827</v>
      </c>
      <c r="BI69" s="10" t="s">
        <v>1827</v>
      </c>
      <c r="BJ69" s="10" t="s">
        <v>1827</v>
      </c>
      <c r="BK69" s="10" t="s">
        <v>1827</v>
      </c>
      <c r="BL69" s="10" t="s">
        <v>1827</v>
      </c>
      <c r="BM69" s="10" t="s">
        <v>1827</v>
      </c>
      <c r="BN69" s="10" t="s">
        <v>1827</v>
      </c>
      <c r="BO69" s="10" t="s">
        <v>1827</v>
      </c>
      <c r="BP69" s="10" t="s">
        <v>1827</v>
      </c>
      <c r="BQ69" s="10" t="s">
        <v>1827</v>
      </c>
      <c r="BR69" s="10" t="s">
        <v>1827</v>
      </c>
      <c r="BS69" s="10" t="s">
        <v>1827</v>
      </c>
      <c r="BT69" s="10" t="s">
        <v>1827</v>
      </c>
      <c r="BU69" s="10" t="s">
        <v>1827</v>
      </c>
      <c r="BV69" s="10" t="s">
        <v>1827</v>
      </c>
      <c r="BW69" s="10" t="s">
        <v>1827</v>
      </c>
      <c r="BX69" s="10" t="s">
        <v>1827</v>
      </c>
      <c r="BY69" s="10" t="s">
        <v>1827</v>
      </c>
      <c r="BZ69" s="10" t="s">
        <v>1827</v>
      </c>
      <c r="CA69" s="10" t="s">
        <v>1827</v>
      </c>
      <c r="CB69" s="10" t="s">
        <v>1827</v>
      </c>
      <c r="CC69" s="10" t="s">
        <v>1827</v>
      </c>
      <c r="CD69" s="10" t="s">
        <v>1827</v>
      </c>
      <c r="CE69" s="10" t="s">
        <v>1827</v>
      </c>
      <c r="CF69" s="10" t="s">
        <v>1827</v>
      </c>
      <c r="CG69" s="10" t="s">
        <v>1827</v>
      </c>
      <c r="CH69" s="10" t="s">
        <v>1827</v>
      </c>
      <c r="CI69" s="10" t="s">
        <v>1827</v>
      </c>
      <c r="CJ69" s="10" t="s">
        <v>1827</v>
      </c>
      <c r="CK69" s="10" t="s">
        <v>1827</v>
      </c>
      <c r="CL69" s="10" t="s">
        <v>1827</v>
      </c>
      <c r="CM69" s="10" t="s">
        <v>1827</v>
      </c>
      <c r="CN69" s="10" t="s">
        <v>1827</v>
      </c>
      <c r="CO69" s="10" t="s">
        <v>1827</v>
      </c>
      <c r="CP69" s="10" t="s">
        <v>1827</v>
      </c>
      <c r="CQ69" s="10" t="s">
        <v>1827</v>
      </c>
      <c r="CR69" s="10" t="s">
        <v>1827</v>
      </c>
      <c r="CS69" s="10" t="s">
        <v>1827</v>
      </c>
      <c r="CT69" s="10" t="s">
        <v>1827</v>
      </c>
      <c r="CU69" s="10" t="s">
        <v>1827</v>
      </c>
      <c r="CV69" s="10" t="s">
        <v>1827</v>
      </c>
      <c r="CW69" s="10" t="s">
        <v>1827</v>
      </c>
      <c r="CX69" s="10" t="s">
        <v>1827</v>
      </c>
      <c r="CY69" s="10" t="s">
        <v>1827</v>
      </c>
      <c r="CZ69" s="10">
        <v>778.66061300000001</v>
      </c>
      <c r="DA69" s="10">
        <v>942.11123699999996</v>
      </c>
      <c r="DB69" s="10">
        <v>952.32690100000002</v>
      </c>
      <c r="DC69" s="10">
        <v>953.46197500000005</v>
      </c>
      <c r="DD69" s="10">
        <v>951.19182699999999</v>
      </c>
      <c r="DE69" s="10">
        <v>954.59704899999997</v>
      </c>
      <c r="DF69" s="10">
        <v>955.732123</v>
      </c>
      <c r="DG69" s="10">
        <v>960.27241800000002</v>
      </c>
      <c r="DH69" s="10">
        <v>978.43359799999996</v>
      </c>
      <c r="DI69" s="10">
        <v>968.21793400000001</v>
      </c>
      <c r="DJ69" s="10">
        <v>969.35300800000005</v>
      </c>
      <c r="DK69" s="10">
        <v>982.97389299999998</v>
      </c>
      <c r="DL69" s="10">
        <v>986.37911499999996</v>
      </c>
      <c r="DM69" s="10">
        <v>1044.267877</v>
      </c>
      <c r="DN69" s="10">
        <v>1057.8887629999999</v>
      </c>
      <c r="DO69" s="10">
        <v>1074.914869</v>
      </c>
      <c r="DP69" s="10">
        <v>1077.185017</v>
      </c>
      <c r="DQ69" s="10">
        <v>1076.049943</v>
      </c>
      <c r="DR69" s="10">
        <v>1079.4551650000001</v>
      </c>
      <c r="DS69" s="10">
        <v>1107.832009</v>
      </c>
      <c r="DT69" s="10">
        <v>1110.102157</v>
      </c>
      <c r="DU69" s="10">
        <v>1062.4290579999999</v>
      </c>
      <c r="DV69" s="10">
        <v>1066.969353</v>
      </c>
      <c r="DW69" s="10">
        <v>1079.4551650000001</v>
      </c>
      <c r="DX69" s="10">
        <v>1095.346198</v>
      </c>
      <c r="DY69" s="10">
        <v>1123.7230420000001</v>
      </c>
      <c r="DZ69" s="10">
        <v>1124.8581160000001</v>
      </c>
      <c r="EA69" s="10">
        <v>1131.6685580000001</v>
      </c>
      <c r="EB69" s="10">
        <v>1135.0737799999999</v>
      </c>
      <c r="EC69" s="10">
        <v>1098.7514189999999</v>
      </c>
      <c r="ED69" s="10">
        <v>1099.886493</v>
      </c>
      <c r="EE69" s="10">
        <v>1107.832009</v>
      </c>
      <c r="EF69" s="10">
        <v>1111.23723</v>
      </c>
      <c r="EG69" s="10">
        <v>1115.7775260000001</v>
      </c>
      <c r="EH69" s="10">
        <v>1115.7775260000001</v>
      </c>
      <c r="EI69" s="10">
        <v>1118.047673</v>
      </c>
      <c r="EJ69" s="10">
        <v>1119.1827470000001</v>
      </c>
      <c r="EK69" s="10">
        <v>1225.879682</v>
      </c>
      <c r="EL69" s="10">
        <v>1225.879682</v>
      </c>
      <c r="EM69" s="10">
        <v>1229.2849040000001</v>
      </c>
      <c r="EN69" s="10">
        <v>1232.6901250000001</v>
      </c>
      <c r="EO69" s="10">
        <v>1349.6027240000001</v>
      </c>
      <c r="EP69" s="10">
        <v>1362.088536</v>
      </c>
      <c r="EQ69" s="10">
        <v>1363.22361</v>
      </c>
      <c r="ER69" s="10">
        <v>1363.22361</v>
      </c>
      <c r="ES69" s="10">
        <v>1477.8660609999999</v>
      </c>
      <c r="ET69" s="10">
        <v>1523.269012</v>
      </c>
      <c r="EU69" s="10">
        <v>1525.53916</v>
      </c>
      <c r="EV69" s="10">
        <v>1525.53916</v>
      </c>
      <c r="EW69" s="10">
        <v>1525.53916</v>
      </c>
      <c r="EX69" s="10">
        <v>1524.404086</v>
      </c>
      <c r="EY69" s="10">
        <v>1524.404086</v>
      </c>
      <c r="EZ69" s="10">
        <v>1528.944381</v>
      </c>
      <c r="FA69" s="10">
        <v>1535.7548240000001</v>
      </c>
      <c r="FB69" s="10">
        <v>1516.45857</v>
      </c>
      <c r="FC69" s="10">
        <v>1505.1078319999999</v>
      </c>
      <c r="FD69" s="10">
        <v>1505.1078319999999</v>
      </c>
      <c r="FE69" s="10">
        <v>1514.1884219999999</v>
      </c>
      <c r="FF69" s="10">
        <v>1519.863791</v>
      </c>
      <c r="FG69" s="10">
        <v>1525.53916</v>
      </c>
      <c r="FH69" s="10">
        <v>1525.53916</v>
      </c>
      <c r="FI69" s="10">
        <v>1500.5675369999999</v>
      </c>
      <c r="FJ69" s="10">
        <v>1501.7026109999999</v>
      </c>
      <c r="FK69" s="10">
        <v>1503.9727580000001</v>
      </c>
      <c r="FL69" s="10">
        <v>1505.1078319999999</v>
      </c>
      <c r="FM69" s="10">
        <v>1140.749149</v>
      </c>
      <c r="FN69" s="10">
        <v>1141.8842219999999</v>
      </c>
      <c r="FO69" s="10">
        <v>1158.910329</v>
      </c>
      <c r="FP69" s="10">
        <v>1155.5051080000001</v>
      </c>
      <c r="FQ69" s="10">
        <v>997.72985200000005</v>
      </c>
      <c r="FR69" s="10">
        <v>993.18955700000004</v>
      </c>
      <c r="FS69" s="10">
        <v>994.32463099999995</v>
      </c>
      <c r="FT69" s="10">
        <v>1000</v>
      </c>
      <c r="FU69" s="10">
        <v>972.75822900000003</v>
      </c>
      <c r="FV69" s="10">
        <v>975</v>
      </c>
      <c r="FW69" s="10">
        <v>980</v>
      </c>
      <c r="FX69" s="10">
        <v>982</v>
      </c>
      <c r="FY69" s="10">
        <v>983</v>
      </c>
      <c r="FZ69" s="10">
        <v>976</v>
      </c>
      <c r="GA69" s="10">
        <v>985</v>
      </c>
      <c r="GB69" s="10">
        <v>1003</v>
      </c>
      <c r="GC69" s="10">
        <v>1069</v>
      </c>
      <c r="GD69" s="10">
        <v>1077</v>
      </c>
      <c r="GE69" s="10">
        <v>1079</v>
      </c>
      <c r="GF69" s="10">
        <v>1039</v>
      </c>
      <c r="GG69" s="10">
        <v>1084</v>
      </c>
      <c r="GH69" s="10">
        <v>1086</v>
      </c>
      <c r="GI69" s="10">
        <v>1088</v>
      </c>
      <c r="GJ69" s="10">
        <v>1092</v>
      </c>
      <c r="GK69" s="10">
        <v>1122</v>
      </c>
      <c r="GL69" s="10">
        <v>1127</v>
      </c>
      <c r="GM69" s="10">
        <v>1132</v>
      </c>
      <c r="GN69" s="10">
        <v>1093</v>
      </c>
      <c r="GO69" s="10">
        <v>1060</v>
      </c>
      <c r="GP69" s="10">
        <v>1066</v>
      </c>
      <c r="GQ69" s="10">
        <v>1067</v>
      </c>
      <c r="GR69" s="10">
        <v>1068</v>
      </c>
      <c r="GS69" s="10">
        <v>1141</v>
      </c>
    </row>
    <row r="70" spans="1:201" ht="12.6">
      <c r="A70" s="51" t="s">
        <v>1888</v>
      </c>
      <c r="B70" s="10"/>
      <c r="C70" s="10"/>
      <c r="D70" s="10"/>
      <c r="E70" s="10"/>
      <c r="F70" s="10" t="s">
        <v>1827</v>
      </c>
      <c r="G70" s="10" t="s">
        <v>1827</v>
      </c>
      <c r="H70" s="10" t="s">
        <v>1827</v>
      </c>
      <c r="I70" s="10" t="s">
        <v>1827</v>
      </c>
      <c r="J70" s="10" t="s">
        <v>1827</v>
      </c>
      <c r="K70" s="10" t="s">
        <v>1827</v>
      </c>
      <c r="L70" s="10" t="s">
        <v>1827</v>
      </c>
      <c r="M70" s="10" t="s">
        <v>1827</v>
      </c>
      <c r="N70" s="10" t="s">
        <v>1827</v>
      </c>
      <c r="O70" s="10" t="s">
        <v>1827</v>
      </c>
      <c r="P70" s="10" t="s">
        <v>1827</v>
      </c>
      <c r="Q70" s="10" t="s">
        <v>1827</v>
      </c>
      <c r="R70" s="10" t="s">
        <v>1827</v>
      </c>
      <c r="S70" s="10" t="s">
        <v>1827</v>
      </c>
      <c r="T70" s="10" t="s">
        <v>1827</v>
      </c>
      <c r="U70" s="10" t="s">
        <v>1827</v>
      </c>
      <c r="V70" s="10" t="s">
        <v>1827</v>
      </c>
      <c r="W70" s="10" t="s">
        <v>1827</v>
      </c>
      <c r="X70" s="10" t="s">
        <v>1827</v>
      </c>
      <c r="Y70" s="10" t="s">
        <v>1827</v>
      </c>
      <c r="Z70" s="10" t="s">
        <v>1827</v>
      </c>
      <c r="AA70" s="10" t="s">
        <v>1827</v>
      </c>
      <c r="AB70" s="10" t="s">
        <v>1827</v>
      </c>
      <c r="AC70" s="10" t="s">
        <v>1827</v>
      </c>
      <c r="AD70" s="10" t="s">
        <v>1827</v>
      </c>
      <c r="AE70" s="10" t="s">
        <v>1827</v>
      </c>
      <c r="AF70" s="10" t="s">
        <v>1827</v>
      </c>
      <c r="AG70" s="10" t="s">
        <v>1827</v>
      </c>
      <c r="AH70" s="10" t="s">
        <v>1827</v>
      </c>
      <c r="AI70" s="10" t="s">
        <v>1827</v>
      </c>
      <c r="AJ70" s="10" t="s">
        <v>1827</v>
      </c>
      <c r="AK70" s="10" t="s">
        <v>1827</v>
      </c>
      <c r="AL70" s="10" t="s">
        <v>1827</v>
      </c>
      <c r="AM70" s="10" t="s">
        <v>1827</v>
      </c>
      <c r="AN70" s="10" t="s">
        <v>1827</v>
      </c>
      <c r="AO70" s="10" t="s">
        <v>1827</v>
      </c>
      <c r="AP70" s="10" t="s">
        <v>1827</v>
      </c>
      <c r="AQ70" s="10" t="s">
        <v>1827</v>
      </c>
      <c r="AR70" s="10" t="s">
        <v>1827</v>
      </c>
      <c r="AS70" s="10" t="s">
        <v>1827</v>
      </c>
      <c r="AT70" s="10" t="s">
        <v>1827</v>
      </c>
      <c r="AU70" s="10" t="s">
        <v>1827</v>
      </c>
      <c r="AV70" s="10" t="s">
        <v>1827</v>
      </c>
      <c r="AW70" s="10" t="s">
        <v>1827</v>
      </c>
      <c r="AX70" s="10" t="s">
        <v>1827</v>
      </c>
      <c r="AY70" s="10" t="s">
        <v>1827</v>
      </c>
      <c r="AZ70" s="10" t="s">
        <v>1827</v>
      </c>
      <c r="BA70" s="10" t="s">
        <v>1827</v>
      </c>
      <c r="BB70" s="10" t="s">
        <v>1827</v>
      </c>
      <c r="BC70" s="10" t="s">
        <v>1827</v>
      </c>
      <c r="BD70" s="10" t="s">
        <v>1827</v>
      </c>
      <c r="BE70" s="10" t="s">
        <v>1827</v>
      </c>
      <c r="BF70" s="10" t="s">
        <v>1827</v>
      </c>
      <c r="BG70" s="10" t="s">
        <v>1827</v>
      </c>
      <c r="BH70" s="10" t="s">
        <v>1827</v>
      </c>
      <c r="BI70" s="10" t="s">
        <v>1827</v>
      </c>
      <c r="BJ70" s="10" t="s">
        <v>1827</v>
      </c>
      <c r="BK70" s="10" t="s">
        <v>1827</v>
      </c>
      <c r="BL70" s="10" t="s">
        <v>1827</v>
      </c>
      <c r="BM70" s="10" t="s">
        <v>1827</v>
      </c>
      <c r="BN70" s="10" t="s">
        <v>1827</v>
      </c>
      <c r="BO70" s="10" t="s">
        <v>1827</v>
      </c>
      <c r="BP70" s="10" t="s">
        <v>1827</v>
      </c>
      <c r="BQ70" s="10" t="s">
        <v>1827</v>
      </c>
      <c r="BR70" s="10" t="s">
        <v>1827</v>
      </c>
      <c r="BS70" s="10" t="s">
        <v>1827</v>
      </c>
      <c r="BT70" s="10" t="s">
        <v>1827</v>
      </c>
      <c r="BU70" s="10" t="s">
        <v>1827</v>
      </c>
      <c r="BV70" s="10" t="s">
        <v>1827</v>
      </c>
      <c r="BW70" s="10" t="s">
        <v>1827</v>
      </c>
      <c r="BX70" s="10" t="s">
        <v>1827</v>
      </c>
      <c r="BY70" s="10" t="s">
        <v>1827</v>
      </c>
      <c r="BZ70" s="10" t="s">
        <v>1827</v>
      </c>
      <c r="CA70" s="10" t="s">
        <v>1827</v>
      </c>
      <c r="CB70" s="10" t="s">
        <v>1827</v>
      </c>
      <c r="CC70" s="10" t="s">
        <v>1827</v>
      </c>
      <c r="CD70" s="10" t="s">
        <v>1827</v>
      </c>
      <c r="CE70" s="10" t="s">
        <v>1827</v>
      </c>
      <c r="CF70" s="10" t="s">
        <v>1827</v>
      </c>
      <c r="CG70" s="10" t="s">
        <v>1827</v>
      </c>
      <c r="CH70" s="10" t="s">
        <v>1827</v>
      </c>
      <c r="CI70" s="10" t="s">
        <v>1827</v>
      </c>
      <c r="CJ70" s="10" t="s">
        <v>1827</v>
      </c>
      <c r="CK70" s="10" t="s">
        <v>1827</v>
      </c>
      <c r="CL70" s="10" t="s">
        <v>1827</v>
      </c>
      <c r="CM70" s="10" t="s">
        <v>1827</v>
      </c>
      <c r="CN70" s="10" t="s">
        <v>1827</v>
      </c>
      <c r="CO70" s="10" t="s">
        <v>1827</v>
      </c>
      <c r="CP70" s="10" t="s">
        <v>1827</v>
      </c>
      <c r="CQ70" s="10" t="s">
        <v>1827</v>
      </c>
      <c r="CR70" s="10" t="s">
        <v>1827</v>
      </c>
      <c r="CS70" s="10" t="s">
        <v>1827</v>
      </c>
      <c r="CT70" s="10" t="s">
        <v>1827</v>
      </c>
      <c r="CU70" s="10" t="s">
        <v>1827</v>
      </c>
      <c r="CV70" s="10" t="s">
        <v>1827</v>
      </c>
      <c r="CW70" s="10" t="s">
        <v>1827</v>
      </c>
      <c r="CX70" s="10" t="s">
        <v>1827</v>
      </c>
      <c r="CY70" s="10" t="s">
        <v>1827</v>
      </c>
      <c r="CZ70" s="10">
        <v>518.31160799999998</v>
      </c>
      <c r="DA70" s="10">
        <v>518.31160799999998</v>
      </c>
      <c r="DB70" s="10">
        <v>520.79453799999999</v>
      </c>
      <c r="DC70" s="10">
        <v>520.79453799999999</v>
      </c>
      <c r="DD70" s="10">
        <v>520.79453799999999</v>
      </c>
      <c r="DE70" s="10">
        <v>520.79453799999999</v>
      </c>
      <c r="DF70" s="10">
        <v>558.65921800000001</v>
      </c>
      <c r="DG70" s="10">
        <v>558.65921800000001</v>
      </c>
      <c r="DH70" s="10">
        <v>558.65921800000001</v>
      </c>
      <c r="DI70" s="10">
        <v>558.65921800000001</v>
      </c>
      <c r="DJ70" s="10">
        <v>558.65921800000001</v>
      </c>
      <c r="DK70" s="10">
        <v>560.52141500000005</v>
      </c>
      <c r="DL70" s="10">
        <v>560.52141500000005</v>
      </c>
      <c r="DM70" s="10">
        <v>540.03724399999999</v>
      </c>
      <c r="DN70" s="10">
        <v>571.69460000000004</v>
      </c>
      <c r="DO70" s="10">
        <v>572.93606499999999</v>
      </c>
      <c r="DP70" s="10">
        <v>572.93606499999999</v>
      </c>
      <c r="DQ70" s="10">
        <v>572.93606499999999</v>
      </c>
      <c r="DR70" s="10">
        <v>572.93606499999999</v>
      </c>
      <c r="DS70" s="10">
        <v>572.93606499999999</v>
      </c>
      <c r="DT70" s="10">
        <v>572.93606499999999</v>
      </c>
      <c r="DU70" s="10">
        <v>572.93606499999999</v>
      </c>
      <c r="DV70" s="10">
        <v>579.76412200000004</v>
      </c>
      <c r="DW70" s="10">
        <v>577.28119200000003</v>
      </c>
      <c r="DX70" s="10">
        <v>577.28119200000003</v>
      </c>
      <c r="DY70" s="10">
        <v>577.28119200000003</v>
      </c>
      <c r="DZ70" s="10">
        <v>584.72998099999995</v>
      </c>
      <c r="EA70" s="10">
        <v>620.73246400000005</v>
      </c>
      <c r="EB70" s="10">
        <v>620.73246400000005</v>
      </c>
      <c r="EC70" s="10">
        <v>638.73370599999998</v>
      </c>
      <c r="ED70" s="10">
        <v>690.87523299999998</v>
      </c>
      <c r="EE70" s="10">
        <v>699.56548699999996</v>
      </c>
      <c r="EF70" s="10">
        <v>699.56548699999996</v>
      </c>
      <c r="EG70" s="10">
        <v>699.56548699999996</v>
      </c>
      <c r="EH70" s="10">
        <v>699.56548699999996</v>
      </c>
      <c r="EI70" s="10">
        <v>706.39354400000002</v>
      </c>
      <c r="EJ70" s="10">
        <v>706.39354400000002</v>
      </c>
      <c r="EK70" s="10">
        <v>725.63625100000002</v>
      </c>
      <c r="EL70" s="10">
        <v>760.39726900000005</v>
      </c>
      <c r="EM70" s="10">
        <v>760.39726900000005</v>
      </c>
      <c r="EN70" s="10">
        <v>760.39726900000005</v>
      </c>
      <c r="EO70" s="10">
        <v>760.39726900000005</v>
      </c>
      <c r="EP70" s="10">
        <v>760.39726900000005</v>
      </c>
      <c r="EQ70" s="10">
        <v>771.57045300000004</v>
      </c>
      <c r="ER70" s="10">
        <v>780.26070800000002</v>
      </c>
      <c r="ES70" s="10">
        <v>780.26070800000002</v>
      </c>
      <c r="ET70" s="10">
        <v>804.46927400000004</v>
      </c>
      <c r="EU70" s="10">
        <v>806.95220400000005</v>
      </c>
      <c r="EV70" s="10">
        <v>817.50465499999996</v>
      </c>
      <c r="EW70" s="10">
        <v>810.67659800000001</v>
      </c>
      <c r="EX70" s="10">
        <v>805.09000600000002</v>
      </c>
      <c r="EY70" s="10">
        <v>806.95220400000005</v>
      </c>
      <c r="EZ70" s="10">
        <v>816.26319100000001</v>
      </c>
      <c r="FA70" s="10">
        <v>844.81688399999996</v>
      </c>
      <c r="FB70" s="10">
        <v>909.37306000000001</v>
      </c>
      <c r="FC70" s="10">
        <v>909.37306000000001</v>
      </c>
      <c r="FD70" s="10">
        <v>911.23525800000004</v>
      </c>
      <c r="FE70" s="10">
        <v>913.71818699999994</v>
      </c>
      <c r="FF70" s="10">
        <v>928.61576700000001</v>
      </c>
      <c r="FG70" s="10">
        <v>928.61576700000001</v>
      </c>
      <c r="FH70" s="10">
        <v>928.61576700000001</v>
      </c>
      <c r="FI70" s="10">
        <v>930.47796400000004</v>
      </c>
      <c r="FJ70" s="10">
        <v>930.47796400000004</v>
      </c>
      <c r="FK70" s="10">
        <v>930.47796400000004</v>
      </c>
      <c r="FL70" s="10">
        <v>932.96089400000005</v>
      </c>
      <c r="FM70" s="10">
        <v>932.96089400000005</v>
      </c>
      <c r="FN70" s="10">
        <v>932.96089400000005</v>
      </c>
      <c r="FO70" s="10">
        <v>942.89261299999998</v>
      </c>
      <c r="FP70" s="10">
        <v>943.51334599999996</v>
      </c>
      <c r="FQ70" s="10">
        <v>1013.035382</v>
      </c>
      <c r="FR70" s="10">
        <v>1009.931719</v>
      </c>
      <c r="FS70" s="10">
        <v>1016.759777</v>
      </c>
      <c r="FT70" s="10">
        <v>1000</v>
      </c>
      <c r="FU70" s="10">
        <v>1000</v>
      </c>
      <c r="FV70" s="10">
        <v>1009</v>
      </c>
      <c r="FW70" s="10">
        <v>1018</v>
      </c>
      <c r="FX70" s="10">
        <v>1033</v>
      </c>
      <c r="FY70" s="10">
        <v>1035</v>
      </c>
      <c r="FZ70" s="10">
        <v>1037</v>
      </c>
      <c r="GA70" s="10">
        <v>1033</v>
      </c>
      <c r="GB70" s="10">
        <v>1043</v>
      </c>
      <c r="GC70" s="10">
        <v>1043</v>
      </c>
      <c r="GD70" s="10">
        <v>1043</v>
      </c>
      <c r="GE70" s="10">
        <v>1043</v>
      </c>
      <c r="GF70" s="10">
        <v>540</v>
      </c>
      <c r="GG70" s="10">
        <v>1042</v>
      </c>
      <c r="GH70" s="10">
        <v>1042</v>
      </c>
      <c r="GI70" s="10">
        <v>1053</v>
      </c>
      <c r="GJ70" s="10">
        <v>1053</v>
      </c>
      <c r="GK70" s="10">
        <v>1053</v>
      </c>
      <c r="GL70" s="10">
        <v>1053</v>
      </c>
      <c r="GM70" s="10">
        <v>1053</v>
      </c>
      <c r="GN70" s="10">
        <v>526</v>
      </c>
      <c r="GO70" s="10">
        <v>526</v>
      </c>
      <c r="GP70" s="10">
        <v>526</v>
      </c>
      <c r="GQ70" s="10">
        <v>530</v>
      </c>
      <c r="GR70" s="10">
        <v>542</v>
      </c>
      <c r="GS70" s="10">
        <v>905</v>
      </c>
    </row>
    <row r="71" spans="1:201" ht="12.6">
      <c r="A71" s="51" t="s">
        <v>1889</v>
      </c>
      <c r="B71" s="10"/>
      <c r="C71" s="10"/>
      <c r="D71" s="10"/>
      <c r="E71" s="10"/>
      <c r="F71" s="10" t="s">
        <v>1827</v>
      </c>
      <c r="G71" s="10" t="s">
        <v>1827</v>
      </c>
      <c r="H71" s="10" t="s">
        <v>1827</v>
      </c>
      <c r="I71" s="10" t="s">
        <v>1827</v>
      </c>
      <c r="J71" s="10" t="s">
        <v>1827</v>
      </c>
      <c r="K71" s="10" t="s">
        <v>1827</v>
      </c>
      <c r="L71" s="10" t="s">
        <v>1827</v>
      </c>
      <c r="M71" s="10" t="s">
        <v>1827</v>
      </c>
      <c r="N71" s="10" t="s">
        <v>1827</v>
      </c>
      <c r="O71" s="10" t="s">
        <v>1827</v>
      </c>
      <c r="P71" s="10" t="s">
        <v>1827</v>
      </c>
      <c r="Q71" s="10" t="s">
        <v>1827</v>
      </c>
      <c r="R71" s="10" t="s">
        <v>1827</v>
      </c>
      <c r="S71" s="10" t="s">
        <v>1827</v>
      </c>
      <c r="T71" s="10" t="s">
        <v>1827</v>
      </c>
      <c r="U71" s="10" t="s">
        <v>1827</v>
      </c>
      <c r="V71" s="10" t="s">
        <v>1827</v>
      </c>
      <c r="W71" s="10" t="s">
        <v>1827</v>
      </c>
      <c r="X71" s="10" t="s">
        <v>1827</v>
      </c>
      <c r="Y71" s="10" t="s">
        <v>1827</v>
      </c>
      <c r="Z71" s="10" t="s">
        <v>1827</v>
      </c>
      <c r="AA71" s="10" t="s">
        <v>1827</v>
      </c>
      <c r="AB71" s="10" t="s">
        <v>1827</v>
      </c>
      <c r="AC71" s="10" t="s">
        <v>1827</v>
      </c>
      <c r="AD71" s="10" t="s">
        <v>1827</v>
      </c>
      <c r="AE71" s="10" t="s">
        <v>1827</v>
      </c>
      <c r="AF71" s="10" t="s">
        <v>1827</v>
      </c>
      <c r="AG71" s="10" t="s">
        <v>1827</v>
      </c>
      <c r="AH71" s="10" t="s">
        <v>1827</v>
      </c>
      <c r="AI71" s="10" t="s">
        <v>1827</v>
      </c>
      <c r="AJ71" s="10" t="s">
        <v>1827</v>
      </c>
      <c r="AK71" s="10" t="s">
        <v>1827</v>
      </c>
      <c r="AL71" s="10" t="s">
        <v>1827</v>
      </c>
      <c r="AM71" s="10" t="s">
        <v>1827</v>
      </c>
      <c r="AN71" s="10" t="s">
        <v>1827</v>
      </c>
      <c r="AO71" s="10" t="s">
        <v>1827</v>
      </c>
      <c r="AP71" s="10" t="s">
        <v>1827</v>
      </c>
      <c r="AQ71" s="10" t="s">
        <v>1827</v>
      </c>
      <c r="AR71" s="10" t="s">
        <v>1827</v>
      </c>
      <c r="AS71" s="10" t="s">
        <v>1827</v>
      </c>
      <c r="AT71" s="10" t="s">
        <v>1827</v>
      </c>
      <c r="AU71" s="10" t="s">
        <v>1827</v>
      </c>
      <c r="AV71" s="10" t="s">
        <v>1827</v>
      </c>
      <c r="AW71" s="10" t="s">
        <v>1827</v>
      </c>
      <c r="AX71" s="10" t="s">
        <v>1827</v>
      </c>
      <c r="AY71" s="10" t="s">
        <v>1827</v>
      </c>
      <c r="AZ71" s="10" t="s">
        <v>1827</v>
      </c>
      <c r="BA71" s="10" t="s">
        <v>1827</v>
      </c>
      <c r="BB71" s="10" t="s">
        <v>1827</v>
      </c>
      <c r="BC71" s="10" t="s">
        <v>1827</v>
      </c>
      <c r="BD71" s="10" t="s">
        <v>1827</v>
      </c>
      <c r="BE71" s="10" t="s">
        <v>1827</v>
      </c>
      <c r="BF71" s="10" t="s">
        <v>1827</v>
      </c>
      <c r="BG71" s="10" t="s">
        <v>1827</v>
      </c>
      <c r="BH71" s="10" t="s">
        <v>1827</v>
      </c>
      <c r="BI71" s="10" t="s">
        <v>1827</v>
      </c>
      <c r="BJ71" s="10" t="s">
        <v>1827</v>
      </c>
      <c r="BK71" s="10" t="s">
        <v>1827</v>
      </c>
      <c r="BL71" s="10" t="s">
        <v>1827</v>
      </c>
      <c r="BM71" s="10" t="s">
        <v>1827</v>
      </c>
      <c r="BN71" s="10" t="s">
        <v>1827</v>
      </c>
      <c r="BO71" s="10" t="s">
        <v>1827</v>
      </c>
      <c r="BP71" s="10" t="s">
        <v>1827</v>
      </c>
      <c r="BQ71" s="10" t="s">
        <v>1827</v>
      </c>
      <c r="BR71" s="10" t="s">
        <v>1827</v>
      </c>
      <c r="BS71" s="10" t="s">
        <v>1827</v>
      </c>
      <c r="BT71" s="10" t="s">
        <v>1827</v>
      </c>
      <c r="BU71" s="10" t="s">
        <v>1827</v>
      </c>
      <c r="BV71" s="10" t="s">
        <v>1827</v>
      </c>
      <c r="BW71" s="10" t="s">
        <v>1827</v>
      </c>
      <c r="BX71" s="10" t="s">
        <v>1827</v>
      </c>
      <c r="BY71" s="10" t="s">
        <v>1827</v>
      </c>
      <c r="BZ71" s="10" t="s">
        <v>1827</v>
      </c>
      <c r="CA71" s="10" t="s">
        <v>1827</v>
      </c>
      <c r="CB71" s="10" t="s">
        <v>1827</v>
      </c>
      <c r="CC71" s="10" t="s">
        <v>1827</v>
      </c>
      <c r="CD71" s="10" t="s">
        <v>1827</v>
      </c>
      <c r="CE71" s="10" t="s">
        <v>1827</v>
      </c>
      <c r="CF71" s="10" t="s">
        <v>1827</v>
      </c>
      <c r="CG71" s="10" t="s">
        <v>1827</v>
      </c>
      <c r="CH71" s="10" t="s">
        <v>1827</v>
      </c>
      <c r="CI71" s="10" t="s">
        <v>1827</v>
      </c>
      <c r="CJ71" s="10" t="s">
        <v>1827</v>
      </c>
      <c r="CK71" s="10" t="s">
        <v>1827</v>
      </c>
      <c r="CL71" s="10" t="s">
        <v>1827</v>
      </c>
      <c r="CM71" s="10" t="s">
        <v>1827</v>
      </c>
      <c r="CN71" s="10" t="s">
        <v>1827</v>
      </c>
      <c r="CO71" s="10" t="s">
        <v>1827</v>
      </c>
      <c r="CP71" s="10" t="s">
        <v>1827</v>
      </c>
      <c r="CQ71" s="10" t="s">
        <v>1827</v>
      </c>
      <c r="CR71" s="10" t="s">
        <v>1827</v>
      </c>
      <c r="CS71" s="10" t="s">
        <v>1827</v>
      </c>
      <c r="CT71" s="10" t="s">
        <v>1827</v>
      </c>
      <c r="CU71" s="10" t="s">
        <v>1827</v>
      </c>
      <c r="CV71" s="10" t="s">
        <v>1827</v>
      </c>
      <c r="CW71" s="10" t="s">
        <v>1827</v>
      </c>
      <c r="CX71" s="10" t="s">
        <v>1827</v>
      </c>
      <c r="CY71" s="10" t="s">
        <v>1827</v>
      </c>
      <c r="CZ71" s="10">
        <v>655.56396700000005</v>
      </c>
      <c r="DA71" s="10">
        <v>657.07797100000005</v>
      </c>
      <c r="DB71" s="10">
        <v>697.95609400000001</v>
      </c>
      <c r="DC71" s="10">
        <v>699.47009800000001</v>
      </c>
      <c r="DD71" s="10">
        <v>644.96593499999994</v>
      </c>
      <c r="DE71" s="10">
        <v>653.29295999999999</v>
      </c>
      <c r="DF71" s="10">
        <v>676.00302799999997</v>
      </c>
      <c r="DG71" s="10">
        <v>697.19909199999995</v>
      </c>
      <c r="DH71" s="10">
        <v>688.87206700000002</v>
      </c>
      <c r="DI71" s="10">
        <v>680.54504199999997</v>
      </c>
      <c r="DJ71" s="10">
        <v>691.90007600000001</v>
      </c>
      <c r="DK71" s="10">
        <v>708.554126</v>
      </c>
      <c r="DL71" s="10">
        <v>678.27403500000003</v>
      </c>
      <c r="DM71" s="10">
        <v>682.05904599999997</v>
      </c>
      <c r="DN71" s="10">
        <v>696.44208900000001</v>
      </c>
      <c r="DO71" s="10">
        <v>713.09613899999999</v>
      </c>
      <c r="DP71" s="10">
        <v>697.19909199999995</v>
      </c>
      <c r="DQ71" s="10">
        <v>694.92808500000001</v>
      </c>
      <c r="DR71" s="10">
        <v>693.41408000000001</v>
      </c>
      <c r="DS71" s="10">
        <v>682.05904599999997</v>
      </c>
      <c r="DT71" s="10">
        <v>681.30204400000002</v>
      </c>
      <c r="DU71" s="10">
        <v>694.92808500000001</v>
      </c>
      <c r="DV71" s="10">
        <v>712.33913700000005</v>
      </c>
      <c r="DW71" s="10">
        <v>713.09613899999999</v>
      </c>
      <c r="DX71" s="10">
        <v>711.58213499999999</v>
      </c>
      <c r="DY71" s="10">
        <v>716.88115100000005</v>
      </c>
      <c r="DZ71" s="10">
        <v>751.70325500000001</v>
      </c>
      <c r="EA71" s="10">
        <v>759.273278</v>
      </c>
      <c r="EB71" s="10">
        <v>757.00227099999995</v>
      </c>
      <c r="EC71" s="10">
        <v>765.329296</v>
      </c>
      <c r="ED71" s="10">
        <v>797.88039400000002</v>
      </c>
      <c r="EE71" s="10">
        <v>804.69341399999996</v>
      </c>
      <c r="EF71" s="10">
        <v>793.33838000000003</v>
      </c>
      <c r="EG71" s="10">
        <v>800.15139999999997</v>
      </c>
      <c r="EH71" s="10">
        <v>815.29144599999995</v>
      </c>
      <c r="EI71" s="10">
        <v>822.86146900000006</v>
      </c>
      <c r="EJ71" s="10">
        <v>815.29144599999995</v>
      </c>
      <c r="EK71" s="10">
        <v>831.94549600000005</v>
      </c>
      <c r="EL71" s="10">
        <v>844.81453399999998</v>
      </c>
      <c r="EM71" s="10">
        <v>832.70249799999999</v>
      </c>
      <c r="EN71" s="10">
        <v>829.67448899999999</v>
      </c>
      <c r="EO71" s="10">
        <v>846.32853899999998</v>
      </c>
      <c r="EP71" s="10">
        <v>850.11355000000003</v>
      </c>
      <c r="EQ71" s="10">
        <v>850.11355000000003</v>
      </c>
      <c r="ER71" s="10">
        <v>850.87055299999997</v>
      </c>
      <c r="ES71" s="10">
        <v>868.28160500000001</v>
      </c>
      <c r="ET71" s="10">
        <v>894.01968199999999</v>
      </c>
      <c r="EU71" s="10">
        <v>910.67373199999997</v>
      </c>
      <c r="EV71" s="10">
        <v>903.10370899999998</v>
      </c>
      <c r="EW71" s="10">
        <v>963.66389100000004</v>
      </c>
      <c r="EX71" s="10">
        <v>953.82286099999999</v>
      </c>
      <c r="EY71" s="10">
        <v>950.03785000000005</v>
      </c>
      <c r="EZ71" s="10">
        <v>925.05677500000002</v>
      </c>
      <c r="FA71" s="10">
        <v>910.67373199999997</v>
      </c>
      <c r="FB71" s="10">
        <v>935.65480700000001</v>
      </c>
      <c r="FC71" s="10">
        <v>934.89780499999995</v>
      </c>
      <c r="FD71" s="10">
        <v>932.62679800000001</v>
      </c>
      <c r="FE71" s="10">
        <v>934.89780499999995</v>
      </c>
      <c r="FF71" s="10">
        <v>957.60787300000004</v>
      </c>
      <c r="FG71" s="10">
        <v>966.69190000000003</v>
      </c>
      <c r="FH71" s="10">
        <v>947.00984100000005</v>
      </c>
      <c r="FI71" s="10">
        <v>949.28084799999999</v>
      </c>
      <c r="FJ71" s="10">
        <v>967.44890199999998</v>
      </c>
      <c r="FK71" s="10">
        <v>1022.710068</v>
      </c>
      <c r="FL71" s="10">
        <v>947.00984100000005</v>
      </c>
      <c r="FM71" s="10">
        <v>947.00984100000005</v>
      </c>
      <c r="FN71" s="10">
        <v>1018.925057</v>
      </c>
      <c r="FO71" s="10">
        <v>1056.0181680000001</v>
      </c>
      <c r="FP71" s="10">
        <v>956.85087099999998</v>
      </c>
      <c r="FQ71" s="10">
        <v>973.50492099999997</v>
      </c>
      <c r="FR71" s="10">
        <v>1077.9712340000001</v>
      </c>
      <c r="FS71" s="10">
        <v>1090.0832700000001</v>
      </c>
      <c r="FT71" s="10">
        <v>1000</v>
      </c>
      <c r="FU71" s="10">
        <v>987.13096099999996</v>
      </c>
      <c r="FV71" s="10">
        <v>1070</v>
      </c>
      <c r="FW71" s="10">
        <v>1057</v>
      </c>
      <c r="FX71" s="10">
        <v>995</v>
      </c>
      <c r="FY71" s="10">
        <v>982</v>
      </c>
      <c r="FZ71" s="10">
        <v>1118</v>
      </c>
      <c r="GA71" s="10">
        <v>1162</v>
      </c>
      <c r="GB71" s="10">
        <v>1009</v>
      </c>
      <c r="GC71" s="10">
        <v>1029</v>
      </c>
      <c r="GD71" s="10">
        <v>1098</v>
      </c>
      <c r="GE71" s="10">
        <v>1151</v>
      </c>
      <c r="GF71" s="10" t="s">
        <v>1827</v>
      </c>
      <c r="GG71" s="10">
        <v>935</v>
      </c>
      <c r="GH71" s="10">
        <v>1018</v>
      </c>
      <c r="GI71" s="10">
        <v>1004</v>
      </c>
      <c r="GJ71" s="10">
        <v>976</v>
      </c>
      <c r="GK71" s="10">
        <v>1026</v>
      </c>
      <c r="GL71" s="10">
        <v>1044</v>
      </c>
      <c r="GM71" s="10">
        <v>1047</v>
      </c>
      <c r="GN71" s="10">
        <v>802</v>
      </c>
      <c r="GO71" s="10">
        <v>901</v>
      </c>
      <c r="GP71" s="10">
        <v>912</v>
      </c>
      <c r="GQ71" s="10">
        <v>988</v>
      </c>
      <c r="GR71" s="10">
        <v>970</v>
      </c>
      <c r="GS71" s="10">
        <v>1069</v>
      </c>
    </row>
    <row r="72" spans="1:201" ht="12.6">
      <c r="A72" s="51" t="s">
        <v>1890</v>
      </c>
      <c r="B72" s="10"/>
      <c r="C72" s="10"/>
      <c r="D72" s="10"/>
      <c r="E72" s="10"/>
      <c r="F72" s="10" t="s">
        <v>1827</v>
      </c>
      <c r="G72" s="10" t="s">
        <v>1827</v>
      </c>
      <c r="H72" s="10" t="s">
        <v>1827</v>
      </c>
      <c r="I72" s="10" t="s">
        <v>1827</v>
      </c>
      <c r="J72" s="10" t="s">
        <v>1827</v>
      </c>
      <c r="K72" s="10" t="s">
        <v>1827</v>
      </c>
      <c r="L72" s="10" t="s">
        <v>1827</v>
      </c>
      <c r="M72" s="10" t="s">
        <v>1827</v>
      </c>
      <c r="N72" s="10" t="s">
        <v>1827</v>
      </c>
      <c r="O72" s="10" t="s">
        <v>1827</v>
      </c>
      <c r="P72" s="10" t="s">
        <v>1827</v>
      </c>
      <c r="Q72" s="10" t="s">
        <v>1827</v>
      </c>
      <c r="R72" s="10" t="s">
        <v>1827</v>
      </c>
      <c r="S72" s="10" t="s">
        <v>1827</v>
      </c>
      <c r="T72" s="10" t="s">
        <v>1827</v>
      </c>
      <c r="U72" s="10" t="s">
        <v>1827</v>
      </c>
      <c r="V72" s="10" t="s">
        <v>1827</v>
      </c>
      <c r="W72" s="10" t="s">
        <v>1827</v>
      </c>
      <c r="X72" s="10" t="s">
        <v>1827</v>
      </c>
      <c r="Y72" s="10" t="s">
        <v>1827</v>
      </c>
      <c r="Z72" s="10" t="s">
        <v>1827</v>
      </c>
      <c r="AA72" s="10" t="s">
        <v>1827</v>
      </c>
      <c r="AB72" s="10" t="s">
        <v>1827</v>
      </c>
      <c r="AC72" s="10" t="s">
        <v>1827</v>
      </c>
      <c r="AD72" s="10" t="s">
        <v>1827</v>
      </c>
      <c r="AE72" s="10">
        <v>255.52280500000001</v>
      </c>
      <c r="AF72" s="10">
        <v>278.78702299999998</v>
      </c>
      <c r="AG72" s="10">
        <v>289.26203400000003</v>
      </c>
      <c r="AH72" s="10">
        <v>309.07813900000002</v>
      </c>
      <c r="AI72" s="10">
        <v>310.16568599999999</v>
      </c>
      <c r="AJ72" s="10">
        <v>336.33002699999997</v>
      </c>
      <c r="AK72" s="10">
        <v>337.78008899999998</v>
      </c>
      <c r="AL72" s="10">
        <v>342.26937800000002</v>
      </c>
      <c r="AM72" s="10">
        <v>342.26937800000002</v>
      </c>
      <c r="AN72" s="10">
        <v>342.26937800000002</v>
      </c>
      <c r="AO72" s="10">
        <v>335.73988500000002</v>
      </c>
      <c r="AP72" s="10">
        <v>335.73988500000002</v>
      </c>
      <c r="AQ72" s="10">
        <v>335.73988500000002</v>
      </c>
      <c r="AR72" s="10">
        <v>336.27944300000001</v>
      </c>
      <c r="AS72" s="10">
        <v>336.27944300000001</v>
      </c>
      <c r="AT72" s="10">
        <v>360.60591499999998</v>
      </c>
      <c r="AU72" s="10">
        <v>391.61363299999999</v>
      </c>
      <c r="AV72" s="10">
        <v>416.61033800000001</v>
      </c>
      <c r="AW72" s="10">
        <v>416.77051799999998</v>
      </c>
      <c r="AX72" s="10">
        <v>418.88659699999999</v>
      </c>
      <c r="AY72" s="10">
        <v>418.88659699999999</v>
      </c>
      <c r="AZ72" s="10">
        <v>455.87581799999998</v>
      </c>
      <c r="BA72" s="10">
        <v>455.87581799999998</v>
      </c>
      <c r="BB72" s="10">
        <v>452.743853</v>
      </c>
      <c r="BC72" s="10">
        <v>466.61639200000002</v>
      </c>
      <c r="BD72" s="10">
        <v>481.02848799999998</v>
      </c>
      <c r="BE72" s="10">
        <v>470.287915</v>
      </c>
      <c r="BF72" s="10">
        <v>447.72765099999998</v>
      </c>
      <c r="BG72" s="10">
        <v>415.22771999999998</v>
      </c>
      <c r="BH72" s="10">
        <v>402.90219500000001</v>
      </c>
      <c r="BI72" s="10">
        <v>400.187544</v>
      </c>
      <c r="BJ72" s="10">
        <v>421.52958699999999</v>
      </c>
      <c r="BK72" s="10">
        <v>429.79156699999999</v>
      </c>
      <c r="BL72" s="10">
        <v>404.13727699999998</v>
      </c>
      <c r="BM72" s="10">
        <v>439.33499699999999</v>
      </c>
      <c r="BN72" s="10">
        <v>460.483137</v>
      </c>
      <c r="BO72" s="10">
        <v>450.26104400000003</v>
      </c>
      <c r="BP72" s="10">
        <v>468.72825499999999</v>
      </c>
      <c r="BQ72" s="10">
        <v>510.76318600000002</v>
      </c>
      <c r="BR72" s="10">
        <v>545.261168</v>
      </c>
      <c r="BS72" s="10">
        <v>514.47686199999998</v>
      </c>
      <c r="BT72" s="10">
        <v>562.53544899999997</v>
      </c>
      <c r="BU72" s="10">
        <v>558.92715599999997</v>
      </c>
      <c r="BV72" s="10">
        <v>535.04328899999996</v>
      </c>
      <c r="BW72" s="10">
        <v>540.80138399999998</v>
      </c>
      <c r="BX72" s="10">
        <v>538.24269900000002</v>
      </c>
      <c r="BY72" s="10">
        <v>522.55758400000002</v>
      </c>
      <c r="BZ72" s="10">
        <v>494.19707299999999</v>
      </c>
      <c r="CA72" s="10">
        <v>507.39094799999998</v>
      </c>
      <c r="CB72" s="10">
        <v>560.86197700000002</v>
      </c>
      <c r="CC72" s="10">
        <v>551.31433200000004</v>
      </c>
      <c r="CD72" s="10">
        <v>543.69729199999995</v>
      </c>
      <c r="CE72" s="10">
        <v>515.42503199999999</v>
      </c>
      <c r="CF72" s="10">
        <v>563.27039500000001</v>
      </c>
      <c r="CG72" s="10">
        <v>573.05694600000004</v>
      </c>
      <c r="CH72" s="10">
        <v>557.28972499999998</v>
      </c>
      <c r="CI72" s="10">
        <v>538.80401600000005</v>
      </c>
      <c r="CJ72" s="10">
        <v>558.92081700000006</v>
      </c>
      <c r="CK72" s="10">
        <v>593.71744200000001</v>
      </c>
      <c r="CL72" s="10">
        <v>606.22248000000002</v>
      </c>
      <c r="CM72" s="10">
        <v>605.67878399999995</v>
      </c>
      <c r="CN72" s="10">
        <v>612.20315100000005</v>
      </c>
      <c r="CO72" s="10">
        <v>571.96955100000002</v>
      </c>
      <c r="CP72" s="10">
        <v>601.87290199999995</v>
      </c>
      <c r="CQ72" s="10">
        <v>602.96029599999997</v>
      </c>
      <c r="CR72" s="10">
        <v>585.01828699999999</v>
      </c>
      <c r="CS72" s="10">
        <v>587.19307500000002</v>
      </c>
      <c r="CT72" s="10">
        <v>576.86282700000004</v>
      </c>
      <c r="CU72" s="10">
        <v>589.911562</v>
      </c>
      <c r="CV72" s="10">
        <v>593.71744200000001</v>
      </c>
      <c r="CW72" s="10">
        <v>606.76617799999997</v>
      </c>
      <c r="CX72" s="10">
        <v>628.51406999999995</v>
      </c>
      <c r="CY72" s="10">
        <v>608.39727000000005</v>
      </c>
      <c r="CZ72" s="10">
        <v>679.62161500000002</v>
      </c>
      <c r="DA72" s="10">
        <v>668.74766899999997</v>
      </c>
      <c r="DB72" s="10">
        <v>703.40837299999998</v>
      </c>
      <c r="DC72" s="10">
        <v>696.61215600000003</v>
      </c>
      <c r="DD72" s="10">
        <v>678.26237100000003</v>
      </c>
      <c r="DE72" s="10">
        <v>710.88420900000006</v>
      </c>
      <c r="DF72" s="10">
        <v>729.23399300000005</v>
      </c>
      <c r="DG72" s="10">
        <v>791.75918200000001</v>
      </c>
      <c r="DH72" s="10">
        <v>815.54593799999998</v>
      </c>
      <c r="DI72" s="10">
        <v>774.08901900000001</v>
      </c>
      <c r="DJ72" s="10">
        <v>821.66253300000005</v>
      </c>
      <c r="DK72" s="10">
        <v>840.69193900000005</v>
      </c>
      <c r="DL72" s="10">
        <v>846.12891100000002</v>
      </c>
      <c r="DM72" s="10">
        <v>833.89572199999998</v>
      </c>
      <c r="DN72" s="10">
        <v>759.13734399999998</v>
      </c>
      <c r="DO72" s="10">
        <v>721.75815499999999</v>
      </c>
      <c r="DP72" s="10">
        <v>748.26339900000005</v>
      </c>
      <c r="DQ72" s="10">
        <v>748.94302000000005</v>
      </c>
      <c r="DR72" s="10">
        <v>744.18566999999996</v>
      </c>
      <c r="DS72" s="10">
        <v>743.50604599999997</v>
      </c>
      <c r="DT72" s="10">
        <v>750.98188500000003</v>
      </c>
      <c r="DU72" s="10">
        <v>778.84637099999998</v>
      </c>
      <c r="DV72" s="10">
        <v>811.468209</v>
      </c>
      <c r="DW72" s="10">
        <v>818.94404699999996</v>
      </c>
      <c r="DX72" s="10">
        <v>861.08058700000004</v>
      </c>
      <c r="DY72" s="10">
        <v>876.71188400000005</v>
      </c>
      <c r="DZ72" s="10">
        <v>901.17826300000002</v>
      </c>
      <c r="EA72" s="10">
        <v>902.53750500000001</v>
      </c>
      <c r="EB72" s="10">
        <v>963.02382899999998</v>
      </c>
      <c r="EC72" s="10">
        <v>992.877568</v>
      </c>
      <c r="ED72" s="10">
        <v>988.06244900000002</v>
      </c>
      <c r="EE72" s="10">
        <v>971.69104400000003</v>
      </c>
      <c r="EF72" s="10">
        <v>965.91290000000004</v>
      </c>
      <c r="EG72" s="10">
        <v>964.94987600000002</v>
      </c>
      <c r="EH72" s="10">
        <v>920.65078000000005</v>
      </c>
      <c r="EI72" s="10">
        <v>880.20378000000005</v>
      </c>
      <c r="EJ72" s="10">
        <v>914.87263700000005</v>
      </c>
      <c r="EK72" s="10">
        <v>963.986853</v>
      </c>
      <c r="EL72" s="10">
        <v>969.764996</v>
      </c>
      <c r="EM72" s="10">
        <v>963.02382899999998</v>
      </c>
      <c r="EN72" s="10">
        <v>943.76335200000005</v>
      </c>
      <c r="EO72" s="10">
        <v>936.05916200000001</v>
      </c>
      <c r="EP72" s="10">
        <v>914.87263700000005</v>
      </c>
      <c r="EQ72" s="10">
        <v>879.24075500000004</v>
      </c>
      <c r="ER72" s="10">
        <v>863.83237399999996</v>
      </c>
      <c r="ES72" s="10">
        <v>872.49958900000001</v>
      </c>
      <c r="ET72" s="10">
        <v>934.13311399999998</v>
      </c>
      <c r="EU72" s="10">
        <v>952.430566</v>
      </c>
      <c r="EV72" s="10">
        <v>1028.5094489999999</v>
      </c>
      <c r="EW72" s="10">
        <v>1046.806902</v>
      </c>
      <c r="EX72" s="10">
        <v>1067.0304020000001</v>
      </c>
      <c r="EY72" s="10">
        <v>1094.9580940000001</v>
      </c>
      <c r="EZ72" s="10">
        <v>1104.5883309999999</v>
      </c>
      <c r="FA72" s="10">
        <v>1017.916187</v>
      </c>
      <c r="FB72" s="10">
        <v>1002.507805</v>
      </c>
      <c r="FC72" s="10">
        <v>986.13640099999998</v>
      </c>
      <c r="FD72" s="10">
        <v>974.58011499999998</v>
      </c>
      <c r="FE72" s="10">
        <v>1002.507805</v>
      </c>
      <c r="FF72" s="10">
        <v>1069.919474</v>
      </c>
      <c r="FG72" s="10">
        <v>1089.17995</v>
      </c>
      <c r="FH72" s="10">
        <v>1063.1783069999999</v>
      </c>
      <c r="FI72" s="10">
        <v>1051.6220209999999</v>
      </c>
      <c r="FJ72" s="10">
        <v>1139.25719</v>
      </c>
      <c r="FK72" s="10">
        <v>1190.297452</v>
      </c>
      <c r="FL72" s="10">
        <v>1031.39852</v>
      </c>
      <c r="FM72" s="10">
        <v>1038.139688</v>
      </c>
      <c r="FN72" s="10">
        <v>1119.996713</v>
      </c>
      <c r="FO72" s="10">
        <v>1066.0673790000001</v>
      </c>
      <c r="FP72" s="10">
        <v>960.13475700000004</v>
      </c>
      <c r="FQ72" s="10">
        <v>1010.211996</v>
      </c>
      <c r="FR72" s="10">
        <v>1108.440427</v>
      </c>
      <c r="FS72" s="10">
        <v>1172</v>
      </c>
      <c r="FT72" s="10">
        <v>1000</v>
      </c>
      <c r="FU72" s="10">
        <v>1021</v>
      </c>
      <c r="FV72" s="10">
        <v>1111</v>
      </c>
      <c r="FW72" s="10">
        <v>1117</v>
      </c>
      <c r="FX72" s="10">
        <v>969</v>
      </c>
      <c r="FY72" s="10">
        <v>1048</v>
      </c>
      <c r="FZ72" s="10">
        <v>1115</v>
      </c>
      <c r="GA72" s="10">
        <v>1067</v>
      </c>
      <c r="GB72" s="10">
        <v>952</v>
      </c>
      <c r="GC72" s="10">
        <v>1082</v>
      </c>
      <c r="GD72" s="10">
        <v>1210</v>
      </c>
      <c r="GE72" s="10">
        <v>1196</v>
      </c>
      <c r="GF72" s="10" t="s">
        <v>1827</v>
      </c>
      <c r="GG72" s="10">
        <v>1144</v>
      </c>
      <c r="GH72" s="10">
        <v>1142</v>
      </c>
      <c r="GI72" s="10">
        <v>1120</v>
      </c>
      <c r="GJ72" s="10">
        <v>1082</v>
      </c>
      <c r="GK72" s="10">
        <v>1171</v>
      </c>
      <c r="GL72" s="10">
        <v>1259</v>
      </c>
      <c r="GM72" s="10">
        <v>1020</v>
      </c>
      <c r="GN72" s="10">
        <v>1189</v>
      </c>
      <c r="GO72" s="10">
        <v>1427</v>
      </c>
      <c r="GP72" s="10">
        <v>1628</v>
      </c>
      <c r="GQ72" s="10">
        <v>1568</v>
      </c>
      <c r="GR72" s="10">
        <v>1561</v>
      </c>
      <c r="GS72" s="10">
        <v>1723</v>
      </c>
    </row>
    <row r="73" spans="1:201" ht="12.6">
      <c r="A73" s="51" t="s">
        <v>1891</v>
      </c>
      <c r="B73" s="10"/>
      <c r="C73" s="10"/>
      <c r="D73" s="10"/>
      <c r="E73" s="10"/>
      <c r="F73" s="10" t="s">
        <v>1827</v>
      </c>
      <c r="G73" s="10" t="s">
        <v>1827</v>
      </c>
      <c r="H73" s="10" t="s">
        <v>1827</v>
      </c>
      <c r="I73" s="10" t="s">
        <v>1827</v>
      </c>
      <c r="J73" s="10" t="s">
        <v>1827</v>
      </c>
      <c r="K73" s="10" t="s">
        <v>1827</v>
      </c>
      <c r="L73" s="10" t="s">
        <v>1827</v>
      </c>
      <c r="M73" s="10" t="s">
        <v>1827</v>
      </c>
      <c r="N73" s="10" t="s">
        <v>1827</v>
      </c>
      <c r="O73" s="10" t="s">
        <v>1827</v>
      </c>
      <c r="P73" s="10" t="s">
        <v>1827</v>
      </c>
      <c r="Q73" s="10" t="s">
        <v>1827</v>
      </c>
      <c r="R73" s="10" t="s">
        <v>1827</v>
      </c>
      <c r="S73" s="10" t="s">
        <v>1827</v>
      </c>
      <c r="T73" s="10" t="s">
        <v>1827</v>
      </c>
      <c r="U73" s="10" t="s">
        <v>1827</v>
      </c>
      <c r="V73" s="10" t="s">
        <v>1827</v>
      </c>
      <c r="W73" s="10" t="s">
        <v>1827</v>
      </c>
      <c r="X73" s="10" t="s">
        <v>1827</v>
      </c>
      <c r="Y73" s="10" t="s">
        <v>1827</v>
      </c>
      <c r="Z73" s="10" t="s">
        <v>1827</v>
      </c>
      <c r="AA73" s="10" t="s">
        <v>1827</v>
      </c>
      <c r="AB73" s="10" t="s">
        <v>1827</v>
      </c>
      <c r="AC73" s="10" t="s">
        <v>1827</v>
      </c>
      <c r="AD73" s="10" t="s">
        <v>1827</v>
      </c>
      <c r="AE73" s="10">
        <v>916.66182100000003</v>
      </c>
      <c r="AF73" s="10">
        <v>955.520534</v>
      </c>
      <c r="AG73" s="10">
        <v>1031.193436</v>
      </c>
      <c r="AH73" s="10">
        <v>1061.401261</v>
      </c>
      <c r="AI73" s="10">
        <v>1125.969848</v>
      </c>
      <c r="AJ73" s="10">
        <v>1138.0325319999999</v>
      </c>
      <c r="AK73" s="10">
        <v>1172.0866169999999</v>
      </c>
      <c r="AL73" s="10">
        <v>1266.0196639999999</v>
      </c>
      <c r="AM73" s="10">
        <v>1266.0196639999999</v>
      </c>
      <c r="AN73" s="10">
        <v>1339.7758260000001</v>
      </c>
      <c r="AO73" s="10">
        <v>1339.7758260000001</v>
      </c>
      <c r="AP73" s="10">
        <v>1334.012827</v>
      </c>
      <c r="AQ73" s="10">
        <v>1334.012827</v>
      </c>
      <c r="AR73" s="10">
        <v>1334.012827</v>
      </c>
      <c r="AS73" s="10">
        <v>1433.5810899999999</v>
      </c>
      <c r="AT73" s="10">
        <v>1433.5810899999999</v>
      </c>
      <c r="AU73" s="10">
        <v>1430.603754</v>
      </c>
      <c r="AV73" s="10">
        <v>1458.677608</v>
      </c>
      <c r="AW73" s="10">
        <v>1528.7025140000001</v>
      </c>
      <c r="AX73" s="10">
        <v>1553.479576</v>
      </c>
      <c r="AY73" s="10">
        <v>1553.479576</v>
      </c>
      <c r="AZ73" s="10">
        <v>1564.647782</v>
      </c>
      <c r="BA73" s="10">
        <v>1608.8861449999999</v>
      </c>
      <c r="BB73" s="10">
        <v>1618.188725</v>
      </c>
      <c r="BC73" s="10">
        <v>1315.548229</v>
      </c>
      <c r="BD73" s="10">
        <v>1314.947651</v>
      </c>
      <c r="BE73" s="10">
        <v>1172.048282</v>
      </c>
      <c r="BF73" s="10">
        <v>1165.889156</v>
      </c>
      <c r="BG73" s="10">
        <v>1261.7133879999999</v>
      </c>
      <c r="BH73" s="10">
        <v>1262.3139659999999</v>
      </c>
      <c r="BI73" s="10">
        <v>1258.8254979999999</v>
      </c>
      <c r="BJ73" s="10">
        <v>1277.826783</v>
      </c>
      <c r="BK73" s="10">
        <v>1313.40148</v>
      </c>
      <c r="BL73" s="10">
        <v>1322.499607</v>
      </c>
      <c r="BM73" s="10">
        <v>1328.0453749999999</v>
      </c>
      <c r="BN73" s="10">
        <v>1325.5152780000001</v>
      </c>
      <c r="BO73" s="10">
        <v>1335.2523189999999</v>
      </c>
      <c r="BP73" s="10">
        <v>1360.1443839999999</v>
      </c>
      <c r="BQ73" s="10">
        <v>1360.7705189999999</v>
      </c>
      <c r="BR73" s="10">
        <v>1367.785789</v>
      </c>
      <c r="BS73" s="10">
        <v>1439.599653</v>
      </c>
      <c r="BT73" s="10">
        <v>1440.7369189999999</v>
      </c>
      <c r="BU73" s="10">
        <v>1432.6738319999999</v>
      </c>
      <c r="BV73" s="10">
        <v>1424.776863</v>
      </c>
      <c r="BW73" s="10">
        <v>1473.385395</v>
      </c>
      <c r="BX73" s="10">
        <v>1489.9971410000001</v>
      </c>
      <c r="BY73" s="10">
        <v>1429.8753919999999</v>
      </c>
      <c r="BZ73" s="10">
        <v>1387.387651</v>
      </c>
      <c r="CA73" s="10">
        <v>1332.543326</v>
      </c>
      <c r="CB73" s="10">
        <v>1341.2325470000001</v>
      </c>
      <c r="CC73" s="10">
        <v>1349.5000869999999</v>
      </c>
      <c r="CD73" s="10">
        <v>1373.2932209999999</v>
      </c>
      <c r="CE73" s="10">
        <v>1321.10808</v>
      </c>
      <c r="CF73" s="10">
        <v>1392.5193260000001</v>
      </c>
      <c r="CG73" s="10">
        <v>1411.7454319999999</v>
      </c>
      <c r="CH73" s="10">
        <v>1448.824349</v>
      </c>
      <c r="CI73" s="10">
        <v>1374.6665149999999</v>
      </c>
      <c r="CJ73" s="10">
        <v>1466.6771610000001</v>
      </c>
      <c r="CK73" s="10">
        <v>1495.516318</v>
      </c>
      <c r="CL73" s="10">
        <v>1414.4920179999999</v>
      </c>
      <c r="CM73" s="10">
        <v>1295.0155090000001</v>
      </c>
      <c r="CN73" s="10">
        <v>1351.32053</v>
      </c>
      <c r="CO73" s="10">
        <v>1333.4677180000001</v>
      </c>
      <c r="CP73" s="10">
        <v>1406.2522590000001</v>
      </c>
      <c r="CQ73" s="10">
        <v>1290.895628</v>
      </c>
      <c r="CR73" s="10">
        <v>1352.6938230000001</v>
      </c>
      <c r="CS73" s="10">
        <v>1382.9062739999999</v>
      </c>
      <c r="CT73" s="10">
        <v>1407.625552</v>
      </c>
      <c r="CU73" s="10">
        <v>1289.5223350000001</v>
      </c>
      <c r="CV73" s="10">
        <v>1314.2416129999999</v>
      </c>
      <c r="CW73" s="10">
        <v>1251.070125</v>
      </c>
      <c r="CX73" s="10">
        <v>1301.8819739999999</v>
      </c>
      <c r="CY73" s="10">
        <v>1295.0155090000001</v>
      </c>
      <c r="CZ73" s="10">
        <v>1319.734786</v>
      </c>
      <c r="DA73" s="10">
        <v>1299.938764</v>
      </c>
      <c r="DB73" s="10">
        <v>1295.97956</v>
      </c>
      <c r="DC73" s="10">
        <v>1178.523164</v>
      </c>
      <c r="DD73" s="10">
        <v>1293.3400899999999</v>
      </c>
      <c r="DE73" s="10">
        <v>1239.230965</v>
      </c>
      <c r="DF73" s="10">
        <v>1309.1769079999999</v>
      </c>
      <c r="DG73" s="10">
        <v>1204.91786</v>
      </c>
      <c r="DH73" s="10">
        <v>1299.938764</v>
      </c>
      <c r="DI73" s="10">
        <v>1276.183538</v>
      </c>
      <c r="DJ73" s="10">
        <v>1351.4084210000001</v>
      </c>
      <c r="DK73" s="10">
        <v>1241.870433</v>
      </c>
      <c r="DL73" s="10">
        <v>1364.605769</v>
      </c>
      <c r="DM73" s="10">
        <v>1338.2110729999999</v>
      </c>
      <c r="DN73" s="10">
        <v>1471.5042860000001</v>
      </c>
      <c r="DO73" s="10">
        <v>1373.843912</v>
      </c>
      <c r="DP73" s="10">
        <v>1364.605769</v>
      </c>
      <c r="DQ73" s="10">
        <v>1193.040246</v>
      </c>
      <c r="DR73" s="10">
        <v>1231.312555</v>
      </c>
      <c r="DS73" s="10">
        <v>1086.1417289999999</v>
      </c>
      <c r="DT73" s="10">
        <v>1075.5838510000001</v>
      </c>
      <c r="DU73" s="10">
        <v>1138.9311210000001</v>
      </c>
      <c r="DV73" s="10">
        <v>1253.748047</v>
      </c>
      <c r="DW73" s="10">
        <v>1055.7878290000001</v>
      </c>
      <c r="DX73" s="10">
        <v>1049.189155</v>
      </c>
      <c r="DY73" s="10">
        <v>1080.8627899999999</v>
      </c>
      <c r="DZ73" s="10">
        <v>1214.1560030000001</v>
      </c>
      <c r="EA73" s="10">
        <v>1065.025973</v>
      </c>
      <c r="EB73" s="10">
        <v>1140.250855</v>
      </c>
      <c r="EC73" s="10">
        <v>1143.6716080000001</v>
      </c>
      <c r="ED73" s="10">
        <v>1254.2759410000001</v>
      </c>
      <c r="EE73" s="10">
        <v>1156.214367</v>
      </c>
      <c r="EF73" s="10">
        <v>1141.391106</v>
      </c>
      <c r="EG73" s="10">
        <v>1175.598632</v>
      </c>
      <c r="EH73" s="10">
        <v>1315.849487</v>
      </c>
      <c r="EI73" s="10">
        <v>1202.9646519999999</v>
      </c>
      <c r="EJ73" s="10">
        <v>1223.4891680000001</v>
      </c>
      <c r="EK73" s="10">
        <v>1269.0992020000001</v>
      </c>
      <c r="EL73" s="10">
        <v>1356.898518</v>
      </c>
      <c r="EM73" s="10">
        <v>1133.4093499999999</v>
      </c>
      <c r="EN73" s="10">
        <v>970.353478</v>
      </c>
      <c r="EO73" s="10">
        <v>1077.5370579999999</v>
      </c>
      <c r="EP73" s="10">
        <v>1226.9099200000001</v>
      </c>
      <c r="EQ73" s="10">
        <v>1125.427594</v>
      </c>
      <c r="ER73" s="10">
        <v>1126.567845</v>
      </c>
      <c r="ES73" s="10">
        <v>1160.775371</v>
      </c>
      <c r="ET73" s="10">
        <v>1224.629418</v>
      </c>
      <c r="EU73" s="10">
        <v>1111.744584</v>
      </c>
      <c r="EV73" s="10">
        <v>1187.0011400000001</v>
      </c>
      <c r="EW73" s="10">
        <v>1142.5313570000001</v>
      </c>
      <c r="EX73" s="10">
        <v>1208.6659059999999</v>
      </c>
      <c r="EY73" s="10">
        <v>1098.0615740000001</v>
      </c>
      <c r="EZ73" s="10">
        <v>1124.287343</v>
      </c>
      <c r="FA73" s="10">
        <v>1126.567845</v>
      </c>
      <c r="FB73" s="10">
        <v>1237.172178</v>
      </c>
      <c r="FC73" s="10">
        <v>1115.165336</v>
      </c>
      <c r="FD73" s="10">
        <v>1131.1288480000001</v>
      </c>
      <c r="FE73" s="10">
        <v>1115.165336</v>
      </c>
      <c r="FF73" s="10">
        <v>1245.1539339999999</v>
      </c>
      <c r="FG73" s="10">
        <v>1119.7263399999999</v>
      </c>
      <c r="FH73" s="10">
        <v>1144.8118589999999</v>
      </c>
      <c r="FI73" s="10">
        <v>1160.775371</v>
      </c>
      <c r="FJ73" s="10">
        <v>1245.1539339999999</v>
      </c>
      <c r="FK73" s="10">
        <v>1062.7137970000001</v>
      </c>
      <c r="FL73" s="10">
        <v>1072.9760550000001</v>
      </c>
      <c r="FM73" s="10">
        <v>1085.518814</v>
      </c>
      <c r="FN73" s="10">
        <v>1144.8118589999999</v>
      </c>
      <c r="FO73" s="10">
        <v>1009.1220070000001</v>
      </c>
      <c r="FP73" s="10">
        <v>1031.9270240000001</v>
      </c>
      <c r="FQ73" s="10">
        <v>971.49372900000003</v>
      </c>
      <c r="FR73" s="10">
        <v>1079.81756</v>
      </c>
      <c r="FS73" s="10">
        <v>964.65222300000005</v>
      </c>
      <c r="FT73" s="10">
        <v>1000</v>
      </c>
      <c r="FU73" s="10">
        <v>945.26795900000002</v>
      </c>
      <c r="FV73" s="10">
        <v>1052</v>
      </c>
      <c r="FW73" s="10">
        <v>900</v>
      </c>
      <c r="FX73" s="10">
        <v>934</v>
      </c>
      <c r="FY73" s="10">
        <v>939</v>
      </c>
      <c r="FZ73" s="10">
        <v>1010</v>
      </c>
      <c r="GA73" s="10">
        <v>891</v>
      </c>
      <c r="GB73" s="10">
        <v>901</v>
      </c>
      <c r="GC73" s="10">
        <v>893</v>
      </c>
      <c r="GD73" s="10">
        <v>976</v>
      </c>
      <c r="GE73" s="10">
        <v>870</v>
      </c>
      <c r="GF73" s="10">
        <v>865</v>
      </c>
      <c r="GG73" s="10">
        <v>871</v>
      </c>
      <c r="GH73" s="10">
        <v>994</v>
      </c>
      <c r="GI73" s="10">
        <v>1094</v>
      </c>
      <c r="GJ73" s="10">
        <v>1011</v>
      </c>
      <c r="GK73" s="10">
        <v>1675</v>
      </c>
      <c r="GL73" s="10">
        <v>1634</v>
      </c>
      <c r="GM73" s="10">
        <v>1496</v>
      </c>
      <c r="GN73" s="10">
        <v>1277</v>
      </c>
      <c r="GO73" s="10">
        <v>1534</v>
      </c>
      <c r="GP73" s="10">
        <v>1824</v>
      </c>
      <c r="GQ73" s="10">
        <v>1746</v>
      </c>
      <c r="GR73" s="10">
        <v>1539</v>
      </c>
      <c r="GS73" s="10">
        <v>1511</v>
      </c>
    </row>
    <row r="74" spans="1:201" ht="12.6">
      <c r="A74" s="51" t="s">
        <v>1892</v>
      </c>
      <c r="B74" s="10"/>
      <c r="C74" s="10"/>
      <c r="D74" s="10"/>
      <c r="E74" s="10"/>
      <c r="F74" s="10" t="s">
        <v>1827</v>
      </c>
      <c r="G74" s="10" t="s">
        <v>1827</v>
      </c>
      <c r="H74" s="10" t="s">
        <v>1827</v>
      </c>
      <c r="I74" s="10" t="s">
        <v>1827</v>
      </c>
      <c r="J74" s="10" t="s">
        <v>1827</v>
      </c>
      <c r="K74" s="10" t="s">
        <v>1827</v>
      </c>
      <c r="L74" s="10" t="s">
        <v>1827</v>
      </c>
      <c r="M74" s="10" t="s">
        <v>1827</v>
      </c>
      <c r="N74" s="10" t="s">
        <v>1827</v>
      </c>
      <c r="O74" s="10" t="s">
        <v>1827</v>
      </c>
      <c r="P74" s="10" t="s">
        <v>1827</v>
      </c>
      <c r="Q74" s="10" t="s">
        <v>1827</v>
      </c>
      <c r="R74" s="10" t="s">
        <v>1827</v>
      </c>
      <c r="S74" s="10" t="s">
        <v>1827</v>
      </c>
      <c r="T74" s="10" t="s">
        <v>1827</v>
      </c>
      <c r="U74" s="10" t="s">
        <v>1827</v>
      </c>
      <c r="V74" s="10" t="s">
        <v>1827</v>
      </c>
      <c r="W74" s="10" t="s">
        <v>1827</v>
      </c>
      <c r="X74" s="10" t="s">
        <v>1827</v>
      </c>
      <c r="Y74" s="10" t="s">
        <v>1827</v>
      </c>
      <c r="Z74" s="10" t="s">
        <v>1827</v>
      </c>
      <c r="AA74" s="10" t="s">
        <v>1827</v>
      </c>
      <c r="AB74" s="10" t="s">
        <v>1827</v>
      </c>
      <c r="AC74" s="10" t="s">
        <v>1827</v>
      </c>
      <c r="AD74" s="10" t="s">
        <v>1827</v>
      </c>
      <c r="AE74" s="10" t="s">
        <v>1827</v>
      </c>
      <c r="AF74" s="10" t="s">
        <v>1827</v>
      </c>
      <c r="AG74" s="10" t="s">
        <v>1827</v>
      </c>
      <c r="AH74" s="10" t="s">
        <v>1827</v>
      </c>
      <c r="AI74" s="10" t="s">
        <v>1827</v>
      </c>
      <c r="AJ74" s="10" t="s">
        <v>1827</v>
      </c>
      <c r="AK74" s="10" t="s">
        <v>1827</v>
      </c>
      <c r="AL74" s="10" t="s">
        <v>1827</v>
      </c>
      <c r="AM74" s="10" t="s">
        <v>1827</v>
      </c>
      <c r="AN74" s="10" t="s">
        <v>1827</v>
      </c>
      <c r="AO74" s="10" t="s">
        <v>1827</v>
      </c>
      <c r="AP74" s="10" t="s">
        <v>1827</v>
      </c>
      <c r="AQ74" s="10" t="s">
        <v>1827</v>
      </c>
      <c r="AR74" s="10" t="s">
        <v>1827</v>
      </c>
      <c r="AS74" s="10" t="s">
        <v>1827</v>
      </c>
      <c r="AT74" s="10" t="s">
        <v>1827</v>
      </c>
      <c r="AU74" s="10" t="s">
        <v>1827</v>
      </c>
      <c r="AV74" s="10" t="s">
        <v>1827</v>
      </c>
      <c r="AW74" s="10" t="s">
        <v>1827</v>
      </c>
      <c r="AX74" s="10" t="s">
        <v>1827</v>
      </c>
      <c r="AY74" s="10" t="s">
        <v>1827</v>
      </c>
      <c r="AZ74" s="10" t="s">
        <v>1827</v>
      </c>
      <c r="BA74" s="10" t="s">
        <v>1827</v>
      </c>
      <c r="BB74" s="10" t="s">
        <v>1827</v>
      </c>
      <c r="BC74" s="10" t="s">
        <v>1827</v>
      </c>
      <c r="BD74" s="10" t="s">
        <v>1827</v>
      </c>
      <c r="BE74" s="10" t="s">
        <v>1827</v>
      </c>
      <c r="BF74" s="10" t="s">
        <v>1827</v>
      </c>
      <c r="BG74" s="10" t="s">
        <v>1827</v>
      </c>
      <c r="BH74" s="10" t="s">
        <v>1827</v>
      </c>
      <c r="BI74" s="10" t="s">
        <v>1827</v>
      </c>
      <c r="BJ74" s="10" t="s">
        <v>1827</v>
      </c>
      <c r="BK74" s="10" t="s">
        <v>1827</v>
      </c>
      <c r="BL74" s="10" t="s">
        <v>1827</v>
      </c>
      <c r="BM74" s="10" t="s">
        <v>1827</v>
      </c>
      <c r="BN74" s="10" t="s">
        <v>1827</v>
      </c>
      <c r="BO74" s="10" t="s">
        <v>1827</v>
      </c>
      <c r="BP74" s="10" t="s">
        <v>1827</v>
      </c>
      <c r="BQ74" s="10" t="s">
        <v>1827</v>
      </c>
      <c r="BR74" s="10" t="s">
        <v>1827</v>
      </c>
      <c r="BS74" s="10" t="s">
        <v>1827</v>
      </c>
      <c r="BT74" s="10" t="s">
        <v>1827</v>
      </c>
      <c r="BU74" s="10" t="s">
        <v>1827</v>
      </c>
      <c r="BV74" s="10" t="s">
        <v>1827</v>
      </c>
      <c r="BW74" s="10" t="s">
        <v>1827</v>
      </c>
      <c r="BX74" s="10" t="s">
        <v>1827</v>
      </c>
      <c r="BY74" s="10" t="s">
        <v>1827</v>
      </c>
      <c r="BZ74" s="10" t="s">
        <v>1827</v>
      </c>
      <c r="CA74" s="10" t="s">
        <v>1827</v>
      </c>
      <c r="CB74" s="10" t="s">
        <v>1827</v>
      </c>
      <c r="CC74" s="10" t="s">
        <v>1827</v>
      </c>
      <c r="CD74" s="10" t="s">
        <v>1827</v>
      </c>
      <c r="CE74" s="10" t="s">
        <v>1827</v>
      </c>
      <c r="CF74" s="10" t="s">
        <v>1827</v>
      </c>
      <c r="CG74" s="10" t="s">
        <v>1827</v>
      </c>
      <c r="CH74" s="10" t="s">
        <v>1827</v>
      </c>
      <c r="CI74" s="10" t="s">
        <v>1827</v>
      </c>
      <c r="CJ74" s="10" t="s">
        <v>1827</v>
      </c>
      <c r="CK74" s="10" t="s">
        <v>1827</v>
      </c>
      <c r="CL74" s="10" t="s">
        <v>1827</v>
      </c>
      <c r="CM74" s="10" t="s">
        <v>1827</v>
      </c>
      <c r="CN74" s="10" t="s">
        <v>1827</v>
      </c>
      <c r="CO74" s="10" t="s">
        <v>1827</v>
      </c>
      <c r="CP74" s="10" t="s">
        <v>1827</v>
      </c>
      <c r="CQ74" s="10" t="s">
        <v>1827</v>
      </c>
      <c r="CR74" s="10" t="s">
        <v>1827</v>
      </c>
      <c r="CS74" s="10" t="s">
        <v>1827</v>
      </c>
      <c r="CT74" s="10" t="s">
        <v>1827</v>
      </c>
      <c r="CU74" s="10" t="s">
        <v>1827</v>
      </c>
      <c r="CV74" s="10" t="s">
        <v>1827</v>
      </c>
      <c r="CW74" s="10" t="s">
        <v>1827</v>
      </c>
      <c r="CX74" s="10" t="s">
        <v>1827</v>
      </c>
      <c r="CY74" s="10" t="s">
        <v>1827</v>
      </c>
      <c r="CZ74" s="10">
        <v>782.79386699999998</v>
      </c>
      <c r="DA74" s="10">
        <v>782.79386699999998</v>
      </c>
      <c r="DB74" s="10">
        <v>782.79386699999998</v>
      </c>
      <c r="DC74" s="10">
        <v>782.79386699999998</v>
      </c>
      <c r="DD74" s="10">
        <v>782.79386699999998</v>
      </c>
      <c r="DE74" s="10">
        <v>782.79386699999998</v>
      </c>
      <c r="DF74" s="10">
        <v>833.04940399999998</v>
      </c>
      <c r="DG74" s="10">
        <v>833.04940399999998</v>
      </c>
      <c r="DH74" s="10">
        <v>833.04940399999998</v>
      </c>
      <c r="DI74" s="10">
        <v>833.04940399999998</v>
      </c>
      <c r="DJ74" s="10">
        <v>871.37989800000003</v>
      </c>
      <c r="DK74" s="10">
        <v>871.37989800000003</v>
      </c>
      <c r="DL74" s="10">
        <v>871.37989800000003</v>
      </c>
      <c r="DM74" s="10">
        <v>871.37989800000003</v>
      </c>
      <c r="DN74" s="10">
        <v>871.37989800000003</v>
      </c>
      <c r="DO74" s="10">
        <v>871.37989800000003</v>
      </c>
      <c r="DP74" s="10">
        <v>871.37989800000003</v>
      </c>
      <c r="DQ74" s="10">
        <v>856.89948900000002</v>
      </c>
      <c r="DR74" s="10">
        <v>856.89948900000002</v>
      </c>
      <c r="DS74" s="10">
        <v>856.89948900000002</v>
      </c>
      <c r="DT74" s="10">
        <v>856.89948900000002</v>
      </c>
      <c r="DU74" s="10">
        <v>851.78875600000003</v>
      </c>
      <c r="DV74" s="10">
        <v>851.78875600000003</v>
      </c>
      <c r="DW74" s="10">
        <v>851.78875600000003</v>
      </c>
      <c r="DX74" s="10">
        <v>851.78875600000003</v>
      </c>
      <c r="DY74" s="10">
        <v>851.78875600000003</v>
      </c>
      <c r="DZ74" s="10">
        <v>851.78875600000003</v>
      </c>
      <c r="EA74" s="10">
        <v>851.78875600000003</v>
      </c>
      <c r="EB74" s="10">
        <v>851.78875600000003</v>
      </c>
      <c r="EC74" s="10">
        <v>922.48722299999997</v>
      </c>
      <c r="ED74" s="10">
        <v>922.48722299999997</v>
      </c>
      <c r="EE74" s="10">
        <v>922.48722299999997</v>
      </c>
      <c r="EF74" s="10">
        <v>894.37819400000001</v>
      </c>
      <c r="EG74" s="10">
        <v>894.37819400000001</v>
      </c>
      <c r="EH74" s="10">
        <v>919.93185700000004</v>
      </c>
      <c r="EI74" s="10">
        <v>919.93185700000004</v>
      </c>
      <c r="EJ74" s="10">
        <v>919.93185700000004</v>
      </c>
      <c r="EK74" s="10">
        <v>919.93185700000004</v>
      </c>
      <c r="EL74" s="10">
        <v>925.89437799999996</v>
      </c>
      <c r="EM74" s="10">
        <v>925.89437799999996</v>
      </c>
      <c r="EN74" s="10">
        <v>867.12095399999998</v>
      </c>
      <c r="EO74" s="10">
        <v>825.38330499999995</v>
      </c>
      <c r="EP74" s="10">
        <v>933.56047699999999</v>
      </c>
      <c r="EQ74" s="10">
        <v>935.26405499999998</v>
      </c>
      <c r="ER74" s="10">
        <v>951.44804099999999</v>
      </c>
      <c r="ES74" s="10">
        <v>953.15161799999998</v>
      </c>
      <c r="ET74" s="10">
        <v>962.52129500000001</v>
      </c>
      <c r="EU74" s="10">
        <v>962.52129500000001</v>
      </c>
      <c r="EV74" s="10">
        <v>962.52129500000001</v>
      </c>
      <c r="EW74" s="10">
        <v>972.74275999999998</v>
      </c>
      <c r="EX74" s="10">
        <v>976.14991499999996</v>
      </c>
      <c r="EY74" s="10">
        <v>976.14991499999996</v>
      </c>
      <c r="EZ74" s="10">
        <v>976.14991499999996</v>
      </c>
      <c r="FA74" s="10">
        <v>976.14991499999996</v>
      </c>
      <c r="FB74" s="10">
        <v>976.14991499999996</v>
      </c>
      <c r="FC74" s="10">
        <v>976.14991499999996</v>
      </c>
      <c r="FD74" s="10">
        <v>976.14991499999996</v>
      </c>
      <c r="FE74" s="10">
        <v>978.70528100000001</v>
      </c>
      <c r="FF74" s="10">
        <v>978.70528100000001</v>
      </c>
      <c r="FG74" s="10">
        <v>978.70528100000001</v>
      </c>
      <c r="FH74" s="10">
        <v>978.70528100000001</v>
      </c>
      <c r="FI74" s="10">
        <v>981.26064699999995</v>
      </c>
      <c r="FJ74" s="10">
        <v>986.37138000000004</v>
      </c>
      <c r="FK74" s="10">
        <v>986.37138000000004</v>
      </c>
      <c r="FL74" s="10">
        <v>990.63032399999997</v>
      </c>
      <c r="FM74" s="10">
        <v>990.63032399999997</v>
      </c>
      <c r="FN74" s="10">
        <v>989.77853500000003</v>
      </c>
      <c r="FO74" s="10">
        <v>989.77853500000003</v>
      </c>
      <c r="FP74" s="10">
        <v>992.33390099999997</v>
      </c>
      <c r="FQ74" s="10">
        <v>996.59284500000001</v>
      </c>
      <c r="FR74" s="10">
        <v>998.29642200000001</v>
      </c>
      <c r="FS74" s="10">
        <v>1000</v>
      </c>
      <c r="FT74" s="10">
        <v>1000</v>
      </c>
      <c r="FU74" s="10">
        <v>1000</v>
      </c>
      <c r="FV74" s="10">
        <v>1000</v>
      </c>
      <c r="FW74" s="10">
        <v>1013</v>
      </c>
      <c r="FX74" s="10">
        <v>1013</v>
      </c>
      <c r="FY74" s="10">
        <v>1020</v>
      </c>
      <c r="FZ74" s="10">
        <v>1032</v>
      </c>
      <c r="GA74" s="10">
        <v>986</v>
      </c>
      <c r="GB74" s="10">
        <v>1038</v>
      </c>
      <c r="GC74" s="10">
        <v>1035</v>
      </c>
      <c r="GD74" s="10">
        <v>1040</v>
      </c>
      <c r="GE74" s="10">
        <v>1067</v>
      </c>
      <c r="GF74" s="10">
        <v>1040</v>
      </c>
      <c r="GG74" s="10">
        <v>1045</v>
      </c>
      <c r="GH74" s="10">
        <v>1103</v>
      </c>
      <c r="GI74" s="10">
        <v>1114</v>
      </c>
      <c r="GJ74" s="10">
        <v>1117</v>
      </c>
      <c r="GK74" s="10">
        <v>1090</v>
      </c>
      <c r="GL74" s="10">
        <v>1152</v>
      </c>
      <c r="GM74" s="10">
        <v>1173</v>
      </c>
      <c r="GN74" s="10">
        <v>1172</v>
      </c>
      <c r="GO74" s="10">
        <v>1187</v>
      </c>
      <c r="GP74" s="10">
        <v>1036</v>
      </c>
      <c r="GQ74" s="10">
        <v>1044</v>
      </c>
      <c r="GR74" s="10">
        <v>1046</v>
      </c>
      <c r="GS74" s="10">
        <v>1236</v>
      </c>
    </row>
    <row r="75" spans="1:201" ht="12.6">
      <c r="A75" s="51" t="s">
        <v>1893</v>
      </c>
      <c r="B75" s="10"/>
      <c r="C75" s="10"/>
      <c r="D75" s="10"/>
      <c r="E75" s="10"/>
      <c r="F75" s="10" t="s">
        <v>1827</v>
      </c>
      <c r="G75" s="10" t="s">
        <v>1827</v>
      </c>
      <c r="H75" s="10" t="s">
        <v>1827</v>
      </c>
      <c r="I75" s="10" t="s">
        <v>1827</v>
      </c>
      <c r="J75" s="10" t="s">
        <v>1827</v>
      </c>
      <c r="K75" s="10" t="s">
        <v>1827</v>
      </c>
      <c r="L75" s="10" t="s">
        <v>1827</v>
      </c>
      <c r="M75" s="10" t="s">
        <v>1827</v>
      </c>
      <c r="N75" s="10" t="s">
        <v>1827</v>
      </c>
      <c r="O75" s="10" t="s">
        <v>1827</v>
      </c>
      <c r="P75" s="10" t="s">
        <v>1827</v>
      </c>
      <c r="Q75" s="10" t="s">
        <v>1827</v>
      </c>
      <c r="R75" s="10" t="s">
        <v>1827</v>
      </c>
      <c r="S75" s="10" t="s">
        <v>1827</v>
      </c>
      <c r="T75" s="10" t="s">
        <v>1827</v>
      </c>
      <c r="U75" s="10" t="s">
        <v>1827</v>
      </c>
      <c r="V75" s="10" t="s">
        <v>1827</v>
      </c>
      <c r="W75" s="10" t="s">
        <v>1827</v>
      </c>
      <c r="X75" s="10" t="s">
        <v>1827</v>
      </c>
      <c r="Y75" s="10" t="s">
        <v>1827</v>
      </c>
      <c r="Z75" s="10" t="s">
        <v>1827</v>
      </c>
      <c r="AA75" s="10" t="s">
        <v>1827</v>
      </c>
      <c r="AB75" s="10" t="s">
        <v>1827</v>
      </c>
      <c r="AC75" s="10" t="s">
        <v>1827</v>
      </c>
      <c r="AD75" s="10" t="s">
        <v>1827</v>
      </c>
      <c r="AE75" s="10">
        <v>204.04826299999999</v>
      </c>
      <c r="AF75" s="10">
        <v>204.04826299999999</v>
      </c>
      <c r="AG75" s="10">
        <v>204.04826299999999</v>
      </c>
      <c r="AH75" s="10">
        <v>204.04826299999999</v>
      </c>
      <c r="AI75" s="10">
        <v>204.04826299999999</v>
      </c>
      <c r="AJ75" s="10">
        <v>241.90721400000001</v>
      </c>
      <c r="AK75" s="10">
        <v>241.90721400000001</v>
      </c>
      <c r="AL75" s="10">
        <v>246.12589199999999</v>
      </c>
      <c r="AM75" s="10">
        <v>246.12589199999999</v>
      </c>
      <c r="AN75" s="10">
        <v>246.12589199999999</v>
      </c>
      <c r="AO75" s="10">
        <v>246.12589199999999</v>
      </c>
      <c r="AP75" s="10">
        <v>246.12589199999999</v>
      </c>
      <c r="AQ75" s="10">
        <v>246.12589199999999</v>
      </c>
      <c r="AR75" s="10">
        <v>246.12589199999999</v>
      </c>
      <c r="AS75" s="10">
        <v>246.12589199999999</v>
      </c>
      <c r="AT75" s="10">
        <v>246.12589199999999</v>
      </c>
      <c r="AU75" s="10">
        <v>246.12589199999999</v>
      </c>
      <c r="AV75" s="10">
        <v>246.12589199999999</v>
      </c>
      <c r="AW75" s="10">
        <v>268.438851</v>
      </c>
      <c r="AX75" s="10">
        <v>268.438851</v>
      </c>
      <c r="AY75" s="10">
        <v>268.438851</v>
      </c>
      <c r="AZ75" s="10">
        <v>331.31090399999999</v>
      </c>
      <c r="BA75" s="10">
        <v>331.31090399999999</v>
      </c>
      <c r="BB75" s="10">
        <v>341.84098899999998</v>
      </c>
      <c r="BC75" s="10">
        <v>431.09757100000002</v>
      </c>
      <c r="BD75" s="10">
        <v>431.09757100000002</v>
      </c>
      <c r="BE75" s="10">
        <v>431.09757100000002</v>
      </c>
      <c r="BF75" s="10">
        <v>446.13580300000001</v>
      </c>
      <c r="BG75" s="10">
        <v>446.13580300000001</v>
      </c>
      <c r="BH75" s="10">
        <v>446.13580300000001</v>
      </c>
      <c r="BI75" s="10">
        <v>474.54187999999999</v>
      </c>
      <c r="BJ75" s="10">
        <v>474.54187999999999</v>
      </c>
      <c r="BK75" s="10">
        <v>474.54187999999999</v>
      </c>
      <c r="BL75" s="10">
        <v>474.54187999999999</v>
      </c>
      <c r="BM75" s="10">
        <v>493.26730300000003</v>
      </c>
      <c r="BN75" s="10">
        <v>547.92978200000005</v>
      </c>
      <c r="BO75" s="10">
        <v>514.21832700000004</v>
      </c>
      <c r="BP75" s="10">
        <v>515.59449900000004</v>
      </c>
      <c r="BQ75" s="10">
        <v>515.59449900000004</v>
      </c>
      <c r="BR75" s="10">
        <v>515.59449900000004</v>
      </c>
      <c r="BS75" s="10">
        <v>515.59449900000004</v>
      </c>
      <c r="BT75" s="10">
        <v>515.59449900000004</v>
      </c>
      <c r="BU75" s="10">
        <v>535.25476900000001</v>
      </c>
      <c r="BV75" s="10">
        <v>535.25476900000001</v>
      </c>
      <c r="BW75" s="10">
        <v>535.25476900000001</v>
      </c>
      <c r="BX75" s="10">
        <v>535.25476900000001</v>
      </c>
      <c r="BY75" s="10">
        <v>535.25476900000001</v>
      </c>
      <c r="BZ75" s="10">
        <v>562.222984</v>
      </c>
      <c r="CA75" s="10">
        <v>562.222984</v>
      </c>
      <c r="CB75" s="10">
        <v>562.222984</v>
      </c>
      <c r="CC75" s="10">
        <v>562.222984</v>
      </c>
      <c r="CD75" s="10">
        <v>562.79717900000003</v>
      </c>
      <c r="CE75" s="10">
        <v>562.79717900000003</v>
      </c>
      <c r="CF75" s="10">
        <v>562.79717900000003</v>
      </c>
      <c r="CG75" s="10">
        <v>562.79717900000003</v>
      </c>
      <c r="CH75" s="10">
        <v>562.79717900000003</v>
      </c>
      <c r="CI75" s="10">
        <v>562.79717900000003</v>
      </c>
      <c r="CJ75" s="10">
        <v>562.79717900000003</v>
      </c>
      <c r="CK75" s="10">
        <v>562.79717900000003</v>
      </c>
      <c r="CL75" s="10">
        <v>540.28529200000003</v>
      </c>
      <c r="CM75" s="10">
        <v>540.28529200000003</v>
      </c>
      <c r="CN75" s="10">
        <v>540.28529200000003</v>
      </c>
      <c r="CO75" s="10">
        <v>540.28529200000003</v>
      </c>
      <c r="CP75" s="10">
        <v>540.28529200000003</v>
      </c>
      <c r="CQ75" s="10">
        <v>540.28529200000003</v>
      </c>
      <c r="CR75" s="10">
        <v>540.28529200000003</v>
      </c>
      <c r="CS75" s="10">
        <v>540.28529200000003</v>
      </c>
      <c r="CT75" s="10">
        <v>540.28529200000003</v>
      </c>
      <c r="CU75" s="10">
        <v>540.28529200000003</v>
      </c>
      <c r="CV75" s="10">
        <v>540.28529200000003</v>
      </c>
      <c r="CW75" s="10">
        <v>540.28529200000003</v>
      </c>
      <c r="CX75" s="10">
        <v>540.28529200000003</v>
      </c>
      <c r="CY75" s="10">
        <v>540.28529200000003</v>
      </c>
      <c r="CZ75" s="10">
        <v>540.28529200000003</v>
      </c>
      <c r="DA75" s="10">
        <v>540.28529200000003</v>
      </c>
      <c r="DB75" s="10">
        <v>572.16212399999995</v>
      </c>
      <c r="DC75" s="10">
        <v>570.00098300000002</v>
      </c>
      <c r="DD75" s="10">
        <v>570.00098300000002</v>
      </c>
      <c r="DE75" s="10">
        <v>570.00098300000002</v>
      </c>
      <c r="DF75" s="10">
        <v>574.32326599999999</v>
      </c>
      <c r="DG75" s="10">
        <v>611.60295099999996</v>
      </c>
      <c r="DH75" s="10">
        <v>611.60295099999996</v>
      </c>
      <c r="DI75" s="10">
        <v>611.60295099999996</v>
      </c>
      <c r="DJ75" s="10">
        <v>611.60295099999996</v>
      </c>
      <c r="DK75" s="10">
        <v>611.60295099999996</v>
      </c>
      <c r="DL75" s="10">
        <v>613.22380699999997</v>
      </c>
      <c r="DM75" s="10">
        <v>613.22380699999997</v>
      </c>
      <c r="DN75" s="10">
        <v>613.22380699999997</v>
      </c>
      <c r="DO75" s="10">
        <v>613.22380699999997</v>
      </c>
      <c r="DP75" s="10">
        <v>613.22380699999997</v>
      </c>
      <c r="DQ75" s="10">
        <v>613.22380699999997</v>
      </c>
      <c r="DR75" s="10">
        <v>613.22380699999997</v>
      </c>
      <c r="DS75" s="10">
        <v>613.22380699999997</v>
      </c>
      <c r="DT75" s="10">
        <v>654.82577400000002</v>
      </c>
      <c r="DU75" s="10">
        <v>654.82577400000002</v>
      </c>
      <c r="DV75" s="10">
        <v>654.82577400000002</v>
      </c>
      <c r="DW75" s="10">
        <v>654.82577400000002</v>
      </c>
      <c r="DX75" s="10">
        <v>654.82577400000002</v>
      </c>
      <c r="DY75" s="10">
        <v>654.82577400000002</v>
      </c>
      <c r="DZ75" s="10">
        <v>654.82577400000002</v>
      </c>
      <c r="EA75" s="10">
        <v>664.01062400000001</v>
      </c>
      <c r="EB75" s="10">
        <v>664.01062400000001</v>
      </c>
      <c r="EC75" s="10">
        <v>664.01062400000001</v>
      </c>
      <c r="ED75" s="10">
        <v>673.30677300000002</v>
      </c>
      <c r="EE75" s="10">
        <v>674.63479400000006</v>
      </c>
      <c r="EF75" s="10">
        <v>682.60292200000004</v>
      </c>
      <c r="EG75" s="10">
        <v>696.547145</v>
      </c>
      <c r="EH75" s="10">
        <v>696.547145</v>
      </c>
      <c r="EI75" s="10">
        <v>696.547145</v>
      </c>
      <c r="EJ75" s="10">
        <v>738.37981400000001</v>
      </c>
      <c r="EK75" s="10">
        <v>738.37981400000001</v>
      </c>
      <c r="EL75" s="10">
        <v>738.37981400000001</v>
      </c>
      <c r="EM75" s="10">
        <v>738.37981400000001</v>
      </c>
      <c r="EN75" s="10">
        <v>738.37981400000001</v>
      </c>
      <c r="EO75" s="10">
        <v>738.37981400000001</v>
      </c>
      <c r="EP75" s="10">
        <v>765.60424999999998</v>
      </c>
      <c r="EQ75" s="10">
        <v>765.60424999999998</v>
      </c>
      <c r="ER75" s="10">
        <v>765.60424999999998</v>
      </c>
      <c r="ES75" s="10">
        <v>765.60424999999998</v>
      </c>
      <c r="ET75" s="10">
        <v>824.03718500000002</v>
      </c>
      <c r="EU75" s="10">
        <v>829.34927000000005</v>
      </c>
      <c r="EV75" s="10">
        <v>829.34927000000005</v>
      </c>
      <c r="EW75" s="10">
        <v>833.33333300000004</v>
      </c>
      <c r="EX75" s="10">
        <v>835.32536500000003</v>
      </c>
      <c r="EY75" s="10">
        <v>839.30942900000002</v>
      </c>
      <c r="EZ75" s="10">
        <v>842.62948200000005</v>
      </c>
      <c r="FA75" s="10">
        <v>874.50199199999997</v>
      </c>
      <c r="FB75" s="10">
        <v>877.15803500000004</v>
      </c>
      <c r="FC75" s="10">
        <v>879.15006600000004</v>
      </c>
      <c r="FD75" s="10">
        <v>882.47011999999995</v>
      </c>
      <c r="FE75" s="10">
        <v>887.78220499999998</v>
      </c>
      <c r="FF75" s="10">
        <v>889.77423599999997</v>
      </c>
      <c r="FG75" s="10">
        <v>887.78220499999998</v>
      </c>
      <c r="FH75" s="10">
        <v>888.44621500000005</v>
      </c>
      <c r="FI75" s="10">
        <v>921.64674600000001</v>
      </c>
      <c r="FJ75" s="10">
        <v>922.31075699999997</v>
      </c>
      <c r="FK75" s="10">
        <v>925.63081</v>
      </c>
      <c r="FL75" s="10">
        <v>925.63081</v>
      </c>
      <c r="FM75" s="10">
        <v>952.19123500000001</v>
      </c>
      <c r="FN75" s="10">
        <v>954.84727799999996</v>
      </c>
      <c r="FO75" s="10">
        <v>954.183267</v>
      </c>
      <c r="FP75" s="10">
        <v>954.84727799999996</v>
      </c>
      <c r="FQ75" s="10">
        <v>998.00796800000001</v>
      </c>
      <c r="FR75" s="10">
        <v>996.67994699999997</v>
      </c>
      <c r="FS75" s="10">
        <v>1005.312085</v>
      </c>
      <c r="FT75" s="10">
        <v>1000</v>
      </c>
      <c r="FU75" s="10">
        <v>1011.952191</v>
      </c>
      <c r="FV75" s="10">
        <v>1006</v>
      </c>
      <c r="FW75" s="10">
        <v>1014</v>
      </c>
      <c r="FX75" s="10">
        <v>1013</v>
      </c>
      <c r="FY75" s="10">
        <v>1066</v>
      </c>
      <c r="FZ75" s="10">
        <v>1073</v>
      </c>
      <c r="GA75" s="10">
        <v>1083</v>
      </c>
      <c r="GB75" s="10">
        <v>1089</v>
      </c>
      <c r="GC75" s="10">
        <v>1094</v>
      </c>
      <c r="GD75" s="10">
        <v>1091</v>
      </c>
      <c r="GE75" s="10">
        <v>1094</v>
      </c>
      <c r="GF75" s="10">
        <v>1096</v>
      </c>
      <c r="GG75" s="10">
        <v>1104</v>
      </c>
      <c r="GH75" s="10">
        <v>1106</v>
      </c>
      <c r="GI75" s="10">
        <v>1109</v>
      </c>
      <c r="GJ75" s="10">
        <v>1114</v>
      </c>
      <c r="GK75" s="10">
        <v>1127</v>
      </c>
      <c r="GL75" s="10">
        <v>1130</v>
      </c>
      <c r="GM75" s="10">
        <v>1146</v>
      </c>
      <c r="GN75" s="10">
        <v>1180</v>
      </c>
      <c r="GO75" s="10">
        <v>1237</v>
      </c>
      <c r="GP75" s="10">
        <v>1255</v>
      </c>
      <c r="GQ75" s="10">
        <v>1269</v>
      </c>
      <c r="GR75" s="10">
        <v>1254</v>
      </c>
      <c r="GS75" s="10">
        <v>1327</v>
      </c>
    </row>
    <row r="76" spans="1:201" ht="12.6">
      <c r="A76" s="51" t="s">
        <v>1894</v>
      </c>
      <c r="B76" s="10"/>
      <c r="C76" s="10"/>
      <c r="D76" s="10"/>
      <c r="E76" s="10"/>
      <c r="F76" s="10" t="s">
        <v>1827</v>
      </c>
      <c r="G76" s="10" t="s">
        <v>1827</v>
      </c>
      <c r="H76" s="10" t="s">
        <v>1827</v>
      </c>
      <c r="I76" s="10" t="s">
        <v>1827</v>
      </c>
      <c r="J76" s="10" t="s">
        <v>1827</v>
      </c>
      <c r="K76" s="10" t="s">
        <v>1827</v>
      </c>
      <c r="L76" s="10" t="s">
        <v>1827</v>
      </c>
      <c r="M76" s="10" t="s">
        <v>1827</v>
      </c>
      <c r="N76" s="10" t="s">
        <v>1827</v>
      </c>
      <c r="O76" s="10" t="s">
        <v>1827</v>
      </c>
      <c r="P76" s="10" t="s">
        <v>1827</v>
      </c>
      <c r="Q76" s="10" t="s">
        <v>1827</v>
      </c>
      <c r="R76" s="10" t="s">
        <v>1827</v>
      </c>
      <c r="S76" s="10" t="s">
        <v>1827</v>
      </c>
      <c r="T76" s="10" t="s">
        <v>1827</v>
      </c>
      <c r="U76" s="10" t="s">
        <v>1827</v>
      </c>
      <c r="V76" s="10" t="s">
        <v>1827</v>
      </c>
      <c r="W76" s="10" t="s">
        <v>1827</v>
      </c>
      <c r="X76" s="10" t="s">
        <v>1827</v>
      </c>
      <c r="Y76" s="10" t="s">
        <v>1827</v>
      </c>
      <c r="Z76" s="10" t="s">
        <v>1827</v>
      </c>
      <c r="AA76" s="10" t="s">
        <v>1827</v>
      </c>
      <c r="AB76" s="10" t="s">
        <v>1827</v>
      </c>
      <c r="AC76" s="10" t="s">
        <v>1827</v>
      </c>
      <c r="AD76" s="10" t="s">
        <v>1827</v>
      </c>
      <c r="AE76" s="10" t="s">
        <v>1827</v>
      </c>
      <c r="AF76" s="10" t="s">
        <v>1827</v>
      </c>
      <c r="AG76" s="10" t="s">
        <v>1827</v>
      </c>
      <c r="AH76" s="10" t="s">
        <v>1827</v>
      </c>
      <c r="AI76" s="10" t="s">
        <v>1827</v>
      </c>
      <c r="AJ76" s="10" t="s">
        <v>1827</v>
      </c>
      <c r="AK76" s="10" t="s">
        <v>1827</v>
      </c>
      <c r="AL76" s="10" t="s">
        <v>1827</v>
      </c>
      <c r="AM76" s="10" t="s">
        <v>1827</v>
      </c>
      <c r="AN76" s="10" t="s">
        <v>1827</v>
      </c>
      <c r="AO76" s="10" t="s">
        <v>1827</v>
      </c>
      <c r="AP76" s="10" t="s">
        <v>1827</v>
      </c>
      <c r="AQ76" s="10" t="s">
        <v>1827</v>
      </c>
      <c r="AR76" s="10" t="s">
        <v>1827</v>
      </c>
      <c r="AS76" s="10" t="s">
        <v>1827</v>
      </c>
      <c r="AT76" s="10" t="s">
        <v>1827</v>
      </c>
      <c r="AU76" s="10" t="s">
        <v>1827</v>
      </c>
      <c r="AV76" s="10" t="s">
        <v>1827</v>
      </c>
      <c r="AW76" s="10" t="s">
        <v>1827</v>
      </c>
      <c r="AX76" s="10" t="s">
        <v>1827</v>
      </c>
      <c r="AY76" s="10" t="s">
        <v>1827</v>
      </c>
      <c r="AZ76" s="10" t="s">
        <v>1827</v>
      </c>
      <c r="BA76" s="10" t="s">
        <v>1827</v>
      </c>
      <c r="BB76" s="10" t="s">
        <v>1827</v>
      </c>
      <c r="BC76" s="10" t="s">
        <v>1827</v>
      </c>
      <c r="BD76" s="10" t="s">
        <v>1827</v>
      </c>
      <c r="BE76" s="10" t="s">
        <v>1827</v>
      </c>
      <c r="BF76" s="10" t="s">
        <v>1827</v>
      </c>
      <c r="BG76" s="10" t="s">
        <v>1827</v>
      </c>
      <c r="BH76" s="10" t="s">
        <v>1827</v>
      </c>
      <c r="BI76" s="10" t="s">
        <v>1827</v>
      </c>
      <c r="BJ76" s="10" t="s">
        <v>1827</v>
      </c>
      <c r="BK76" s="10" t="s">
        <v>1827</v>
      </c>
      <c r="BL76" s="10" t="s">
        <v>1827</v>
      </c>
      <c r="BM76" s="10" t="s">
        <v>1827</v>
      </c>
      <c r="BN76" s="10" t="s">
        <v>1827</v>
      </c>
      <c r="BO76" s="10" t="s">
        <v>1827</v>
      </c>
      <c r="BP76" s="10" t="s">
        <v>1827</v>
      </c>
      <c r="BQ76" s="10" t="s">
        <v>1827</v>
      </c>
      <c r="BR76" s="10" t="s">
        <v>1827</v>
      </c>
      <c r="BS76" s="10" t="s">
        <v>1827</v>
      </c>
      <c r="BT76" s="10" t="s">
        <v>1827</v>
      </c>
      <c r="BU76" s="10" t="s">
        <v>1827</v>
      </c>
      <c r="BV76" s="10" t="s">
        <v>1827</v>
      </c>
      <c r="BW76" s="10" t="s">
        <v>1827</v>
      </c>
      <c r="BX76" s="10" t="s">
        <v>1827</v>
      </c>
      <c r="BY76" s="10" t="s">
        <v>1827</v>
      </c>
      <c r="BZ76" s="10" t="s">
        <v>1827</v>
      </c>
      <c r="CA76" s="10" t="s">
        <v>1827</v>
      </c>
      <c r="CB76" s="10" t="s">
        <v>1827</v>
      </c>
      <c r="CC76" s="10" t="s">
        <v>1827</v>
      </c>
      <c r="CD76" s="10" t="s">
        <v>1827</v>
      </c>
      <c r="CE76" s="10" t="s">
        <v>1827</v>
      </c>
      <c r="CF76" s="10" t="s">
        <v>1827</v>
      </c>
      <c r="CG76" s="10" t="s">
        <v>1827</v>
      </c>
      <c r="CH76" s="10" t="s">
        <v>1827</v>
      </c>
      <c r="CI76" s="10" t="s">
        <v>1827</v>
      </c>
      <c r="CJ76" s="10" t="s">
        <v>1827</v>
      </c>
      <c r="CK76" s="10" t="s">
        <v>1827</v>
      </c>
      <c r="CL76" s="10" t="s">
        <v>1827</v>
      </c>
      <c r="CM76" s="10" t="s">
        <v>1827</v>
      </c>
      <c r="CN76" s="10" t="s">
        <v>1827</v>
      </c>
      <c r="CO76" s="10" t="s">
        <v>1827</v>
      </c>
      <c r="CP76" s="10" t="s">
        <v>1827</v>
      </c>
      <c r="CQ76" s="10" t="s">
        <v>1827</v>
      </c>
      <c r="CR76" s="10" t="s">
        <v>1827</v>
      </c>
      <c r="CS76" s="10" t="s">
        <v>1827</v>
      </c>
      <c r="CT76" s="10" t="s">
        <v>1827</v>
      </c>
      <c r="CU76" s="10" t="s">
        <v>1827</v>
      </c>
      <c r="CV76" s="10" t="s">
        <v>1827</v>
      </c>
      <c r="CW76" s="10" t="s">
        <v>1827</v>
      </c>
      <c r="CX76" s="10" t="s">
        <v>1827</v>
      </c>
      <c r="CY76" s="10" t="s">
        <v>1827</v>
      </c>
      <c r="CZ76" s="10">
        <v>27056.27706</v>
      </c>
      <c r="DA76" s="10">
        <v>27245.670999999998</v>
      </c>
      <c r="DB76" s="10">
        <v>27976.190476</v>
      </c>
      <c r="DC76" s="10">
        <v>26379.870131</v>
      </c>
      <c r="DD76" s="10">
        <v>26244.588749999999</v>
      </c>
      <c r="DE76" s="10">
        <v>24945.887439999999</v>
      </c>
      <c r="DF76" s="10">
        <v>24025.974023999999</v>
      </c>
      <c r="DG76" s="10">
        <v>24215.367964000001</v>
      </c>
      <c r="DH76" s="10">
        <v>24675.324679000001</v>
      </c>
      <c r="DI76" s="10">
        <v>24404.761904999999</v>
      </c>
      <c r="DJ76" s="10">
        <v>25487.012987999999</v>
      </c>
      <c r="DK76" s="10">
        <v>25757.575762</v>
      </c>
      <c r="DL76" s="10">
        <v>26461.038963999999</v>
      </c>
      <c r="DM76" s="10">
        <v>26461.038963999999</v>
      </c>
      <c r="DN76" s="10">
        <v>26244.588749999999</v>
      </c>
      <c r="DO76" s="10">
        <v>25568.181820999998</v>
      </c>
      <c r="DP76" s="10">
        <v>24242.424238</v>
      </c>
      <c r="DQ76" s="10">
        <v>23295.454548000002</v>
      </c>
      <c r="DR76" s="10">
        <v>23160.173155</v>
      </c>
      <c r="DS76" s="10">
        <v>22321.428571</v>
      </c>
      <c r="DT76" s="10">
        <v>20860.389607000001</v>
      </c>
      <c r="DU76" s="10">
        <v>20102.813857000001</v>
      </c>
      <c r="DV76" s="10">
        <v>18912.337667</v>
      </c>
      <c r="DW76" s="10">
        <v>17180.735928999999</v>
      </c>
      <c r="DX76" s="10">
        <v>16287.878785999999</v>
      </c>
      <c r="DY76" s="10">
        <v>13852.813856999999</v>
      </c>
      <c r="DZ76" s="10">
        <v>12716.450214</v>
      </c>
      <c r="EA76" s="10">
        <v>12256.493511999999</v>
      </c>
      <c r="EB76" s="10">
        <v>11904.761904999999</v>
      </c>
      <c r="EC76" s="10">
        <v>11452.380952</v>
      </c>
      <c r="ED76" s="10">
        <v>10928.571429</v>
      </c>
      <c r="EE76" s="10">
        <v>10250</v>
      </c>
      <c r="EF76" s="10">
        <v>9559.5238100000006</v>
      </c>
      <c r="EG76" s="10">
        <v>8892.8571429999993</v>
      </c>
      <c r="EH76" s="10">
        <v>8369.0476190000009</v>
      </c>
      <c r="EI76" s="10">
        <v>7857.1428569999998</v>
      </c>
      <c r="EJ76" s="10">
        <v>7547.6190479999996</v>
      </c>
      <c r="EK76" s="10">
        <v>7333.3333329999996</v>
      </c>
      <c r="EL76" s="10">
        <v>6821.4285710000004</v>
      </c>
      <c r="EM76" s="10">
        <v>6761.9047620000001</v>
      </c>
      <c r="EN76" s="10">
        <v>6726.1904759999998</v>
      </c>
      <c r="EO76" s="10">
        <v>6666.6666670000004</v>
      </c>
      <c r="EP76" s="10">
        <v>6345.2380949999997</v>
      </c>
      <c r="EQ76" s="10">
        <v>5976.1904759999998</v>
      </c>
      <c r="ER76" s="10">
        <v>5726.1904759999998</v>
      </c>
      <c r="ES76" s="10">
        <v>5452.3809520000004</v>
      </c>
      <c r="ET76" s="10">
        <v>5119.0476189999999</v>
      </c>
      <c r="EU76" s="10">
        <v>4845.2380949999997</v>
      </c>
      <c r="EV76" s="10">
        <v>4535.7142860000004</v>
      </c>
      <c r="EW76" s="10">
        <v>4119.0476189999999</v>
      </c>
      <c r="EX76" s="10">
        <v>3773.8095239999998</v>
      </c>
      <c r="EY76" s="10">
        <v>3404.7619049999998</v>
      </c>
      <c r="EZ76" s="10">
        <v>3273.8095239999998</v>
      </c>
      <c r="FA76" s="10">
        <v>3119.0476189999999</v>
      </c>
      <c r="FB76" s="10">
        <v>2833.333333</v>
      </c>
      <c r="FC76" s="10">
        <v>2642.8571430000002</v>
      </c>
      <c r="FD76" s="10">
        <v>2523.8095239999998</v>
      </c>
      <c r="FE76" s="10">
        <v>2345.2380950000002</v>
      </c>
      <c r="FF76" s="10">
        <v>2214.2857140000001</v>
      </c>
      <c r="FG76" s="10">
        <v>2083.333333</v>
      </c>
      <c r="FH76" s="10">
        <v>1904.7619050000001</v>
      </c>
      <c r="FI76" s="10">
        <v>1761.9047619999999</v>
      </c>
      <c r="FJ76" s="10">
        <v>1547.619048</v>
      </c>
      <c r="FK76" s="10">
        <v>1511.9047619999999</v>
      </c>
      <c r="FL76" s="10">
        <v>1535.7142859999999</v>
      </c>
      <c r="FM76" s="10">
        <v>1511.9047619999999</v>
      </c>
      <c r="FN76" s="10">
        <v>1416.666667</v>
      </c>
      <c r="FO76" s="10">
        <v>1369.0476189999999</v>
      </c>
      <c r="FP76" s="10">
        <v>1309.5238099999999</v>
      </c>
      <c r="FQ76" s="10">
        <v>1285.7142859999999</v>
      </c>
      <c r="FR76" s="10">
        <v>1154.7619050000001</v>
      </c>
      <c r="FS76" s="10">
        <v>1142.857143</v>
      </c>
      <c r="FT76" s="10">
        <v>1000</v>
      </c>
      <c r="FU76" s="10">
        <v>1000</v>
      </c>
      <c r="FV76" s="10">
        <v>1021</v>
      </c>
      <c r="FW76" s="10">
        <v>1004</v>
      </c>
      <c r="FX76" s="10">
        <v>912</v>
      </c>
      <c r="FY76" s="10">
        <v>834</v>
      </c>
      <c r="FZ76" s="10">
        <v>803</v>
      </c>
      <c r="GA76" s="10">
        <v>773</v>
      </c>
      <c r="GB76" s="10">
        <v>695</v>
      </c>
      <c r="GC76" s="10">
        <v>676</v>
      </c>
      <c r="GD76" s="10">
        <v>673</v>
      </c>
      <c r="GE76" s="10">
        <v>722</v>
      </c>
      <c r="GF76" s="10">
        <v>777</v>
      </c>
      <c r="GG76" s="10">
        <v>662</v>
      </c>
      <c r="GH76" s="10">
        <v>715</v>
      </c>
      <c r="GI76" s="10">
        <v>655</v>
      </c>
      <c r="GJ76" s="10">
        <v>578</v>
      </c>
      <c r="GK76" s="10">
        <v>563</v>
      </c>
      <c r="GL76" s="10">
        <v>656</v>
      </c>
      <c r="GM76" s="10">
        <v>629</v>
      </c>
      <c r="GN76" s="10">
        <v>676</v>
      </c>
      <c r="GO76" s="10">
        <v>557</v>
      </c>
      <c r="GP76" s="10">
        <v>555</v>
      </c>
      <c r="GQ76" s="10">
        <v>563</v>
      </c>
      <c r="GR76" s="10">
        <v>507</v>
      </c>
      <c r="GS76" s="10">
        <v>476</v>
      </c>
    </row>
    <row r="77" spans="1:201" ht="12.6">
      <c r="A77" s="51" t="s">
        <v>1895</v>
      </c>
      <c r="B77" s="10"/>
      <c r="C77" s="10"/>
      <c r="D77" s="10"/>
      <c r="E77" s="10"/>
      <c r="F77" s="10" t="s">
        <v>1827</v>
      </c>
      <c r="G77" s="10" t="s">
        <v>1827</v>
      </c>
      <c r="H77" s="10" t="s">
        <v>1827</v>
      </c>
      <c r="I77" s="10" t="s">
        <v>1827</v>
      </c>
      <c r="J77" s="10" t="s">
        <v>1827</v>
      </c>
      <c r="K77" s="10" t="s">
        <v>1827</v>
      </c>
      <c r="L77" s="10" t="s">
        <v>1827</v>
      </c>
      <c r="M77" s="10" t="s">
        <v>1827</v>
      </c>
      <c r="N77" s="10" t="s">
        <v>1827</v>
      </c>
      <c r="O77" s="10" t="s">
        <v>1827</v>
      </c>
      <c r="P77" s="10" t="s">
        <v>1827</v>
      </c>
      <c r="Q77" s="10" t="s">
        <v>1827</v>
      </c>
      <c r="R77" s="10" t="s">
        <v>1827</v>
      </c>
      <c r="S77" s="10" t="s">
        <v>1827</v>
      </c>
      <c r="T77" s="10" t="s">
        <v>1827</v>
      </c>
      <c r="U77" s="10" t="s">
        <v>1827</v>
      </c>
      <c r="V77" s="10" t="s">
        <v>1827</v>
      </c>
      <c r="W77" s="10" t="s">
        <v>1827</v>
      </c>
      <c r="X77" s="10" t="s">
        <v>1827</v>
      </c>
      <c r="Y77" s="10" t="s">
        <v>1827</v>
      </c>
      <c r="Z77" s="10" t="s">
        <v>1827</v>
      </c>
      <c r="AA77" s="10" t="s">
        <v>1827</v>
      </c>
      <c r="AB77" s="10" t="s">
        <v>1827</v>
      </c>
      <c r="AC77" s="10" t="s">
        <v>1827</v>
      </c>
      <c r="AD77" s="10" t="s">
        <v>1827</v>
      </c>
      <c r="AE77" s="10" t="s">
        <v>1827</v>
      </c>
      <c r="AF77" s="10" t="s">
        <v>1827</v>
      </c>
      <c r="AG77" s="10" t="s">
        <v>1827</v>
      </c>
      <c r="AH77" s="10" t="s">
        <v>1827</v>
      </c>
      <c r="AI77" s="10" t="s">
        <v>1827</v>
      </c>
      <c r="AJ77" s="10" t="s">
        <v>1827</v>
      </c>
      <c r="AK77" s="10" t="s">
        <v>1827</v>
      </c>
      <c r="AL77" s="10" t="s">
        <v>1827</v>
      </c>
      <c r="AM77" s="10" t="s">
        <v>1827</v>
      </c>
      <c r="AN77" s="10" t="s">
        <v>1827</v>
      </c>
      <c r="AO77" s="10" t="s">
        <v>1827</v>
      </c>
      <c r="AP77" s="10" t="s">
        <v>1827</v>
      </c>
      <c r="AQ77" s="10" t="s">
        <v>1827</v>
      </c>
      <c r="AR77" s="10" t="s">
        <v>1827</v>
      </c>
      <c r="AS77" s="10" t="s">
        <v>1827</v>
      </c>
      <c r="AT77" s="10" t="s">
        <v>1827</v>
      </c>
      <c r="AU77" s="10" t="s">
        <v>1827</v>
      </c>
      <c r="AV77" s="10" t="s">
        <v>1827</v>
      </c>
      <c r="AW77" s="10" t="s">
        <v>1827</v>
      </c>
      <c r="AX77" s="10" t="s">
        <v>1827</v>
      </c>
      <c r="AY77" s="10" t="s">
        <v>1827</v>
      </c>
      <c r="AZ77" s="10" t="s">
        <v>1827</v>
      </c>
      <c r="BA77" s="10" t="s">
        <v>1827</v>
      </c>
      <c r="BB77" s="10" t="s">
        <v>1827</v>
      </c>
      <c r="BC77" s="10" t="s">
        <v>1827</v>
      </c>
      <c r="BD77" s="10" t="s">
        <v>1827</v>
      </c>
      <c r="BE77" s="10" t="s">
        <v>1827</v>
      </c>
      <c r="BF77" s="10" t="s">
        <v>1827</v>
      </c>
      <c r="BG77" s="10" t="s">
        <v>1827</v>
      </c>
      <c r="BH77" s="10" t="s">
        <v>1827</v>
      </c>
      <c r="BI77" s="10" t="s">
        <v>1827</v>
      </c>
      <c r="BJ77" s="10" t="s">
        <v>1827</v>
      </c>
      <c r="BK77" s="10" t="s">
        <v>1827</v>
      </c>
      <c r="BL77" s="10" t="s">
        <v>1827</v>
      </c>
      <c r="BM77" s="10" t="s">
        <v>1827</v>
      </c>
      <c r="BN77" s="10" t="s">
        <v>1827</v>
      </c>
      <c r="BO77" s="10" t="s">
        <v>1827</v>
      </c>
      <c r="BP77" s="10" t="s">
        <v>1827</v>
      </c>
      <c r="BQ77" s="10" t="s">
        <v>1827</v>
      </c>
      <c r="BR77" s="10" t="s">
        <v>1827</v>
      </c>
      <c r="BS77" s="10" t="s">
        <v>1827</v>
      </c>
      <c r="BT77" s="10" t="s">
        <v>1827</v>
      </c>
      <c r="BU77" s="10" t="s">
        <v>1827</v>
      </c>
      <c r="BV77" s="10" t="s">
        <v>1827</v>
      </c>
      <c r="BW77" s="10" t="s">
        <v>1827</v>
      </c>
      <c r="BX77" s="10" t="s">
        <v>1827</v>
      </c>
      <c r="BY77" s="10" t="s">
        <v>1827</v>
      </c>
      <c r="BZ77" s="10" t="s">
        <v>1827</v>
      </c>
      <c r="CA77" s="10" t="s">
        <v>1827</v>
      </c>
      <c r="CB77" s="10" t="s">
        <v>1827</v>
      </c>
      <c r="CC77" s="10" t="s">
        <v>1827</v>
      </c>
      <c r="CD77" s="10" t="s">
        <v>1827</v>
      </c>
      <c r="CE77" s="10" t="s">
        <v>1827</v>
      </c>
      <c r="CF77" s="10" t="s">
        <v>1827</v>
      </c>
      <c r="CG77" s="10" t="s">
        <v>1827</v>
      </c>
      <c r="CH77" s="10" t="s">
        <v>1827</v>
      </c>
      <c r="CI77" s="10" t="s">
        <v>1827</v>
      </c>
      <c r="CJ77" s="10" t="s">
        <v>1827</v>
      </c>
      <c r="CK77" s="10" t="s">
        <v>1827</v>
      </c>
      <c r="CL77" s="10" t="s">
        <v>1827</v>
      </c>
      <c r="CM77" s="10" t="s">
        <v>1827</v>
      </c>
      <c r="CN77" s="10" t="s">
        <v>1827</v>
      </c>
      <c r="CO77" s="10" t="s">
        <v>1827</v>
      </c>
      <c r="CP77" s="10" t="s">
        <v>1827</v>
      </c>
      <c r="CQ77" s="10" t="s">
        <v>1827</v>
      </c>
      <c r="CR77" s="10" t="s">
        <v>1827</v>
      </c>
      <c r="CS77" s="10" t="s">
        <v>1827</v>
      </c>
      <c r="CT77" s="10" t="s">
        <v>1827</v>
      </c>
      <c r="CU77" s="10" t="s">
        <v>1827</v>
      </c>
      <c r="CV77" s="10" t="s">
        <v>1827</v>
      </c>
      <c r="CW77" s="10" t="s">
        <v>1827</v>
      </c>
      <c r="CX77" s="10" t="s">
        <v>1827</v>
      </c>
      <c r="CY77" s="10" t="s">
        <v>1827</v>
      </c>
      <c r="CZ77" s="10">
        <v>1419.312169</v>
      </c>
      <c r="DA77" s="10">
        <v>1310.8465610000001</v>
      </c>
      <c r="DB77" s="10">
        <v>1298.9417989999999</v>
      </c>
      <c r="DC77" s="10">
        <v>1283.0687829999999</v>
      </c>
      <c r="DD77" s="10">
        <v>1277.7777779999999</v>
      </c>
      <c r="DE77" s="10">
        <v>1271.164021</v>
      </c>
      <c r="DF77" s="10">
        <v>1269.8412699999999</v>
      </c>
      <c r="DG77" s="10">
        <v>1257.936508</v>
      </c>
      <c r="DH77" s="10">
        <v>1255.291005</v>
      </c>
      <c r="DI77" s="10">
        <v>1265.873016</v>
      </c>
      <c r="DJ77" s="10">
        <v>1260.582011</v>
      </c>
      <c r="DK77" s="10">
        <v>1275.1322749999999</v>
      </c>
      <c r="DL77" s="10">
        <v>1287.0370370000001</v>
      </c>
      <c r="DM77" s="10">
        <v>1285.7142859999999</v>
      </c>
      <c r="DN77" s="10">
        <v>1293.6507939999999</v>
      </c>
      <c r="DO77" s="10">
        <v>1302.9100530000001</v>
      </c>
      <c r="DP77" s="10">
        <v>1302.9100530000001</v>
      </c>
      <c r="DQ77" s="10">
        <v>1302.9100530000001</v>
      </c>
      <c r="DR77" s="10">
        <v>1302.9100530000001</v>
      </c>
      <c r="DS77" s="10">
        <v>1304.232804</v>
      </c>
      <c r="DT77" s="10">
        <v>1305.555556</v>
      </c>
      <c r="DU77" s="10">
        <v>1296.296296</v>
      </c>
      <c r="DV77" s="10">
        <v>1296.296296</v>
      </c>
      <c r="DW77" s="10">
        <v>1283.0687829999999</v>
      </c>
      <c r="DX77" s="10">
        <v>1283.0687829999999</v>
      </c>
      <c r="DY77" s="10">
        <v>1287.0370370000001</v>
      </c>
      <c r="DZ77" s="10">
        <v>1288.359788</v>
      </c>
      <c r="EA77" s="10">
        <v>1297.619048</v>
      </c>
      <c r="EB77" s="10">
        <v>1322.751323</v>
      </c>
      <c r="EC77" s="10">
        <v>1322.751323</v>
      </c>
      <c r="ED77" s="10">
        <v>1322.751323</v>
      </c>
      <c r="EE77" s="10">
        <v>1328.042328</v>
      </c>
      <c r="EF77" s="10">
        <v>1337.3015869999999</v>
      </c>
      <c r="EG77" s="10">
        <v>1334.6560850000001</v>
      </c>
      <c r="EH77" s="10">
        <v>1330.687831</v>
      </c>
      <c r="EI77" s="10">
        <v>1330.687831</v>
      </c>
      <c r="EJ77" s="10">
        <v>1335.978836</v>
      </c>
      <c r="EK77" s="10">
        <v>1321.4285709999999</v>
      </c>
      <c r="EL77" s="10">
        <v>1321.4285709999999</v>
      </c>
      <c r="EM77" s="10">
        <v>1321.4285709999999</v>
      </c>
      <c r="EN77" s="10">
        <v>1332.0105820000001</v>
      </c>
      <c r="EO77" s="10">
        <v>1330.687831</v>
      </c>
      <c r="EP77" s="10">
        <v>1322.751323</v>
      </c>
      <c r="EQ77" s="10">
        <v>1314.814815</v>
      </c>
      <c r="ER77" s="10">
        <v>1312.169312</v>
      </c>
      <c r="ES77" s="10">
        <v>1314.814815</v>
      </c>
      <c r="ET77" s="10">
        <v>1324.0740740000001</v>
      </c>
      <c r="EU77" s="10">
        <v>1313.4920629999999</v>
      </c>
      <c r="EV77" s="10">
        <v>1300.2645500000001</v>
      </c>
      <c r="EW77" s="10">
        <v>1255.291005</v>
      </c>
      <c r="EX77" s="10">
        <v>1210.31746</v>
      </c>
      <c r="EY77" s="10">
        <v>1212.9629629999999</v>
      </c>
      <c r="EZ77" s="10">
        <v>1182.539683</v>
      </c>
      <c r="FA77" s="10">
        <v>1161.375661</v>
      </c>
      <c r="FB77" s="10">
        <v>1141.534392</v>
      </c>
      <c r="FC77" s="10">
        <v>1125.661376</v>
      </c>
      <c r="FD77" s="10">
        <v>1124.338624</v>
      </c>
      <c r="FE77" s="10">
        <v>1116.402116</v>
      </c>
      <c r="FF77" s="10">
        <v>1116.402116</v>
      </c>
      <c r="FG77" s="10">
        <v>1103.1746029999999</v>
      </c>
      <c r="FH77" s="10">
        <v>1095.2380949999999</v>
      </c>
      <c r="FI77" s="10">
        <v>1083.333333</v>
      </c>
      <c r="FJ77" s="10">
        <v>1066.1375660000001</v>
      </c>
      <c r="FK77" s="10">
        <v>1067.460317</v>
      </c>
      <c r="FL77" s="10">
        <v>1047.619048</v>
      </c>
      <c r="FM77" s="10">
        <v>1038.359788</v>
      </c>
      <c r="FN77" s="10">
        <v>1033.0687829999999</v>
      </c>
      <c r="FO77" s="10">
        <v>1039.68254</v>
      </c>
      <c r="FP77" s="10">
        <v>1039.68254</v>
      </c>
      <c r="FQ77" s="10">
        <v>1031.746032</v>
      </c>
      <c r="FR77" s="10">
        <v>1025.1322749999999</v>
      </c>
      <c r="FS77" s="10">
        <v>1013.227513</v>
      </c>
      <c r="FT77" s="10">
        <v>1000</v>
      </c>
      <c r="FU77" s="10">
        <v>985.44973500000003</v>
      </c>
      <c r="FV77" s="10">
        <v>961</v>
      </c>
      <c r="FW77" s="10">
        <v>963</v>
      </c>
      <c r="FX77" s="10">
        <v>959</v>
      </c>
      <c r="FY77" s="10">
        <v>954</v>
      </c>
      <c r="FZ77" s="10">
        <v>964</v>
      </c>
      <c r="GA77" s="10">
        <v>969</v>
      </c>
      <c r="GB77" s="10">
        <v>971</v>
      </c>
      <c r="GC77" s="10">
        <v>962</v>
      </c>
      <c r="GD77" s="10">
        <v>946</v>
      </c>
      <c r="GE77" s="10">
        <v>938</v>
      </c>
      <c r="GF77" s="10">
        <v>934</v>
      </c>
      <c r="GG77" s="10">
        <v>935</v>
      </c>
      <c r="GH77" s="10">
        <v>926</v>
      </c>
      <c r="GI77" s="10">
        <v>917</v>
      </c>
      <c r="GJ77" s="10">
        <v>906</v>
      </c>
      <c r="GK77" s="10">
        <v>898</v>
      </c>
      <c r="GL77" s="10">
        <v>912</v>
      </c>
      <c r="GM77" s="10">
        <v>917</v>
      </c>
      <c r="GN77" s="10">
        <v>907</v>
      </c>
      <c r="GO77" s="10">
        <v>929</v>
      </c>
      <c r="GP77" s="10">
        <v>930</v>
      </c>
      <c r="GQ77" s="10">
        <v>932</v>
      </c>
      <c r="GR77" s="10">
        <v>941</v>
      </c>
      <c r="GS77" s="10">
        <v>955</v>
      </c>
    </row>
    <row r="78" spans="1:201" ht="12.6">
      <c r="A78" s="51" t="s">
        <v>1896</v>
      </c>
      <c r="B78" s="10"/>
      <c r="C78" s="10"/>
      <c r="D78" s="10"/>
      <c r="E78" s="10"/>
      <c r="F78" s="10" t="s">
        <v>1827</v>
      </c>
      <c r="G78" s="10" t="s">
        <v>1827</v>
      </c>
      <c r="H78" s="10" t="s">
        <v>1827</v>
      </c>
      <c r="I78" s="10" t="s">
        <v>1827</v>
      </c>
      <c r="J78" s="10" t="s">
        <v>1827</v>
      </c>
      <c r="K78" s="10" t="s">
        <v>1827</v>
      </c>
      <c r="L78" s="10" t="s">
        <v>1827</v>
      </c>
      <c r="M78" s="10" t="s">
        <v>1827</v>
      </c>
      <c r="N78" s="10" t="s">
        <v>1827</v>
      </c>
      <c r="O78" s="10" t="s">
        <v>1827</v>
      </c>
      <c r="P78" s="10" t="s">
        <v>1827</v>
      </c>
      <c r="Q78" s="10" t="s">
        <v>1827</v>
      </c>
      <c r="R78" s="10" t="s">
        <v>1827</v>
      </c>
      <c r="S78" s="10" t="s">
        <v>1827</v>
      </c>
      <c r="T78" s="10" t="s">
        <v>1827</v>
      </c>
      <c r="U78" s="10" t="s">
        <v>1827</v>
      </c>
      <c r="V78" s="10" t="s">
        <v>1827</v>
      </c>
      <c r="W78" s="10" t="s">
        <v>1827</v>
      </c>
      <c r="X78" s="10" t="s">
        <v>1827</v>
      </c>
      <c r="Y78" s="10" t="s">
        <v>1827</v>
      </c>
      <c r="Z78" s="10" t="s">
        <v>1827</v>
      </c>
      <c r="AA78" s="10" t="s">
        <v>1827</v>
      </c>
      <c r="AB78" s="10" t="s">
        <v>1827</v>
      </c>
      <c r="AC78" s="10" t="s">
        <v>1827</v>
      </c>
      <c r="AD78" s="10" t="s">
        <v>1827</v>
      </c>
      <c r="AE78" s="10" t="s">
        <v>1827</v>
      </c>
      <c r="AF78" s="10" t="s">
        <v>1827</v>
      </c>
      <c r="AG78" s="10" t="s">
        <v>1827</v>
      </c>
      <c r="AH78" s="10" t="s">
        <v>1827</v>
      </c>
      <c r="AI78" s="10" t="s">
        <v>1827</v>
      </c>
      <c r="AJ78" s="10" t="s">
        <v>1827</v>
      </c>
      <c r="AK78" s="10" t="s">
        <v>1827</v>
      </c>
      <c r="AL78" s="10" t="s">
        <v>1827</v>
      </c>
      <c r="AM78" s="10" t="s">
        <v>1827</v>
      </c>
      <c r="AN78" s="10" t="s">
        <v>1827</v>
      </c>
      <c r="AO78" s="10" t="s">
        <v>1827</v>
      </c>
      <c r="AP78" s="10" t="s">
        <v>1827</v>
      </c>
      <c r="AQ78" s="10" t="s">
        <v>1827</v>
      </c>
      <c r="AR78" s="10" t="s">
        <v>1827</v>
      </c>
      <c r="AS78" s="10" t="s">
        <v>1827</v>
      </c>
      <c r="AT78" s="10" t="s">
        <v>1827</v>
      </c>
      <c r="AU78" s="10" t="s">
        <v>1827</v>
      </c>
      <c r="AV78" s="10" t="s">
        <v>1827</v>
      </c>
      <c r="AW78" s="10" t="s">
        <v>1827</v>
      </c>
      <c r="AX78" s="10" t="s">
        <v>1827</v>
      </c>
      <c r="AY78" s="10" t="s">
        <v>1827</v>
      </c>
      <c r="AZ78" s="10" t="s">
        <v>1827</v>
      </c>
      <c r="BA78" s="10" t="s">
        <v>1827</v>
      </c>
      <c r="BB78" s="10" t="s">
        <v>1827</v>
      </c>
      <c r="BC78" s="10" t="s">
        <v>1827</v>
      </c>
      <c r="BD78" s="10" t="s">
        <v>1827</v>
      </c>
      <c r="BE78" s="10" t="s">
        <v>1827</v>
      </c>
      <c r="BF78" s="10" t="s">
        <v>1827</v>
      </c>
      <c r="BG78" s="10" t="s">
        <v>1827</v>
      </c>
      <c r="BH78" s="10" t="s">
        <v>1827</v>
      </c>
      <c r="BI78" s="10" t="s">
        <v>1827</v>
      </c>
      <c r="BJ78" s="10" t="s">
        <v>1827</v>
      </c>
      <c r="BK78" s="10" t="s">
        <v>1827</v>
      </c>
      <c r="BL78" s="10" t="s">
        <v>1827</v>
      </c>
      <c r="BM78" s="10" t="s">
        <v>1827</v>
      </c>
      <c r="BN78" s="10" t="s">
        <v>1827</v>
      </c>
      <c r="BO78" s="10" t="s">
        <v>1827</v>
      </c>
      <c r="BP78" s="10" t="s">
        <v>1827</v>
      </c>
      <c r="BQ78" s="10" t="s">
        <v>1827</v>
      </c>
      <c r="BR78" s="10" t="s">
        <v>1827</v>
      </c>
      <c r="BS78" s="10" t="s">
        <v>1827</v>
      </c>
      <c r="BT78" s="10" t="s">
        <v>1827</v>
      </c>
      <c r="BU78" s="10" t="s">
        <v>1827</v>
      </c>
      <c r="BV78" s="10" t="s">
        <v>1827</v>
      </c>
      <c r="BW78" s="10" t="s">
        <v>1827</v>
      </c>
      <c r="BX78" s="10" t="s">
        <v>1827</v>
      </c>
      <c r="BY78" s="10" t="s">
        <v>1827</v>
      </c>
      <c r="BZ78" s="10" t="s">
        <v>1827</v>
      </c>
      <c r="CA78" s="10" t="s">
        <v>1827</v>
      </c>
      <c r="CB78" s="10" t="s">
        <v>1827</v>
      </c>
      <c r="CC78" s="10" t="s">
        <v>1827</v>
      </c>
      <c r="CD78" s="10" t="s">
        <v>1827</v>
      </c>
      <c r="CE78" s="10" t="s">
        <v>1827</v>
      </c>
      <c r="CF78" s="10" t="s">
        <v>1827</v>
      </c>
      <c r="CG78" s="10" t="s">
        <v>1827</v>
      </c>
      <c r="CH78" s="10" t="s">
        <v>1827</v>
      </c>
      <c r="CI78" s="10" t="s">
        <v>1827</v>
      </c>
      <c r="CJ78" s="10" t="s">
        <v>1827</v>
      </c>
      <c r="CK78" s="10" t="s">
        <v>1827</v>
      </c>
      <c r="CL78" s="10" t="s">
        <v>1827</v>
      </c>
      <c r="CM78" s="10" t="s">
        <v>1827</v>
      </c>
      <c r="CN78" s="10" t="s">
        <v>1827</v>
      </c>
      <c r="CO78" s="10" t="s">
        <v>1827</v>
      </c>
      <c r="CP78" s="10" t="s">
        <v>1827</v>
      </c>
      <c r="CQ78" s="10" t="s">
        <v>1827</v>
      </c>
      <c r="CR78" s="10" t="s">
        <v>1827</v>
      </c>
      <c r="CS78" s="10" t="s">
        <v>1827</v>
      </c>
      <c r="CT78" s="10" t="s">
        <v>1827</v>
      </c>
      <c r="CU78" s="10" t="s">
        <v>1827</v>
      </c>
      <c r="CV78" s="10" t="s">
        <v>1827</v>
      </c>
      <c r="CW78" s="10" t="s">
        <v>1827</v>
      </c>
      <c r="CX78" s="10" t="s">
        <v>1827</v>
      </c>
      <c r="CY78" s="10" t="s">
        <v>1827</v>
      </c>
      <c r="CZ78" s="10">
        <v>12923.611111</v>
      </c>
      <c r="DA78" s="10">
        <v>12763.888889</v>
      </c>
      <c r="DB78" s="10">
        <v>12590.277778</v>
      </c>
      <c r="DC78" s="10">
        <v>12451.388889</v>
      </c>
      <c r="DD78" s="10">
        <v>12201.388889</v>
      </c>
      <c r="DE78" s="10">
        <v>12500</v>
      </c>
      <c r="DF78" s="10">
        <v>12881.944444000001</v>
      </c>
      <c r="DG78" s="10">
        <v>12812.5</v>
      </c>
      <c r="DH78" s="10">
        <v>12694.444444000001</v>
      </c>
      <c r="DI78" s="10">
        <v>12763.888889</v>
      </c>
      <c r="DJ78" s="10">
        <v>12812.5</v>
      </c>
      <c r="DK78" s="10">
        <v>12680.555555999999</v>
      </c>
      <c r="DL78" s="10">
        <v>12576.388889</v>
      </c>
      <c r="DM78" s="10">
        <v>12472.222222</v>
      </c>
      <c r="DN78" s="10">
        <v>11944.444444000001</v>
      </c>
      <c r="DO78" s="10">
        <v>11555.555555999999</v>
      </c>
      <c r="DP78" s="10">
        <v>11215.277778</v>
      </c>
      <c r="DQ78" s="10">
        <v>10562.5</v>
      </c>
      <c r="DR78" s="10">
        <v>10291.666667</v>
      </c>
      <c r="DS78" s="10">
        <v>9881.9444440000007</v>
      </c>
      <c r="DT78" s="10">
        <v>9236.1111110000002</v>
      </c>
      <c r="DU78" s="10">
        <v>8895.8333330000005</v>
      </c>
      <c r="DV78" s="10">
        <v>8562.5</v>
      </c>
      <c r="DW78" s="10">
        <v>8368.0555559999993</v>
      </c>
      <c r="DX78" s="10">
        <v>8125</v>
      </c>
      <c r="DY78" s="10">
        <v>7777.7777779999997</v>
      </c>
      <c r="DZ78" s="10">
        <v>7388.8888889999998</v>
      </c>
      <c r="EA78" s="10">
        <v>7194.4444439999997</v>
      </c>
      <c r="EB78" s="10">
        <v>6944.4444439999997</v>
      </c>
      <c r="EC78" s="10">
        <v>6597.2222220000003</v>
      </c>
      <c r="ED78" s="10">
        <v>6423.6111110000002</v>
      </c>
      <c r="EE78" s="10">
        <v>6104.1666670000004</v>
      </c>
      <c r="EF78" s="10">
        <v>5743.0555560000003</v>
      </c>
      <c r="EG78" s="10">
        <v>5458.3333329999996</v>
      </c>
      <c r="EH78" s="10">
        <v>5069.4444439999997</v>
      </c>
      <c r="EI78" s="10">
        <v>4812.5</v>
      </c>
      <c r="EJ78" s="10">
        <v>4486.1111110000002</v>
      </c>
      <c r="EK78" s="10">
        <v>4138.8888889999998</v>
      </c>
      <c r="EL78" s="10">
        <v>3944.4444440000002</v>
      </c>
      <c r="EM78" s="10">
        <v>3812.5</v>
      </c>
      <c r="EN78" s="10">
        <v>3777.7777780000001</v>
      </c>
      <c r="EO78" s="10">
        <v>3694.4444440000002</v>
      </c>
      <c r="EP78" s="10">
        <v>3361.1111110000002</v>
      </c>
      <c r="EQ78" s="10">
        <v>3104.166667</v>
      </c>
      <c r="ER78" s="10">
        <v>2895.833333</v>
      </c>
      <c r="ES78" s="10">
        <v>2784.7222219999999</v>
      </c>
      <c r="ET78" s="10">
        <v>2736.1111110000002</v>
      </c>
      <c r="EU78" s="10">
        <v>2562.5</v>
      </c>
      <c r="EV78" s="10">
        <v>2500</v>
      </c>
      <c r="EW78" s="10">
        <v>2347.2222219999999</v>
      </c>
      <c r="EX78" s="10">
        <v>2256.9444440000002</v>
      </c>
      <c r="EY78" s="10">
        <v>2104.166667</v>
      </c>
      <c r="EZ78" s="10">
        <v>2027.7777779999999</v>
      </c>
      <c r="FA78" s="10">
        <v>1930.555556</v>
      </c>
      <c r="FB78" s="10">
        <v>1875</v>
      </c>
      <c r="FC78" s="10">
        <v>1791.666667</v>
      </c>
      <c r="FD78" s="10">
        <v>1750</v>
      </c>
      <c r="FE78" s="10">
        <v>1687.5</v>
      </c>
      <c r="FF78" s="10">
        <v>1638.8888890000001</v>
      </c>
      <c r="FG78" s="10">
        <v>1555.555556</v>
      </c>
      <c r="FH78" s="10">
        <v>1520.833333</v>
      </c>
      <c r="FI78" s="10">
        <v>1479.166667</v>
      </c>
      <c r="FJ78" s="10">
        <v>1381.944444</v>
      </c>
      <c r="FK78" s="10">
        <v>1347.2222220000001</v>
      </c>
      <c r="FL78" s="10">
        <v>1326.3888890000001</v>
      </c>
      <c r="FM78" s="10">
        <v>1298.6111109999999</v>
      </c>
      <c r="FN78" s="10">
        <v>1236.1111109999999</v>
      </c>
      <c r="FO78" s="10">
        <v>1208.333333</v>
      </c>
      <c r="FP78" s="10">
        <v>1131.944444</v>
      </c>
      <c r="FQ78" s="10">
        <v>1159.7222220000001</v>
      </c>
      <c r="FR78" s="10">
        <v>1125</v>
      </c>
      <c r="FS78" s="10">
        <v>1097.2222220000001</v>
      </c>
      <c r="FT78" s="10">
        <v>1000</v>
      </c>
      <c r="FU78" s="10">
        <v>993.05555600000002</v>
      </c>
      <c r="FV78" s="10">
        <v>974</v>
      </c>
      <c r="FW78" s="10">
        <v>894</v>
      </c>
      <c r="FX78" s="10">
        <v>764</v>
      </c>
      <c r="FY78" s="10">
        <v>784</v>
      </c>
      <c r="FZ78" s="10">
        <v>794</v>
      </c>
      <c r="GA78" s="10">
        <v>716</v>
      </c>
      <c r="GB78" s="10">
        <v>622</v>
      </c>
      <c r="GC78" s="10">
        <v>661</v>
      </c>
      <c r="GD78" s="10">
        <v>678</v>
      </c>
      <c r="GE78" s="10">
        <v>599</v>
      </c>
      <c r="GF78" s="10">
        <v>533</v>
      </c>
      <c r="GG78" s="10">
        <v>578</v>
      </c>
      <c r="GH78" s="10">
        <v>645</v>
      </c>
      <c r="GI78" s="10">
        <v>573</v>
      </c>
      <c r="GJ78" s="10">
        <v>473</v>
      </c>
      <c r="GK78" s="10">
        <v>502</v>
      </c>
      <c r="GL78" s="10">
        <v>545</v>
      </c>
      <c r="GM78" s="10">
        <v>483</v>
      </c>
      <c r="GN78" s="10">
        <v>392</v>
      </c>
      <c r="GO78" s="10">
        <v>417</v>
      </c>
      <c r="GP78" s="10">
        <v>480</v>
      </c>
      <c r="GQ78" s="10">
        <v>428</v>
      </c>
      <c r="GR78" s="10">
        <v>336</v>
      </c>
      <c r="GS78" s="10">
        <v>352</v>
      </c>
    </row>
    <row r="79" spans="1:201" ht="12.6">
      <c r="A79" s="51" t="s">
        <v>1897</v>
      </c>
      <c r="B79" s="10"/>
      <c r="C79" s="10"/>
      <c r="D79" s="10"/>
      <c r="E79" s="10"/>
      <c r="F79" s="10" t="s">
        <v>1827</v>
      </c>
      <c r="G79" s="10" t="s">
        <v>1827</v>
      </c>
      <c r="H79" s="10" t="s">
        <v>1827</v>
      </c>
      <c r="I79" s="10" t="s">
        <v>1827</v>
      </c>
      <c r="J79" s="10" t="s">
        <v>1827</v>
      </c>
      <c r="K79" s="10" t="s">
        <v>1827</v>
      </c>
      <c r="L79" s="10" t="s">
        <v>1827</v>
      </c>
      <c r="M79" s="10" t="s">
        <v>1827</v>
      </c>
      <c r="N79" s="10" t="s">
        <v>1827</v>
      </c>
      <c r="O79" s="10" t="s">
        <v>1827</v>
      </c>
      <c r="P79" s="10" t="s">
        <v>1827</v>
      </c>
      <c r="Q79" s="10" t="s">
        <v>1827</v>
      </c>
      <c r="R79" s="10" t="s">
        <v>1827</v>
      </c>
      <c r="S79" s="10" t="s">
        <v>1827</v>
      </c>
      <c r="T79" s="10" t="s">
        <v>1827</v>
      </c>
      <c r="U79" s="10" t="s">
        <v>1827</v>
      </c>
      <c r="V79" s="10" t="s">
        <v>1827</v>
      </c>
      <c r="W79" s="10" t="s">
        <v>1827</v>
      </c>
      <c r="X79" s="10" t="s">
        <v>1827</v>
      </c>
      <c r="Y79" s="10" t="s">
        <v>1827</v>
      </c>
      <c r="Z79" s="10" t="s">
        <v>1827</v>
      </c>
      <c r="AA79" s="10" t="s">
        <v>1827</v>
      </c>
      <c r="AB79" s="10" t="s">
        <v>1827</v>
      </c>
      <c r="AC79" s="10" t="s">
        <v>1827</v>
      </c>
      <c r="AD79" s="10" t="s">
        <v>1827</v>
      </c>
      <c r="AE79" s="10" t="s">
        <v>1827</v>
      </c>
      <c r="AF79" s="10" t="s">
        <v>1827</v>
      </c>
      <c r="AG79" s="10" t="s">
        <v>1827</v>
      </c>
      <c r="AH79" s="10" t="s">
        <v>1827</v>
      </c>
      <c r="AI79" s="10" t="s">
        <v>1827</v>
      </c>
      <c r="AJ79" s="10" t="s">
        <v>1827</v>
      </c>
      <c r="AK79" s="10" t="s">
        <v>1827</v>
      </c>
      <c r="AL79" s="10" t="s">
        <v>1827</v>
      </c>
      <c r="AM79" s="10" t="s">
        <v>1827</v>
      </c>
      <c r="AN79" s="10" t="s">
        <v>1827</v>
      </c>
      <c r="AO79" s="10" t="s">
        <v>1827</v>
      </c>
      <c r="AP79" s="10" t="s">
        <v>1827</v>
      </c>
      <c r="AQ79" s="10" t="s">
        <v>1827</v>
      </c>
      <c r="AR79" s="10" t="s">
        <v>1827</v>
      </c>
      <c r="AS79" s="10" t="s">
        <v>1827</v>
      </c>
      <c r="AT79" s="10" t="s">
        <v>1827</v>
      </c>
      <c r="AU79" s="10" t="s">
        <v>1827</v>
      </c>
      <c r="AV79" s="10" t="s">
        <v>1827</v>
      </c>
      <c r="AW79" s="10" t="s">
        <v>1827</v>
      </c>
      <c r="AX79" s="10" t="s">
        <v>1827</v>
      </c>
      <c r="AY79" s="10" t="s">
        <v>1827</v>
      </c>
      <c r="AZ79" s="10" t="s">
        <v>1827</v>
      </c>
      <c r="BA79" s="10" t="s">
        <v>1827</v>
      </c>
      <c r="BB79" s="10" t="s">
        <v>1827</v>
      </c>
      <c r="BC79" s="10" t="s">
        <v>1827</v>
      </c>
      <c r="BD79" s="10" t="s">
        <v>1827</v>
      </c>
      <c r="BE79" s="10" t="s">
        <v>1827</v>
      </c>
      <c r="BF79" s="10" t="s">
        <v>1827</v>
      </c>
      <c r="BG79" s="10" t="s">
        <v>1827</v>
      </c>
      <c r="BH79" s="10" t="s">
        <v>1827</v>
      </c>
      <c r="BI79" s="10" t="s">
        <v>1827</v>
      </c>
      <c r="BJ79" s="10" t="s">
        <v>1827</v>
      </c>
      <c r="BK79" s="10" t="s">
        <v>1827</v>
      </c>
      <c r="BL79" s="10" t="s">
        <v>1827</v>
      </c>
      <c r="BM79" s="10" t="s">
        <v>1827</v>
      </c>
      <c r="BN79" s="10" t="s">
        <v>1827</v>
      </c>
      <c r="BO79" s="10" t="s">
        <v>1827</v>
      </c>
      <c r="BP79" s="10" t="s">
        <v>1827</v>
      </c>
      <c r="BQ79" s="10" t="s">
        <v>1827</v>
      </c>
      <c r="BR79" s="10" t="s">
        <v>1827</v>
      </c>
      <c r="BS79" s="10" t="s">
        <v>1827</v>
      </c>
      <c r="BT79" s="10" t="s">
        <v>1827</v>
      </c>
      <c r="BU79" s="10" t="s">
        <v>1827</v>
      </c>
      <c r="BV79" s="10" t="s">
        <v>1827</v>
      </c>
      <c r="BW79" s="10" t="s">
        <v>1827</v>
      </c>
      <c r="BX79" s="10" t="s">
        <v>1827</v>
      </c>
      <c r="BY79" s="10" t="s">
        <v>1827</v>
      </c>
      <c r="BZ79" s="10" t="s">
        <v>1827</v>
      </c>
      <c r="CA79" s="10" t="s">
        <v>1827</v>
      </c>
      <c r="CB79" s="10" t="s">
        <v>1827</v>
      </c>
      <c r="CC79" s="10" t="s">
        <v>1827</v>
      </c>
      <c r="CD79" s="10" t="s">
        <v>1827</v>
      </c>
      <c r="CE79" s="10" t="s">
        <v>1827</v>
      </c>
      <c r="CF79" s="10" t="s">
        <v>1827</v>
      </c>
      <c r="CG79" s="10" t="s">
        <v>1827</v>
      </c>
      <c r="CH79" s="10" t="s">
        <v>1827</v>
      </c>
      <c r="CI79" s="10" t="s">
        <v>1827</v>
      </c>
      <c r="CJ79" s="10" t="s">
        <v>1827</v>
      </c>
      <c r="CK79" s="10" t="s">
        <v>1827</v>
      </c>
      <c r="CL79" s="10" t="s">
        <v>1827</v>
      </c>
      <c r="CM79" s="10" t="s">
        <v>1827</v>
      </c>
      <c r="CN79" s="10" t="s">
        <v>1827</v>
      </c>
      <c r="CO79" s="10" t="s">
        <v>1827</v>
      </c>
      <c r="CP79" s="10" t="s">
        <v>1827</v>
      </c>
      <c r="CQ79" s="10" t="s">
        <v>1827</v>
      </c>
      <c r="CR79" s="10" t="s">
        <v>1827</v>
      </c>
      <c r="CS79" s="10" t="s">
        <v>1827</v>
      </c>
      <c r="CT79" s="10" t="s">
        <v>1827</v>
      </c>
      <c r="CU79" s="10" t="s">
        <v>1827</v>
      </c>
      <c r="CV79" s="10" t="s">
        <v>1827</v>
      </c>
      <c r="CW79" s="10" t="s">
        <v>1827</v>
      </c>
      <c r="CX79" s="10" t="s">
        <v>1827</v>
      </c>
      <c r="CY79" s="10" t="s">
        <v>1827</v>
      </c>
      <c r="CZ79" s="10">
        <v>6602.1505379999999</v>
      </c>
      <c r="DA79" s="10">
        <v>6240.1433690000003</v>
      </c>
      <c r="DB79" s="10">
        <v>6164.8745520000002</v>
      </c>
      <c r="DC79" s="10">
        <v>6068.1003579999997</v>
      </c>
      <c r="DD79" s="10">
        <v>6039.4265230000001</v>
      </c>
      <c r="DE79" s="10">
        <v>5931.8996420000003</v>
      </c>
      <c r="DF79" s="10">
        <v>5917.5627240000003</v>
      </c>
      <c r="DG79" s="10">
        <v>5548.3870969999998</v>
      </c>
      <c r="DH79" s="10">
        <v>5483.8709680000002</v>
      </c>
      <c r="DI79" s="10">
        <v>5329.7491040000004</v>
      </c>
      <c r="DJ79" s="10">
        <v>5308.2437280000004</v>
      </c>
      <c r="DK79" s="10">
        <v>5046.5949819999996</v>
      </c>
      <c r="DL79" s="10">
        <v>4928.3154119999999</v>
      </c>
      <c r="DM79" s="10">
        <v>4971.3261650000004</v>
      </c>
      <c r="DN79" s="10">
        <v>4820.7885299999998</v>
      </c>
      <c r="DO79" s="10">
        <v>4784.9462370000001</v>
      </c>
      <c r="DP79" s="10">
        <v>4548.3870969999998</v>
      </c>
      <c r="DQ79" s="10">
        <v>4494.6236559999998</v>
      </c>
      <c r="DR79" s="10">
        <v>4394.2652330000001</v>
      </c>
      <c r="DS79" s="10">
        <v>4268.8172039999999</v>
      </c>
      <c r="DT79" s="10">
        <v>4189.9641579999998</v>
      </c>
      <c r="DU79" s="10">
        <v>4175.6272399999998</v>
      </c>
      <c r="DV79" s="10">
        <v>4093.1899640000001</v>
      </c>
      <c r="DW79" s="10">
        <v>4046.5949820000001</v>
      </c>
      <c r="DX79" s="10">
        <v>3928.3154119999999</v>
      </c>
      <c r="DY79" s="10">
        <v>3724.0143370000001</v>
      </c>
      <c r="DZ79" s="10">
        <v>3724.0143370000001</v>
      </c>
      <c r="EA79" s="10">
        <v>3551.9713259999999</v>
      </c>
      <c r="EB79" s="10">
        <v>3584.2293909999999</v>
      </c>
      <c r="EC79" s="10">
        <v>3555.5555559999998</v>
      </c>
      <c r="ED79" s="10">
        <v>3412.1863800000001</v>
      </c>
      <c r="EE79" s="10">
        <v>3286.738351</v>
      </c>
      <c r="EF79" s="10">
        <v>3243.7275989999998</v>
      </c>
      <c r="EG79" s="10">
        <v>3086.0215050000002</v>
      </c>
      <c r="EH79" s="10">
        <v>2935.4838709999999</v>
      </c>
      <c r="EI79" s="10">
        <v>2781.3620070000002</v>
      </c>
      <c r="EJ79" s="10">
        <v>2695.340502</v>
      </c>
      <c r="EK79" s="10">
        <v>2566.3082439999998</v>
      </c>
      <c r="EL79" s="10">
        <v>2480.2867379999998</v>
      </c>
      <c r="EM79" s="10">
        <v>2505.3763439999998</v>
      </c>
      <c r="EN79" s="10">
        <v>2562.7240139999999</v>
      </c>
      <c r="EO79" s="10">
        <v>2473.1182800000001</v>
      </c>
      <c r="EP79" s="10">
        <v>2275.9856629999999</v>
      </c>
      <c r="EQ79" s="10">
        <v>2154.1218640000002</v>
      </c>
      <c r="ER79" s="10">
        <v>2089.6057350000001</v>
      </c>
      <c r="ES79" s="10">
        <v>2093.1899640000001</v>
      </c>
      <c r="ET79" s="10">
        <v>2025.089606</v>
      </c>
      <c r="EU79" s="10">
        <v>1982.078853</v>
      </c>
      <c r="EV79" s="10">
        <v>1939.0681</v>
      </c>
      <c r="EW79" s="10">
        <v>1835.125448</v>
      </c>
      <c r="EX79" s="10">
        <v>1763.4408599999999</v>
      </c>
      <c r="EY79" s="10">
        <v>1759.8566310000001</v>
      </c>
      <c r="EZ79" s="10">
        <v>1706.09319</v>
      </c>
      <c r="FA79" s="10">
        <v>1663.082437</v>
      </c>
      <c r="FB79" s="10">
        <v>1584.2293910000001</v>
      </c>
      <c r="FC79" s="10">
        <v>1562.7240139999999</v>
      </c>
      <c r="FD79" s="10">
        <v>1487.455197</v>
      </c>
      <c r="FE79" s="10">
        <v>1455.1971329999999</v>
      </c>
      <c r="FF79" s="10">
        <v>1426.523297</v>
      </c>
      <c r="FG79" s="10">
        <v>1408.602151</v>
      </c>
      <c r="FH79" s="10">
        <v>1379.9283150000001</v>
      </c>
      <c r="FI79" s="10">
        <v>1311.827957</v>
      </c>
      <c r="FJ79" s="10">
        <v>1218.6379930000001</v>
      </c>
      <c r="FK79" s="10">
        <v>1197.1326160000001</v>
      </c>
      <c r="FL79" s="10">
        <v>1168.458781</v>
      </c>
      <c r="FM79" s="10">
        <v>1157.706093</v>
      </c>
      <c r="FN79" s="10">
        <v>1161.2903229999999</v>
      </c>
      <c r="FO79" s="10">
        <v>1172.043011</v>
      </c>
      <c r="FP79" s="10">
        <v>1125.4480289999999</v>
      </c>
      <c r="FQ79" s="10">
        <v>1129.032258</v>
      </c>
      <c r="FR79" s="10">
        <v>1075.2688169999999</v>
      </c>
      <c r="FS79" s="10">
        <v>1057.3476700000001</v>
      </c>
      <c r="FT79" s="10">
        <v>1000</v>
      </c>
      <c r="FU79" s="10">
        <v>964.15770599999996</v>
      </c>
      <c r="FV79" s="10">
        <v>934</v>
      </c>
      <c r="FW79" s="10">
        <v>937</v>
      </c>
      <c r="FX79" s="10">
        <v>899</v>
      </c>
      <c r="FY79" s="10">
        <v>905</v>
      </c>
      <c r="FZ79" s="10">
        <v>868</v>
      </c>
      <c r="GA79" s="10">
        <v>888</v>
      </c>
      <c r="GB79" s="10">
        <v>833</v>
      </c>
      <c r="GC79" s="10">
        <v>842</v>
      </c>
      <c r="GD79" s="10">
        <v>819</v>
      </c>
      <c r="GE79" s="10">
        <v>781</v>
      </c>
      <c r="GF79" s="10">
        <v>776</v>
      </c>
      <c r="GG79" s="10">
        <v>798</v>
      </c>
      <c r="GH79" s="10">
        <v>767</v>
      </c>
      <c r="GI79" s="10">
        <v>745</v>
      </c>
      <c r="GJ79" s="10">
        <v>678</v>
      </c>
      <c r="GK79" s="10">
        <v>695</v>
      </c>
      <c r="GL79" s="10">
        <v>712</v>
      </c>
      <c r="GM79" s="10">
        <v>670</v>
      </c>
      <c r="GN79" s="10">
        <v>647</v>
      </c>
      <c r="GO79" s="10">
        <v>690</v>
      </c>
      <c r="GP79" s="10">
        <v>683</v>
      </c>
      <c r="GQ79" s="10">
        <v>680</v>
      </c>
      <c r="GR79" s="10">
        <v>614</v>
      </c>
      <c r="GS79" s="10">
        <v>622</v>
      </c>
    </row>
    <row r="80" spans="1:201" ht="12.6">
      <c r="A80" s="51" t="s">
        <v>1898</v>
      </c>
      <c r="B80" s="10"/>
      <c r="C80" s="10"/>
      <c r="D80" s="10"/>
      <c r="E80" s="10"/>
      <c r="F80" s="10" t="s">
        <v>1827</v>
      </c>
      <c r="G80" s="10" t="s">
        <v>1827</v>
      </c>
      <c r="H80" s="10" t="s">
        <v>1827</v>
      </c>
      <c r="I80" s="10" t="s">
        <v>1827</v>
      </c>
      <c r="J80" s="10" t="s">
        <v>1827</v>
      </c>
      <c r="K80" s="10" t="s">
        <v>1827</v>
      </c>
      <c r="L80" s="10" t="s">
        <v>1827</v>
      </c>
      <c r="M80" s="10" t="s">
        <v>1827</v>
      </c>
      <c r="N80" s="10" t="s">
        <v>1827</v>
      </c>
      <c r="O80" s="10" t="s">
        <v>1827</v>
      </c>
      <c r="P80" s="10" t="s">
        <v>1827</v>
      </c>
      <c r="Q80" s="10" t="s">
        <v>1827</v>
      </c>
      <c r="R80" s="10" t="s">
        <v>1827</v>
      </c>
      <c r="S80" s="10" t="s">
        <v>1827</v>
      </c>
      <c r="T80" s="10" t="s">
        <v>1827</v>
      </c>
      <c r="U80" s="10" t="s">
        <v>1827</v>
      </c>
      <c r="V80" s="10" t="s">
        <v>1827</v>
      </c>
      <c r="W80" s="10" t="s">
        <v>1827</v>
      </c>
      <c r="X80" s="10" t="s">
        <v>1827</v>
      </c>
      <c r="Y80" s="10" t="s">
        <v>1827</v>
      </c>
      <c r="Z80" s="10" t="s">
        <v>1827</v>
      </c>
      <c r="AA80" s="10" t="s">
        <v>1827</v>
      </c>
      <c r="AB80" s="10" t="s">
        <v>1827</v>
      </c>
      <c r="AC80" s="10" t="s">
        <v>1827</v>
      </c>
      <c r="AD80" s="10" t="s">
        <v>1827</v>
      </c>
      <c r="AE80" s="10" t="s">
        <v>1827</v>
      </c>
      <c r="AF80" s="10" t="s">
        <v>1827</v>
      </c>
      <c r="AG80" s="10" t="s">
        <v>1827</v>
      </c>
      <c r="AH80" s="10" t="s">
        <v>1827</v>
      </c>
      <c r="AI80" s="10" t="s">
        <v>1827</v>
      </c>
      <c r="AJ80" s="10" t="s">
        <v>1827</v>
      </c>
      <c r="AK80" s="10" t="s">
        <v>1827</v>
      </c>
      <c r="AL80" s="10" t="s">
        <v>1827</v>
      </c>
      <c r="AM80" s="10" t="s">
        <v>1827</v>
      </c>
      <c r="AN80" s="10" t="s">
        <v>1827</v>
      </c>
      <c r="AO80" s="10" t="s">
        <v>1827</v>
      </c>
      <c r="AP80" s="10" t="s">
        <v>1827</v>
      </c>
      <c r="AQ80" s="10" t="s">
        <v>1827</v>
      </c>
      <c r="AR80" s="10" t="s">
        <v>1827</v>
      </c>
      <c r="AS80" s="10" t="s">
        <v>1827</v>
      </c>
      <c r="AT80" s="10" t="s">
        <v>1827</v>
      </c>
      <c r="AU80" s="10" t="s">
        <v>1827</v>
      </c>
      <c r="AV80" s="10" t="s">
        <v>1827</v>
      </c>
      <c r="AW80" s="10" t="s">
        <v>1827</v>
      </c>
      <c r="AX80" s="10" t="s">
        <v>1827</v>
      </c>
      <c r="AY80" s="10" t="s">
        <v>1827</v>
      </c>
      <c r="AZ80" s="10" t="s">
        <v>1827</v>
      </c>
      <c r="BA80" s="10" t="s">
        <v>1827</v>
      </c>
      <c r="BB80" s="10" t="s">
        <v>1827</v>
      </c>
      <c r="BC80" s="10" t="s">
        <v>1827</v>
      </c>
      <c r="BD80" s="10" t="s">
        <v>1827</v>
      </c>
      <c r="BE80" s="10" t="s">
        <v>1827</v>
      </c>
      <c r="BF80" s="10" t="s">
        <v>1827</v>
      </c>
      <c r="BG80" s="10" t="s">
        <v>1827</v>
      </c>
      <c r="BH80" s="10" t="s">
        <v>1827</v>
      </c>
      <c r="BI80" s="10" t="s">
        <v>1827</v>
      </c>
      <c r="BJ80" s="10" t="s">
        <v>1827</v>
      </c>
      <c r="BK80" s="10" t="s">
        <v>1827</v>
      </c>
      <c r="BL80" s="10" t="s">
        <v>1827</v>
      </c>
      <c r="BM80" s="10" t="s">
        <v>1827</v>
      </c>
      <c r="BN80" s="10" t="s">
        <v>1827</v>
      </c>
      <c r="BO80" s="10" t="s">
        <v>1827</v>
      </c>
      <c r="BP80" s="10" t="s">
        <v>1827</v>
      </c>
      <c r="BQ80" s="10" t="s">
        <v>1827</v>
      </c>
      <c r="BR80" s="10" t="s">
        <v>1827</v>
      </c>
      <c r="BS80" s="10" t="s">
        <v>1827</v>
      </c>
      <c r="BT80" s="10" t="s">
        <v>1827</v>
      </c>
      <c r="BU80" s="10" t="s">
        <v>1827</v>
      </c>
      <c r="BV80" s="10" t="s">
        <v>1827</v>
      </c>
      <c r="BW80" s="10" t="s">
        <v>1827</v>
      </c>
      <c r="BX80" s="10" t="s">
        <v>1827</v>
      </c>
      <c r="BY80" s="10" t="s">
        <v>1827</v>
      </c>
      <c r="BZ80" s="10" t="s">
        <v>1827</v>
      </c>
      <c r="CA80" s="10" t="s">
        <v>1827</v>
      </c>
      <c r="CB80" s="10" t="s">
        <v>1827</v>
      </c>
      <c r="CC80" s="10" t="s">
        <v>1827</v>
      </c>
      <c r="CD80" s="10" t="s">
        <v>1827</v>
      </c>
      <c r="CE80" s="10" t="s">
        <v>1827</v>
      </c>
      <c r="CF80" s="10" t="s">
        <v>1827</v>
      </c>
      <c r="CG80" s="10" t="s">
        <v>1827</v>
      </c>
      <c r="CH80" s="10" t="s">
        <v>1827</v>
      </c>
      <c r="CI80" s="10" t="s">
        <v>1827</v>
      </c>
      <c r="CJ80" s="10" t="s">
        <v>1827</v>
      </c>
      <c r="CK80" s="10" t="s">
        <v>1827</v>
      </c>
      <c r="CL80" s="10" t="s">
        <v>1827</v>
      </c>
      <c r="CM80" s="10" t="s">
        <v>1827</v>
      </c>
      <c r="CN80" s="10" t="s">
        <v>1827</v>
      </c>
      <c r="CO80" s="10" t="s">
        <v>1827</v>
      </c>
      <c r="CP80" s="10" t="s">
        <v>1827</v>
      </c>
      <c r="CQ80" s="10" t="s">
        <v>1827</v>
      </c>
      <c r="CR80" s="10" t="s">
        <v>1827</v>
      </c>
      <c r="CS80" s="10" t="s">
        <v>1827</v>
      </c>
      <c r="CT80" s="10" t="s">
        <v>1827</v>
      </c>
      <c r="CU80" s="10" t="s">
        <v>1827</v>
      </c>
      <c r="CV80" s="10" t="s">
        <v>1827</v>
      </c>
      <c r="CW80" s="10" t="s">
        <v>1827</v>
      </c>
      <c r="CX80" s="10" t="s">
        <v>1827</v>
      </c>
      <c r="CY80" s="10" t="s">
        <v>1827</v>
      </c>
      <c r="CZ80" s="10">
        <v>1433.908046</v>
      </c>
      <c r="DA80" s="10">
        <v>1452.5862070000001</v>
      </c>
      <c r="DB80" s="10">
        <v>1439.655172</v>
      </c>
      <c r="DC80" s="10">
        <v>1454.0229890000001</v>
      </c>
      <c r="DD80" s="10">
        <v>1443.9655170000001</v>
      </c>
      <c r="DE80" s="10">
        <v>1436.7816089999999</v>
      </c>
      <c r="DF80" s="10">
        <v>1456.8965519999999</v>
      </c>
      <c r="DG80" s="10">
        <v>1459.770115</v>
      </c>
      <c r="DH80" s="10">
        <v>1448.275862</v>
      </c>
      <c r="DI80" s="10">
        <v>1459.770115</v>
      </c>
      <c r="DJ80" s="10">
        <v>1484.1954020000001</v>
      </c>
      <c r="DK80" s="10">
        <v>1488.5057469999999</v>
      </c>
      <c r="DL80" s="10">
        <v>1482.7586209999999</v>
      </c>
      <c r="DM80" s="10">
        <v>1474.137931</v>
      </c>
      <c r="DN80" s="10">
        <v>1471.2643680000001</v>
      </c>
      <c r="DO80" s="10">
        <v>1390.8045979999999</v>
      </c>
      <c r="DP80" s="10">
        <v>1465.517241</v>
      </c>
      <c r="DQ80" s="10">
        <v>1455.4597699999999</v>
      </c>
      <c r="DR80" s="10">
        <v>1423.8505749999999</v>
      </c>
      <c r="DS80" s="10">
        <v>1410.9195400000001</v>
      </c>
      <c r="DT80" s="10">
        <v>1423.8505749999999</v>
      </c>
      <c r="DU80" s="10">
        <v>1413.793103</v>
      </c>
      <c r="DV80" s="10">
        <v>1433.908046</v>
      </c>
      <c r="DW80" s="10">
        <v>1485.6321840000001</v>
      </c>
      <c r="DX80" s="10">
        <v>1422.4137929999999</v>
      </c>
      <c r="DY80" s="10">
        <v>1452.5862070000001</v>
      </c>
      <c r="DZ80" s="10">
        <v>1420.9770109999999</v>
      </c>
      <c r="EA80" s="10">
        <v>1431.0344829999999</v>
      </c>
      <c r="EB80" s="10">
        <v>1436.7816089999999</v>
      </c>
      <c r="EC80" s="10">
        <v>1416.666667</v>
      </c>
      <c r="ED80" s="10">
        <v>1405.1724139999999</v>
      </c>
      <c r="EE80" s="10">
        <v>1369.252874</v>
      </c>
      <c r="EF80" s="10">
        <v>1364.9425289999999</v>
      </c>
      <c r="EG80" s="10">
        <v>1362.068966</v>
      </c>
      <c r="EH80" s="10">
        <v>1337.6436779999999</v>
      </c>
      <c r="EI80" s="10">
        <v>1349.137931</v>
      </c>
      <c r="EJ80" s="10">
        <v>1329.0229890000001</v>
      </c>
      <c r="EK80" s="10">
        <v>1339.0804599999999</v>
      </c>
      <c r="EL80" s="10">
        <v>1300.287356</v>
      </c>
      <c r="EM80" s="10">
        <v>1304.5977009999999</v>
      </c>
      <c r="EN80" s="10">
        <v>1278.7356319999999</v>
      </c>
      <c r="EO80" s="10">
        <v>1255.747126</v>
      </c>
      <c r="EP80" s="10">
        <v>1297.4137929999999</v>
      </c>
      <c r="EQ80" s="10">
        <v>1271.5517239999999</v>
      </c>
      <c r="ER80" s="10">
        <v>1242.816092</v>
      </c>
      <c r="ES80" s="10">
        <v>1271.5517239999999</v>
      </c>
      <c r="ET80" s="10">
        <v>1275.862069</v>
      </c>
      <c r="EU80" s="10">
        <v>1280.1724139999999</v>
      </c>
      <c r="EV80" s="10">
        <v>1258.62069</v>
      </c>
      <c r="EW80" s="10">
        <v>1265.8045979999999</v>
      </c>
      <c r="EX80" s="10">
        <v>1251.436782</v>
      </c>
      <c r="EY80" s="10">
        <v>1225.574713</v>
      </c>
      <c r="EZ80" s="10">
        <v>1202.5862070000001</v>
      </c>
      <c r="FA80" s="10">
        <v>1182.471264</v>
      </c>
      <c r="FB80" s="10">
        <v>1196.83908</v>
      </c>
      <c r="FC80" s="10">
        <v>1159.482759</v>
      </c>
      <c r="FD80" s="10">
        <v>1166.666667</v>
      </c>
      <c r="FE80" s="10">
        <v>1163.793103</v>
      </c>
      <c r="FF80" s="10">
        <v>1145.114943</v>
      </c>
      <c r="FG80" s="10">
        <v>1129.3103450000001</v>
      </c>
      <c r="FH80" s="10">
        <v>1103.4482760000001</v>
      </c>
      <c r="FI80" s="10">
        <v>1129.3103450000001</v>
      </c>
      <c r="FJ80" s="10">
        <v>1080.4597699999999</v>
      </c>
      <c r="FK80" s="10">
        <v>1057.471264</v>
      </c>
      <c r="FL80" s="10">
        <v>1058.908046</v>
      </c>
      <c r="FM80" s="10">
        <v>1021.551724</v>
      </c>
      <c r="FN80" s="10">
        <v>1027.298851</v>
      </c>
      <c r="FO80" s="10">
        <v>985.63218400000005</v>
      </c>
      <c r="FP80" s="10">
        <v>971.26436799999999</v>
      </c>
      <c r="FQ80" s="10">
        <v>954.02298900000005</v>
      </c>
      <c r="FR80" s="10">
        <v>971.26436799999999</v>
      </c>
      <c r="FS80" s="10">
        <v>955.45977000000005</v>
      </c>
      <c r="FT80" s="10">
        <v>1000</v>
      </c>
      <c r="FU80" s="10">
        <v>1002.873563</v>
      </c>
      <c r="FV80" s="10">
        <v>999</v>
      </c>
      <c r="FW80" s="10">
        <v>956</v>
      </c>
      <c r="FX80" s="10">
        <v>982</v>
      </c>
      <c r="FY80" s="10">
        <v>973</v>
      </c>
      <c r="FZ80" s="10">
        <v>968</v>
      </c>
      <c r="GA80" s="10">
        <v>916</v>
      </c>
      <c r="GB80" s="10">
        <v>941</v>
      </c>
      <c r="GC80" s="10">
        <v>878</v>
      </c>
      <c r="GD80" s="10">
        <v>901</v>
      </c>
      <c r="GE80" s="10">
        <v>899</v>
      </c>
      <c r="GF80" s="10">
        <v>929</v>
      </c>
      <c r="GG80" s="10">
        <v>757</v>
      </c>
      <c r="GH80" s="10">
        <v>835</v>
      </c>
      <c r="GI80" s="10">
        <v>787</v>
      </c>
      <c r="GJ80" s="10">
        <v>960</v>
      </c>
      <c r="GK80" s="10">
        <v>933</v>
      </c>
      <c r="GL80" s="10">
        <v>954</v>
      </c>
      <c r="GM80" s="10">
        <v>1006</v>
      </c>
      <c r="GN80" s="10">
        <v>1004</v>
      </c>
      <c r="GO80" s="10">
        <v>1012</v>
      </c>
      <c r="GP80" s="10">
        <v>1050</v>
      </c>
      <c r="GQ80" s="10">
        <v>1049</v>
      </c>
      <c r="GR80" s="10">
        <v>1042</v>
      </c>
      <c r="GS80" s="10">
        <v>1072</v>
      </c>
    </row>
    <row r="81" spans="1:201" ht="12.6">
      <c r="A81" s="51" t="s">
        <v>1899</v>
      </c>
      <c r="B81" s="10"/>
      <c r="C81" s="10"/>
      <c r="D81" s="10"/>
      <c r="E81" s="10"/>
      <c r="F81" s="10" t="s">
        <v>1827</v>
      </c>
      <c r="G81" s="10" t="s">
        <v>1827</v>
      </c>
      <c r="H81" s="10" t="s">
        <v>1827</v>
      </c>
      <c r="I81" s="10" t="s">
        <v>1827</v>
      </c>
      <c r="J81" s="10" t="s">
        <v>1827</v>
      </c>
      <c r="K81" s="10" t="s">
        <v>1827</v>
      </c>
      <c r="L81" s="10" t="s">
        <v>1827</v>
      </c>
      <c r="M81" s="10" t="s">
        <v>1827</v>
      </c>
      <c r="N81" s="10" t="s">
        <v>1827</v>
      </c>
      <c r="O81" s="10" t="s">
        <v>1827</v>
      </c>
      <c r="P81" s="10" t="s">
        <v>1827</v>
      </c>
      <c r="Q81" s="10" t="s">
        <v>1827</v>
      </c>
      <c r="R81" s="10" t="s">
        <v>1827</v>
      </c>
      <c r="S81" s="10" t="s">
        <v>1827</v>
      </c>
      <c r="T81" s="10" t="s">
        <v>1827</v>
      </c>
      <c r="U81" s="10" t="s">
        <v>1827</v>
      </c>
      <c r="V81" s="10" t="s">
        <v>1827</v>
      </c>
      <c r="W81" s="10" t="s">
        <v>1827</v>
      </c>
      <c r="X81" s="10" t="s">
        <v>1827</v>
      </c>
      <c r="Y81" s="10" t="s">
        <v>1827</v>
      </c>
      <c r="Z81" s="10" t="s">
        <v>1827</v>
      </c>
      <c r="AA81" s="10" t="s">
        <v>1827</v>
      </c>
      <c r="AB81" s="10" t="s">
        <v>1827</v>
      </c>
      <c r="AC81" s="10" t="s">
        <v>1827</v>
      </c>
      <c r="AD81" s="10" t="s">
        <v>1827</v>
      </c>
      <c r="AE81" s="10" t="s">
        <v>1827</v>
      </c>
      <c r="AF81" s="10" t="s">
        <v>1827</v>
      </c>
      <c r="AG81" s="10" t="s">
        <v>1827</v>
      </c>
      <c r="AH81" s="10" t="s">
        <v>1827</v>
      </c>
      <c r="AI81" s="10" t="s">
        <v>1827</v>
      </c>
      <c r="AJ81" s="10" t="s">
        <v>1827</v>
      </c>
      <c r="AK81" s="10" t="s">
        <v>1827</v>
      </c>
      <c r="AL81" s="10" t="s">
        <v>1827</v>
      </c>
      <c r="AM81" s="10" t="s">
        <v>1827</v>
      </c>
      <c r="AN81" s="10" t="s">
        <v>1827</v>
      </c>
      <c r="AO81" s="10" t="s">
        <v>1827</v>
      </c>
      <c r="AP81" s="10" t="s">
        <v>1827</v>
      </c>
      <c r="AQ81" s="10" t="s">
        <v>1827</v>
      </c>
      <c r="AR81" s="10" t="s">
        <v>1827</v>
      </c>
      <c r="AS81" s="10" t="s">
        <v>1827</v>
      </c>
      <c r="AT81" s="10" t="s">
        <v>1827</v>
      </c>
      <c r="AU81" s="10" t="s">
        <v>1827</v>
      </c>
      <c r="AV81" s="10" t="s">
        <v>1827</v>
      </c>
      <c r="AW81" s="10" t="s">
        <v>1827</v>
      </c>
      <c r="AX81" s="10" t="s">
        <v>1827</v>
      </c>
      <c r="AY81" s="10" t="s">
        <v>1827</v>
      </c>
      <c r="AZ81" s="10" t="s">
        <v>1827</v>
      </c>
      <c r="BA81" s="10" t="s">
        <v>1827</v>
      </c>
      <c r="BB81" s="10" t="s">
        <v>1827</v>
      </c>
      <c r="BC81" s="10" t="s">
        <v>1827</v>
      </c>
      <c r="BD81" s="10" t="s">
        <v>1827</v>
      </c>
      <c r="BE81" s="10" t="s">
        <v>1827</v>
      </c>
      <c r="BF81" s="10" t="s">
        <v>1827</v>
      </c>
      <c r="BG81" s="10" t="s">
        <v>1827</v>
      </c>
      <c r="BH81" s="10" t="s">
        <v>1827</v>
      </c>
      <c r="BI81" s="10" t="s">
        <v>1827</v>
      </c>
      <c r="BJ81" s="10" t="s">
        <v>1827</v>
      </c>
      <c r="BK81" s="10" t="s">
        <v>1827</v>
      </c>
      <c r="BL81" s="10" t="s">
        <v>1827</v>
      </c>
      <c r="BM81" s="10" t="s">
        <v>1827</v>
      </c>
      <c r="BN81" s="10" t="s">
        <v>1827</v>
      </c>
      <c r="BO81" s="10" t="s">
        <v>1827</v>
      </c>
      <c r="BP81" s="10" t="s">
        <v>1827</v>
      </c>
      <c r="BQ81" s="10" t="s">
        <v>1827</v>
      </c>
      <c r="BR81" s="10" t="s">
        <v>1827</v>
      </c>
      <c r="BS81" s="10" t="s">
        <v>1827</v>
      </c>
      <c r="BT81" s="10" t="s">
        <v>1827</v>
      </c>
      <c r="BU81" s="10" t="s">
        <v>1827</v>
      </c>
      <c r="BV81" s="10" t="s">
        <v>1827</v>
      </c>
      <c r="BW81" s="10" t="s">
        <v>1827</v>
      </c>
      <c r="BX81" s="10" t="s">
        <v>1827</v>
      </c>
      <c r="BY81" s="10" t="s">
        <v>1827</v>
      </c>
      <c r="BZ81" s="10" t="s">
        <v>1827</v>
      </c>
      <c r="CA81" s="10" t="s">
        <v>1827</v>
      </c>
      <c r="CB81" s="10" t="s">
        <v>1827</v>
      </c>
      <c r="CC81" s="10" t="s">
        <v>1827</v>
      </c>
      <c r="CD81" s="10" t="s">
        <v>1827</v>
      </c>
      <c r="CE81" s="10" t="s">
        <v>1827</v>
      </c>
      <c r="CF81" s="10" t="s">
        <v>1827</v>
      </c>
      <c r="CG81" s="10" t="s">
        <v>1827</v>
      </c>
      <c r="CH81" s="10" t="s">
        <v>1827</v>
      </c>
      <c r="CI81" s="10" t="s">
        <v>1827</v>
      </c>
      <c r="CJ81" s="10" t="s">
        <v>1827</v>
      </c>
      <c r="CK81" s="10" t="s">
        <v>1827</v>
      </c>
      <c r="CL81" s="10" t="s">
        <v>1827</v>
      </c>
      <c r="CM81" s="10" t="s">
        <v>1827</v>
      </c>
      <c r="CN81" s="10" t="s">
        <v>1827</v>
      </c>
      <c r="CO81" s="10" t="s">
        <v>1827</v>
      </c>
      <c r="CP81" s="10" t="s">
        <v>1827</v>
      </c>
      <c r="CQ81" s="10" t="s">
        <v>1827</v>
      </c>
      <c r="CR81" s="10" t="s">
        <v>1827</v>
      </c>
      <c r="CS81" s="10" t="s">
        <v>1827</v>
      </c>
      <c r="CT81" s="10" t="s">
        <v>1827</v>
      </c>
      <c r="CU81" s="10" t="s">
        <v>1827</v>
      </c>
      <c r="CV81" s="10" t="s">
        <v>1827</v>
      </c>
      <c r="CW81" s="10" t="s">
        <v>1827</v>
      </c>
      <c r="CX81" s="10" t="s">
        <v>1827</v>
      </c>
      <c r="CY81" s="10" t="s">
        <v>1827</v>
      </c>
      <c r="CZ81" s="10">
        <v>713.45995000000005</v>
      </c>
      <c r="DA81" s="10">
        <v>715.93724199999997</v>
      </c>
      <c r="DB81" s="10">
        <v>733.27828199999999</v>
      </c>
      <c r="DC81" s="10">
        <v>741.53592100000003</v>
      </c>
      <c r="DD81" s="10">
        <v>736.58133799999996</v>
      </c>
      <c r="DE81" s="10">
        <v>752.27085099999999</v>
      </c>
      <c r="DF81" s="10">
        <v>767.96036300000003</v>
      </c>
      <c r="DG81" s="10">
        <v>772.08918200000005</v>
      </c>
      <c r="DH81" s="10">
        <v>772.08918200000005</v>
      </c>
      <c r="DI81" s="10">
        <v>777.86952900000006</v>
      </c>
      <c r="DJ81" s="10">
        <v>769.61189100000001</v>
      </c>
      <c r="DK81" s="10">
        <v>777.86952900000006</v>
      </c>
      <c r="DL81" s="10">
        <v>780.34682099999998</v>
      </c>
      <c r="DM81" s="10">
        <v>795.21056999999996</v>
      </c>
      <c r="DN81" s="10">
        <v>802.64244399999995</v>
      </c>
      <c r="DO81" s="10">
        <v>806.77126299999998</v>
      </c>
      <c r="DP81" s="10">
        <v>806.77126299999998</v>
      </c>
      <c r="DQ81" s="10">
        <v>805.11973599999999</v>
      </c>
      <c r="DR81" s="10">
        <v>801.81668000000002</v>
      </c>
      <c r="DS81" s="10">
        <v>800.16515300000003</v>
      </c>
      <c r="DT81" s="10">
        <v>803.468208</v>
      </c>
      <c r="DU81" s="10">
        <v>807.59702700000003</v>
      </c>
      <c r="DV81" s="10">
        <v>817.50619300000005</v>
      </c>
      <c r="DW81" s="10">
        <v>819.98348499999997</v>
      </c>
      <c r="DX81" s="10">
        <v>820.80924900000002</v>
      </c>
      <c r="DY81" s="10">
        <v>808.42279099999996</v>
      </c>
      <c r="DZ81" s="10">
        <v>811.72584600000005</v>
      </c>
      <c r="EA81" s="10">
        <v>832.36994200000004</v>
      </c>
      <c r="EB81" s="10">
        <v>825.76383199999998</v>
      </c>
      <c r="EC81" s="10">
        <v>830.71841500000005</v>
      </c>
      <c r="ED81" s="10">
        <v>834.84723399999996</v>
      </c>
      <c r="EE81" s="10">
        <v>841.45334400000002</v>
      </c>
      <c r="EF81" s="10">
        <v>846.40792699999997</v>
      </c>
      <c r="EG81" s="10">
        <v>853.83980199999996</v>
      </c>
      <c r="EH81" s="10">
        <v>867.05202299999996</v>
      </c>
      <c r="EI81" s="10">
        <v>868.70355099999995</v>
      </c>
      <c r="EJ81" s="10">
        <v>865.40049499999998</v>
      </c>
      <c r="EK81" s="10">
        <v>851.36251000000004</v>
      </c>
      <c r="EL81" s="10">
        <v>876.13542500000005</v>
      </c>
      <c r="EM81" s="10">
        <v>903.38563199999999</v>
      </c>
      <c r="EN81" s="10">
        <v>917.42361700000004</v>
      </c>
      <c r="EO81" s="10">
        <v>919.90090799999996</v>
      </c>
      <c r="EP81" s="10">
        <v>919.07514500000002</v>
      </c>
      <c r="EQ81" s="10">
        <v>914.12056199999995</v>
      </c>
      <c r="ER81" s="10">
        <v>916.59785299999999</v>
      </c>
      <c r="ES81" s="10">
        <v>916.59785299999999</v>
      </c>
      <c r="ET81" s="10">
        <v>932.28736600000002</v>
      </c>
      <c r="EU81" s="10">
        <v>927.33278299999995</v>
      </c>
      <c r="EV81" s="10">
        <v>944.67382299999997</v>
      </c>
      <c r="EW81" s="10">
        <v>940.54500399999995</v>
      </c>
      <c r="EX81" s="10">
        <v>928.98431000000005</v>
      </c>
      <c r="EY81" s="10">
        <v>927.33278299999995</v>
      </c>
      <c r="EZ81" s="10">
        <v>924.02972699999998</v>
      </c>
      <c r="FA81" s="10">
        <v>930.63583800000004</v>
      </c>
      <c r="FB81" s="10">
        <v>924.85549100000003</v>
      </c>
      <c r="FC81" s="10">
        <v>929.81007399999999</v>
      </c>
      <c r="FD81" s="10">
        <v>921.55243599999994</v>
      </c>
      <c r="FE81" s="10">
        <v>932.28736600000002</v>
      </c>
      <c r="FF81" s="10">
        <v>933.93889300000001</v>
      </c>
      <c r="FG81" s="10">
        <v>936.41618500000004</v>
      </c>
      <c r="FH81" s="10">
        <v>940.54500399999995</v>
      </c>
      <c r="FI81" s="10">
        <v>948.80264199999999</v>
      </c>
      <c r="FJ81" s="10">
        <v>945.49958700000002</v>
      </c>
      <c r="FK81" s="10">
        <v>947.151115</v>
      </c>
      <c r="FL81" s="10">
        <v>944.67382299999997</v>
      </c>
      <c r="FM81" s="10">
        <v>959.53757199999995</v>
      </c>
      <c r="FN81" s="10">
        <v>969.44673799999998</v>
      </c>
      <c r="FO81" s="10">
        <v>975.22708499999999</v>
      </c>
      <c r="FP81" s="10">
        <v>983.48472300000003</v>
      </c>
      <c r="FQ81" s="10">
        <v>986.787779</v>
      </c>
      <c r="FR81" s="10">
        <v>989.26507000000004</v>
      </c>
      <c r="FS81" s="10">
        <v>990.09083399999997</v>
      </c>
      <c r="FT81" s="10">
        <v>1000</v>
      </c>
      <c r="FU81" s="10">
        <v>1004.954583</v>
      </c>
      <c r="FV81" s="10">
        <v>1009</v>
      </c>
      <c r="FW81" s="10">
        <v>1013</v>
      </c>
      <c r="FX81" s="10">
        <v>1019</v>
      </c>
      <c r="FY81" s="10">
        <v>1013</v>
      </c>
      <c r="FZ81" s="10">
        <v>1021</v>
      </c>
      <c r="GA81" s="10">
        <v>1022</v>
      </c>
      <c r="GB81" s="10">
        <v>1040</v>
      </c>
      <c r="GC81" s="10">
        <v>1044</v>
      </c>
      <c r="GD81" s="10">
        <v>1043</v>
      </c>
      <c r="GE81" s="10">
        <v>1058</v>
      </c>
      <c r="GF81" s="10">
        <v>1073</v>
      </c>
      <c r="GG81" s="10">
        <v>1083</v>
      </c>
      <c r="GH81" s="10">
        <v>1083</v>
      </c>
      <c r="GI81" s="10">
        <v>1099</v>
      </c>
      <c r="GJ81" s="10">
        <v>1119</v>
      </c>
      <c r="GK81" s="10">
        <v>1155</v>
      </c>
      <c r="GL81" s="10">
        <v>1201</v>
      </c>
      <c r="GM81" s="10">
        <v>1217</v>
      </c>
      <c r="GN81" s="10">
        <v>1272</v>
      </c>
      <c r="GO81" s="10">
        <v>1284</v>
      </c>
      <c r="GP81" s="10">
        <v>1305</v>
      </c>
      <c r="GQ81" s="10">
        <v>1325</v>
      </c>
      <c r="GR81" s="10">
        <v>1324</v>
      </c>
      <c r="GS81" s="10">
        <v>1333</v>
      </c>
    </row>
    <row r="82" spans="1:201" ht="12.6">
      <c r="A82" s="51" t="s">
        <v>1900</v>
      </c>
      <c r="B82" s="10"/>
      <c r="C82" s="10"/>
      <c r="D82" s="10"/>
      <c r="E82" s="10"/>
      <c r="F82" s="10" t="s">
        <v>1827</v>
      </c>
      <c r="G82" s="10" t="s">
        <v>1827</v>
      </c>
      <c r="H82" s="10" t="s">
        <v>1827</v>
      </c>
      <c r="I82" s="10" t="s">
        <v>1827</v>
      </c>
      <c r="J82" s="10" t="s">
        <v>1827</v>
      </c>
      <c r="K82" s="10" t="s">
        <v>1827</v>
      </c>
      <c r="L82" s="10" t="s">
        <v>1827</v>
      </c>
      <c r="M82" s="10" t="s">
        <v>1827</v>
      </c>
      <c r="N82" s="10" t="s">
        <v>1827</v>
      </c>
      <c r="O82" s="10" t="s">
        <v>1827</v>
      </c>
      <c r="P82" s="10" t="s">
        <v>1827</v>
      </c>
      <c r="Q82" s="10" t="s">
        <v>1827</v>
      </c>
      <c r="R82" s="10" t="s">
        <v>1827</v>
      </c>
      <c r="S82" s="10" t="s">
        <v>1827</v>
      </c>
      <c r="T82" s="10" t="s">
        <v>1827</v>
      </c>
      <c r="U82" s="10" t="s">
        <v>1827</v>
      </c>
      <c r="V82" s="10" t="s">
        <v>1827</v>
      </c>
      <c r="W82" s="10" t="s">
        <v>1827</v>
      </c>
      <c r="X82" s="10" t="s">
        <v>1827</v>
      </c>
      <c r="Y82" s="10" t="s">
        <v>1827</v>
      </c>
      <c r="Z82" s="10" t="s">
        <v>1827</v>
      </c>
      <c r="AA82" s="10" t="s">
        <v>1827</v>
      </c>
      <c r="AB82" s="10" t="s">
        <v>1827</v>
      </c>
      <c r="AC82" s="10" t="s">
        <v>1827</v>
      </c>
      <c r="AD82" s="10" t="s">
        <v>1827</v>
      </c>
      <c r="AE82" s="10">
        <v>779.99253899999997</v>
      </c>
      <c r="AF82" s="10">
        <v>788.65795200000002</v>
      </c>
      <c r="AG82" s="10">
        <v>805.09326499999997</v>
      </c>
      <c r="AH82" s="10">
        <v>834.06577000000004</v>
      </c>
      <c r="AI82" s="10">
        <v>842.57315200000005</v>
      </c>
      <c r="AJ82" s="10">
        <v>884.793994</v>
      </c>
      <c r="AK82" s="10">
        <v>964.29718600000001</v>
      </c>
      <c r="AL82" s="10">
        <v>1044.28764</v>
      </c>
      <c r="AM82" s="10">
        <v>1036.3333700000001</v>
      </c>
      <c r="AN82" s="10">
        <v>1039.05942</v>
      </c>
      <c r="AO82" s="10">
        <v>1068.8615930000001</v>
      </c>
      <c r="AP82" s="10">
        <v>1063.0012449999999</v>
      </c>
      <c r="AQ82" s="10">
        <v>1067.5578310000001</v>
      </c>
      <c r="AR82" s="10">
        <v>1080.648136</v>
      </c>
      <c r="AS82" s="10">
        <v>1100.6523340000001</v>
      </c>
      <c r="AT82" s="10">
        <v>1095.2792509999999</v>
      </c>
      <c r="AU82" s="10">
        <v>1113.1500189999999</v>
      </c>
      <c r="AV82" s="10">
        <v>1153.6851899999999</v>
      </c>
      <c r="AW82" s="10">
        <v>1182.5523410000001</v>
      </c>
      <c r="AX82" s="10">
        <v>1158.4656520000001</v>
      </c>
      <c r="AY82" s="10">
        <v>1181.261747</v>
      </c>
      <c r="AZ82" s="10">
        <v>1227.74945</v>
      </c>
      <c r="BA82" s="10">
        <v>1297.2834640000001</v>
      </c>
      <c r="BB82" s="10">
        <v>1321.6993849999999</v>
      </c>
      <c r="BC82" s="10">
        <v>1326.1506159999999</v>
      </c>
      <c r="BD82" s="10">
        <v>1351.8966390000001</v>
      </c>
      <c r="BE82" s="10">
        <v>1330.1409200000001</v>
      </c>
      <c r="BF82" s="10">
        <v>1321.5545239999999</v>
      </c>
      <c r="BG82" s="10">
        <v>1333.104018</v>
      </c>
      <c r="BH82" s="10">
        <v>1324.1225400000001</v>
      </c>
      <c r="BI82" s="10">
        <v>1328.428909</v>
      </c>
      <c r="BJ82" s="10">
        <v>1316.9320909999999</v>
      </c>
      <c r="BK82" s="10">
        <v>1352.423411</v>
      </c>
      <c r="BL82" s="10">
        <v>1339.2409210000001</v>
      </c>
      <c r="BM82" s="10">
        <v>1361.36538</v>
      </c>
      <c r="BN82" s="10">
        <v>1342.9414999999999</v>
      </c>
      <c r="BO82" s="10">
        <v>1373.5865100000001</v>
      </c>
      <c r="BP82" s="10">
        <v>1399.9251509999999</v>
      </c>
      <c r="BQ82" s="10">
        <v>1407.5896969999999</v>
      </c>
      <c r="BR82" s="10">
        <v>1396.0797110000001</v>
      </c>
      <c r="BS82" s="10">
        <v>1427.3568479999999</v>
      </c>
      <c r="BT82" s="10">
        <v>1444.9642289999999</v>
      </c>
      <c r="BU82" s="10">
        <v>1481.79882</v>
      </c>
      <c r="BV82" s="10">
        <v>1494.191151</v>
      </c>
      <c r="BW82" s="10">
        <v>1506.1884030000001</v>
      </c>
      <c r="BX82" s="10">
        <v>1555.560187</v>
      </c>
      <c r="BY82" s="10">
        <v>1589.3394940000001</v>
      </c>
      <c r="BZ82" s="10">
        <v>1598.637035</v>
      </c>
      <c r="CA82" s="10">
        <v>1595.6344309999999</v>
      </c>
      <c r="CB82" s="10">
        <v>1590.4457170000001</v>
      </c>
      <c r="CC82" s="10">
        <v>1598.821404</v>
      </c>
      <c r="CD82" s="10">
        <v>1525.455119</v>
      </c>
      <c r="CE82" s="10">
        <v>1519.353298</v>
      </c>
      <c r="CF82" s="10">
        <v>1523.9296629999999</v>
      </c>
      <c r="CG82" s="10">
        <v>1519.353298</v>
      </c>
      <c r="CH82" s="10">
        <v>1531.5569390000001</v>
      </c>
      <c r="CI82" s="10">
        <v>1562.0660419999999</v>
      </c>
      <c r="CJ82" s="10">
        <v>1557.4896759999999</v>
      </c>
      <c r="CK82" s="10">
        <v>1559.01513</v>
      </c>
      <c r="CL82" s="10">
        <v>1548.336945</v>
      </c>
      <c r="CM82" s="10">
        <v>1559.01513</v>
      </c>
      <c r="CN82" s="10">
        <v>1566.642407</v>
      </c>
      <c r="CO82" s="10">
        <v>1557.4896759999999</v>
      </c>
      <c r="CP82" s="10">
        <v>1546.8114889999999</v>
      </c>
      <c r="CQ82" s="10">
        <v>1526.980573</v>
      </c>
      <c r="CR82" s="10">
        <v>1488.8441949999999</v>
      </c>
      <c r="CS82" s="10">
        <v>1472.0641900000001</v>
      </c>
      <c r="CT82" s="10">
        <v>1469.0132799999999</v>
      </c>
      <c r="CU82" s="10">
        <v>1458.3350929999999</v>
      </c>
      <c r="CV82" s="10">
        <v>1464.4369139999999</v>
      </c>
      <c r="CW82" s="10">
        <v>1472.0641900000001</v>
      </c>
      <c r="CX82" s="10">
        <v>1494.946015</v>
      </c>
      <c r="CY82" s="10">
        <v>1497.9969269999999</v>
      </c>
      <c r="CZ82" s="10">
        <v>1478.1660099999999</v>
      </c>
      <c r="DA82" s="10">
        <v>1481.1223419999999</v>
      </c>
      <c r="DB82" s="10">
        <v>1479.644176</v>
      </c>
      <c r="DC82" s="10">
        <v>1489.991338</v>
      </c>
      <c r="DD82" s="10">
        <v>1470.7751800000001</v>
      </c>
      <c r="DE82" s="10">
        <v>1473.7315120000001</v>
      </c>
      <c r="DF82" s="10">
        <v>1484.078675</v>
      </c>
      <c r="DG82" s="10">
        <v>1504.772999</v>
      </c>
      <c r="DH82" s="10">
        <v>1522.51099</v>
      </c>
      <c r="DI82" s="10">
        <v>1547.639813</v>
      </c>
      <c r="DJ82" s="10">
        <v>1552.07431</v>
      </c>
      <c r="DK82" s="10">
        <v>1547.639813</v>
      </c>
      <c r="DL82" s="10">
        <v>1578.6812990000001</v>
      </c>
      <c r="DM82" s="10">
        <v>1577.203133</v>
      </c>
      <c r="DN82" s="10">
        <v>1543.205314</v>
      </c>
      <c r="DO82" s="10">
        <v>1521.0328239999999</v>
      </c>
      <c r="DP82" s="10">
        <v>1521.0328239999999</v>
      </c>
      <c r="DQ82" s="10">
        <v>1507.7293299999999</v>
      </c>
      <c r="DR82" s="10">
        <v>1487.0350060000001</v>
      </c>
      <c r="DS82" s="10">
        <v>1455.9935190000001</v>
      </c>
      <c r="DT82" s="10">
        <v>1458.949852</v>
      </c>
      <c r="DU82" s="10">
        <v>1404.257709</v>
      </c>
      <c r="DV82" s="10">
        <v>1417.5612040000001</v>
      </c>
      <c r="DW82" s="10">
        <v>1398.3450459999999</v>
      </c>
      <c r="DX82" s="10">
        <v>1402.7795430000001</v>
      </c>
      <c r="DY82" s="10">
        <v>1414.604871</v>
      </c>
      <c r="DZ82" s="10">
        <v>1398.3450459999999</v>
      </c>
      <c r="EA82" s="10">
        <v>1395.3887130000001</v>
      </c>
      <c r="EB82" s="10">
        <v>1385.041551</v>
      </c>
      <c r="EC82" s="10">
        <v>1361.4958449999999</v>
      </c>
      <c r="ED82" s="10">
        <v>1355.9556789999999</v>
      </c>
      <c r="EE82" s="10">
        <v>1331.0249309999999</v>
      </c>
      <c r="EF82" s="10">
        <v>1349.030471</v>
      </c>
      <c r="EG82" s="10">
        <v>1326.8698059999999</v>
      </c>
      <c r="EH82" s="10">
        <v>1306.0941829999999</v>
      </c>
      <c r="EI82" s="10">
        <v>1290.8587259999999</v>
      </c>
      <c r="EJ82" s="10">
        <v>1278.393352</v>
      </c>
      <c r="EK82" s="10">
        <v>1274.2382270000001</v>
      </c>
      <c r="EL82" s="10">
        <v>1270.0831020000001</v>
      </c>
      <c r="EM82" s="10">
        <v>1270.0831020000001</v>
      </c>
      <c r="EN82" s="10">
        <v>1285.3185599999999</v>
      </c>
      <c r="EO82" s="10">
        <v>1283.933518</v>
      </c>
      <c r="EP82" s="10">
        <v>1249.3074790000001</v>
      </c>
      <c r="EQ82" s="10">
        <v>1232.6869810000001</v>
      </c>
      <c r="ER82" s="10">
        <v>1243.7673130000001</v>
      </c>
      <c r="ES82" s="10">
        <v>1224.3767310000001</v>
      </c>
      <c r="ET82" s="10">
        <v>1222.9916900000001</v>
      </c>
      <c r="EU82" s="10">
        <v>1209.1412740000001</v>
      </c>
      <c r="EV82" s="10">
        <v>1211.911357</v>
      </c>
      <c r="EW82" s="10">
        <v>1177.2853190000001</v>
      </c>
      <c r="EX82" s="10">
        <v>1121.8836570000001</v>
      </c>
      <c r="EY82" s="10">
        <v>1092.7977840000001</v>
      </c>
      <c r="EZ82" s="10">
        <v>1123.2686980000001</v>
      </c>
      <c r="FA82" s="10">
        <v>1121.8836570000001</v>
      </c>
      <c r="FB82" s="10">
        <v>1067.8670360000001</v>
      </c>
      <c r="FC82" s="10">
        <v>1072.0221610000001</v>
      </c>
      <c r="FD82" s="10">
        <v>1085.872576</v>
      </c>
      <c r="FE82" s="10">
        <v>1090.027701</v>
      </c>
      <c r="FF82" s="10">
        <v>1091.412742</v>
      </c>
      <c r="FG82" s="10">
        <v>1073.4072020000001</v>
      </c>
      <c r="FH82" s="10">
        <v>1062.3268700000001</v>
      </c>
      <c r="FI82" s="10">
        <v>1049.861496</v>
      </c>
      <c r="FJ82" s="10">
        <v>1074.792244</v>
      </c>
      <c r="FK82" s="10">
        <v>1085.872576</v>
      </c>
      <c r="FL82" s="10">
        <v>1080.33241</v>
      </c>
      <c r="FM82" s="10">
        <v>1033.2409970000001</v>
      </c>
      <c r="FN82" s="10">
        <v>1031.8559560000001</v>
      </c>
      <c r="FO82" s="10">
        <v>1051.246537</v>
      </c>
      <c r="FP82" s="10">
        <v>1049.861496</v>
      </c>
      <c r="FQ82" s="10">
        <v>1051.246537</v>
      </c>
      <c r="FR82" s="10">
        <v>1037.3961220000001</v>
      </c>
      <c r="FS82" s="10">
        <v>1034.626039</v>
      </c>
      <c r="FT82" s="10">
        <v>1000</v>
      </c>
      <c r="FU82" s="10">
        <v>963.98892000000001</v>
      </c>
      <c r="FV82" s="10">
        <v>941</v>
      </c>
      <c r="FW82" s="10">
        <v>958</v>
      </c>
      <c r="FX82" s="10">
        <v>958</v>
      </c>
      <c r="FY82" s="10">
        <v>982</v>
      </c>
      <c r="FZ82" s="10">
        <v>1111</v>
      </c>
      <c r="GA82" s="10">
        <v>975</v>
      </c>
      <c r="GB82" s="10">
        <v>990</v>
      </c>
      <c r="GC82" s="10">
        <v>953</v>
      </c>
      <c r="GD82" s="10">
        <v>978</v>
      </c>
      <c r="GE82" s="10">
        <v>999</v>
      </c>
      <c r="GF82" s="10">
        <v>997</v>
      </c>
      <c r="GG82" s="10">
        <v>928</v>
      </c>
      <c r="GH82" s="10">
        <v>904</v>
      </c>
      <c r="GI82" s="10">
        <v>884</v>
      </c>
      <c r="GJ82" s="10">
        <v>1019</v>
      </c>
      <c r="GK82" s="10">
        <v>1207</v>
      </c>
      <c r="GL82" s="10">
        <v>1268</v>
      </c>
      <c r="GM82" s="10">
        <v>1174</v>
      </c>
      <c r="GN82" s="10">
        <v>1204</v>
      </c>
      <c r="GO82" s="10">
        <v>1198</v>
      </c>
      <c r="GP82" s="10">
        <v>1298</v>
      </c>
      <c r="GQ82" s="10">
        <v>1315</v>
      </c>
      <c r="GR82" s="10">
        <v>1278</v>
      </c>
      <c r="GS82" s="10">
        <v>1264</v>
      </c>
    </row>
    <row r="83" spans="1:201" ht="12.6">
      <c r="A83" s="51" t="s">
        <v>1901</v>
      </c>
      <c r="B83" s="10"/>
      <c r="C83" s="10"/>
      <c r="D83" s="10"/>
      <c r="E83" s="10"/>
      <c r="F83" s="10" t="s">
        <v>1827</v>
      </c>
      <c r="G83" s="10" t="s">
        <v>1827</v>
      </c>
      <c r="H83" s="10" t="s">
        <v>1827</v>
      </c>
      <c r="I83" s="10" t="s">
        <v>1827</v>
      </c>
      <c r="J83" s="10" t="s">
        <v>1827</v>
      </c>
      <c r="K83" s="10" t="s">
        <v>1827</v>
      </c>
      <c r="L83" s="10" t="s">
        <v>1827</v>
      </c>
      <c r="M83" s="10" t="s">
        <v>1827</v>
      </c>
      <c r="N83" s="10" t="s">
        <v>1827</v>
      </c>
      <c r="O83" s="10" t="s">
        <v>1827</v>
      </c>
      <c r="P83" s="10" t="s">
        <v>1827</v>
      </c>
      <c r="Q83" s="10" t="s">
        <v>1827</v>
      </c>
      <c r="R83" s="10" t="s">
        <v>1827</v>
      </c>
      <c r="S83" s="10" t="s">
        <v>1827</v>
      </c>
      <c r="T83" s="10" t="s">
        <v>1827</v>
      </c>
      <c r="U83" s="10" t="s">
        <v>1827</v>
      </c>
      <c r="V83" s="10" t="s">
        <v>1827</v>
      </c>
      <c r="W83" s="10" t="s">
        <v>1827</v>
      </c>
      <c r="X83" s="10" t="s">
        <v>1827</v>
      </c>
      <c r="Y83" s="10" t="s">
        <v>1827</v>
      </c>
      <c r="Z83" s="10" t="s">
        <v>1827</v>
      </c>
      <c r="AA83" s="10" t="s">
        <v>1827</v>
      </c>
      <c r="AB83" s="10" t="s">
        <v>1827</v>
      </c>
      <c r="AC83" s="10" t="s">
        <v>1827</v>
      </c>
      <c r="AD83" s="10" t="s">
        <v>1827</v>
      </c>
      <c r="AE83" s="10">
        <v>542.59707600000002</v>
      </c>
      <c r="AF83" s="10">
        <v>564.26505699999996</v>
      </c>
      <c r="AG83" s="10">
        <v>577.86562200000003</v>
      </c>
      <c r="AH83" s="10">
        <v>612.77514799999994</v>
      </c>
      <c r="AI83" s="10">
        <v>630.57837099999995</v>
      </c>
      <c r="AJ83" s="10">
        <v>650.926422</v>
      </c>
      <c r="AK83" s="10">
        <v>664.52698699999996</v>
      </c>
      <c r="AL83" s="10">
        <v>671.31670899999995</v>
      </c>
      <c r="AM83" s="10">
        <v>685.360771</v>
      </c>
      <c r="AN83" s="10">
        <v>701.67511300000001</v>
      </c>
      <c r="AO83" s="10">
        <v>699.55266500000005</v>
      </c>
      <c r="AP83" s="10">
        <v>714.21973500000001</v>
      </c>
      <c r="AQ83" s="10">
        <v>720.48148500000002</v>
      </c>
      <c r="AR83" s="10">
        <v>731.36827300000004</v>
      </c>
      <c r="AS83" s="10">
        <v>750.52310599999998</v>
      </c>
      <c r="AT83" s="10">
        <v>768.66423199999997</v>
      </c>
      <c r="AU83" s="10">
        <v>788.52654800000005</v>
      </c>
      <c r="AV83" s="10">
        <v>833.14020300000004</v>
      </c>
      <c r="AW83" s="10">
        <v>864.85021600000005</v>
      </c>
      <c r="AX83" s="10">
        <v>887.21511999999996</v>
      </c>
      <c r="AY83" s="10">
        <v>901.50204799999995</v>
      </c>
      <c r="AZ83" s="10">
        <v>912.73729800000001</v>
      </c>
      <c r="BA83" s="10">
        <v>921.55443500000001</v>
      </c>
      <c r="BB83" s="10">
        <v>997.09670400000005</v>
      </c>
      <c r="BC83" s="10">
        <v>1010.137618</v>
      </c>
      <c r="BD83" s="10">
        <v>1049.8622499999999</v>
      </c>
      <c r="BE83" s="10">
        <v>1065.1734449999999</v>
      </c>
      <c r="BF83" s="10">
        <v>1071.8364549999999</v>
      </c>
      <c r="BG83" s="10">
        <v>1074.0117</v>
      </c>
      <c r="BH83" s="10">
        <v>1073.958903</v>
      </c>
      <c r="BI83" s="10">
        <v>1060.421695</v>
      </c>
      <c r="BJ83" s="10">
        <v>1055.9444900000001</v>
      </c>
      <c r="BK83" s="10">
        <v>1063.262185</v>
      </c>
      <c r="BL83" s="10">
        <v>1064.7827460000001</v>
      </c>
      <c r="BM83" s="10">
        <v>1076.809953</v>
      </c>
      <c r="BN83" s="10">
        <v>1076.144708</v>
      </c>
      <c r="BO83" s="10">
        <v>1075.7856870000001</v>
      </c>
      <c r="BP83" s="10">
        <v>1074.4023999999999</v>
      </c>
      <c r="BQ83" s="10">
        <v>1102.648915</v>
      </c>
      <c r="BR83" s="10">
        <v>1105.816748</v>
      </c>
      <c r="BS83" s="10">
        <v>1131.8035420000001</v>
      </c>
      <c r="BT83" s="10">
        <v>1119.649621</v>
      </c>
      <c r="BU83" s="10">
        <v>1143.2499800000001</v>
      </c>
      <c r="BV83" s="10">
        <v>1140.937461</v>
      </c>
      <c r="BW83" s="10">
        <v>1139.82872</v>
      </c>
      <c r="BX83" s="10">
        <v>1149.1104720000001</v>
      </c>
      <c r="BY83" s="10">
        <v>1159.7543929999999</v>
      </c>
      <c r="BZ83" s="10">
        <v>1186.0157320000001</v>
      </c>
      <c r="CA83" s="10">
        <v>1197.5994439999999</v>
      </c>
      <c r="CB83" s="10">
        <v>1206.849518</v>
      </c>
      <c r="CC83" s="10">
        <v>1223.617915</v>
      </c>
      <c r="CD83" s="10">
        <v>1234.5574999999999</v>
      </c>
      <c r="CE83" s="10">
        <v>1237.026615</v>
      </c>
      <c r="CF83" s="10">
        <v>1222.2119250000001</v>
      </c>
      <c r="CG83" s="10">
        <v>1218.508253</v>
      </c>
      <c r="CH83" s="10">
        <v>1216.039139</v>
      </c>
      <c r="CI83" s="10">
        <v>1203.693563</v>
      </c>
      <c r="CJ83" s="10">
        <v>1201.2244479999999</v>
      </c>
      <c r="CK83" s="10">
        <v>1197.520775</v>
      </c>
      <c r="CL83" s="10">
        <v>1190.113431</v>
      </c>
      <c r="CM83" s="10">
        <v>1187.644315</v>
      </c>
      <c r="CN83" s="10">
        <v>1167.8913950000001</v>
      </c>
      <c r="CO83" s="10">
        <v>1154.3112630000001</v>
      </c>
      <c r="CP83" s="10">
        <v>1148.1384760000001</v>
      </c>
      <c r="CQ83" s="10">
        <v>1137.027458</v>
      </c>
      <c r="CR83" s="10">
        <v>1130.8546710000001</v>
      </c>
      <c r="CS83" s="10">
        <v>1138.262015</v>
      </c>
      <c r="CT83" s="10">
        <v>1145.6693600000001</v>
      </c>
      <c r="CU83" s="10">
        <v>1140.7311299999999</v>
      </c>
      <c r="CV83" s="10">
        <v>1146.9039170000001</v>
      </c>
      <c r="CW83" s="10">
        <v>1141.965688</v>
      </c>
      <c r="CX83" s="10">
        <v>1174.064183</v>
      </c>
      <c r="CY83" s="10">
        <v>1171.595067</v>
      </c>
      <c r="CZ83" s="10">
        <v>1167.8913950000001</v>
      </c>
      <c r="DA83" s="10">
        <v>1165.5556120000001</v>
      </c>
      <c r="DB83" s="10">
        <v>1155.04459</v>
      </c>
      <c r="DC83" s="10">
        <v>1153.876698</v>
      </c>
      <c r="DD83" s="10">
        <v>1159.7161550000001</v>
      </c>
      <c r="DE83" s="10">
        <v>1162.0519380000001</v>
      </c>
      <c r="DF83" s="10">
        <v>1176.0666349999999</v>
      </c>
      <c r="DG83" s="10">
        <v>1181.9060930000001</v>
      </c>
      <c r="DH83" s="10">
        <v>1188.9134409999999</v>
      </c>
      <c r="DI83" s="10">
        <v>1190.0813310000001</v>
      </c>
      <c r="DJ83" s="10">
        <v>1200.592355</v>
      </c>
      <c r="DK83" s="10">
        <v>1205.2639200000001</v>
      </c>
      <c r="DL83" s="10">
        <v>1207.5997030000001</v>
      </c>
      <c r="DM83" s="10">
        <v>1204.096029</v>
      </c>
      <c r="DN83" s="10">
        <v>1208.767595</v>
      </c>
      <c r="DO83" s="10">
        <v>1213.4391599999999</v>
      </c>
      <c r="DP83" s="10">
        <v>1212.2712690000001</v>
      </c>
      <c r="DQ83" s="10">
        <v>1199.4244639999999</v>
      </c>
      <c r="DR83" s="10">
        <v>1176.0666349999999</v>
      </c>
      <c r="DS83" s="10">
        <v>1174.898743</v>
      </c>
      <c r="DT83" s="10">
        <v>1167.8913950000001</v>
      </c>
      <c r="DU83" s="10">
        <v>1152.708807</v>
      </c>
      <c r="DV83" s="10">
        <v>1137.5262190000001</v>
      </c>
      <c r="DW83" s="10">
        <v>1118.8399569999999</v>
      </c>
      <c r="DX83" s="10">
        <v>1116.5041739999999</v>
      </c>
      <c r="DY83" s="10">
        <v>1113.0005000000001</v>
      </c>
      <c r="DZ83" s="10">
        <v>1090.8105640000001</v>
      </c>
      <c r="EA83" s="10">
        <v>1100.153695</v>
      </c>
      <c r="EB83" s="10">
        <v>1101.321586</v>
      </c>
      <c r="EC83" s="10">
        <v>1092.511013</v>
      </c>
      <c r="ED83" s="10">
        <v>1099.1189429999999</v>
      </c>
      <c r="EE83" s="10">
        <v>1091.4096919999999</v>
      </c>
      <c r="EF83" s="10">
        <v>1089.207048</v>
      </c>
      <c r="EG83" s="10">
        <v>1085.903084</v>
      </c>
      <c r="EH83" s="10">
        <v>1094.7136559999999</v>
      </c>
      <c r="EI83" s="10">
        <v>1075.9911890000001</v>
      </c>
      <c r="EJ83" s="10">
        <v>1079.2951539999999</v>
      </c>
      <c r="EK83" s="10">
        <v>1079.2951539999999</v>
      </c>
      <c r="EL83" s="10">
        <v>1089.207048</v>
      </c>
      <c r="EM83" s="10">
        <v>1079.2951539999999</v>
      </c>
      <c r="EN83" s="10">
        <v>1087.0044049999999</v>
      </c>
      <c r="EO83" s="10">
        <v>1089.207048</v>
      </c>
      <c r="EP83" s="10">
        <v>1123.3480179999999</v>
      </c>
      <c r="EQ83" s="10">
        <v>1112.3348020000001</v>
      </c>
      <c r="ER83" s="10">
        <v>1111.2334800000001</v>
      </c>
      <c r="ES83" s="10">
        <v>1102.4229069999999</v>
      </c>
      <c r="ET83" s="10">
        <v>1105.726872</v>
      </c>
      <c r="EU83" s="10">
        <v>1085.903084</v>
      </c>
      <c r="EV83" s="10">
        <v>1073.788546</v>
      </c>
      <c r="EW83" s="10">
        <v>1068.2819380000001</v>
      </c>
      <c r="EX83" s="10">
        <v>1062.7753299999999</v>
      </c>
      <c r="EY83" s="10">
        <v>1057.268722</v>
      </c>
      <c r="EZ83" s="10">
        <v>1050.660793</v>
      </c>
      <c r="FA83" s="10">
        <v>1061.6740090000001</v>
      </c>
      <c r="FB83" s="10">
        <v>1041.85022</v>
      </c>
      <c r="FC83" s="10">
        <v>1023.127753</v>
      </c>
      <c r="FD83" s="10">
        <v>1025.3303960000001</v>
      </c>
      <c r="FE83" s="10">
        <v>1035.242291</v>
      </c>
      <c r="FF83" s="10">
        <v>1012.114537</v>
      </c>
      <c r="FG83" s="10">
        <v>1005.506608</v>
      </c>
      <c r="FH83" s="10">
        <v>1004.405286</v>
      </c>
      <c r="FI83" s="10">
        <v>991.18942700000002</v>
      </c>
      <c r="FJ83" s="10">
        <v>1004.405286</v>
      </c>
      <c r="FK83" s="10">
        <v>988.98678399999994</v>
      </c>
      <c r="FL83" s="10">
        <v>998.89867800000002</v>
      </c>
      <c r="FM83" s="10">
        <v>997.79735700000003</v>
      </c>
      <c r="FN83" s="10">
        <v>1017.621145</v>
      </c>
      <c r="FO83" s="10">
        <v>1011.0132160000001</v>
      </c>
      <c r="FP83" s="10">
        <v>1015.418502</v>
      </c>
      <c r="FQ83" s="10">
        <v>1012.114537</v>
      </c>
      <c r="FR83" s="10">
        <v>1002.202643</v>
      </c>
      <c r="FS83" s="10">
        <v>996.69603500000005</v>
      </c>
      <c r="FT83" s="10">
        <v>1000</v>
      </c>
      <c r="FU83" s="10">
        <v>1002.202643</v>
      </c>
      <c r="FV83" s="10">
        <v>1014</v>
      </c>
      <c r="FW83" s="10">
        <v>997</v>
      </c>
      <c r="FX83" s="10">
        <v>1003</v>
      </c>
      <c r="FY83" s="10">
        <v>1004</v>
      </c>
      <c r="FZ83" s="10">
        <v>1009</v>
      </c>
      <c r="GA83" s="10">
        <v>991</v>
      </c>
      <c r="GB83" s="10">
        <v>1006</v>
      </c>
      <c r="GC83" s="10">
        <v>1002</v>
      </c>
      <c r="GD83" s="10">
        <v>1014</v>
      </c>
      <c r="GE83" s="10">
        <v>1003</v>
      </c>
      <c r="GF83" s="10">
        <v>995</v>
      </c>
      <c r="GG83" s="10">
        <v>1008</v>
      </c>
      <c r="GH83" s="10">
        <v>1024</v>
      </c>
      <c r="GI83" s="10">
        <v>1012</v>
      </c>
      <c r="GJ83" s="10">
        <v>1013</v>
      </c>
      <c r="GK83" s="10">
        <v>1016</v>
      </c>
      <c r="GL83" s="10">
        <v>1045</v>
      </c>
      <c r="GM83" s="10">
        <v>1044</v>
      </c>
      <c r="GN83" s="10">
        <v>1053</v>
      </c>
      <c r="GO83" s="10">
        <v>1056</v>
      </c>
      <c r="GP83" s="10">
        <v>1086</v>
      </c>
      <c r="GQ83" s="10">
        <v>1075</v>
      </c>
      <c r="GR83" s="10">
        <v>1078</v>
      </c>
      <c r="GS83" s="10">
        <v>1084</v>
      </c>
    </row>
    <row r="84" spans="1:201" ht="12.6">
      <c r="A84" s="51" t="s">
        <v>1902</v>
      </c>
      <c r="B84" s="10"/>
      <c r="C84" s="10"/>
      <c r="D84" s="10"/>
      <c r="E84" s="10"/>
      <c r="F84" s="10" t="s">
        <v>1827</v>
      </c>
      <c r="G84" s="10" t="s">
        <v>1827</v>
      </c>
      <c r="H84" s="10" t="s">
        <v>1827</v>
      </c>
      <c r="I84" s="10" t="s">
        <v>1827</v>
      </c>
      <c r="J84" s="10" t="s">
        <v>1827</v>
      </c>
      <c r="K84" s="10" t="s">
        <v>1827</v>
      </c>
      <c r="L84" s="10" t="s">
        <v>1827</v>
      </c>
      <c r="M84" s="10" t="s">
        <v>1827</v>
      </c>
      <c r="N84" s="10" t="s">
        <v>1827</v>
      </c>
      <c r="O84" s="10" t="s">
        <v>1827</v>
      </c>
      <c r="P84" s="10" t="s">
        <v>1827</v>
      </c>
      <c r="Q84" s="10" t="s">
        <v>1827</v>
      </c>
      <c r="R84" s="10" t="s">
        <v>1827</v>
      </c>
      <c r="S84" s="10" t="s">
        <v>1827</v>
      </c>
      <c r="T84" s="10" t="s">
        <v>1827</v>
      </c>
      <c r="U84" s="10" t="s">
        <v>1827</v>
      </c>
      <c r="V84" s="10" t="s">
        <v>1827</v>
      </c>
      <c r="W84" s="10" t="s">
        <v>1827</v>
      </c>
      <c r="X84" s="10" t="s">
        <v>1827</v>
      </c>
      <c r="Y84" s="10" t="s">
        <v>1827</v>
      </c>
      <c r="Z84" s="10" t="s">
        <v>1827</v>
      </c>
      <c r="AA84" s="10" t="s">
        <v>1827</v>
      </c>
      <c r="AB84" s="10" t="s">
        <v>1827</v>
      </c>
      <c r="AC84" s="10" t="s">
        <v>1827</v>
      </c>
      <c r="AD84" s="10" t="s">
        <v>1827</v>
      </c>
      <c r="AE84" s="10" t="s">
        <v>1827</v>
      </c>
      <c r="AF84" s="10" t="s">
        <v>1827</v>
      </c>
      <c r="AG84" s="10" t="s">
        <v>1827</v>
      </c>
      <c r="AH84" s="10" t="s">
        <v>1827</v>
      </c>
      <c r="AI84" s="10" t="s">
        <v>1827</v>
      </c>
      <c r="AJ84" s="10" t="s">
        <v>1827</v>
      </c>
      <c r="AK84" s="10" t="s">
        <v>1827</v>
      </c>
      <c r="AL84" s="10" t="s">
        <v>1827</v>
      </c>
      <c r="AM84" s="10" t="s">
        <v>1827</v>
      </c>
      <c r="AN84" s="10" t="s">
        <v>1827</v>
      </c>
      <c r="AO84" s="10" t="s">
        <v>1827</v>
      </c>
      <c r="AP84" s="10" t="s">
        <v>1827</v>
      </c>
      <c r="AQ84" s="10" t="s">
        <v>1827</v>
      </c>
      <c r="AR84" s="10" t="s">
        <v>1827</v>
      </c>
      <c r="AS84" s="10" t="s">
        <v>1827</v>
      </c>
      <c r="AT84" s="10" t="s">
        <v>1827</v>
      </c>
      <c r="AU84" s="10" t="s">
        <v>1827</v>
      </c>
      <c r="AV84" s="10" t="s">
        <v>1827</v>
      </c>
      <c r="AW84" s="10" t="s">
        <v>1827</v>
      </c>
      <c r="AX84" s="10" t="s">
        <v>1827</v>
      </c>
      <c r="AY84" s="10" t="s">
        <v>1827</v>
      </c>
      <c r="AZ84" s="10" t="s">
        <v>1827</v>
      </c>
      <c r="BA84" s="10" t="s">
        <v>1827</v>
      </c>
      <c r="BB84" s="10" t="s">
        <v>1827</v>
      </c>
      <c r="BC84" s="10" t="s">
        <v>1827</v>
      </c>
      <c r="BD84" s="10" t="s">
        <v>1827</v>
      </c>
      <c r="BE84" s="10" t="s">
        <v>1827</v>
      </c>
      <c r="BF84" s="10" t="s">
        <v>1827</v>
      </c>
      <c r="BG84" s="10" t="s">
        <v>1827</v>
      </c>
      <c r="BH84" s="10" t="s">
        <v>1827</v>
      </c>
      <c r="BI84" s="10" t="s">
        <v>1827</v>
      </c>
      <c r="BJ84" s="10" t="s">
        <v>1827</v>
      </c>
      <c r="BK84" s="10" t="s">
        <v>1827</v>
      </c>
      <c r="BL84" s="10" t="s">
        <v>1827</v>
      </c>
      <c r="BM84" s="10" t="s">
        <v>1827</v>
      </c>
      <c r="BN84" s="10" t="s">
        <v>1827</v>
      </c>
      <c r="BO84" s="10" t="s">
        <v>1827</v>
      </c>
      <c r="BP84" s="10" t="s">
        <v>1827</v>
      </c>
      <c r="BQ84" s="10" t="s">
        <v>1827</v>
      </c>
      <c r="BR84" s="10" t="s">
        <v>1827</v>
      </c>
      <c r="BS84" s="10" t="s">
        <v>1827</v>
      </c>
      <c r="BT84" s="10" t="s">
        <v>1827</v>
      </c>
      <c r="BU84" s="10" t="s">
        <v>1827</v>
      </c>
      <c r="BV84" s="10" t="s">
        <v>1827</v>
      </c>
      <c r="BW84" s="10" t="s">
        <v>1827</v>
      </c>
      <c r="BX84" s="10" t="s">
        <v>1827</v>
      </c>
      <c r="BY84" s="10" t="s">
        <v>1827</v>
      </c>
      <c r="BZ84" s="10" t="s">
        <v>1827</v>
      </c>
      <c r="CA84" s="10" t="s">
        <v>1827</v>
      </c>
      <c r="CB84" s="10" t="s">
        <v>1827</v>
      </c>
      <c r="CC84" s="10" t="s">
        <v>1827</v>
      </c>
      <c r="CD84" s="10" t="s">
        <v>1827</v>
      </c>
      <c r="CE84" s="10" t="s">
        <v>1827</v>
      </c>
      <c r="CF84" s="10" t="s">
        <v>1827</v>
      </c>
      <c r="CG84" s="10" t="s">
        <v>1827</v>
      </c>
      <c r="CH84" s="10" t="s">
        <v>1827</v>
      </c>
      <c r="CI84" s="10" t="s">
        <v>1827</v>
      </c>
      <c r="CJ84" s="10" t="s">
        <v>1827</v>
      </c>
      <c r="CK84" s="10" t="s">
        <v>1827</v>
      </c>
      <c r="CL84" s="10" t="s">
        <v>1827</v>
      </c>
      <c r="CM84" s="10" t="s">
        <v>1827</v>
      </c>
      <c r="CN84" s="10" t="s">
        <v>1827</v>
      </c>
      <c r="CO84" s="10" t="s">
        <v>1827</v>
      </c>
      <c r="CP84" s="10" t="s">
        <v>1827</v>
      </c>
      <c r="CQ84" s="10" t="s">
        <v>1827</v>
      </c>
      <c r="CR84" s="10" t="s">
        <v>1827</v>
      </c>
      <c r="CS84" s="10" t="s">
        <v>1827</v>
      </c>
      <c r="CT84" s="10" t="s">
        <v>1827</v>
      </c>
      <c r="CU84" s="10" t="s">
        <v>1827</v>
      </c>
      <c r="CV84" s="10" t="s">
        <v>1827</v>
      </c>
      <c r="CW84" s="10" t="s">
        <v>1827</v>
      </c>
      <c r="CX84" s="10" t="s">
        <v>1827</v>
      </c>
      <c r="CY84" s="10" t="s">
        <v>1827</v>
      </c>
      <c r="CZ84" s="10">
        <v>768.30249400000002</v>
      </c>
      <c r="DA84" s="10">
        <v>763.47546299999999</v>
      </c>
      <c r="DB84" s="10">
        <v>770.71600999999998</v>
      </c>
      <c r="DC84" s="10">
        <v>769.10699899999997</v>
      </c>
      <c r="DD84" s="10">
        <v>769.91150400000004</v>
      </c>
      <c r="DE84" s="10">
        <v>772.32501999999999</v>
      </c>
      <c r="DF84" s="10">
        <v>782.78358800000001</v>
      </c>
      <c r="DG84" s="10">
        <v>790.82863999999995</v>
      </c>
      <c r="DH84" s="10">
        <v>790.024135</v>
      </c>
      <c r="DI84" s="10">
        <v>791.63314600000001</v>
      </c>
      <c r="DJ84" s="10">
        <v>816.57280800000001</v>
      </c>
      <c r="DK84" s="10">
        <v>815.76830199999995</v>
      </c>
      <c r="DL84" s="10">
        <v>818.98632299999997</v>
      </c>
      <c r="DM84" s="10">
        <v>848.753017</v>
      </c>
      <c r="DN84" s="10">
        <v>839.09895400000005</v>
      </c>
      <c r="DO84" s="10">
        <v>838.29444899999999</v>
      </c>
      <c r="DP84" s="10">
        <v>839.903459</v>
      </c>
      <c r="DQ84" s="10">
        <v>833.46741799999995</v>
      </c>
      <c r="DR84" s="10">
        <v>827.83588099999997</v>
      </c>
      <c r="DS84" s="10">
        <v>823.813355</v>
      </c>
      <c r="DT84" s="10">
        <v>823.00885000000005</v>
      </c>
      <c r="DU84" s="10">
        <v>818.18181800000002</v>
      </c>
      <c r="DV84" s="10">
        <v>805.30973500000005</v>
      </c>
      <c r="DW84" s="10">
        <v>806.11424</v>
      </c>
      <c r="DX84" s="10">
        <v>806.11424</v>
      </c>
      <c r="DY84" s="10">
        <v>810.94127100000003</v>
      </c>
      <c r="DZ84" s="10">
        <v>803.70072400000004</v>
      </c>
      <c r="EA84" s="10">
        <v>803.70072400000004</v>
      </c>
      <c r="EB84" s="10">
        <v>804.50522899999999</v>
      </c>
      <c r="EC84" s="10">
        <v>807.72325000000001</v>
      </c>
      <c r="ED84" s="10">
        <v>838.29444899999999</v>
      </c>
      <c r="EE84" s="10">
        <v>835.88093300000003</v>
      </c>
      <c r="EF84" s="10">
        <v>834.27192300000002</v>
      </c>
      <c r="EG84" s="10">
        <v>824.61785999999995</v>
      </c>
      <c r="EH84" s="10">
        <v>834.27192300000002</v>
      </c>
      <c r="EI84" s="10">
        <v>833.46741799999995</v>
      </c>
      <c r="EJ84" s="10">
        <v>842.31697499999996</v>
      </c>
      <c r="EK84" s="10">
        <v>863.23411099999998</v>
      </c>
      <c r="EL84" s="10">
        <v>883.34674199999995</v>
      </c>
      <c r="EM84" s="10">
        <v>893.80530999999996</v>
      </c>
      <c r="EN84" s="10">
        <v>885.76025700000002</v>
      </c>
      <c r="EO84" s="10">
        <v>902.65486699999997</v>
      </c>
      <c r="EP84" s="10">
        <v>916.331456</v>
      </c>
      <c r="EQ84" s="10">
        <v>923.572003</v>
      </c>
      <c r="ER84" s="10">
        <v>924.37650799999994</v>
      </c>
      <c r="ES84" s="10">
        <v>928.39903500000003</v>
      </c>
      <c r="ET84" s="10">
        <v>937.24859200000003</v>
      </c>
      <c r="EU84" s="10">
        <v>951.72968600000002</v>
      </c>
      <c r="EV84" s="10">
        <v>946.09815000000003</v>
      </c>
      <c r="EW84" s="10">
        <v>952.53419099999996</v>
      </c>
      <c r="EX84" s="10">
        <v>957.361223</v>
      </c>
      <c r="EY84" s="10">
        <v>966.21078</v>
      </c>
      <c r="EZ84" s="10">
        <v>962.99275899999998</v>
      </c>
      <c r="FA84" s="10">
        <v>962.18825400000003</v>
      </c>
      <c r="FB84" s="10">
        <v>956.55671800000005</v>
      </c>
      <c r="FC84" s="10">
        <v>958.97023300000001</v>
      </c>
      <c r="FD84" s="10">
        <v>952.53419099999996</v>
      </c>
      <c r="FE84" s="10">
        <v>966.21078</v>
      </c>
      <c r="FF84" s="10">
        <v>970.23330699999997</v>
      </c>
      <c r="FG84" s="10">
        <v>979.08286399999997</v>
      </c>
      <c r="FH84" s="10">
        <v>983.10539000000006</v>
      </c>
      <c r="FI84" s="10">
        <v>984.71440099999995</v>
      </c>
      <c r="FJ84" s="10">
        <v>985.51890600000002</v>
      </c>
      <c r="FK84" s="10">
        <v>1000</v>
      </c>
      <c r="FL84" s="10">
        <v>995.97747400000003</v>
      </c>
      <c r="FM84" s="10">
        <v>1001.60901</v>
      </c>
      <c r="FN84" s="10">
        <v>997.58648400000004</v>
      </c>
      <c r="FO84" s="10">
        <v>1004.827031</v>
      </c>
      <c r="FP84" s="10">
        <v>1006.436042</v>
      </c>
      <c r="FQ84" s="10">
        <v>1011.263073</v>
      </c>
      <c r="FR84" s="10">
        <v>995.97747400000003</v>
      </c>
      <c r="FS84" s="10">
        <v>1000.8045049999999</v>
      </c>
      <c r="FT84" s="10">
        <v>1000</v>
      </c>
      <c r="FU84" s="10">
        <v>1004.827031</v>
      </c>
      <c r="FV84" s="10">
        <v>1015</v>
      </c>
      <c r="FW84" s="10">
        <v>1022</v>
      </c>
      <c r="FX84" s="10">
        <v>1018</v>
      </c>
      <c r="FY84" s="10">
        <v>1018</v>
      </c>
      <c r="FZ84" s="10">
        <v>1037</v>
      </c>
      <c r="GA84" s="10">
        <v>1047</v>
      </c>
      <c r="GB84" s="10">
        <v>1052</v>
      </c>
      <c r="GC84" s="10">
        <v>1070</v>
      </c>
      <c r="GD84" s="10">
        <v>1080</v>
      </c>
      <c r="GE84" s="10">
        <v>1085</v>
      </c>
      <c r="GF84" s="10">
        <v>1096</v>
      </c>
      <c r="GG84" s="10">
        <v>1107</v>
      </c>
      <c r="GH84" s="10">
        <v>1112</v>
      </c>
      <c r="GI84" s="10">
        <v>1130</v>
      </c>
      <c r="GJ84" s="10">
        <v>1150</v>
      </c>
      <c r="GK84" s="10">
        <v>1152</v>
      </c>
      <c r="GL84" s="10">
        <v>1167</v>
      </c>
      <c r="GM84" s="10">
        <v>1170</v>
      </c>
      <c r="GN84" s="10">
        <v>1189</v>
      </c>
      <c r="GO84" s="10">
        <v>1200</v>
      </c>
      <c r="GP84" s="10">
        <v>1228</v>
      </c>
      <c r="GQ84" s="10">
        <v>1236</v>
      </c>
      <c r="GR84" s="10">
        <v>1253</v>
      </c>
      <c r="GS84" s="10">
        <v>1252</v>
      </c>
    </row>
    <row r="85" spans="1:201" ht="12.6">
      <c r="A85" s="51" t="s">
        <v>1903</v>
      </c>
      <c r="B85" s="10"/>
      <c r="C85" s="10"/>
      <c r="D85" s="10"/>
      <c r="E85" s="10"/>
      <c r="F85" s="10" t="s">
        <v>1827</v>
      </c>
      <c r="G85" s="10" t="s">
        <v>1827</v>
      </c>
      <c r="H85" s="10" t="s">
        <v>1827</v>
      </c>
      <c r="I85" s="10" t="s">
        <v>1827</v>
      </c>
      <c r="J85" s="10" t="s">
        <v>1827</v>
      </c>
      <c r="K85" s="10" t="s">
        <v>1827</v>
      </c>
      <c r="L85" s="10" t="s">
        <v>1827</v>
      </c>
      <c r="M85" s="10" t="s">
        <v>1827</v>
      </c>
      <c r="N85" s="10" t="s">
        <v>1827</v>
      </c>
      <c r="O85" s="10" t="s">
        <v>1827</v>
      </c>
      <c r="P85" s="10" t="s">
        <v>1827</v>
      </c>
      <c r="Q85" s="10" t="s">
        <v>1827</v>
      </c>
      <c r="R85" s="10" t="s">
        <v>1827</v>
      </c>
      <c r="S85" s="10" t="s">
        <v>1827</v>
      </c>
      <c r="T85" s="10" t="s">
        <v>1827</v>
      </c>
      <c r="U85" s="10" t="s">
        <v>1827</v>
      </c>
      <c r="V85" s="10" t="s">
        <v>1827</v>
      </c>
      <c r="W85" s="10" t="s">
        <v>1827</v>
      </c>
      <c r="X85" s="10" t="s">
        <v>1827</v>
      </c>
      <c r="Y85" s="10" t="s">
        <v>1827</v>
      </c>
      <c r="Z85" s="10" t="s">
        <v>1827</v>
      </c>
      <c r="AA85" s="10" t="s">
        <v>1827</v>
      </c>
      <c r="AB85" s="10" t="s">
        <v>1827</v>
      </c>
      <c r="AC85" s="10" t="s">
        <v>1827</v>
      </c>
      <c r="AD85" s="10" t="s">
        <v>1827</v>
      </c>
      <c r="AE85" s="10">
        <v>302.125114</v>
      </c>
      <c r="AF85" s="10">
        <v>310.38722899999999</v>
      </c>
      <c r="AG85" s="10">
        <v>314.89938000000001</v>
      </c>
      <c r="AH85" s="10">
        <v>323.45417500000002</v>
      </c>
      <c r="AI85" s="10">
        <v>344.17958299999998</v>
      </c>
      <c r="AJ85" s="10">
        <v>354.496556</v>
      </c>
      <c r="AK85" s="10">
        <v>356.48434200000003</v>
      </c>
      <c r="AL85" s="10">
        <v>356.48434200000003</v>
      </c>
      <c r="AM85" s="10">
        <v>355.447766</v>
      </c>
      <c r="AN85" s="10">
        <v>357.81969500000002</v>
      </c>
      <c r="AO85" s="10">
        <v>356.27702699999998</v>
      </c>
      <c r="AP85" s="10">
        <v>357.35628400000002</v>
      </c>
      <c r="AQ85" s="10">
        <v>356.819705</v>
      </c>
      <c r="AR85" s="10">
        <v>359.02699999999999</v>
      </c>
      <c r="AS85" s="10">
        <v>369.22811999999999</v>
      </c>
      <c r="AT85" s="10">
        <v>379.55728800000003</v>
      </c>
      <c r="AU85" s="10">
        <v>411.654538</v>
      </c>
      <c r="AV85" s="10">
        <v>407.82530600000001</v>
      </c>
      <c r="AW85" s="10">
        <v>418.22154699999999</v>
      </c>
      <c r="AX85" s="10">
        <v>418.77641999999997</v>
      </c>
      <c r="AY85" s="10">
        <v>423.611739</v>
      </c>
      <c r="AZ85" s="10">
        <v>451.64805100000001</v>
      </c>
      <c r="BA85" s="10">
        <v>484.12944299999998</v>
      </c>
      <c r="BB85" s="10">
        <v>558.87871700000005</v>
      </c>
      <c r="BC85" s="10">
        <v>550.31172700000002</v>
      </c>
      <c r="BD85" s="10">
        <v>555.64094299999999</v>
      </c>
      <c r="BE85" s="10">
        <v>561.32991300000003</v>
      </c>
      <c r="BF85" s="10">
        <v>560.817722</v>
      </c>
      <c r="BG85" s="10">
        <v>570.61640799999998</v>
      </c>
      <c r="BH85" s="10">
        <v>591.12230599999998</v>
      </c>
      <c r="BI85" s="10">
        <v>601.683179</v>
      </c>
      <c r="BJ85" s="10">
        <v>609.75017400000002</v>
      </c>
      <c r="BK85" s="10">
        <v>615.14646300000004</v>
      </c>
      <c r="BL85" s="10">
        <v>625.87806599999999</v>
      </c>
      <c r="BM85" s="10">
        <v>655.853385</v>
      </c>
      <c r="BN85" s="10">
        <v>655.07290499999999</v>
      </c>
      <c r="BO85" s="10">
        <v>661.828936</v>
      </c>
      <c r="BP85" s="10">
        <v>668.04228999999998</v>
      </c>
      <c r="BQ85" s="10">
        <v>675.95684800000004</v>
      </c>
      <c r="BR85" s="10">
        <v>666.11548000000005</v>
      </c>
      <c r="BS85" s="10">
        <v>662.10332400000004</v>
      </c>
      <c r="BT85" s="10">
        <v>680.58485199999996</v>
      </c>
      <c r="BU85" s="10">
        <v>670.99957900000004</v>
      </c>
      <c r="BV85" s="10">
        <v>657.29849300000001</v>
      </c>
      <c r="BW85" s="10">
        <v>652.39000399999998</v>
      </c>
      <c r="BX85" s="10">
        <v>660.54236400000002</v>
      </c>
      <c r="BY85" s="10">
        <v>665.71914300000003</v>
      </c>
      <c r="BZ85" s="10">
        <v>666.29230800000005</v>
      </c>
      <c r="CA85" s="10">
        <v>665.15207499999997</v>
      </c>
      <c r="CB85" s="10">
        <v>653.57291899999996</v>
      </c>
      <c r="CC85" s="10">
        <v>657.84726799999999</v>
      </c>
      <c r="CD85" s="10">
        <v>651.560744</v>
      </c>
      <c r="CE85" s="10">
        <v>645.69669699999997</v>
      </c>
      <c r="CF85" s="10">
        <v>641.13577099999998</v>
      </c>
      <c r="CG85" s="10">
        <v>651.560744</v>
      </c>
      <c r="CH85" s="10">
        <v>650.90918299999998</v>
      </c>
      <c r="CI85" s="10">
        <v>645.69669699999997</v>
      </c>
      <c r="CJ85" s="10">
        <v>632.01392099999998</v>
      </c>
      <c r="CK85" s="10">
        <v>622.89207099999999</v>
      </c>
      <c r="CL85" s="10">
        <v>621.58894899999996</v>
      </c>
      <c r="CM85" s="10">
        <v>618.98270600000001</v>
      </c>
      <c r="CN85" s="10">
        <v>620.93738800000006</v>
      </c>
      <c r="CO85" s="10">
        <v>613.11865999999998</v>
      </c>
      <c r="CP85" s="10">
        <v>622.89207099999999</v>
      </c>
      <c r="CQ85" s="10">
        <v>615.72490300000004</v>
      </c>
      <c r="CR85" s="10">
        <v>616.37646299999994</v>
      </c>
      <c r="CS85" s="10">
        <v>616.37646299999994</v>
      </c>
      <c r="CT85" s="10">
        <v>621.58894899999996</v>
      </c>
      <c r="CU85" s="10">
        <v>618.33114599999999</v>
      </c>
      <c r="CV85" s="10">
        <v>615.72490300000004</v>
      </c>
      <c r="CW85" s="10">
        <v>617.02802399999996</v>
      </c>
      <c r="CX85" s="10">
        <v>620.93738800000006</v>
      </c>
      <c r="CY85" s="10">
        <v>624.19519200000002</v>
      </c>
      <c r="CZ85" s="10">
        <v>620.28582700000004</v>
      </c>
      <c r="DA85" s="10">
        <v>622.76697100000001</v>
      </c>
      <c r="DB85" s="10">
        <v>622.14668500000005</v>
      </c>
      <c r="DC85" s="10">
        <v>636.41325900000004</v>
      </c>
      <c r="DD85" s="10">
        <v>617.80468499999995</v>
      </c>
      <c r="DE85" s="10">
        <v>638.27411600000005</v>
      </c>
      <c r="DF85" s="10">
        <v>624.00754300000006</v>
      </c>
      <c r="DG85" s="10">
        <v>622.76697100000001</v>
      </c>
      <c r="DH85" s="10">
        <v>625.86839999999995</v>
      </c>
      <c r="DI85" s="10">
        <v>638.89440300000001</v>
      </c>
      <c r="DJ85" s="10">
        <v>646.95811900000001</v>
      </c>
      <c r="DK85" s="10">
        <v>641.37554599999999</v>
      </c>
      <c r="DL85" s="10">
        <v>637.033545</v>
      </c>
      <c r="DM85" s="10">
        <v>644.47697500000004</v>
      </c>
      <c r="DN85" s="10">
        <v>674.87098100000003</v>
      </c>
      <c r="DO85" s="10">
        <v>646.95811900000001</v>
      </c>
      <c r="DP85" s="10">
        <v>664.32612099999994</v>
      </c>
      <c r="DQ85" s="10">
        <v>684.79555400000004</v>
      </c>
      <c r="DR85" s="10">
        <v>687.27669700000001</v>
      </c>
      <c r="DS85" s="10">
        <v>696.58098399999994</v>
      </c>
      <c r="DT85" s="10">
        <v>697.20127100000002</v>
      </c>
      <c r="DU85" s="10">
        <v>685.41583900000001</v>
      </c>
      <c r="DV85" s="10">
        <v>697.20127100000002</v>
      </c>
      <c r="DW85" s="10">
        <v>704.02441499999998</v>
      </c>
      <c r="DX85" s="10">
        <v>703.40412900000001</v>
      </c>
      <c r="DY85" s="10">
        <v>699.06212800000003</v>
      </c>
      <c r="DZ85" s="10">
        <v>702.16355699999997</v>
      </c>
      <c r="EA85" s="10">
        <v>704.02441499999998</v>
      </c>
      <c r="EB85" s="10">
        <v>710.22727299999997</v>
      </c>
      <c r="EC85" s="10">
        <v>708.80681800000002</v>
      </c>
      <c r="ED85" s="10">
        <v>720.88068199999998</v>
      </c>
      <c r="EE85" s="10">
        <v>719.46022700000003</v>
      </c>
      <c r="EF85" s="10">
        <v>723.72159099999999</v>
      </c>
      <c r="EG85" s="10">
        <v>720.88068199999998</v>
      </c>
      <c r="EH85" s="10">
        <v>724.43181800000002</v>
      </c>
      <c r="EI85" s="10">
        <v>732.24431800000002</v>
      </c>
      <c r="EJ85" s="10">
        <v>742.89772700000003</v>
      </c>
      <c r="EK85" s="10">
        <v>764.91477299999997</v>
      </c>
      <c r="EL85" s="10">
        <v>769.17613600000004</v>
      </c>
      <c r="EM85" s="10">
        <v>801.84659099999999</v>
      </c>
      <c r="EN85" s="10">
        <v>850.85227299999997</v>
      </c>
      <c r="EO85" s="10">
        <v>860.08522700000003</v>
      </c>
      <c r="EP85" s="10">
        <v>872.15909099999999</v>
      </c>
      <c r="EQ85" s="10">
        <v>872.15909099999999</v>
      </c>
      <c r="ER85" s="10">
        <v>877.84090900000001</v>
      </c>
      <c r="ES85" s="10">
        <v>883.52272700000003</v>
      </c>
      <c r="ET85" s="10">
        <v>899.14772700000003</v>
      </c>
      <c r="EU85" s="10">
        <v>896.30681800000002</v>
      </c>
      <c r="EV85" s="10">
        <v>916.90340900000001</v>
      </c>
      <c r="EW85" s="10">
        <v>935.36931800000002</v>
      </c>
      <c r="EX85" s="10">
        <v>924.71590900000001</v>
      </c>
      <c r="EY85" s="10">
        <v>957.38636399999996</v>
      </c>
      <c r="EZ85" s="10">
        <v>940.34090900000001</v>
      </c>
      <c r="FA85" s="10">
        <v>936.07954500000005</v>
      </c>
      <c r="FB85" s="10">
        <v>927.55681800000002</v>
      </c>
      <c r="FC85" s="10">
        <v>964.48863600000004</v>
      </c>
      <c r="FD85" s="10">
        <v>946.73295499999995</v>
      </c>
      <c r="FE85" s="10">
        <v>946.73295499999995</v>
      </c>
      <c r="FF85" s="10">
        <v>945.3125</v>
      </c>
      <c r="FG85" s="10">
        <v>950.28409099999999</v>
      </c>
      <c r="FH85" s="10">
        <v>955.25568199999998</v>
      </c>
      <c r="FI85" s="10">
        <v>938.21022700000003</v>
      </c>
      <c r="FJ85" s="10">
        <v>955.25568199999998</v>
      </c>
      <c r="FK85" s="10">
        <v>960.9375</v>
      </c>
      <c r="FL85" s="10">
        <v>965.19886399999996</v>
      </c>
      <c r="FM85" s="10">
        <v>945.3125</v>
      </c>
      <c r="FN85" s="10">
        <v>955.96590900000001</v>
      </c>
      <c r="FO85" s="10">
        <v>977.27272700000003</v>
      </c>
      <c r="FP85" s="10">
        <v>980.82386399999996</v>
      </c>
      <c r="FQ85" s="10">
        <v>969.46022700000003</v>
      </c>
      <c r="FR85" s="10">
        <v>987.21590900000001</v>
      </c>
      <c r="FS85" s="10">
        <v>1003.551136</v>
      </c>
      <c r="FT85" s="10">
        <v>1000</v>
      </c>
      <c r="FU85" s="10">
        <v>990.76704500000005</v>
      </c>
      <c r="FV85" s="10">
        <v>1001</v>
      </c>
      <c r="FW85" s="10">
        <v>999</v>
      </c>
      <c r="FX85" s="10">
        <v>1000</v>
      </c>
      <c r="FY85" s="10">
        <v>1016</v>
      </c>
      <c r="FZ85" s="10">
        <v>996</v>
      </c>
      <c r="GA85" s="10">
        <v>1016</v>
      </c>
      <c r="GB85" s="10">
        <v>1033</v>
      </c>
      <c r="GC85" s="10">
        <v>1037</v>
      </c>
      <c r="GD85" s="10">
        <v>1029</v>
      </c>
      <c r="GE85" s="10">
        <v>1030</v>
      </c>
      <c r="GF85" s="10">
        <v>1052</v>
      </c>
      <c r="GG85" s="10">
        <v>1042</v>
      </c>
      <c r="GH85" s="10">
        <v>1074</v>
      </c>
      <c r="GI85" s="10">
        <v>1096</v>
      </c>
      <c r="GJ85" s="10">
        <v>1121</v>
      </c>
      <c r="GK85" s="10">
        <v>1138</v>
      </c>
      <c r="GL85" s="10">
        <v>1140</v>
      </c>
      <c r="GM85" s="10">
        <v>1176</v>
      </c>
      <c r="GN85" s="10">
        <v>1207</v>
      </c>
      <c r="GO85" s="10">
        <v>1281</v>
      </c>
      <c r="GP85" s="10">
        <v>1286</v>
      </c>
      <c r="GQ85" s="10">
        <v>1317</v>
      </c>
      <c r="GR85" s="10">
        <v>1438</v>
      </c>
      <c r="GS85" s="10">
        <v>1435</v>
      </c>
    </row>
    <row r="86" spans="1:201" ht="12.6">
      <c r="A86" s="51" t="s">
        <v>1904</v>
      </c>
      <c r="B86" s="10"/>
      <c r="C86" s="10"/>
      <c r="D86" s="10"/>
      <c r="E86" s="10"/>
      <c r="F86" s="10" t="s">
        <v>1827</v>
      </c>
      <c r="G86" s="10" t="s">
        <v>1827</v>
      </c>
      <c r="H86" s="10" t="s">
        <v>1827</v>
      </c>
      <c r="I86" s="10" t="s">
        <v>1827</v>
      </c>
      <c r="J86" s="10" t="s">
        <v>1827</v>
      </c>
      <c r="K86" s="10" t="s">
        <v>1827</v>
      </c>
      <c r="L86" s="10" t="s">
        <v>1827</v>
      </c>
      <c r="M86" s="10" t="s">
        <v>1827</v>
      </c>
      <c r="N86" s="10" t="s">
        <v>1827</v>
      </c>
      <c r="O86" s="10" t="s">
        <v>1827</v>
      </c>
      <c r="P86" s="10" t="s">
        <v>1827</v>
      </c>
      <c r="Q86" s="10" t="s">
        <v>1827</v>
      </c>
      <c r="R86" s="10" t="s">
        <v>1827</v>
      </c>
      <c r="S86" s="10" t="s">
        <v>1827</v>
      </c>
      <c r="T86" s="10" t="s">
        <v>1827</v>
      </c>
      <c r="U86" s="10" t="s">
        <v>1827</v>
      </c>
      <c r="V86" s="10" t="s">
        <v>1827</v>
      </c>
      <c r="W86" s="10" t="s">
        <v>1827</v>
      </c>
      <c r="X86" s="10" t="s">
        <v>1827</v>
      </c>
      <c r="Y86" s="10" t="s">
        <v>1827</v>
      </c>
      <c r="Z86" s="10" t="s">
        <v>1827</v>
      </c>
      <c r="AA86" s="10" t="s">
        <v>1827</v>
      </c>
      <c r="AB86" s="10" t="s">
        <v>1827</v>
      </c>
      <c r="AC86" s="10" t="s">
        <v>1827</v>
      </c>
      <c r="AD86" s="10" t="s">
        <v>1827</v>
      </c>
      <c r="AE86" s="10" t="s">
        <v>1827</v>
      </c>
      <c r="AF86" s="10" t="s">
        <v>1827</v>
      </c>
      <c r="AG86" s="10" t="s">
        <v>1827</v>
      </c>
      <c r="AH86" s="10" t="s">
        <v>1827</v>
      </c>
      <c r="AI86" s="10" t="s">
        <v>1827</v>
      </c>
      <c r="AJ86" s="10" t="s">
        <v>1827</v>
      </c>
      <c r="AK86" s="10" t="s">
        <v>1827</v>
      </c>
      <c r="AL86" s="10" t="s">
        <v>1827</v>
      </c>
      <c r="AM86" s="10" t="s">
        <v>1827</v>
      </c>
      <c r="AN86" s="10" t="s">
        <v>1827</v>
      </c>
      <c r="AO86" s="10" t="s">
        <v>1827</v>
      </c>
      <c r="AP86" s="10" t="s">
        <v>1827</v>
      </c>
      <c r="AQ86" s="10" t="s">
        <v>1827</v>
      </c>
      <c r="AR86" s="10" t="s">
        <v>1827</v>
      </c>
      <c r="AS86" s="10" t="s">
        <v>1827</v>
      </c>
      <c r="AT86" s="10" t="s">
        <v>1827</v>
      </c>
      <c r="AU86" s="10" t="s">
        <v>1827</v>
      </c>
      <c r="AV86" s="10" t="s">
        <v>1827</v>
      </c>
      <c r="AW86" s="10" t="s">
        <v>1827</v>
      </c>
      <c r="AX86" s="10" t="s">
        <v>1827</v>
      </c>
      <c r="AY86" s="10" t="s">
        <v>1827</v>
      </c>
      <c r="AZ86" s="10" t="s">
        <v>1827</v>
      </c>
      <c r="BA86" s="10" t="s">
        <v>1827</v>
      </c>
      <c r="BB86" s="10" t="s">
        <v>1827</v>
      </c>
      <c r="BC86" s="10" t="s">
        <v>1827</v>
      </c>
      <c r="BD86" s="10" t="s">
        <v>1827</v>
      </c>
      <c r="BE86" s="10" t="s">
        <v>1827</v>
      </c>
      <c r="BF86" s="10" t="s">
        <v>1827</v>
      </c>
      <c r="BG86" s="10" t="s">
        <v>1827</v>
      </c>
      <c r="BH86" s="10" t="s">
        <v>1827</v>
      </c>
      <c r="BI86" s="10" t="s">
        <v>1827</v>
      </c>
      <c r="BJ86" s="10" t="s">
        <v>1827</v>
      </c>
      <c r="BK86" s="10" t="s">
        <v>1827</v>
      </c>
      <c r="BL86" s="10" t="s">
        <v>1827</v>
      </c>
      <c r="BM86" s="10" t="s">
        <v>1827</v>
      </c>
      <c r="BN86" s="10" t="s">
        <v>1827</v>
      </c>
      <c r="BO86" s="10" t="s">
        <v>1827</v>
      </c>
      <c r="BP86" s="10" t="s">
        <v>1827</v>
      </c>
      <c r="BQ86" s="10" t="s">
        <v>1827</v>
      </c>
      <c r="BR86" s="10" t="s">
        <v>1827</v>
      </c>
      <c r="BS86" s="10" t="s">
        <v>1827</v>
      </c>
      <c r="BT86" s="10" t="s">
        <v>1827</v>
      </c>
      <c r="BU86" s="10" t="s">
        <v>1827</v>
      </c>
      <c r="BV86" s="10" t="s">
        <v>1827</v>
      </c>
      <c r="BW86" s="10" t="s">
        <v>1827</v>
      </c>
      <c r="BX86" s="10" t="s">
        <v>1827</v>
      </c>
      <c r="BY86" s="10" t="s">
        <v>1827</v>
      </c>
      <c r="BZ86" s="10" t="s">
        <v>1827</v>
      </c>
      <c r="CA86" s="10" t="s">
        <v>1827</v>
      </c>
      <c r="CB86" s="10" t="s">
        <v>1827</v>
      </c>
      <c r="CC86" s="10" t="s">
        <v>1827</v>
      </c>
      <c r="CD86" s="10" t="s">
        <v>1827</v>
      </c>
      <c r="CE86" s="10" t="s">
        <v>1827</v>
      </c>
      <c r="CF86" s="10" t="s">
        <v>1827</v>
      </c>
      <c r="CG86" s="10" t="s">
        <v>1827</v>
      </c>
      <c r="CH86" s="10" t="s">
        <v>1827</v>
      </c>
      <c r="CI86" s="10" t="s">
        <v>1827</v>
      </c>
      <c r="CJ86" s="10" t="s">
        <v>1827</v>
      </c>
      <c r="CK86" s="10" t="s">
        <v>1827</v>
      </c>
      <c r="CL86" s="10" t="s">
        <v>1827</v>
      </c>
      <c r="CM86" s="10" t="s">
        <v>1827</v>
      </c>
      <c r="CN86" s="10" t="s">
        <v>1827</v>
      </c>
      <c r="CO86" s="10" t="s">
        <v>1827</v>
      </c>
      <c r="CP86" s="10" t="s">
        <v>1827</v>
      </c>
      <c r="CQ86" s="10" t="s">
        <v>1827</v>
      </c>
      <c r="CR86" s="10" t="s">
        <v>1827</v>
      </c>
      <c r="CS86" s="10" t="s">
        <v>1827</v>
      </c>
      <c r="CT86" s="10" t="s">
        <v>1827</v>
      </c>
      <c r="CU86" s="10" t="s">
        <v>1827</v>
      </c>
      <c r="CV86" s="10" t="s">
        <v>1827</v>
      </c>
      <c r="CW86" s="10" t="s">
        <v>1827</v>
      </c>
      <c r="CX86" s="10" t="s">
        <v>1827</v>
      </c>
      <c r="CY86" s="10" t="s">
        <v>1827</v>
      </c>
      <c r="CZ86" s="10">
        <v>600.76045599999998</v>
      </c>
      <c r="DA86" s="10">
        <v>612.16729999999995</v>
      </c>
      <c r="DB86" s="10">
        <v>613.68821300000002</v>
      </c>
      <c r="DC86" s="10">
        <v>622.05323199999998</v>
      </c>
      <c r="DD86" s="10">
        <v>622.05323199999998</v>
      </c>
      <c r="DE86" s="10">
        <v>629.65779499999996</v>
      </c>
      <c r="DF86" s="10">
        <v>633.46007599999996</v>
      </c>
      <c r="DG86" s="10">
        <v>638.78327000000002</v>
      </c>
      <c r="DH86" s="10">
        <v>643.34600799999998</v>
      </c>
      <c r="DI86" s="10">
        <v>649.42965800000002</v>
      </c>
      <c r="DJ86" s="10">
        <v>653.99239499999999</v>
      </c>
      <c r="DK86" s="10">
        <v>657.79467699999998</v>
      </c>
      <c r="DL86" s="10">
        <v>670.72243300000002</v>
      </c>
      <c r="DM86" s="10">
        <v>672.24334599999997</v>
      </c>
      <c r="DN86" s="10">
        <v>686.69201499999997</v>
      </c>
      <c r="DO86" s="10">
        <v>695.05703400000004</v>
      </c>
      <c r="DP86" s="10">
        <v>695.81749000000002</v>
      </c>
      <c r="DQ86" s="10">
        <v>698.09885899999995</v>
      </c>
      <c r="DR86" s="10">
        <v>709.50570300000004</v>
      </c>
      <c r="DS86" s="10">
        <v>714.06844100000001</v>
      </c>
      <c r="DT86" s="10">
        <v>707.98479099999997</v>
      </c>
      <c r="DU86" s="10">
        <v>710.26616000000001</v>
      </c>
      <c r="DV86" s="10">
        <v>723.19391599999994</v>
      </c>
      <c r="DW86" s="10">
        <v>736.12167299999999</v>
      </c>
      <c r="DX86" s="10">
        <v>739.92395399999998</v>
      </c>
      <c r="DY86" s="10">
        <v>743.72623599999997</v>
      </c>
      <c r="DZ86" s="10">
        <v>749.04943000000003</v>
      </c>
      <c r="EA86" s="10">
        <v>756.65399200000002</v>
      </c>
      <c r="EB86" s="10">
        <v>760.45627400000001</v>
      </c>
      <c r="EC86" s="10">
        <v>761.21672999999998</v>
      </c>
      <c r="ED86" s="10">
        <v>777.18631200000004</v>
      </c>
      <c r="EE86" s="10">
        <v>786.31178699999998</v>
      </c>
      <c r="EF86" s="10">
        <v>791.63498100000004</v>
      </c>
      <c r="EG86" s="10">
        <v>797.71863099999996</v>
      </c>
      <c r="EH86" s="10">
        <v>803.04182500000002</v>
      </c>
      <c r="EI86" s="10">
        <v>817.49049400000001</v>
      </c>
      <c r="EJ86" s="10">
        <v>822.81368799999996</v>
      </c>
      <c r="EK86" s="10">
        <v>825.095057</v>
      </c>
      <c r="EL86" s="10">
        <v>838.78327000000002</v>
      </c>
      <c r="EM86" s="10">
        <v>851.71102699999994</v>
      </c>
      <c r="EN86" s="10">
        <v>853.99239499999999</v>
      </c>
      <c r="EO86" s="10">
        <v>857.034221</v>
      </c>
      <c r="EP86" s="10">
        <v>866.92015200000003</v>
      </c>
      <c r="EQ86" s="10">
        <v>873.76425900000004</v>
      </c>
      <c r="ER86" s="10">
        <v>879.08745199999998</v>
      </c>
      <c r="ES86" s="10">
        <v>888.21292800000003</v>
      </c>
      <c r="ET86" s="10">
        <v>901.90114100000005</v>
      </c>
      <c r="EU86" s="10">
        <v>905.70342200000005</v>
      </c>
      <c r="EV86" s="10">
        <v>912.54752900000005</v>
      </c>
      <c r="EW86" s="10">
        <v>919.39163499999995</v>
      </c>
      <c r="EX86" s="10">
        <v>922.43345999999997</v>
      </c>
      <c r="EY86" s="10">
        <v>925.47528499999999</v>
      </c>
      <c r="EZ86" s="10">
        <v>926.23574099999996</v>
      </c>
      <c r="FA86" s="10">
        <v>933.84030399999995</v>
      </c>
      <c r="FB86" s="10">
        <v>940.68441099999995</v>
      </c>
      <c r="FC86" s="10">
        <v>942.965779</v>
      </c>
      <c r="FD86" s="10">
        <v>943.72623599999997</v>
      </c>
      <c r="FE86" s="10">
        <v>946.00760500000001</v>
      </c>
      <c r="FF86" s="10">
        <v>950.57034199999998</v>
      </c>
      <c r="FG86" s="10">
        <v>949.80988600000001</v>
      </c>
      <c r="FH86" s="10">
        <v>949.04943000000003</v>
      </c>
      <c r="FI86" s="10">
        <v>956.65399200000002</v>
      </c>
      <c r="FJ86" s="10">
        <v>959.69581700000003</v>
      </c>
      <c r="FK86" s="10">
        <v>966.53992400000004</v>
      </c>
      <c r="FL86" s="10">
        <v>967.30038000000002</v>
      </c>
      <c r="FM86" s="10">
        <v>972.62357399999996</v>
      </c>
      <c r="FN86" s="10">
        <v>974.14448700000003</v>
      </c>
      <c r="FO86" s="10">
        <v>976.42585599999995</v>
      </c>
      <c r="FP86" s="10">
        <v>975.66539899999998</v>
      </c>
      <c r="FQ86" s="10">
        <v>983.26996199999996</v>
      </c>
      <c r="FR86" s="10">
        <v>986.31178699999998</v>
      </c>
      <c r="FS86" s="10">
        <v>990.87452499999995</v>
      </c>
      <c r="FT86" s="10">
        <v>1000</v>
      </c>
      <c r="FU86" s="10">
        <v>1003.802281</v>
      </c>
      <c r="FV86" s="10">
        <v>1008</v>
      </c>
      <c r="FW86" s="10">
        <v>1010</v>
      </c>
      <c r="FX86" s="10">
        <v>1015</v>
      </c>
      <c r="FY86" s="10">
        <v>1022</v>
      </c>
      <c r="FZ86" s="10">
        <v>1031</v>
      </c>
      <c r="GA86" s="10">
        <v>1033</v>
      </c>
      <c r="GB86" s="10">
        <v>1038</v>
      </c>
      <c r="GC86" s="10">
        <v>1048</v>
      </c>
      <c r="GD86" s="10">
        <v>1064</v>
      </c>
      <c r="GE86" s="10">
        <v>1069</v>
      </c>
      <c r="GF86" s="10">
        <v>1060</v>
      </c>
      <c r="GG86" s="10">
        <v>1087</v>
      </c>
      <c r="GH86" s="10">
        <v>1103</v>
      </c>
      <c r="GI86" s="10">
        <v>1098</v>
      </c>
      <c r="GJ86" s="10">
        <v>1097</v>
      </c>
      <c r="GK86" s="10">
        <v>1109</v>
      </c>
      <c r="GL86" s="10">
        <v>1117</v>
      </c>
      <c r="GM86" s="10">
        <v>1119</v>
      </c>
      <c r="GN86" s="10">
        <v>1124</v>
      </c>
      <c r="GO86" s="10">
        <v>1127</v>
      </c>
      <c r="GP86" s="10">
        <v>1140</v>
      </c>
      <c r="GQ86" s="10">
        <v>1163</v>
      </c>
      <c r="GR86" s="10">
        <v>1171</v>
      </c>
      <c r="GS86" s="10">
        <v>1184</v>
      </c>
    </row>
    <row r="87" spans="1:201" ht="12.6">
      <c r="A87" s="51" t="s">
        <v>1905</v>
      </c>
      <c r="B87" s="10"/>
      <c r="C87" s="10"/>
      <c r="D87" s="10"/>
      <c r="E87" s="10"/>
      <c r="F87" s="10" t="s">
        <v>1827</v>
      </c>
      <c r="G87" s="10" t="s">
        <v>1827</v>
      </c>
      <c r="H87" s="10" t="s">
        <v>1827</v>
      </c>
      <c r="I87" s="10" t="s">
        <v>1827</v>
      </c>
      <c r="J87" s="10" t="s">
        <v>1827</v>
      </c>
      <c r="K87" s="10" t="s">
        <v>1827</v>
      </c>
      <c r="L87" s="10" t="s">
        <v>1827</v>
      </c>
      <c r="M87" s="10" t="s">
        <v>1827</v>
      </c>
      <c r="N87" s="10" t="s">
        <v>1827</v>
      </c>
      <c r="O87" s="10" t="s">
        <v>1827</v>
      </c>
      <c r="P87" s="10" t="s">
        <v>1827</v>
      </c>
      <c r="Q87" s="10" t="s">
        <v>1827</v>
      </c>
      <c r="R87" s="10" t="s">
        <v>1827</v>
      </c>
      <c r="S87" s="10" t="s">
        <v>1827</v>
      </c>
      <c r="T87" s="10" t="s">
        <v>1827</v>
      </c>
      <c r="U87" s="10" t="s">
        <v>1827</v>
      </c>
      <c r="V87" s="10" t="s">
        <v>1827</v>
      </c>
      <c r="W87" s="10" t="s">
        <v>1827</v>
      </c>
      <c r="X87" s="10" t="s">
        <v>1827</v>
      </c>
      <c r="Y87" s="10" t="s">
        <v>1827</v>
      </c>
      <c r="Z87" s="10" t="s">
        <v>1827</v>
      </c>
      <c r="AA87" s="10" t="s">
        <v>1827</v>
      </c>
      <c r="AB87" s="10" t="s">
        <v>1827</v>
      </c>
      <c r="AC87" s="10" t="s">
        <v>1827</v>
      </c>
      <c r="AD87" s="10" t="s">
        <v>1827</v>
      </c>
      <c r="AE87" s="10" t="s">
        <v>1827</v>
      </c>
      <c r="AF87" s="10" t="s">
        <v>1827</v>
      </c>
      <c r="AG87" s="10" t="s">
        <v>1827</v>
      </c>
      <c r="AH87" s="10" t="s">
        <v>1827</v>
      </c>
      <c r="AI87" s="10" t="s">
        <v>1827</v>
      </c>
      <c r="AJ87" s="10" t="s">
        <v>1827</v>
      </c>
      <c r="AK87" s="10" t="s">
        <v>1827</v>
      </c>
      <c r="AL87" s="10" t="s">
        <v>1827</v>
      </c>
      <c r="AM87" s="10" t="s">
        <v>1827</v>
      </c>
      <c r="AN87" s="10" t="s">
        <v>1827</v>
      </c>
      <c r="AO87" s="10" t="s">
        <v>1827</v>
      </c>
      <c r="AP87" s="10" t="s">
        <v>1827</v>
      </c>
      <c r="AQ87" s="10" t="s">
        <v>1827</v>
      </c>
      <c r="AR87" s="10" t="s">
        <v>1827</v>
      </c>
      <c r="AS87" s="10" t="s">
        <v>1827</v>
      </c>
      <c r="AT87" s="10" t="s">
        <v>1827</v>
      </c>
      <c r="AU87" s="10" t="s">
        <v>1827</v>
      </c>
      <c r="AV87" s="10" t="s">
        <v>1827</v>
      </c>
      <c r="AW87" s="10" t="s">
        <v>1827</v>
      </c>
      <c r="AX87" s="10" t="s">
        <v>1827</v>
      </c>
      <c r="AY87" s="10" t="s">
        <v>1827</v>
      </c>
      <c r="AZ87" s="10" t="s">
        <v>1827</v>
      </c>
      <c r="BA87" s="10" t="s">
        <v>1827</v>
      </c>
      <c r="BB87" s="10" t="s">
        <v>1827</v>
      </c>
      <c r="BC87" s="10" t="s">
        <v>1827</v>
      </c>
      <c r="BD87" s="10" t="s">
        <v>1827</v>
      </c>
      <c r="BE87" s="10" t="s">
        <v>1827</v>
      </c>
      <c r="BF87" s="10" t="s">
        <v>1827</v>
      </c>
      <c r="BG87" s="10" t="s">
        <v>1827</v>
      </c>
      <c r="BH87" s="10" t="s">
        <v>1827</v>
      </c>
      <c r="BI87" s="10" t="s">
        <v>1827</v>
      </c>
      <c r="BJ87" s="10" t="s">
        <v>1827</v>
      </c>
      <c r="BK87" s="10" t="s">
        <v>1827</v>
      </c>
      <c r="BL87" s="10" t="s">
        <v>1827</v>
      </c>
      <c r="BM87" s="10" t="s">
        <v>1827</v>
      </c>
      <c r="BN87" s="10" t="s">
        <v>1827</v>
      </c>
      <c r="BO87" s="10" t="s">
        <v>1827</v>
      </c>
      <c r="BP87" s="10" t="s">
        <v>1827</v>
      </c>
      <c r="BQ87" s="10" t="s">
        <v>1827</v>
      </c>
      <c r="BR87" s="10" t="s">
        <v>1827</v>
      </c>
      <c r="BS87" s="10" t="s">
        <v>1827</v>
      </c>
      <c r="BT87" s="10" t="s">
        <v>1827</v>
      </c>
      <c r="BU87" s="10" t="s">
        <v>1827</v>
      </c>
      <c r="BV87" s="10" t="s">
        <v>1827</v>
      </c>
      <c r="BW87" s="10" t="s">
        <v>1827</v>
      </c>
      <c r="BX87" s="10" t="s">
        <v>1827</v>
      </c>
      <c r="BY87" s="10" t="s">
        <v>1827</v>
      </c>
      <c r="BZ87" s="10" t="s">
        <v>1827</v>
      </c>
      <c r="CA87" s="10" t="s">
        <v>1827</v>
      </c>
      <c r="CB87" s="10" t="s">
        <v>1827</v>
      </c>
      <c r="CC87" s="10" t="s">
        <v>1827</v>
      </c>
      <c r="CD87" s="10" t="s">
        <v>1827</v>
      </c>
      <c r="CE87" s="10" t="s">
        <v>1827</v>
      </c>
      <c r="CF87" s="10" t="s">
        <v>1827</v>
      </c>
      <c r="CG87" s="10" t="s">
        <v>1827</v>
      </c>
      <c r="CH87" s="10" t="s">
        <v>1827</v>
      </c>
      <c r="CI87" s="10" t="s">
        <v>1827</v>
      </c>
      <c r="CJ87" s="10" t="s">
        <v>1827</v>
      </c>
      <c r="CK87" s="10" t="s">
        <v>1827</v>
      </c>
      <c r="CL87" s="10" t="s">
        <v>1827</v>
      </c>
      <c r="CM87" s="10" t="s">
        <v>1827</v>
      </c>
      <c r="CN87" s="10" t="s">
        <v>1827</v>
      </c>
      <c r="CO87" s="10" t="s">
        <v>1827</v>
      </c>
      <c r="CP87" s="10" t="s">
        <v>1827</v>
      </c>
      <c r="CQ87" s="10" t="s">
        <v>1827</v>
      </c>
      <c r="CR87" s="10" t="s">
        <v>1827</v>
      </c>
      <c r="CS87" s="10" t="s">
        <v>1827</v>
      </c>
      <c r="CT87" s="10" t="s">
        <v>1827</v>
      </c>
      <c r="CU87" s="10" t="s">
        <v>1827</v>
      </c>
      <c r="CV87" s="10" t="s">
        <v>1827</v>
      </c>
      <c r="CW87" s="10" t="s">
        <v>1827</v>
      </c>
      <c r="CX87" s="10" t="s">
        <v>1827</v>
      </c>
      <c r="CY87" s="10" t="s">
        <v>1827</v>
      </c>
      <c r="CZ87" s="10">
        <v>718.05441099999996</v>
      </c>
      <c r="DA87" s="10">
        <v>718.05441099999996</v>
      </c>
      <c r="DB87" s="10">
        <v>713.10799699999995</v>
      </c>
      <c r="DC87" s="10">
        <v>713.10799699999995</v>
      </c>
      <c r="DD87" s="10">
        <v>716.40560600000003</v>
      </c>
      <c r="DE87" s="10">
        <v>717.230008</v>
      </c>
      <c r="DF87" s="10">
        <v>715.58120399999996</v>
      </c>
      <c r="DG87" s="10">
        <v>715.58120399999996</v>
      </c>
      <c r="DH87" s="10">
        <v>713.93239900000003</v>
      </c>
      <c r="DI87" s="10">
        <v>732.89365199999997</v>
      </c>
      <c r="DJ87" s="10">
        <v>736.19126100000005</v>
      </c>
      <c r="DK87" s="10">
        <v>745.25968699999999</v>
      </c>
      <c r="DL87" s="10">
        <v>743.61088199999995</v>
      </c>
      <c r="DM87" s="10">
        <v>756.80131900000003</v>
      </c>
      <c r="DN87" s="10">
        <v>758.45012399999996</v>
      </c>
      <c r="DO87" s="10">
        <v>760.098928</v>
      </c>
      <c r="DP87" s="10">
        <v>772.46496300000001</v>
      </c>
      <c r="DQ87" s="10">
        <v>779.06018100000006</v>
      </c>
      <c r="DR87" s="10">
        <v>778.23577899999998</v>
      </c>
      <c r="DS87" s="10">
        <v>784.00659499999995</v>
      </c>
      <c r="DT87" s="10">
        <v>784.00659499999995</v>
      </c>
      <c r="DU87" s="10">
        <v>798.021434</v>
      </c>
      <c r="DV87" s="10">
        <v>798.021434</v>
      </c>
      <c r="DW87" s="10">
        <v>802.14344600000004</v>
      </c>
      <c r="DX87" s="10">
        <v>791.42621599999995</v>
      </c>
      <c r="DY87" s="10">
        <v>803.79225099999996</v>
      </c>
      <c r="DZ87" s="10">
        <v>803.79225099999996</v>
      </c>
      <c r="EA87" s="10">
        <v>803.79225099999996</v>
      </c>
      <c r="EB87" s="10">
        <v>824.40230799999995</v>
      </c>
      <c r="EC87" s="10">
        <v>821.92910099999995</v>
      </c>
      <c r="ED87" s="10">
        <v>820.28029700000002</v>
      </c>
      <c r="EE87" s="10">
        <v>823.57790599999998</v>
      </c>
      <c r="EF87" s="10">
        <v>823.57790599999998</v>
      </c>
      <c r="EG87" s="10">
        <v>838.417148</v>
      </c>
      <c r="EH87" s="10">
        <v>831.82192899999995</v>
      </c>
      <c r="EI87" s="10">
        <v>826.87551499999995</v>
      </c>
      <c r="EJ87" s="10">
        <v>826.05111299999999</v>
      </c>
      <c r="EK87" s="10">
        <v>839.24154999999996</v>
      </c>
      <c r="EL87" s="10">
        <v>846.66117099999997</v>
      </c>
      <c r="EM87" s="10">
        <v>838.417148</v>
      </c>
      <c r="EN87" s="10">
        <v>842.53915900000004</v>
      </c>
      <c r="EO87" s="10">
        <v>858.20280300000002</v>
      </c>
      <c r="EP87" s="10">
        <v>859.02720499999998</v>
      </c>
      <c r="EQ87" s="10">
        <v>856.55399799999998</v>
      </c>
      <c r="ER87" s="10">
        <v>856.55399799999998</v>
      </c>
      <c r="ES87" s="10">
        <v>867.27122799999995</v>
      </c>
      <c r="ET87" s="10">
        <v>885.40807900000004</v>
      </c>
      <c r="EU87" s="10">
        <v>883.759275</v>
      </c>
      <c r="EV87" s="10">
        <v>902.72052799999994</v>
      </c>
      <c r="EW87" s="10">
        <v>910.96455100000003</v>
      </c>
      <c r="EX87" s="10">
        <v>933.22341300000005</v>
      </c>
      <c r="EY87" s="10">
        <v>925.80379200000004</v>
      </c>
      <c r="EZ87" s="10">
        <v>924.97938999999997</v>
      </c>
      <c r="FA87" s="10">
        <v>932.39901099999997</v>
      </c>
      <c r="FB87" s="10">
        <v>932.39901099999997</v>
      </c>
      <c r="FC87" s="10">
        <v>932.39901099999997</v>
      </c>
      <c r="FD87" s="10">
        <v>937.34542499999998</v>
      </c>
      <c r="FE87" s="10">
        <v>948.06265499999995</v>
      </c>
      <c r="FF87" s="10">
        <v>953.00906799999996</v>
      </c>
      <c r="FG87" s="10">
        <v>950.53586199999995</v>
      </c>
      <c r="FH87" s="10">
        <v>959.604287</v>
      </c>
      <c r="FI87" s="10">
        <v>962.077494</v>
      </c>
      <c r="FJ87" s="10">
        <v>960.42868899999996</v>
      </c>
      <c r="FK87" s="10">
        <v>960.42868899999996</v>
      </c>
      <c r="FL87" s="10">
        <v>964.550701</v>
      </c>
      <c r="FM87" s="10">
        <v>976.09233300000005</v>
      </c>
      <c r="FN87" s="10">
        <v>978.56554000000006</v>
      </c>
      <c r="FO87" s="10">
        <v>976.91673500000002</v>
      </c>
      <c r="FP87" s="10">
        <v>981.86314900000002</v>
      </c>
      <c r="FQ87" s="10">
        <v>989.28277000000003</v>
      </c>
      <c r="FR87" s="10">
        <v>995.87798799999996</v>
      </c>
      <c r="FS87" s="10">
        <v>998.35119499999996</v>
      </c>
      <c r="FT87" s="10">
        <v>1000</v>
      </c>
      <c r="FU87" s="10">
        <v>996.70239100000003</v>
      </c>
      <c r="FV87" s="10">
        <v>1000</v>
      </c>
      <c r="FW87" s="10">
        <v>989</v>
      </c>
      <c r="FX87" s="10">
        <v>943</v>
      </c>
      <c r="FY87" s="10">
        <v>953</v>
      </c>
      <c r="FZ87" s="10">
        <v>963</v>
      </c>
      <c r="GA87" s="10">
        <v>964</v>
      </c>
      <c r="GB87" s="10">
        <v>965</v>
      </c>
      <c r="GC87" s="10">
        <v>980</v>
      </c>
      <c r="GD87" s="10">
        <v>975</v>
      </c>
      <c r="GE87" s="10">
        <v>975</v>
      </c>
      <c r="GF87" s="10">
        <v>951</v>
      </c>
      <c r="GG87" s="10">
        <v>968</v>
      </c>
      <c r="GH87" s="10">
        <v>976</v>
      </c>
      <c r="GI87" s="10">
        <v>977</v>
      </c>
      <c r="GJ87" s="10">
        <v>950</v>
      </c>
      <c r="GK87" s="10">
        <v>950</v>
      </c>
      <c r="GL87" s="10">
        <v>955</v>
      </c>
      <c r="GM87" s="10">
        <v>954</v>
      </c>
      <c r="GN87" s="10">
        <v>964</v>
      </c>
      <c r="GO87" s="10">
        <v>927</v>
      </c>
      <c r="GP87" s="10">
        <v>967</v>
      </c>
      <c r="GQ87" s="10">
        <v>973</v>
      </c>
      <c r="GR87" s="10">
        <v>998</v>
      </c>
      <c r="GS87" s="10">
        <v>1010</v>
      </c>
    </row>
    <row r="88" spans="1:201" ht="12.6">
      <c r="A88" s="51" t="s">
        <v>1906</v>
      </c>
      <c r="B88" s="10"/>
      <c r="C88" s="10"/>
      <c r="D88" s="10"/>
      <c r="E88" s="10"/>
      <c r="F88" s="10" t="s">
        <v>1827</v>
      </c>
      <c r="G88" s="10" t="s">
        <v>1827</v>
      </c>
      <c r="H88" s="10" t="s">
        <v>1827</v>
      </c>
      <c r="I88" s="10" t="s">
        <v>1827</v>
      </c>
      <c r="J88" s="10" t="s">
        <v>1827</v>
      </c>
      <c r="K88" s="10" t="s">
        <v>1827</v>
      </c>
      <c r="L88" s="10" t="s">
        <v>1827</v>
      </c>
      <c r="M88" s="10" t="s">
        <v>1827</v>
      </c>
      <c r="N88" s="10" t="s">
        <v>1827</v>
      </c>
      <c r="O88" s="10" t="s">
        <v>1827</v>
      </c>
      <c r="P88" s="10" t="s">
        <v>1827</v>
      </c>
      <c r="Q88" s="10" t="s">
        <v>1827</v>
      </c>
      <c r="R88" s="10" t="s">
        <v>1827</v>
      </c>
      <c r="S88" s="10" t="s">
        <v>1827</v>
      </c>
      <c r="T88" s="10" t="s">
        <v>1827</v>
      </c>
      <c r="U88" s="10" t="s">
        <v>1827</v>
      </c>
      <c r="V88" s="10" t="s">
        <v>1827</v>
      </c>
      <c r="W88" s="10" t="s">
        <v>1827</v>
      </c>
      <c r="X88" s="10" t="s">
        <v>1827</v>
      </c>
      <c r="Y88" s="10" t="s">
        <v>1827</v>
      </c>
      <c r="Z88" s="10" t="s">
        <v>1827</v>
      </c>
      <c r="AA88" s="10" t="s">
        <v>1827</v>
      </c>
      <c r="AB88" s="10" t="s">
        <v>1827</v>
      </c>
      <c r="AC88" s="10" t="s">
        <v>1827</v>
      </c>
      <c r="AD88" s="10" t="s">
        <v>1827</v>
      </c>
      <c r="AE88" s="10">
        <v>159.66037299999999</v>
      </c>
      <c r="AF88" s="10">
        <v>167.11864600000001</v>
      </c>
      <c r="AG88" s="10">
        <v>170.052988</v>
      </c>
      <c r="AH88" s="10">
        <v>179.32740899999999</v>
      </c>
      <c r="AI88" s="10">
        <v>181.629571</v>
      </c>
      <c r="AJ88" s="10">
        <v>188.280259</v>
      </c>
      <c r="AK88" s="10">
        <v>195.59601699999999</v>
      </c>
      <c r="AL88" s="10">
        <v>195.59601699999999</v>
      </c>
      <c r="AM88" s="10">
        <v>195.59601699999999</v>
      </c>
      <c r="AN88" s="10">
        <v>195.59601699999999</v>
      </c>
      <c r="AO88" s="10">
        <v>197.503522</v>
      </c>
      <c r="AP88" s="10">
        <v>197.503522</v>
      </c>
      <c r="AQ88" s="10">
        <v>196.55342300000001</v>
      </c>
      <c r="AR88" s="10">
        <v>225.44372100000001</v>
      </c>
      <c r="AS88" s="10">
        <v>226.890795</v>
      </c>
      <c r="AT88" s="10">
        <v>229.47798499999999</v>
      </c>
      <c r="AU88" s="10">
        <v>233.62553</v>
      </c>
      <c r="AV88" s="10">
        <v>247.040188</v>
      </c>
      <c r="AW88" s="10">
        <v>249.34965800000001</v>
      </c>
      <c r="AX88" s="10">
        <v>252.35343</v>
      </c>
      <c r="AY88" s="10">
        <v>262.32215500000001</v>
      </c>
      <c r="AZ88" s="10">
        <v>284.77005500000001</v>
      </c>
      <c r="BA88" s="10">
        <v>290.73009500000001</v>
      </c>
      <c r="BB88" s="10">
        <v>318.49489199999999</v>
      </c>
      <c r="BC88" s="10">
        <v>324.96287000000001</v>
      </c>
      <c r="BD88" s="10">
        <v>337.167979</v>
      </c>
      <c r="BE88" s="10">
        <v>343.31073099999998</v>
      </c>
      <c r="BF88" s="10">
        <v>347.71407099999999</v>
      </c>
      <c r="BG88" s="10">
        <v>353.86778500000003</v>
      </c>
      <c r="BH88" s="10">
        <v>359.23584099999999</v>
      </c>
      <c r="BI88" s="10">
        <v>363.80362100000002</v>
      </c>
      <c r="BJ88" s="10">
        <v>365.42244199999999</v>
      </c>
      <c r="BK88" s="10">
        <v>369.48594000000003</v>
      </c>
      <c r="BL88" s="10">
        <v>375.66157900000002</v>
      </c>
      <c r="BM88" s="10">
        <v>392.799892</v>
      </c>
      <c r="BN88" s="10">
        <v>393.742682</v>
      </c>
      <c r="BO88" s="10">
        <v>395.25187699999998</v>
      </c>
      <c r="BP88" s="10">
        <v>399.01207299999999</v>
      </c>
      <c r="BQ88" s="10">
        <v>405.995296</v>
      </c>
      <c r="BR88" s="10">
        <v>408.89675099999999</v>
      </c>
      <c r="BS88" s="10">
        <v>411.41085700000002</v>
      </c>
      <c r="BT88" s="10">
        <v>411.761662</v>
      </c>
      <c r="BU88" s="10">
        <v>413.79706499999998</v>
      </c>
      <c r="BV88" s="10">
        <v>414.878716</v>
      </c>
      <c r="BW88" s="10">
        <v>414.85678999999999</v>
      </c>
      <c r="BX88" s="10">
        <v>418.78873599999997</v>
      </c>
      <c r="BY88" s="10">
        <v>421.09089799999998</v>
      </c>
      <c r="BZ88" s="10">
        <v>422.24197800000002</v>
      </c>
      <c r="CA88" s="10">
        <v>421.31015100000002</v>
      </c>
      <c r="CB88" s="10">
        <v>422.998403</v>
      </c>
      <c r="CC88" s="10">
        <v>422.80107500000003</v>
      </c>
      <c r="CD88" s="10">
        <v>425.17266599999999</v>
      </c>
      <c r="CE88" s="10">
        <v>426.873357</v>
      </c>
      <c r="CF88" s="10">
        <v>428.14887499999998</v>
      </c>
      <c r="CG88" s="10">
        <v>433.250947</v>
      </c>
      <c r="CH88" s="10">
        <v>436.65232800000001</v>
      </c>
      <c r="CI88" s="10">
        <v>438.77819199999999</v>
      </c>
      <c r="CJ88" s="10">
        <v>440.478882</v>
      </c>
      <c r="CK88" s="10">
        <v>441.75439999999998</v>
      </c>
      <c r="CL88" s="10">
        <v>443.45509099999998</v>
      </c>
      <c r="CM88" s="10">
        <v>443.45509099999998</v>
      </c>
      <c r="CN88" s="10">
        <v>451.53337099999999</v>
      </c>
      <c r="CO88" s="10">
        <v>455.35992499999998</v>
      </c>
      <c r="CP88" s="10">
        <v>456.21027099999998</v>
      </c>
      <c r="CQ88" s="10">
        <v>461.312343</v>
      </c>
      <c r="CR88" s="10">
        <v>466.41441400000002</v>
      </c>
      <c r="CS88" s="10">
        <v>469.39062300000001</v>
      </c>
      <c r="CT88" s="10">
        <v>474.06752299999999</v>
      </c>
      <c r="CU88" s="10">
        <v>480.01994000000002</v>
      </c>
      <c r="CV88" s="10">
        <v>480.87028600000002</v>
      </c>
      <c r="CW88" s="10">
        <v>481.72063100000003</v>
      </c>
      <c r="CX88" s="10">
        <v>483.42132099999998</v>
      </c>
      <c r="CY88" s="10">
        <v>485.97235699999999</v>
      </c>
      <c r="CZ88" s="10">
        <v>489.373739</v>
      </c>
      <c r="DA88" s="10">
        <v>491.331233</v>
      </c>
      <c r="DB88" s="10">
        <v>494.26747599999999</v>
      </c>
      <c r="DC88" s="10">
        <v>499.16121299999998</v>
      </c>
      <c r="DD88" s="10">
        <v>502.09745600000002</v>
      </c>
      <c r="DE88" s="10">
        <v>512.37430400000005</v>
      </c>
      <c r="DF88" s="10">
        <v>519.22553700000003</v>
      </c>
      <c r="DG88" s="10">
        <v>519.22553700000003</v>
      </c>
      <c r="DH88" s="10">
        <v>524.11927400000002</v>
      </c>
      <c r="DI88" s="10">
        <v>535.37486999999999</v>
      </c>
      <c r="DJ88" s="10">
        <v>537.82173899999998</v>
      </c>
      <c r="DK88" s="10">
        <v>541.24735499999997</v>
      </c>
      <c r="DL88" s="10">
        <v>545.16234499999996</v>
      </c>
      <c r="DM88" s="10">
        <v>553.97107200000005</v>
      </c>
      <c r="DN88" s="10">
        <v>558.86480900000004</v>
      </c>
      <c r="DO88" s="10">
        <v>559.84355700000003</v>
      </c>
      <c r="DP88" s="10">
        <v>562.29042500000003</v>
      </c>
      <c r="DQ88" s="10">
        <v>566.69478900000001</v>
      </c>
      <c r="DR88" s="10">
        <v>579.90787999999998</v>
      </c>
      <c r="DS88" s="10">
        <v>594.09971900000005</v>
      </c>
      <c r="DT88" s="10">
        <v>604.86594100000002</v>
      </c>
      <c r="DU88" s="10">
        <v>610.73842500000001</v>
      </c>
      <c r="DV88" s="10">
        <v>620.03652699999998</v>
      </c>
      <c r="DW88" s="10">
        <v>633.73899200000005</v>
      </c>
      <c r="DX88" s="10">
        <v>650.86707200000001</v>
      </c>
      <c r="DY88" s="10">
        <v>666.03765799999996</v>
      </c>
      <c r="DZ88" s="10">
        <v>667.99515299999996</v>
      </c>
      <c r="EA88" s="10">
        <v>679.74012300000004</v>
      </c>
      <c r="EB88" s="10">
        <v>696.37882999999999</v>
      </c>
      <c r="EC88" s="10">
        <v>713.78830100000005</v>
      </c>
      <c r="ED88" s="10">
        <v>716.57381599999997</v>
      </c>
      <c r="EE88" s="10">
        <v>733.98328700000002</v>
      </c>
      <c r="EF88" s="10">
        <v>739.55431799999997</v>
      </c>
      <c r="EG88" s="10">
        <v>747.91086399999995</v>
      </c>
      <c r="EH88" s="10">
        <v>762.53481899999997</v>
      </c>
      <c r="EI88" s="10">
        <v>772.28412300000002</v>
      </c>
      <c r="EJ88" s="10">
        <v>783.42618400000003</v>
      </c>
      <c r="EK88" s="10">
        <v>794.56824500000005</v>
      </c>
      <c r="EL88" s="10">
        <v>804.31754899999999</v>
      </c>
      <c r="EM88" s="10">
        <v>811.97771599999999</v>
      </c>
      <c r="EN88" s="10">
        <v>811.97771599999999</v>
      </c>
      <c r="EO88" s="10">
        <v>816.85236799999996</v>
      </c>
      <c r="EP88" s="10">
        <v>821.03064099999995</v>
      </c>
      <c r="EQ88" s="10">
        <v>827.29804999999999</v>
      </c>
      <c r="ER88" s="10">
        <v>833.56546000000003</v>
      </c>
      <c r="ES88" s="10">
        <v>848.18941500000005</v>
      </c>
      <c r="ET88" s="10">
        <v>876.04456800000003</v>
      </c>
      <c r="EU88" s="10">
        <v>878.13370499999996</v>
      </c>
      <c r="EV88" s="10">
        <v>881.61559899999997</v>
      </c>
      <c r="EW88" s="10">
        <v>884.40111400000001</v>
      </c>
      <c r="EX88" s="10">
        <v>882.31197799999995</v>
      </c>
      <c r="EY88" s="10">
        <v>884.40111400000001</v>
      </c>
      <c r="EZ88" s="10">
        <v>888.579387</v>
      </c>
      <c r="FA88" s="10">
        <v>894.15041799999995</v>
      </c>
      <c r="FB88" s="10">
        <v>902.50696400000004</v>
      </c>
      <c r="FC88" s="10">
        <v>907.38161600000001</v>
      </c>
      <c r="FD88" s="10">
        <v>910.16713100000004</v>
      </c>
      <c r="FE88" s="10">
        <v>915.73816199999999</v>
      </c>
      <c r="FF88" s="10">
        <v>911.559889</v>
      </c>
      <c r="FG88" s="10">
        <v>915.73816199999999</v>
      </c>
      <c r="FH88" s="10">
        <v>924.79108599999995</v>
      </c>
      <c r="FI88" s="10">
        <v>931.75487499999997</v>
      </c>
      <c r="FJ88" s="10">
        <v>935.93314799999996</v>
      </c>
      <c r="FK88" s="10">
        <v>937.32590500000003</v>
      </c>
      <c r="FL88" s="10">
        <v>944.98607200000004</v>
      </c>
      <c r="FM88" s="10">
        <v>948.46796700000004</v>
      </c>
      <c r="FN88" s="10">
        <v>957.52089100000001</v>
      </c>
      <c r="FO88" s="10">
        <v>963.78830100000005</v>
      </c>
      <c r="FP88" s="10">
        <v>981.19777199999999</v>
      </c>
      <c r="FQ88" s="10">
        <v>988.16156000000001</v>
      </c>
      <c r="FR88" s="10">
        <v>990.94707500000004</v>
      </c>
      <c r="FS88" s="10">
        <v>997.91086399999995</v>
      </c>
      <c r="FT88" s="10">
        <v>1000</v>
      </c>
      <c r="FU88" s="10">
        <v>1001.392758</v>
      </c>
      <c r="FV88" s="10">
        <v>1016</v>
      </c>
      <c r="FW88" s="10">
        <v>1024</v>
      </c>
      <c r="FX88" s="10">
        <v>1028</v>
      </c>
      <c r="FY88" s="10">
        <v>1042</v>
      </c>
      <c r="FZ88" s="10">
        <v>1048</v>
      </c>
      <c r="GA88" s="10">
        <v>1049</v>
      </c>
      <c r="GB88" s="10">
        <v>1053</v>
      </c>
      <c r="GC88" s="10">
        <v>1062</v>
      </c>
      <c r="GD88" s="10">
        <v>1065</v>
      </c>
      <c r="GE88" s="10">
        <v>1070</v>
      </c>
      <c r="GF88" s="10">
        <v>1081</v>
      </c>
      <c r="GG88" s="10">
        <v>1088</v>
      </c>
      <c r="GH88" s="10">
        <v>1100</v>
      </c>
      <c r="GI88" s="10">
        <v>1106</v>
      </c>
      <c r="GJ88" s="10">
        <v>1129</v>
      </c>
      <c r="GK88" s="10">
        <v>1157</v>
      </c>
      <c r="GL88" s="10">
        <v>1181</v>
      </c>
      <c r="GM88" s="10">
        <v>1195</v>
      </c>
      <c r="GN88" s="10">
        <v>1221</v>
      </c>
      <c r="GO88" s="10">
        <v>1249</v>
      </c>
      <c r="GP88" s="10">
        <v>1253</v>
      </c>
      <c r="GQ88" s="10">
        <v>1271</v>
      </c>
      <c r="GR88" s="10">
        <v>1344</v>
      </c>
      <c r="GS88" s="10">
        <v>1366</v>
      </c>
    </row>
    <row r="89" spans="1:201" ht="12.6">
      <c r="A89" s="51" t="s">
        <v>1907</v>
      </c>
      <c r="B89" s="10"/>
      <c r="C89" s="10"/>
      <c r="D89" s="10"/>
      <c r="E89" s="10"/>
      <c r="F89" s="10" t="s">
        <v>1827</v>
      </c>
      <c r="G89" s="10" t="s">
        <v>1827</v>
      </c>
      <c r="H89" s="10" t="s">
        <v>1827</v>
      </c>
      <c r="I89" s="10" t="s">
        <v>1827</v>
      </c>
      <c r="J89" s="10" t="s">
        <v>1827</v>
      </c>
      <c r="K89" s="10" t="s">
        <v>1827</v>
      </c>
      <c r="L89" s="10" t="s">
        <v>1827</v>
      </c>
      <c r="M89" s="10" t="s">
        <v>1827</v>
      </c>
      <c r="N89" s="10" t="s">
        <v>1827</v>
      </c>
      <c r="O89" s="10" t="s">
        <v>1827</v>
      </c>
      <c r="P89" s="10" t="s">
        <v>1827</v>
      </c>
      <c r="Q89" s="10" t="s">
        <v>1827</v>
      </c>
      <c r="R89" s="10" t="s">
        <v>1827</v>
      </c>
      <c r="S89" s="10" t="s">
        <v>1827</v>
      </c>
      <c r="T89" s="10" t="s">
        <v>1827</v>
      </c>
      <c r="U89" s="10" t="s">
        <v>1827</v>
      </c>
      <c r="V89" s="10" t="s">
        <v>1827</v>
      </c>
      <c r="W89" s="10" t="s">
        <v>1827</v>
      </c>
      <c r="X89" s="10" t="s">
        <v>1827</v>
      </c>
      <c r="Y89" s="10" t="s">
        <v>1827</v>
      </c>
      <c r="Z89" s="10" t="s">
        <v>1827</v>
      </c>
      <c r="AA89" s="10" t="s">
        <v>1827</v>
      </c>
      <c r="AB89" s="10" t="s">
        <v>1827</v>
      </c>
      <c r="AC89" s="10" t="s">
        <v>1827</v>
      </c>
      <c r="AD89" s="10" t="s">
        <v>1827</v>
      </c>
      <c r="AE89" s="10" t="s">
        <v>1827</v>
      </c>
      <c r="AF89" s="10" t="s">
        <v>1827</v>
      </c>
      <c r="AG89" s="10" t="s">
        <v>1827</v>
      </c>
      <c r="AH89" s="10" t="s">
        <v>1827</v>
      </c>
      <c r="AI89" s="10" t="s">
        <v>1827</v>
      </c>
      <c r="AJ89" s="10" t="s">
        <v>1827</v>
      </c>
      <c r="AK89" s="10" t="s">
        <v>1827</v>
      </c>
      <c r="AL89" s="10" t="s">
        <v>1827</v>
      </c>
      <c r="AM89" s="10" t="s">
        <v>1827</v>
      </c>
      <c r="AN89" s="10" t="s">
        <v>1827</v>
      </c>
      <c r="AO89" s="10" t="s">
        <v>1827</v>
      </c>
      <c r="AP89" s="10" t="s">
        <v>1827</v>
      </c>
      <c r="AQ89" s="10" t="s">
        <v>1827</v>
      </c>
      <c r="AR89" s="10" t="s">
        <v>1827</v>
      </c>
      <c r="AS89" s="10" t="s">
        <v>1827</v>
      </c>
      <c r="AT89" s="10" t="s">
        <v>1827</v>
      </c>
      <c r="AU89" s="10" t="s">
        <v>1827</v>
      </c>
      <c r="AV89" s="10" t="s">
        <v>1827</v>
      </c>
      <c r="AW89" s="10" t="s">
        <v>1827</v>
      </c>
      <c r="AX89" s="10" t="s">
        <v>1827</v>
      </c>
      <c r="AY89" s="10" t="s">
        <v>1827</v>
      </c>
      <c r="AZ89" s="10" t="s">
        <v>1827</v>
      </c>
      <c r="BA89" s="10" t="s">
        <v>1827</v>
      </c>
      <c r="BB89" s="10" t="s">
        <v>1827</v>
      </c>
      <c r="BC89" s="10" t="s">
        <v>1827</v>
      </c>
      <c r="BD89" s="10" t="s">
        <v>1827</v>
      </c>
      <c r="BE89" s="10" t="s">
        <v>1827</v>
      </c>
      <c r="BF89" s="10" t="s">
        <v>1827</v>
      </c>
      <c r="BG89" s="10" t="s">
        <v>1827</v>
      </c>
      <c r="BH89" s="10" t="s">
        <v>1827</v>
      </c>
      <c r="BI89" s="10" t="s">
        <v>1827</v>
      </c>
      <c r="BJ89" s="10" t="s">
        <v>1827</v>
      </c>
      <c r="BK89" s="10" t="s">
        <v>1827</v>
      </c>
      <c r="BL89" s="10" t="s">
        <v>1827</v>
      </c>
      <c r="BM89" s="10" t="s">
        <v>1827</v>
      </c>
      <c r="BN89" s="10" t="s">
        <v>1827</v>
      </c>
      <c r="BO89" s="10" t="s">
        <v>1827</v>
      </c>
      <c r="BP89" s="10" t="s">
        <v>1827</v>
      </c>
      <c r="BQ89" s="10" t="s">
        <v>1827</v>
      </c>
      <c r="BR89" s="10" t="s">
        <v>1827</v>
      </c>
      <c r="BS89" s="10" t="s">
        <v>1827</v>
      </c>
      <c r="BT89" s="10" t="s">
        <v>1827</v>
      </c>
      <c r="BU89" s="10" t="s">
        <v>1827</v>
      </c>
      <c r="BV89" s="10" t="s">
        <v>1827</v>
      </c>
      <c r="BW89" s="10" t="s">
        <v>1827</v>
      </c>
      <c r="BX89" s="10" t="s">
        <v>1827</v>
      </c>
      <c r="BY89" s="10" t="s">
        <v>1827</v>
      </c>
      <c r="BZ89" s="10" t="s">
        <v>1827</v>
      </c>
      <c r="CA89" s="10" t="s">
        <v>1827</v>
      </c>
      <c r="CB89" s="10" t="s">
        <v>1827</v>
      </c>
      <c r="CC89" s="10" t="s">
        <v>1827</v>
      </c>
      <c r="CD89" s="10" t="s">
        <v>1827</v>
      </c>
      <c r="CE89" s="10" t="s">
        <v>1827</v>
      </c>
      <c r="CF89" s="10" t="s">
        <v>1827</v>
      </c>
      <c r="CG89" s="10" t="s">
        <v>1827</v>
      </c>
      <c r="CH89" s="10" t="s">
        <v>1827</v>
      </c>
      <c r="CI89" s="10" t="s">
        <v>1827</v>
      </c>
      <c r="CJ89" s="10" t="s">
        <v>1827</v>
      </c>
      <c r="CK89" s="10" t="s">
        <v>1827</v>
      </c>
      <c r="CL89" s="10" t="s">
        <v>1827</v>
      </c>
      <c r="CM89" s="10" t="s">
        <v>1827</v>
      </c>
      <c r="CN89" s="10" t="s">
        <v>1827</v>
      </c>
      <c r="CO89" s="10" t="s">
        <v>1827</v>
      </c>
      <c r="CP89" s="10" t="s">
        <v>1827</v>
      </c>
      <c r="CQ89" s="10" t="s">
        <v>1827</v>
      </c>
      <c r="CR89" s="10" t="s">
        <v>1827</v>
      </c>
      <c r="CS89" s="10" t="s">
        <v>1827</v>
      </c>
      <c r="CT89" s="10" t="s">
        <v>1827</v>
      </c>
      <c r="CU89" s="10" t="s">
        <v>1827</v>
      </c>
      <c r="CV89" s="10" t="s">
        <v>1827</v>
      </c>
      <c r="CW89" s="10" t="s">
        <v>1827</v>
      </c>
      <c r="CX89" s="10" t="s">
        <v>1827</v>
      </c>
      <c r="CY89" s="10" t="s">
        <v>1827</v>
      </c>
      <c r="CZ89" s="10">
        <v>723.69546600000001</v>
      </c>
      <c r="DA89" s="10">
        <v>735.671514</v>
      </c>
      <c r="DB89" s="10">
        <v>715.14114600000005</v>
      </c>
      <c r="DC89" s="10">
        <v>741.659538</v>
      </c>
      <c r="DD89" s="10">
        <v>748.50299399999994</v>
      </c>
      <c r="DE89" s="10">
        <v>738.23780999999997</v>
      </c>
      <c r="DF89" s="10">
        <v>764.75620200000003</v>
      </c>
      <c r="DG89" s="10">
        <v>788.70829800000001</v>
      </c>
      <c r="DH89" s="10">
        <v>780.15397800000005</v>
      </c>
      <c r="DI89" s="10">
        <v>799.82891400000005</v>
      </c>
      <c r="DJ89" s="10">
        <v>781.00941</v>
      </c>
      <c r="DK89" s="10">
        <v>789.56372999999996</v>
      </c>
      <c r="DL89" s="10">
        <v>806.67237</v>
      </c>
      <c r="DM89" s="10">
        <v>811.80496200000005</v>
      </c>
      <c r="DN89" s="10">
        <v>829.76903300000004</v>
      </c>
      <c r="DO89" s="10">
        <v>857.998289</v>
      </c>
      <c r="DP89" s="10">
        <v>859.70915300000001</v>
      </c>
      <c r="DQ89" s="10">
        <v>857.14285700000005</v>
      </c>
      <c r="DR89" s="10">
        <v>861.42001700000003</v>
      </c>
      <c r="DS89" s="10">
        <v>878.52865699999995</v>
      </c>
      <c r="DT89" s="10">
        <v>846.87767299999996</v>
      </c>
      <c r="DU89" s="10">
        <v>850.29940099999999</v>
      </c>
      <c r="DV89" s="10">
        <v>843.45594500000004</v>
      </c>
      <c r="DW89" s="10">
        <v>857.14285700000005</v>
      </c>
      <c r="DX89" s="10">
        <v>852.010265</v>
      </c>
      <c r="DY89" s="10">
        <v>858.85372099999995</v>
      </c>
      <c r="DZ89" s="10">
        <v>875.10692900000004</v>
      </c>
      <c r="EA89" s="10">
        <v>875.96236099999999</v>
      </c>
      <c r="EB89" s="10">
        <v>855.43199300000003</v>
      </c>
      <c r="EC89" s="10">
        <v>874.25149699999997</v>
      </c>
      <c r="ED89" s="10">
        <v>899.91445699999997</v>
      </c>
      <c r="EE89" s="10">
        <v>902.48075300000005</v>
      </c>
      <c r="EF89" s="10">
        <v>905.04704900000002</v>
      </c>
      <c r="EG89" s="10">
        <v>930.71000900000001</v>
      </c>
      <c r="EH89" s="10">
        <v>946.10778400000004</v>
      </c>
      <c r="EI89" s="10">
        <v>934.98716899999999</v>
      </c>
      <c r="EJ89" s="10">
        <v>921.30025699999999</v>
      </c>
      <c r="EK89" s="10">
        <v>963.21642399999996</v>
      </c>
      <c r="EL89" s="10">
        <v>1015.397776</v>
      </c>
      <c r="EM89" s="10">
        <v>1015.397776</v>
      </c>
      <c r="EN89" s="10">
        <v>1036.783576</v>
      </c>
      <c r="EO89" s="10">
        <v>1074.422583</v>
      </c>
      <c r="EP89" s="10">
        <v>1044.4824639999999</v>
      </c>
      <c r="EQ89" s="10">
        <v>1033.361848</v>
      </c>
      <c r="ER89" s="10">
        <v>1004.27716</v>
      </c>
      <c r="ES89" s="10">
        <v>1048.759624</v>
      </c>
      <c r="ET89" s="10">
        <v>1022.241232</v>
      </c>
      <c r="EU89" s="10">
        <v>1042.7716</v>
      </c>
      <c r="EV89" s="10">
        <v>1051.32592</v>
      </c>
      <c r="EW89" s="10">
        <v>1038.4944399999999</v>
      </c>
      <c r="EX89" s="10">
        <v>1048.759624</v>
      </c>
      <c r="EY89" s="10">
        <v>900.76988900000003</v>
      </c>
      <c r="EZ89" s="10">
        <v>918.73396100000002</v>
      </c>
      <c r="FA89" s="10">
        <v>889.64927299999999</v>
      </c>
      <c r="FB89" s="10">
        <v>973.48160800000005</v>
      </c>
      <c r="FC89" s="10">
        <v>869.11890500000004</v>
      </c>
      <c r="FD89" s="10">
        <v>917.87852899999996</v>
      </c>
      <c r="FE89" s="10">
        <v>945.25235199999997</v>
      </c>
      <c r="FF89" s="10">
        <v>992.30111199999999</v>
      </c>
      <c r="FG89" s="10">
        <v>964.07185600000003</v>
      </c>
      <c r="FH89" s="10">
        <v>918.73396100000002</v>
      </c>
      <c r="FI89" s="10">
        <v>1019.674936</v>
      </c>
      <c r="FJ89" s="10">
        <v>997.43370400000003</v>
      </c>
      <c r="FK89" s="10">
        <v>981.18049599999995</v>
      </c>
      <c r="FL89" s="10">
        <v>1003.421728</v>
      </c>
      <c r="FM89" s="10">
        <v>1002.566296</v>
      </c>
      <c r="FN89" s="10">
        <v>1051.32592</v>
      </c>
      <c r="FO89" s="10">
        <v>956.37296800000001</v>
      </c>
      <c r="FP89" s="10">
        <v>1006.8434559999999</v>
      </c>
      <c r="FQ89" s="10">
        <v>990.59024799999997</v>
      </c>
      <c r="FR89" s="10">
        <v>1026.5183919999999</v>
      </c>
      <c r="FS89" s="10">
        <v>955.51753599999995</v>
      </c>
      <c r="FT89" s="10">
        <v>1000</v>
      </c>
      <c r="FU89" s="10">
        <v>976.90333599999997</v>
      </c>
      <c r="FV89" s="10">
        <v>1048</v>
      </c>
      <c r="FW89" s="10">
        <v>963</v>
      </c>
      <c r="FX89" s="10">
        <v>955</v>
      </c>
      <c r="FY89" s="10">
        <v>951</v>
      </c>
      <c r="FZ89" s="10">
        <v>1030</v>
      </c>
      <c r="GA89" s="10">
        <v>951</v>
      </c>
      <c r="GB89" s="10">
        <v>950</v>
      </c>
      <c r="GC89" s="10">
        <v>907</v>
      </c>
      <c r="GD89" s="10">
        <v>994</v>
      </c>
      <c r="GE89" s="10">
        <v>974</v>
      </c>
      <c r="GF89" s="10">
        <v>1025</v>
      </c>
      <c r="GG89" s="10">
        <v>1020</v>
      </c>
      <c r="GH89" s="10">
        <v>1064</v>
      </c>
      <c r="GI89" s="10">
        <v>958</v>
      </c>
      <c r="GJ89" s="10">
        <v>961</v>
      </c>
      <c r="GK89" s="10">
        <v>934</v>
      </c>
      <c r="GL89" s="10">
        <v>1047</v>
      </c>
      <c r="GM89" s="10">
        <v>997</v>
      </c>
      <c r="GN89" s="10">
        <v>1030</v>
      </c>
      <c r="GO89" s="10">
        <v>971</v>
      </c>
      <c r="GP89" s="10">
        <v>1022</v>
      </c>
      <c r="GQ89" s="10">
        <v>1059</v>
      </c>
      <c r="GR89" s="10">
        <v>1077</v>
      </c>
      <c r="GS89" s="10">
        <v>1059</v>
      </c>
    </row>
    <row r="90" spans="1:201" ht="12.6">
      <c r="A90" s="51" t="s">
        <v>1908</v>
      </c>
      <c r="B90" s="10"/>
      <c r="C90" s="10"/>
      <c r="D90" s="10"/>
      <c r="E90" s="10"/>
      <c r="F90" s="10" t="s">
        <v>1827</v>
      </c>
      <c r="G90" s="10" t="s">
        <v>1827</v>
      </c>
      <c r="H90" s="10" t="s">
        <v>1827</v>
      </c>
      <c r="I90" s="10" t="s">
        <v>1827</v>
      </c>
      <c r="J90" s="10" t="s">
        <v>1827</v>
      </c>
      <c r="K90" s="10" t="s">
        <v>1827</v>
      </c>
      <c r="L90" s="10" t="s">
        <v>1827</v>
      </c>
      <c r="M90" s="10" t="s">
        <v>1827</v>
      </c>
      <c r="N90" s="10" t="s">
        <v>1827</v>
      </c>
      <c r="O90" s="10" t="s">
        <v>1827</v>
      </c>
      <c r="P90" s="10" t="s">
        <v>1827</v>
      </c>
      <c r="Q90" s="10" t="s">
        <v>1827</v>
      </c>
      <c r="R90" s="10" t="s">
        <v>1827</v>
      </c>
      <c r="S90" s="10" t="s">
        <v>1827</v>
      </c>
      <c r="T90" s="10" t="s">
        <v>1827</v>
      </c>
      <c r="U90" s="10" t="s">
        <v>1827</v>
      </c>
      <c r="V90" s="10" t="s">
        <v>1827</v>
      </c>
      <c r="W90" s="10" t="s">
        <v>1827</v>
      </c>
      <c r="X90" s="10" t="s">
        <v>1827</v>
      </c>
      <c r="Y90" s="10" t="s">
        <v>1827</v>
      </c>
      <c r="Z90" s="10" t="s">
        <v>1827</v>
      </c>
      <c r="AA90" s="10" t="s">
        <v>1827</v>
      </c>
      <c r="AB90" s="10" t="s">
        <v>1827</v>
      </c>
      <c r="AC90" s="10" t="s">
        <v>1827</v>
      </c>
      <c r="AD90" s="10" t="s">
        <v>1827</v>
      </c>
      <c r="AE90" s="10" t="s">
        <v>1827</v>
      </c>
      <c r="AF90" s="10" t="s">
        <v>1827</v>
      </c>
      <c r="AG90" s="10" t="s">
        <v>1827</v>
      </c>
      <c r="AH90" s="10" t="s">
        <v>1827</v>
      </c>
      <c r="AI90" s="10" t="s">
        <v>1827</v>
      </c>
      <c r="AJ90" s="10" t="s">
        <v>1827</v>
      </c>
      <c r="AK90" s="10" t="s">
        <v>1827</v>
      </c>
      <c r="AL90" s="10" t="s">
        <v>1827</v>
      </c>
      <c r="AM90" s="10" t="s">
        <v>1827</v>
      </c>
      <c r="AN90" s="10" t="s">
        <v>1827</v>
      </c>
      <c r="AO90" s="10" t="s">
        <v>1827</v>
      </c>
      <c r="AP90" s="10" t="s">
        <v>1827</v>
      </c>
      <c r="AQ90" s="10" t="s">
        <v>1827</v>
      </c>
      <c r="AR90" s="10" t="s">
        <v>1827</v>
      </c>
      <c r="AS90" s="10" t="s">
        <v>1827</v>
      </c>
      <c r="AT90" s="10" t="s">
        <v>1827</v>
      </c>
      <c r="AU90" s="10" t="s">
        <v>1827</v>
      </c>
      <c r="AV90" s="10" t="s">
        <v>1827</v>
      </c>
      <c r="AW90" s="10" t="s">
        <v>1827</v>
      </c>
      <c r="AX90" s="10" t="s">
        <v>1827</v>
      </c>
      <c r="AY90" s="10" t="s">
        <v>1827</v>
      </c>
      <c r="AZ90" s="10" t="s">
        <v>1827</v>
      </c>
      <c r="BA90" s="10" t="s">
        <v>1827</v>
      </c>
      <c r="BB90" s="10" t="s">
        <v>1827</v>
      </c>
      <c r="BC90" s="10" t="s">
        <v>1827</v>
      </c>
      <c r="BD90" s="10" t="s">
        <v>1827</v>
      </c>
      <c r="BE90" s="10" t="s">
        <v>1827</v>
      </c>
      <c r="BF90" s="10" t="s">
        <v>1827</v>
      </c>
      <c r="BG90" s="10" t="s">
        <v>1827</v>
      </c>
      <c r="BH90" s="10" t="s">
        <v>1827</v>
      </c>
      <c r="BI90" s="10" t="s">
        <v>1827</v>
      </c>
      <c r="BJ90" s="10" t="s">
        <v>1827</v>
      </c>
      <c r="BK90" s="10" t="s">
        <v>1827</v>
      </c>
      <c r="BL90" s="10" t="s">
        <v>1827</v>
      </c>
      <c r="BM90" s="10" t="s">
        <v>1827</v>
      </c>
      <c r="BN90" s="10" t="s">
        <v>1827</v>
      </c>
      <c r="BO90" s="10" t="s">
        <v>1827</v>
      </c>
      <c r="BP90" s="10" t="s">
        <v>1827</v>
      </c>
      <c r="BQ90" s="10" t="s">
        <v>1827</v>
      </c>
      <c r="BR90" s="10" t="s">
        <v>1827</v>
      </c>
      <c r="BS90" s="10" t="s">
        <v>1827</v>
      </c>
      <c r="BT90" s="10" t="s">
        <v>1827</v>
      </c>
      <c r="BU90" s="10" t="s">
        <v>1827</v>
      </c>
      <c r="BV90" s="10" t="s">
        <v>1827</v>
      </c>
      <c r="BW90" s="10" t="s">
        <v>1827</v>
      </c>
      <c r="BX90" s="10" t="s">
        <v>1827</v>
      </c>
      <c r="BY90" s="10" t="s">
        <v>1827</v>
      </c>
      <c r="BZ90" s="10" t="s">
        <v>1827</v>
      </c>
      <c r="CA90" s="10" t="s">
        <v>1827</v>
      </c>
      <c r="CB90" s="10" t="s">
        <v>1827</v>
      </c>
      <c r="CC90" s="10" t="s">
        <v>1827</v>
      </c>
      <c r="CD90" s="10" t="s">
        <v>1827</v>
      </c>
      <c r="CE90" s="10" t="s">
        <v>1827</v>
      </c>
      <c r="CF90" s="10" t="s">
        <v>1827</v>
      </c>
      <c r="CG90" s="10" t="s">
        <v>1827</v>
      </c>
      <c r="CH90" s="10" t="s">
        <v>1827</v>
      </c>
      <c r="CI90" s="10" t="s">
        <v>1827</v>
      </c>
      <c r="CJ90" s="10" t="s">
        <v>1827</v>
      </c>
      <c r="CK90" s="10" t="s">
        <v>1827</v>
      </c>
      <c r="CL90" s="10" t="s">
        <v>1827</v>
      </c>
      <c r="CM90" s="10" t="s">
        <v>1827</v>
      </c>
      <c r="CN90" s="10" t="s">
        <v>1827</v>
      </c>
      <c r="CO90" s="10" t="s">
        <v>1827</v>
      </c>
      <c r="CP90" s="10" t="s">
        <v>1827</v>
      </c>
      <c r="CQ90" s="10" t="s">
        <v>1827</v>
      </c>
      <c r="CR90" s="10" t="s">
        <v>1827</v>
      </c>
      <c r="CS90" s="10" t="s">
        <v>1827</v>
      </c>
      <c r="CT90" s="10" t="s">
        <v>1827</v>
      </c>
      <c r="CU90" s="10" t="s">
        <v>1827</v>
      </c>
      <c r="CV90" s="10" t="s">
        <v>1827</v>
      </c>
      <c r="CW90" s="10" t="s">
        <v>1827</v>
      </c>
      <c r="CX90" s="10" t="s">
        <v>1827</v>
      </c>
      <c r="CY90" s="10" t="s">
        <v>1827</v>
      </c>
      <c r="CZ90" s="10">
        <v>474.70330999999999</v>
      </c>
      <c r="DA90" s="10">
        <v>475.95253000000002</v>
      </c>
      <c r="DB90" s="10">
        <v>476.57713899999999</v>
      </c>
      <c r="DC90" s="10">
        <v>475.95253000000002</v>
      </c>
      <c r="DD90" s="10">
        <v>478.45096799999999</v>
      </c>
      <c r="DE90" s="10">
        <v>481.57401599999997</v>
      </c>
      <c r="DF90" s="10">
        <v>495.94003700000002</v>
      </c>
      <c r="DG90" s="10">
        <v>495.94003700000002</v>
      </c>
      <c r="DH90" s="10">
        <v>499.063086</v>
      </c>
      <c r="DI90" s="10">
        <v>504.05996299999998</v>
      </c>
      <c r="DJ90" s="10">
        <v>507.18301100000002</v>
      </c>
      <c r="DK90" s="10">
        <v>517.80137400000001</v>
      </c>
      <c r="DL90" s="10">
        <v>524.67208000000005</v>
      </c>
      <c r="DM90" s="10">
        <v>529.04434700000002</v>
      </c>
      <c r="DN90" s="10">
        <v>532.16739500000006</v>
      </c>
      <c r="DO90" s="10">
        <v>538.41349200000002</v>
      </c>
      <c r="DP90" s="10">
        <v>553.40412200000003</v>
      </c>
      <c r="DQ90" s="10">
        <v>557.77638999999999</v>
      </c>
      <c r="DR90" s="10">
        <v>562.77326700000003</v>
      </c>
      <c r="DS90" s="10">
        <v>566.52092400000004</v>
      </c>
      <c r="DT90" s="10">
        <v>570.26858200000004</v>
      </c>
      <c r="DU90" s="10">
        <v>577.76389800000004</v>
      </c>
      <c r="DV90" s="10">
        <v>582.76077499999997</v>
      </c>
      <c r="DW90" s="10">
        <v>587.75765100000001</v>
      </c>
      <c r="DX90" s="10">
        <v>592.12991899999997</v>
      </c>
      <c r="DY90" s="10">
        <v>597.75140499999998</v>
      </c>
      <c r="DZ90" s="10">
        <v>618.98813199999995</v>
      </c>
      <c r="EA90" s="10">
        <v>622.73578999999995</v>
      </c>
      <c r="EB90" s="10">
        <v>624.60961899999995</v>
      </c>
      <c r="EC90" s="10">
        <v>634.60337300000003</v>
      </c>
      <c r="ED90" s="10">
        <v>643.97251700000004</v>
      </c>
      <c r="EE90" s="10">
        <v>648.344785</v>
      </c>
      <c r="EF90" s="10">
        <v>655.21549000000005</v>
      </c>
      <c r="EG90" s="10">
        <v>665.83385399999997</v>
      </c>
      <c r="EH90" s="10">
        <v>676.45221700000002</v>
      </c>
      <c r="EI90" s="10">
        <v>683.94753300000002</v>
      </c>
      <c r="EJ90" s="10">
        <v>688.94440999999995</v>
      </c>
      <c r="EK90" s="10">
        <v>698.93816400000003</v>
      </c>
      <c r="EL90" s="10">
        <v>708.30730800000003</v>
      </c>
      <c r="EM90" s="10">
        <v>715.17801399999996</v>
      </c>
      <c r="EN90" s="10">
        <v>721.42411000000004</v>
      </c>
      <c r="EO90" s="10">
        <v>732.04247299999997</v>
      </c>
      <c r="EP90" s="10">
        <v>736.41474100000005</v>
      </c>
      <c r="EQ90" s="10">
        <v>737.66395999999997</v>
      </c>
      <c r="ER90" s="10">
        <v>743.91005600000005</v>
      </c>
      <c r="ES90" s="10">
        <v>756.40224899999998</v>
      </c>
      <c r="ET90" s="10">
        <v>784.509681</v>
      </c>
      <c r="EU90" s="10">
        <v>770.14365999999995</v>
      </c>
      <c r="EV90" s="10">
        <v>773.89131799999996</v>
      </c>
      <c r="EW90" s="10">
        <v>778.26358500000003</v>
      </c>
      <c r="EX90" s="10">
        <v>778.26358500000003</v>
      </c>
      <c r="EY90" s="10">
        <v>778.888195</v>
      </c>
      <c r="EZ90" s="10">
        <v>782.635853</v>
      </c>
      <c r="FA90" s="10">
        <v>793.878826</v>
      </c>
      <c r="FB90" s="10">
        <v>804.49718900000005</v>
      </c>
      <c r="FC90" s="10">
        <v>815.74016200000005</v>
      </c>
      <c r="FD90" s="10">
        <v>830.10618399999998</v>
      </c>
      <c r="FE90" s="10">
        <v>840.72454700000003</v>
      </c>
      <c r="FF90" s="10">
        <v>851.96752000000004</v>
      </c>
      <c r="FG90" s="10">
        <v>858.213616</v>
      </c>
      <c r="FH90" s="10">
        <v>863.835103</v>
      </c>
      <c r="FI90" s="10">
        <v>871.95502799999997</v>
      </c>
      <c r="FJ90" s="10">
        <v>886.94565899999998</v>
      </c>
      <c r="FK90" s="10">
        <v>887.57026900000005</v>
      </c>
      <c r="FL90" s="10">
        <v>890.06870700000002</v>
      </c>
      <c r="FM90" s="10">
        <v>910.05621499999995</v>
      </c>
      <c r="FN90" s="10">
        <v>934.41598999999997</v>
      </c>
      <c r="FO90" s="10">
        <v>941.28669600000001</v>
      </c>
      <c r="FP90" s="10">
        <v>945.03435400000001</v>
      </c>
      <c r="FQ90" s="10">
        <v>976.26483399999995</v>
      </c>
      <c r="FR90" s="10">
        <v>998.126171</v>
      </c>
      <c r="FS90" s="10">
        <v>999.37539000000004</v>
      </c>
      <c r="FT90" s="10">
        <v>1000</v>
      </c>
      <c r="FU90" s="10">
        <v>1022.485946</v>
      </c>
      <c r="FV90" s="10">
        <v>1047</v>
      </c>
      <c r="FW90" s="10">
        <v>1064</v>
      </c>
      <c r="FX90" s="10">
        <v>1074</v>
      </c>
      <c r="FY90" s="10">
        <v>1127</v>
      </c>
      <c r="FZ90" s="10">
        <v>1138</v>
      </c>
      <c r="GA90" s="10">
        <v>1144</v>
      </c>
      <c r="GB90" s="10">
        <v>1145</v>
      </c>
      <c r="GC90" s="10">
        <v>1189</v>
      </c>
      <c r="GD90" s="10">
        <v>1197</v>
      </c>
      <c r="GE90" s="10">
        <v>1208</v>
      </c>
      <c r="GF90" s="10">
        <v>1202</v>
      </c>
      <c r="GG90" s="10">
        <v>1206</v>
      </c>
      <c r="GH90" s="10">
        <v>1234</v>
      </c>
      <c r="GI90" s="10">
        <v>1239</v>
      </c>
      <c r="GJ90" s="10">
        <v>1259</v>
      </c>
      <c r="GK90" s="10">
        <v>1267</v>
      </c>
      <c r="GL90" s="10">
        <v>1268</v>
      </c>
      <c r="GM90" s="10">
        <v>1269</v>
      </c>
      <c r="GN90" s="10">
        <v>1311</v>
      </c>
      <c r="GO90" s="10">
        <v>1355</v>
      </c>
      <c r="GP90" s="10">
        <v>1377</v>
      </c>
      <c r="GQ90" s="10">
        <v>1387</v>
      </c>
      <c r="GR90" s="10">
        <v>1418</v>
      </c>
      <c r="GS90" s="10">
        <v>1463</v>
      </c>
    </row>
    <row r="91" spans="1:201" ht="12.6">
      <c r="A91" s="51" t="s">
        <v>1909</v>
      </c>
      <c r="B91" s="10"/>
      <c r="C91" s="10"/>
      <c r="D91" s="10"/>
      <c r="E91" s="10"/>
      <c r="F91" s="10" t="s">
        <v>1827</v>
      </c>
      <c r="G91" s="10" t="s">
        <v>1827</v>
      </c>
      <c r="H91" s="10" t="s">
        <v>1827</v>
      </c>
      <c r="I91" s="10" t="s">
        <v>1827</v>
      </c>
      <c r="J91" s="10" t="s">
        <v>1827</v>
      </c>
      <c r="K91" s="10" t="s">
        <v>1827</v>
      </c>
      <c r="L91" s="10" t="s">
        <v>1827</v>
      </c>
      <c r="M91" s="10" t="s">
        <v>1827</v>
      </c>
      <c r="N91" s="10" t="s">
        <v>1827</v>
      </c>
      <c r="O91" s="10" t="s">
        <v>1827</v>
      </c>
      <c r="P91" s="10" t="s">
        <v>1827</v>
      </c>
      <c r="Q91" s="10" t="s">
        <v>1827</v>
      </c>
      <c r="R91" s="10" t="s">
        <v>1827</v>
      </c>
      <c r="S91" s="10" t="s">
        <v>1827</v>
      </c>
      <c r="T91" s="10" t="s">
        <v>1827</v>
      </c>
      <c r="U91" s="10" t="s">
        <v>1827</v>
      </c>
      <c r="V91" s="10" t="s">
        <v>1827</v>
      </c>
      <c r="W91" s="10" t="s">
        <v>1827</v>
      </c>
      <c r="X91" s="10" t="s">
        <v>1827</v>
      </c>
      <c r="Y91" s="10" t="s">
        <v>1827</v>
      </c>
      <c r="Z91" s="10" t="s">
        <v>1827</v>
      </c>
      <c r="AA91" s="10" t="s">
        <v>1827</v>
      </c>
      <c r="AB91" s="10" t="s">
        <v>1827</v>
      </c>
      <c r="AC91" s="10" t="s">
        <v>1827</v>
      </c>
      <c r="AD91" s="10" t="s">
        <v>1827</v>
      </c>
      <c r="AE91" s="10" t="s">
        <v>1827</v>
      </c>
      <c r="AF91" s="10" t="s">
        <v>1827</v>
      </c>
      <c r="AG91" s="10" t="s">
        <v>1827</v>
      </c>
      <c r="AH91" s="10" t="s">
        <v>1827</v>
      </c>
      <c r="AI91" s="10" t="s">
        <v>1827</v>
      </c>
      <c r="AJ91" s="10" t="s">
        <v>1827</v>
      </c>
      <c r="AK91" s="10" t="s">
        <v>1827</v>
      </c>
      <c r="AL91" s="10" t="s">
        <v>1827</v>
      </c>
      <c r="AM91" s="10" t="s">
        <v>1827</v>
      </c>
      <c r="AN91" s="10" t="s">
        <v>1827</v>
      </c>
      <c r="AO91" s="10" t="s">
        <v>1827</v>
      </c>
      <c r="AP91" s="10" t="s">
        <v>1827</v>
      </c>
      <c r="AQ91" s="10" t="s">
        <v>1827</v>
      </c>
      <c r="AR91" s="10" t="s">
        <v>1827</v>
      </c>
      <c r="AS91" s="10" t="s">
        <v>1827</v>
      </c>
      <c r="AT91" s="10" t="s">
        <v>1827</v>
      </c>
      <c r="AU91" s="10" t="s">
        <v>1827</v>
      </c>
      <c r="AV91" s="10" t="s">
        <v>1827</v>
      </c>
      <c r="AW91" s="10" t="s">
        <v>1827</v>
      </c>
      <c r="AX91" s="10" t="s">
        <v>1827</v>
      </c>
      <c r="AY91" s="10" t="s">
        <v>1827</v>
      </c>
      <c r="AZ91" s="10" t="s">
        <v>1827</v>
      </c>
      <c r="BA91" s="10" t="s">
        <v>1827</v>
      </c>
      <c r="BB91" s="10" t="s">
        <v>1827</v>
      </c>
      <c r="BC91" s="10" t="s">
        <v>1827</v>
      </c>
      <c r="BD91" s="10" t="s">
        <v>1827</v>
      </c>
      <c r="BE91" s="10" t="s">
        <v>1827</v>
      </c>
      <c r="BF91" s="10" t="s">
        <v>1827</v>
      </c>
      <c r="BG91" s="10" t="s">
        <v>1827</v>
      </c>
      <c r="BH91" s="10" t="s">
        <v>1827</v>
      </c>
      <c r="BI91" s="10" t="s">
        <v>1827</v>
      </c>
      <c r="BJ91" s="10" t="s">
        <v>1827</v>
      </c>
      <c r="BK91" s="10" t="s">
        <v>1827</v>
      </c>
      <c r="BL91" s="10" t="s">
        <v>1827</v>
      </c>
      <c r="BM91" s="10" t="s">
        <v>1827</v>
      </c>
      <c r="BN91" s="10" t="s">
        <v>1827</v>
      </c>
      <c r="BO91" s="10" t="s">
        <v>1827</v>
      </c>
      <c r="BP91" s="10" t="s">
        <v>1827</v>
      </c>
      <c r="BQ91" s="10" t="s">
        <v>1827</v>
      </c>
      <c r="BR91" s="10" t="s">
        <v>1827</v>
      </c>
      <c r="BS91" s="10" t="s">
        <v>1827</v>
      </c>
      <c r="BT91" s="10" t="s">
        <v>1827</v>
      </c>
      <c r="BU91" s="10" t="s">
        <v>1827</v>
      </c>
      <c r="BV91" s="10" t="s">
        <v>1827</v>
      </c>
      <c r="BW91" s="10" t="s">
        <v>1827</v>
      </c>
      <c r="BX91" s="10" t="s">
        <v>1827</v>
      </c>
      <c r="BY91" s="10" t="s">
        <v>1827</v>
      </c>
      <c r="BZ91" s="10" t="s">
        <v>1827</v>
      </c>
      <c r="CA91" s="10" t="s">
        <v>1827</v>
      </c>
      <c r="CB91" s="10" t="s">
        <v>1827</v>
      </c>
      <c r="CC91" s="10" t="s">
        <v>1827</v>
      </c>
      <c r="CD91" s="10" t="s">
        <v>1827</v>
      </c>
      <c r="CE91" s="10" t="s">
        <v>1827</v>
      </c>
      <c r="CF91" s="10" t="s">
        <v>1827</v>
      </c>
      <c r="CG91" s="10" t="s">
        <v>1827</v>
      </c>
      <c r="CH91" s="10" t="s">
        <v>1827</v>
      </c>
      <c r="CI91" s="10" t="s">
        <v>1827</v>
      </c>
      <c r="CJ91" s="10" t="s">
        <v>1827</v>
      </c>
      <c r="CK91" s="10" t="s">
        <v>1827</v>
      </c>
      <c r="CL91" s="10" t="s">
        <v>1827</v>
      </c>
      <c r="CM91" s="10" t="s">
        <v>1827</v>
      </c>
      <c r="CN91" s="10" t="s">
        <v>1827</v>
      </c>
      <c r="CO91" s="10" t="s">
        <v>1827</v>
      </c>
      <c r="CP91" s="10" t="s">
        <v>1827</v>
      </c>
      <c r="CQ91" s="10" t="s">
        <v>1827</v>
      </c>
      <c r="CR91" s="10" t="s">
        <v>1827</v>
      </c>
      <c r="CS91" s="10" t="s">
        <v>1827</v>
      </c>
      <c r="CT91" s="10" t="s">
        <v>1827</v>
      </c>
      <c r="CU91" s="10" t="s">
        <v>1827</v>
      </c>
      <c r="CV91" s="10" t="s">
        <v>1827</v>
      </c>
      <c r="CW91" s="10" t="s">
        <v>1827</v>
      </c>
      <c r="CX91" s="10" t="s">
        <v>1827</v>
      </c>
      <c r="CY91" s="10" t="s">
        <v>1827</v>
      </c>
      <c r="CZ91" s="10">
        <v>656.69291299999998</v>
      </c>
      <c r="DA91" s="10">
        <v>665.354331</v>
      </c>
      <c r="DB91" s="10">
        <v>666.14173200000005</v>
      </c>
      <c r="DC91" s="10">
        <v>572.44094500000006</v>
      </c>
      <c r="DD91" s="10">
        <v>644.09448799999996</v>
      </c>
      <c r="DE91" s="10">
        <v>666.92913399999998</v>
      </c>
      <c r="DF91" s="10">
        <v>679.527559</v>
      </c>
      <c r="DG91" s="10">
        <v>608.66141700000003</v>
      </c>
      <c r="DH91" s="10">
        <v>714.96063000000004</v>
      </c>
      <c r="DI91" s="10">
        <v>715.74803099999997</v>
      </c>
      <c r="DJ91" s="10">
        <v>717.32283500000005</v>
      </c>
      <c r="DK91" s="10">
        <v>637.79527599999994</v>
      </c>
      <c r="DL91" s="10">
        <v>714.17322799999999</v>
      </c>
      <c r="DM91" s="10">
        <v>725.98425199999997</v>
      </c>
      <c r="DN91" s="10">
        <v>736.22047199999997</v>
      </c>
      <c r="DO91" s="10">
        <v>706.29921300000001</v>
      </c>
      <c r="DP91" s="10">
        <v>740.15747999999996</v>
      </c>
      <c r="DQ91" s="10">
        <v>745.66929100000004</v>
      </c>
      <c r="DR91" s="10">
        <v>755.90551200000004</v>
      </c>
      <c r="DS91" s="10">
        <v>735.43307100000004</v>
      </c>
      <c r="DT91" s="10">
        <v>764.56692899999996</v>
      </c>
      <c r="DU91" s="10">
        <v>754.33070899999996</v>
      </c>
      <c r="DV91" s="10">
        <v>759.05511799999999</v>
      </c>
      <c r="DW91" s="10">
        <v>718.89763800000003</v>
      </c>
      <c r="DX91" s="10">
        <v>763.77952800000003</v>
      </c>
      <c r="DY91" s="10">
        <v>780.31496100000004</v>
      </c>
      <c r="DZ91" s="10">
        <v>782.67716499999995</v>
      </c>
      <c r="EA91" s="10">
        <v>751.96850400000005</v>
      </c>
      <c r="EB91" s="10">
        <v>787.40157499999998</v>
      </c>
      <c r="EC91" s="10">
        <v>832.28346499999998</v>
      </c>
      <c r="ED91" s="10">
        <v>842.51968499999998</v>
      </c>
      <c r="EE91" s="10">
        <v>719.68503899999996</v>
      </c>
      <c r="EF91" s="10">
        <v>852.75590599999998</v>
      </c>
      <c r="EG91" s="10">
        <v>877.16535399999998</v>
      </c>
      <c r="EH91" s="10">
        <v>885.82677200000001</v>
      </c>
      <c r="EI91" s="10">
        <v>738.58267699999999</v>
      </c>
      <c r="EJ91" s="10">
        <v>865.354331</v>
      </c>
      <c r="EK91" s="10">
        <v>856.69291299999998</v>
      </c>
      <c r="EL91" s="10">
        <v>881.10236199999997</v>
      </c>
      <c r="EM91" s="10">
        <v>814.96063000000004</v>
      </c>
      <c r="EN91" s="10">
        <v>933.07086600000002</v>
      </c>
      <c r="EO91" s="10">
        <v>950.39370099999996</v>
      </c>
      <c r="EP91" s="10">
        <v>955.90551200000004</v>
      </c>
      <c r="EQ91" s="10">
        <v>873.22834599999999</v>
      </c>
      <c r="ER91" s="10">
        <v>946.45669299999997</v>
      </c>
      <c r="ES91" s="10">
        <v>944.88189</v>
      </c>
      <c r="ET91" s="10">
        <v>975.590551</v>
      </c>
      <c r="EU91" s="10">
        <v>902.36220500000002</v>
      </c>
      <c r="EV91" s="10">
        <v>982.67716499999995</v>
      </c>
      <c r="EW91" s="10">
        <v>987.40157499999998</v>
      </c>
      <c r="EX91" s="10">
        <v>978.74015699999995</v>
      </c>
      <c r="EY91" s="10">
        <v>929.92125999999996</v>
      </c>
      <c r="EZ91" s="10">
        <v>975.590551</v>
      </c>
      <c r="FA91" s="10">
        <v>987.40157499999998</v>
      </c>
      <c r="FB91" s="10">
        <v>970.07874000000004</v>
      </c>
      <c r="FC91" s="10">
        <v>923.62204699999995</v>
      </c>
      <c r="FD91" s="10">
        <v>951.96850400000005</v>
      </c>
      <c r="FE91" s="10">
        <v>948.03149599999995</v>
      </c>
      <c r="FF91" s="10">
        <v>958.26771699999995</v>
      </c>
      <c r="FG91" s="10">
        <v>926.77165400000001</v>
      </c>
      <c r="FH91" s="10">
        <v>970.86614199999997</v>
      </c>
      <c r="FI91" s="10">
        <v>970.07874000000004</v>
      </c>
      <c r="FJ91" s="10">
        <v>977.16535399999998</v>
      </c>
      <c r="FK91" s="10">
        <v>948.81889799999999</v>
      </c>
      <c r="FL91" s="10">
        <v>987.40157499999998</v>
      </c>
      <c r="FM91" s="10">
        <v>992.91338599999995</v>
      </c>
      <c r="FN91" s="10">
        <v>992.12598400000002</v>
      </c>
      <c r="FO91" s="10">
        <v>943.30708700000002</v>
      </c>
      <c r="FP91" s="10">
        <v>1008.661417</v>
      </c>
      <c r="FQ91" s="10">
        <v>1000</v>
      </c>
      <c r="FR91" s="10">
        <v>993.70078699999999</v>
      </c>
      <c r="FS91" s="10">
        <v>935.43307100000004</v>
      </c>
      <c r="FT91" s="10">
        <v>1000</v>
      </c>
      <c r="FU91" s="10">
        <v>1003.1496059999999</v>
      </c>
      <c r="FV91" s="10">
        <v>1013</v>
      </c>
      <c r="FW91" s="10">
        <v>931</v>
      </c>
      <c r="FX91" s="10">
        <v>986</v>
      </c>
      <c r="FY91" s="10">
        <v>989</v>
      </c>
      <c r="FZ91" s="10">
        <v>1005</v>
      </c>
      <c r="GA91" s="10">
        <v>951</v>
      </c>
      <c r="GB91" s="10">
        <v>1020</v>
      </c>
      <c r="GC91" s="10">
        <v>1022</v>
      </c>
      <c r="GD91" s="10">
        <v>1015</v>
      </c>
      <c r="GE91" s="10">
        <v>975</v>
      </c>
      <c r="GF91" s="10">
        <v>1037</v>
      </c>
      <c r="GG91" s="10">
        <v>1025</v>
      </c>
      <c r="GH91" s="10">
        <v>1067</v>
      </c>
      <c r="GI91" s="10">
        <v>1017</v>
      </c>
      <c r="GJ91" s="10">
        <v>1079</v>
      </c>
      <c r="GK91" s="10">
        <v>1082</v>
      </c>
      <c r="GL91" s="10">
        <v>1083</v>
      </c>
      <c r="GM91" s="10">
        <v>1056</v>
      </c>
      <c r="GN91" s="10">
        <v>1112</v>
      </c>
      <c r="GO91" s="10">
        <v>1139</v>
      </c>
      <c r="GP91" s="10">
        <v>1179</v>
      </c>
      <c r="GQ91" s="10">
        <v>1177</v>
      </c>
      <c r="GR91" s="10">
        <v>1229</v>
      </c>
      <c r="GS91" s="10">
        <v>1262</v>
      </c>
    </row>
    <row r="92" spans="1:201" ht="12.6">
      <c r="A92" s="51" t="s">
        <v>1910</v>
      </c>
      <c r="B92" s="10"/>
      <c r="C92" s="10"/>
      <c r="D92" s="10"/>
      <c r="E92" s="10"/>
      <c r="F92" s="10" t="s">
        <v>1827</v>
      </c>
      <c r="G92" s="10" t="s">
        <v>1827</v>
      </c>
      <c r="H92" s="10" t="s">
        <v>1827</v>
      </c>
      <c r="I92" s="10" t="s">
        <v>1827</v>
      </c>
      <c r="J92" s="10" t="s">
        <v>1827</v>
      </c>
      <c r="K92" s="10" t="s">
        <v>1827</v>
      </c>
      <c r="L92" s="10" t="s">
        <v>1827</v>
      </c>
      <c r="M92" s="10" t="s">
        <v>1827</v>
      </c>
      <c r="N92" s="10" t="s">
        <v>1827</v>
      </c>
      <c r="O92" s="10" t="s">
        <v>1827</v>
      </c>
      <c r="P92" s="10" t="s">
        <v>1827</v>
      </c>
      <c r="Q92" s="10" t="s">
        <v>1827</v>
      </c>
      <c r="R92" s="10" t="s">
        <v>1827</v>
      </c>
      <c r="S92" s="10" t="s">
        <v>1827</v>
      </c>
      <c r="T92" s="10" t="s">
        <v>1827</v>
      </c>
      <c r="U92" s="10" t="s">
        <v>1827</v>
      </c>
      <c r="V92" s="10" t="s">
        <v>1827</v>
      </c>
      <c r="W92" s="10" t="s">
        <v>1827</v>
      </c>
      <c r="X92" s="10" t="s">
        <v>1827</v>
      </c>
      <c r="Y92" s="10" t="s">
        <v>1827</v>
      </c>
      <c r="Z92" s="10" t="s">
        <v>1827</v>
      </c>
      <c r="AA92" s="10" t="s">
        <v>1827</v>
      </c>
      <c r="AB92" s="10" t="s">
        <v>1827</v>
      </c>
      <c r="AC92" s="10" t="s">
        <v>1827</v>
      </c>
      <c r="AD92" s="10" t="s">
        <v>1827</v>
      </c>
      <c r="AE92" s="10" t="s">
        <v>1827</v>
      </c>
      <c r="AF92" s="10" t="s">
        <v>1827</v>
      </c>
      <c r="AG92" s="10" t="s">
        <v>1827</v>
      </c>
      <c r="AH92" s="10" t="s">
        <v>1827</v>
      </c>
      <c r="AI92" s="10" t="s">
        <v>1827</v>
      </c>
      <c r="AJ92" s="10" t="s">
        <v>1827</v>
      </c>
      <c r="AK92" s="10" t="s">
        <v>1827</v>
      </c>
      <c r="AL92" s="10" t="s">
        <v>1827</v>
      </c>
      <c r="AM92" s="10" t="s">
        <v>1827</v>
      </c>
      <c r="AN92" s="10" t="s">
        <v>1827</v>
      </c>
      <c r="AO92" s="10" t="s">
        <v>1827</v>
      </c>
      <c r="AP92" s="10" t="s">
        <v>1827</v>
      </c>
      <c r="AQ92" s="10" t="s">
        <v>1827</v>
      </c>
      <c r="AR92" s="10" t="s">
        <v>1827</v>
      </c>
      <c r="AS92" s="10" t="s">
        <v>1827</v>
      </c>
      <c r="AT92" s="10" t="s">
        <v>1827</v>
      </c>
      <c r="AU92" s="10" t="s">
        <v>1827</v>
      </c>
      <c r="AV92" s="10" t="s">
        <v>1827</v>
      </c>
      <c r="AW92" s="10" t="s">
        <v>1827</v>
      </c>
      <c r="AX92" s="10" t="s">
        <v>1827</v>
      </c>
      <c r="AY92" s="10" t="s">
        <v>1827</v>
      </c>
      <c r="AZ92" s="10" t="s">
        <v>1827</v>
      </c>
      <c r="BA92" s="10" t="s">
        <v>1827</v>
      </c>
      <c r="BB92" s="10" t="s">
        <v>1827</v>
      </c>
      <c r="BC92" s="10" t="s">
        <v>1827</v>
      </c>
      <c r="BD92" s="10" t="s">
        <v>1827</v>
      </c>
      <c r="BE92" s="10" t="s">
        <v>1827</v>
      </c>
      <c r="BF92" s="10" t="s">
        <v>1827</v>
      </c>
      <c r="BG92" s="10" t="s">
        <v>1827</v>
      </c>
      <c r="BH92" s="10" t="s">
        <v>1827</v>
      </c>
      <c r="BI92" s="10" t="s">
        <v>1827</v>
      </c>
      <c r="BJ92" s="10" t="s">
        <v>1827</v>
      </c>
      <c r="BK92" s="10" t="s">
        <v>1827</v>
      </c>
      <c r="BL92" s="10" t="s">
        <v>1827</v>
      </c>
      <c r="BM92" s="10" t="s">
        <v>1827</v>
      </c>
      <c r="BN92" s="10" t="s">
        <v>1827</v>
      </c>
      <c r="BO92" s="10" t="s">
        <v>1827</v>
      </c>
      <c r="BP92" s="10" t="s">
        <v>1827</v>
      </c>
      <c r="BQ92" s="10" t="s">
        <v>1827</v>
      </c>
      <c r="BR92" s="10" t="s">
        <v>1827</v>
      </c>
      <c r="BS92" s="10" t="s">
        <v>1827</v>
      </c>
      <c r="BT92" s="10" t="s">
        <v>1827</v>
      </c>
      <c r="BU92" s="10" t="s">
        <v>1827</v>
      </c>
      <c r="BV92" s="10" t="s">
        <v>1827</v>
      </c>
      <c r="BW92" s="10" t="s">
        <v>1827</v>
      </c>
      <c r="BX92" s="10" t="s">
        <v>1827</v>
      </c>
      <c r="BY92" s="10" t="s">
        <v>1827</v>
      </c>
      <c r="BZ92" s="10" t="s">
        <v>1827</v>
      </c>
      <c r="CA92" s="10" t="s">
        <v>1827</v>
      </c>
      <c r="CB92" s="10" t="s">
        <v>1827</v>
      </c>
      <c r="CC92" s="10" t="s">
        <v>1827</v>
      </c>
      <c r="CD92" s="10" t="s">
        <v>1827</v>
      </c>
      <c r="CE92" s="10" t="s">
        <v>1827</v>
      </c>
      <c r="CF92" s="10" t="s">
        <v>1827</v>
      </c>
      <c r="CG92" s="10" t="s">
        <v>1827</v>
      </c>
      <c r="CH92" s="10" t="s">
        <v>1827</v>
      </c>
      <c r="CI92" s="10" t="s">
        <v>1827</v>
      </c>
      <c r="CJ92" s="10" t="s">
        <v>1827</v>
      </c>
      <c r="CK92" s="10" t="s">
        <v>1827</v>
      </c>
      <c r="CL92" s="10" t="s">
        <v>1827</v>
      </c>
      <c r="CM92" s="10" t="s">
        <v>1827</v>
      </c>
      <c r="CN92" s="10" t="s">
        <v>1827</v>
      </c>
      <c r="CO92" s="10" t="s">
        <v>1827</v>
      </c>
      <c r="CP92" s="10" t="s">
        <v>1827</v>
      </c>
      <c r="CQ92" s="10" t="s">
        <v>1827</v>
      </c>
      <c r="CR92" s="10" t="s">
        <v>1827</v>
      </c>
      <c r="CS92" s="10" t="s">
        <v>1827</v>
      </c>
      <c r="CT92" s="10" t="s">
        <v>1827</v>
      </c>
      <c r="CU92" s="10" t="s">
        <v>1827</v>
      </c>
      <c r="CV92" s="10" t="s">
        <v>1827</v>
      </c>
      <c r="CW92" s="10" t="s">
        <v>1827</v>
      </c>
      <c r="CX92" s="10" t="s">
        <v>1827</v>
      </c>
      <c r="CY92" s="10" t="s">
        <v>1827</v>
      </c>
      <c r="CZ92" s="10">
        <v>658.14696500000002</v>
      </c>
      <c r="DA92" s="10">
        <v>658.94568700000002</v>
      </c>
      <c r="DB92" s="10">
        <v>668.530351</v>
      </c>
      <c r="DC92" s="10">
        <v>679.71245999999996</v>
      </c>
      <c r="DD92" s="10">
        <v>663.73801900000001</v>
      </c>
      <c r="DE92" s="10">
        <v>658.94568700000002</v>
      </c>
      <c r="DF92" s="10">
        <v>668.530351</v>
      </c>
      <c r="DG92" s="10">
        <v>682.10862599999996</v>
      </c>
      <c r="DH92" s="10">
        <v>661.34185300000001</v>
      </c>
      <c r="DI92" s="10">
        <v>662.93929700000001</v>
      </c>
      <c r="DJ92" s="10">
        <v>682.90734799999996</v>
      </c>
      <c r="DK92" s="10">
        <v>690.09584700000005</v>
      </c>
      <c r="DL92" s="10">
        <v>676.51757199999997</v>
      </c>
      <c r="DM92" s="10">
        <v>676.51757199999997</v>
      </c>
      <c r="DN92" s="10">
        <v>704.47284300000001</v>
      </c>
      <c r="DO92" s="10">
        <v>734.02555900000004</v>
      </c>
      <c r="DP92" s="10">
        <v>707.667732</v>
      </c>
      <c r="DQ92" s="10">
        <v>708.466454</v>
      </c>
      <c r="DR92" s="10">
        <v>735.62300300000004</v>
      </c>
      <c r="DS92" s="10">
        <v>760.38338699999997</v>
      </c>
      <c r="DT92" s="10">
        <v>730.03194900000005</v>
      </c>
      <c r="DU92" s="10">
        <v>735.62300300000004</v>
      </c>
      <c r="DV92" s="10">
        <v>770.76677299999994</v>
      </c>
      <c r="DW92" s="10">
        <v>797.12460099999998</v>
      </c>
      <c r="DX92" s="10">
        <v>763.57827499999996</v>
      </c>
      <c r="DY92" s="10">
        <v>777.15655000000004</v>
      </c>
      <c r="DZ92" s="10">
        <v>810.70287499999995</v>
      </c>
      <c r="EA92" s="10">
        <v>832.268371</v>
      </c>
      <c r="EB92" s="10">
        <v>798.72204499999998</v>
      </c>
      <c r="EC92" s="10">
        <v>805.91054299999996</v>
      </c>
      <c r="ED92" s="10">
        <v>835.46325899999999</v>
      </c>
      <c r="EE92" s="10">
        <v>853.03514399999995</v>
      </c>
      <c r="EF92" s="10">
        <v>829.87220400000001</v>
      </c>
      <c r="EG92" s="10">
        <v>828.27476000000001</v>
      </c>
      <c r="EH92" s="10">
        <v>863.41853000000003</v>
      </c>
      <c r="EI92" s="10">
        <v>888.97763599999996</v>
      </c>
      <c r="EJ92" s="10">
        <v>865.01597400000003</v>
      </c>
      <c r="EK92" s="10">
        <v>854.63258800000006</v>
      </c>
      <c r="EL92" s="10">
        <v>899.36102200000005</v>
      </c>
      <c r="EM92" s="10">
        <v>916.932907</v>
      </c>
      <c r="EN92" s="10">
        <v>863.41853000000003</v>
      </c>
      <c r="EO92" s="10">
        <v>853.83386599999994</v>
      </c>
      <c r="EP92" s="10">
        <v>892.97124599999995</v>
      </c>
      <c r="EQ92" s="10">
        <v>913.73801900000001</v>
      </c>
      <c r="ER92" s="10">
        <v>865.01597400000003</v>
      </c>
      <c r="ES92" s="10">
        <v>846.64536699999996</v>
      </c>
      <c r="ET92" s="10">
        <v>908.94568700000002</v>
      </c>
      <c r="EU92" s="10">
        <v>939.29712500000005</v>
      </c>
      <c r="EV92" s="10">
        <v>886.58146999999997</v>
      </c>
      <c r="EW92" s="10">
        <v>897.76357800000005</v>
      </c>
      <c r="EX92" s="10">
        <v>927.31629399999997</v>
      </c>
      <c r="EY92" s="10">
        <v>952.07667700000002</v>
      </c>
      <c r="EZ92" s="10">
        <v>920.12779599999999</v>
      </c>
      <c r="FA92" s="10">
        <v>920.12779599999999</v>
      </c>
      <c r="FB92" s="10">
        <v>948.88178900000003</v>
      </c>
      <c r="FC92" s="10">
        <v>975.23961699999995</v>
      </c>
      <c r="FD92" s="10">
        <v>931.30990399999996</v>
      </c>
      <c r="FE92" s="10">
        <v>933.70606999999995</v>
      </c>
      <c r="FF92" s="10">
        <v>967.25239599999998</v>
      </c>
      <c r="FG92" s="10">
        <v>1000.798722</v>
      </c>
      <c r="FH92" s="10">
        <v>956.07028800000001</v>
      </c>
      <c r="FI92" s="10">
        <v>948.88178900000003</v>
      </c>
      <c r="FJ92" s="10">
        <v>985.62300300000004</v>
      </c>
      <c r="FK92" s="10">
        <v>1015.175719</v>
      </c>
      <c r="FL92" s="10">
        <v>956.86901</v>
      </c>
      <c r="FM92" s="10">
        <v>972.04472799999996</v>
      </c>
      <c r="FN92" s="10">
        <v>1014.376997</v>
      </c>
      <c r="FO92" s="10">
        <v>1063.8977640000001</v>
      </c>
      <c r="FP92" s="10">
        <v>992.01278000000002</v>
      </c>
      <c r="FQ92" s="10">
        <v>981.62939300000005</v>
      </c>
      <c r="FR92" s="10">
        <v>1039.9361019999999</v>
      </c>
      <c r="FS92" s="10">
        <v>1087.8594250000001</v>
      </c>
      <c r="FT92" s="10">
        <v>1000</v>
      </c>
      <c r="FU92" s="10">
        <v>1044.728435</v>
      </c>
      <c r="FV92" s="10">
        <v>1064</v>
      </c>
      <c r="FW92" s="10">
        <v>1129</v>
      </c>
      <c r="FX92" s="10">
        <v>1110</v>
      </c>
      <c r="FY92" s="10">
        <v>1109</v>
      </c>
      <c r="FZ92" s="10" t="s">
        <v>1827</v>
      </c>
      <c r="GA92" s="10" t="s">
        <v>1827</v>
      </c>
      <c r="GB92" s="10" t="s">
        <v>1827</v>
      </c>
      <c r="GC92" s="10" t="s">
        <v>1827</v>
      </c>
      <c r="GD92" s="10" t="s">
        <v>1827</v>
      </c>
      <c r="GE92" s="10" t="s">
        <v>1827</v>
      </c>
      <c r="GF92" s="10" t="s">
        <v>1827</v>
      </c>
      <c r="GG92" s="10" t="s">
        <v>1827</v>
      </c>
      <c r="GH92" s="10" t="s">
        <v>1827</v>
      </c>
      <c r="GI92" s="10" t="s">
        <v>1827</v>
      </c>
      <c r="GJ92" s="10" t="s">
        <v>1827</v>
      </c>
      <c r="GK92" s="10" t="s">
        <v>1827</v>
      </c>
      <c r="GL92" s="10" t="s">
        <v>1827</v>
      </c>
      <c r="GM92" s="10" t="s">
        <v>1827</v>
      </c>
      <c r="GN92" s="10" t="s">
        <v>1827</v>
      </c>
      <c r="GO92" s="10" t="s">
        <v>1827</v>
      </c>
      <c r="GP92" s="10" t="s">
        <v>1827</v>
      </c>
      <c r="GQ92" s="10" t="s">
        <v>1827</v>
      </c>
      <c r="GR92" s="10" t="s">
        <v>1827</v>
      </c>
      <c r="GS92" s="10" t="s">
        <v>1827</v>
      </c>
    </row>
    <row r="93" spans="1:201" ht="12.6">
      <c r="A93" s="51" t="s">
        <v>1911</v>
      </c>
      <c r="B93" s="10"/>
      <c r="C93" s="10"/>
      <c r="D93" s="10"/>
      <c r="E93" s="10"/>
      <c r="F93" s="10" t="s">
        <v>1827</v>
      </c>
      <c r="G93" s="10" t="s">
        <v>1827</v>
      </c>
      <c r="H93" s="10" t="s">
        <v>1827</v>
      </c>
      <c r="I93" s="10" t="s">
        <v>1827</v>
      </c>
      <c r="J93" s="10" t="s">
        <v>1827</v>
      </c>
      <c r="K93" s="10" t="s">
        <v>1827</v>
      </c>
      <c r="L93" s="10" t="s">
        <v>1827</v>
      </c>
      <c r="M93" s="10" t="s">
        <v>1827</v>
      </c>
      <c r="N93" s="10" t="s">
        <v>1827</v>
      </c>
      <c r="O93" s="10" t="s">
        <v>1827</v>
      </c>
      <c r="P93" s="10" t="s">
        <v>1827</v>
      </c>
      <c r="Q93" s="10" t="s">
        <v>1827</v>
      </c>
      <c r="R93" s="10" t="s">
        <v>1827</v>
      </c>
      <c r="S93" s="10" t="s">
        <v>1827</v>
      </c>
      <c r="T93" s="10" t="s">
        <v>1827</v>
      </c>
      <c r="U93" s="10" t="s">
        <v>1827</v>
      </c>
      <c r="V93" s="10" t="s">
        <v>1827</v>
      </c>
      <c r="W93" s="10" t="s">
        <v>1827</v>
      </c>
      <c r="X93" s="10" t="s">
        <v>1827</v>
      </c>
      <c r="Y93" s="10" t="s">
        <v>1827</v>
      </c>
      <c r="Z93" s="10" t="s">
        <v>1827</v>
      </c>
      <c r="AA93" s="10" t="s">
        <v>1827</v>
      </c>
      <c r="AB93" s="10" t="s">
        <v>1827</v>
      </c>
      <c r="AC93" s="10" t="s">
        <v>1827</v>
      </c>
      <c r="AD93" s="10" t="s">
        <v>1827</v>
      </c>
      <c r="AE93" s="10" t="s">
        <v>1827</v>
      </c>
      <c r="AF93" s="10" t="s">
        <v>1827</v>
      </c>
      <c r="AG93" s="10" t="s">
        <v>1827</v>
      </c>
      <c r="AH93" s="10" t="s">
        <v>1827</v>
      </c>
      <c r="AI93" s="10" t="s">
        <v>1827</v>
      </c>
      <c r="AJ93" s="10" t="s">
        <v>1827</v>
      </c>
      <c r="AK93" s="10" t="s">
        <v>1827</v>
      </c>
      <c r="AL93" s="10" t="s">
        <v>1827</v>
      </c>
      <c r="AM93" s="10" t="s">
        <v>1827</v>
      </c>
      <c r="AN93" s="10" t="s">
        <v>1827</v>
      </c>
      <c r="AO93" s="10" t="s">
        <v>1827</v>
      </c>
      <c r="AP93" s="10" t="s">
        <v>1827</v>
      </c>
      <c r="AQ93" s="10" t="s">
        <v>1827</v>
      </c>
      <c r="AR93" s="10" t="s">
        <v>1827</v>
      </c>
      <c r="AS93" s="10" t="s">
        <v>1827</v>
      </c>
      <c r="AT93" s="10" t="s">
        <v>1827</v>
      </c>
      <c r="AU93" s="10" t="s">
        <v>1827</v>
      </c>
      <c r="AV93" s="10" t="s">
        <v>1827</v>
      </c>
      <c r="AW93" s="10" t="s">
        <v>1827</v>
      </c>
      <c r="AX93" s="10" t="s">
        <v>1827</v>
      </c>
      <c r="AY93" s="10" t="s">
        <v>1827</v>
      </c>
      <c r="AZ93" s="10" t="s">
        <v>1827</v>
      </c>
      <c r="BA93" s="10" t="s">
        <v>1827</v>
      </c>
      <c r="BB93" s="10" t="s">
        <v>1827</v>
      </c>
      <c r="BC93" s="10" t="s">
        <v>1827</v>
      </c>
      <c r="BD93" s="10" t="s">
        <v>1827</v>
      </c>
      <c r="BE93" s="10" t="s">
        <v>1827</v>
      </c>
      <c r="BF93" s="10" t="s">
        <v>1827</v>
      </c>
      <c r="BG93" s="10" t="s">
        <v>1827</v>
      </c>
      <c r="BH93" s="10" t="s">
        <v>1827</v>
      </c>
      <c r="BI93" s="10" t="s">
        <v>1827</v>
      </c>
      <c r="BJ93" s="10" t="s">
        <v>1827</v>
      </c>
      <c r="BK93" s="10" t="s">
        <v>1827</v>
      </c>
      <c r="BL93" s="10" t="s">
        <v>1827</v>
      </c>
      <c r="BM93" s="10" t="s">
        <v>1827</v>
      </c>
      <c r="BN93" s="10" t="s">
        <v>1827</v>
      </c>
      <c r="BO93" s="10" t="s">
        <v>1827</v>
      </c>
      <c r="BP93" s="10" t="s">
        <v>1827</v>
      </c>
      <c r="BQ93" s="10" t="s">
        <v>1827</v>
      </c>
      <c r="BR93" s="10" t="s">
        <v>1827</v>
      </c>
      <c r="BS93" s="10" t="s">
        <v>1827</v>
      </c>
      <c r="BT93" s="10" t="s">
        <v>1827</v>
      </c>
      <c r="BU93" s="10" t="s">
        <v>1827</v>
      </c>
      <c r="BV93" s="10" t="s">
        <v>1827</v>
      </c>
      <c r="BW93" s="10" t="s">
        <v>1827</v>
      </c>
      <c r="BX93" s="10" t="s">
        <v>1827</v>
      </c>
      <c r="BY93" s="10" t="s">
        <v>1827</v>
      </c>
      <c r="BZ93" s="10" t="s">
        <v>1827</v>
      </c>
      <c r="CA93" s="10" t="s">
        <v>1827</v>
      </c>
      <c r="CB93" s="10" t="s">
        <v>1827</v>
      </c>
      <c r="CC93" s="10" t="s">
        <v>1827</v>
      </c>
      <c r="CD93" s="10" t="s">
        <v>1827</v>
      </c>
      <c r="CE93" s="10" t="s">
        <v>1827</v>
      </c>
      <c r="CF93" s="10" t="s">
        <v>1827</v>
      </c>
      <c r="CG93" s="10" t="s">
        <v>1827</v>
      </c>
      <c r="CH93" s="10" t="s">
        <v>1827</v>
      </c>
      <c r="CI93" s="10" t="s">
        <v>1827</v>
      </c>
      <c r="CJ93" s="10" t="s">
        <v>1827</v>
      </c>
      <c r="CK93" s="10" t="s">
        <v>1827</v>
      </c>
      <c r="CL93" s="10" t="s">
        <v>1827</v>
      </c>
      <c r="CM93" s="10" t="s">
        <v>1827</v>
      </c>
      <c r="CN93" s="10" t="s">
        <v>1827</v>
      </c>
      <c r="CO93" s="10" t="s">
        <v>1827</v>
      </c>
      <c r="CP93" s="10" t="s">
        <v>1827</v>
      </c>
      <c r="CQ93" s="10" t="s">
        <v>1827</v>
      </c>
      <c r="CR93" s="10" t="s">
        <v>1827</v>
      </c>
      <c r="CS93" s="10" t="s">
        <v>1827</v>
      </c>
      <c r="CT93" s="10" t="s">
        <v>1827</v>
      </c>
      <c r="CU93" s="10" t="s">
        <v>1827</v>
      </c>
      <c r="CV93" s="10" t="s">
        <v>1827</v>
      </c>
      <c r="CW93" s="10" t="s">
        <v>1827</v>
      </c>
      <c r="CX93" s="10" t="s">
        <v>1827</v>
      </c>
      <c r="CY93" s="10" t="s">
        <v>1827</v>
      </c>
      <c r="CZ93" s="10" t="s">
        <v>1827</v>
      </c>
      <c r="DA93" s="10" t="s">
        <v>1827</v>
      </c>
      <c r="DB93" s="10" t="s">
        <v>1827</v>
      </c>
      <c r="DC93" s="10" t="s">
        <v>1827</v>
      </c>
      <c r="DD93" s="10" t="s">
        <v>1827</v>
      </c>
      <c r="DE93" s="10" t="s">
        <v>1827</v>
      </c>
      <c r="DF93" s="10" t="s">
        <v>1827</v>
      </c>
      <c r="DG93" s="10" t="s">
        <v>1827</v>
      </c>
      <c r="DH93" s="10" t="s">
        <v>1827</v>
      </c>
      <c r="DI93" s="10" t="s">
        <v>1827</v>
      </c>
      <c r="DJ93" s="10" t="s">
        <v>1827</v>
      </c>
      <c r="DK93" s="10" t="s">
        <v>1827</v>
      </c>
      <c r="DL93" s="10" t="s">
        <v>1827</v>
      </c>
      <c r="DM93" s="10" t="s">
        <v>1827</v>
      </c>
      <c r="DN93" s="10" t="s">
        <v>1827</v>
      </c>
      <c r="DO93" s="10" t="s">
        <v>1827</v>
      </c>
      <c r="DP93" s="10" t="s">
        <v>1827</v>
      </c>
      <c r="DQ93" s="10" t="s">
        <v>1827</v>
      </c>
      <c r="DR93" s="10" t="s">
        <v>1827</v>
      </c>
      <c r="DS93" s="10" t="s">
        <v>1827</v>
      </c>
      <c r="DT93" s="10" t="s">
        <v>1827</v>
      </c>
      <c r="DU93" s="10" t="s">
        <v>1827</v>
      </c>
      <c r="DV93" s="10" t="s">
        <v>1827</v>
      </c>
      <c r="DW93" s="10" t="s">
        <v>1827</v>
      </c>
      <c r="DX93" s="10" t="s">
        <v>1827</v>
      </c>
      <c r="DY93" s="10" t="s">
        <v>1827</v>
      </c>
      <c r="DZ93" s="10" t="s">
        <v>1827</v>
      </c>
      <c r="EA93" s="10" t="s">
        <v>1827</v>
      </c>
      <c r="EB93" s="10" t="s">
        <v>1827</v>
      </c>
      <c r="EC93" s="10" t="s">
        <v>1827</v>
      </c>
      <c r="ED93" s="10" t="s">
        <v>1827</v>
      </c>
      <c r="EE93" s="10" t="s">
        <v>1827</v>
      </c>
      <c r="EF93" s="10" t="s">
        <v>1827</v>
      </c>
      <c r="EG93" s="10" t="s">
        <v>1827</v>
      </c>
      <c r="EH93" s="10" t="s">
        <v>1827</v>
      </c>
      <c r="EI93" s="10" t="s">
        <v>1827</v>
      </c>
      <c r="EJ93" s="10" t="s">
        <v>1827</v>
      </c>
      <c r="EK93" s="10" t="s">
        <v>1827</v>
      </c>
      <c r="EL93" s="10" t="s">
        <v>1827</v>
      </c>
      <c r="EM93" s="10" t="s">
        <v>1827</v>
      </c>
      <c r="EN93" s="10" t="s">
        <v>1827</v>
      </c>
      <c r="EO93" s="10" t="s">
        <v>1827</v>
      </c>
      <c r="EP93" s="10" t="s">
        <v>1827</v>
      </c>
      <c r="EQ93" s="10" t="s">
        <v>1827</v>
      </c>
      <c r="ER93" s="10" t="s">
        <v>1827</v>
      </c>
      <c r="ES93" s="10" t="s">
        <v>1827</v>
      </c>
      <c r="ET93" s="10" t="s">
        <v>1827</v>
      </c>
      <c r="EU93" s="10" t="s">
        <v>1827</v>
      </c>
      <c r="EV93" s="10" t="s">
        <v>1827</v>
      </c>
      <c r="EW93" s="10" t="s">
        <v>1827</v>
      </c>
      <c r="EX93" s="10" t="s">
        <v>1827</v>
      </c>
      <c r="EY93" s="10" t="s">
        <v>1827</v>
      </c>
      <c r="EZ93" s="10" t="s">
        <v>1827</v>
      </c>
      <c r="FA93" s="10" t="s">
        <v>1827</v>
      </c>
      <c r="FB93" s="10" t="s">
        <v>1827</v>
      </c>
      <c r="FC93" s="10" t="s">
        <v>1827</v>
      </c>
      <c r="FD93" s="10" t="s">
        <v>1827</v>
      </c>
      <c r="FE93" s="10" t="s">
        <v>1827</v>
      </c>
      <c r="FF93" s="10" t="s">
        <v>1827</v>
      </c>
      <c r="FG93" s="10" t="s">
        <v>1827</v>
      </c>
      <c r="FH93" s="10" t="s">
        <v>1827</v>
      </c>
      <c r="FI93" s="10" t="s">
        <v>1827</v>
      </c>
      <c r="FJ93" s="10" t="s">
        <v>1827</v>
      </c>
      <c r="FK93" s="10" t="s">
        <v>1827</v>
      </c>
      <c r="FL93" s="10" t="s">
        <v>1827</v>
      </c>
      <c r="FM93" s="10" t="s">
        <v>1827</v>
      </c>
      <c r="FN93" s="10" t="s">
        <v>1827</v>
      </c>
      <c r="FO93" s="10" t="s">
        <v>1827</v>
      </c>
      <c r="FP93" s="10" t="s">
        <v>1827</v>
      </c>
      <c r="FQ93" s="10" t="s">
        <v>1827</v>
      </c>
      <c r="FR93" s="10" t="s">
        <v>1827</v>
      </c>
      <c r="FS93" s="10" t="s">
        <v>1827</v>
      </c>
      <c r="FT93" s="10">
        <v>1000</v>
      </c>
      <c r="FU93" s="10">
        <v>1045</v>
      </c>
      <c r="FV93" s="10">
        <v>1144</v>
      </c>
      <c r="FW93" s="10">
        <v>1187</v>
      </c>
      <c r="FX93" s="10">
        <v>1078</v>
      </c>
      <c r="FY93" s="10">
        <v>1067</v>
      </c>
      <c r="FZ93" s="10">
        <v>1133</v>
      </c>
      <c r="GA93" s="10">
        <v>1219</v>
      </c>
      <c r="GB93" s="10">
        <v>1079</v>
      </c>
      <c r="GC93" s="10">
        <v>1113</v>
      </c>
      <c r="GD93" s="10">
        <v>1234</v>
      </c>
      <c r="GE93" s="10">
        <v>1286</v>
      </c>
      <c r="GF93" s="10">
        <v>1107</v>
      </c>
      <c r="GG93" s="10">
        <v>1093</v>
      </c>
      <c r="GH93" s="10">
        <v>1310</v>
      </c>
      <c r="GI93" s="10">
        <v>1297</v>
      </c>
      <c r="GJ93" s="10">
        <v>1300</v>
      </c>
      <c r="GK93" s="10">
        <v>1354</v>
      </c>
      <c r="GL93" s="10">
        <v>1366</v>
      </c>
      <c r="GM93" s="10">
        <v>1404</v>
      </c>
      <c r="GN93" s="10">
        <v>1390</v>
      </c>
      <c r="GO93" s="10">
        <v>1542</v>
      </c>
      <c r="GP93" s="10">
        <v>1678</v>
      </c>
      <c r="GQ93" s="10">
        <v>1820</v>
      </c>
      <c r="GR93" s="10">
        <v>1614</v>
      </c>
      <c r="GS93" s="10">
        <v>1707</v>
      </c>
    </row>
    <row r="94" spans="1:201" ht="12.6">
      <c r="A94" s="51" t="s">
        <v>1912</v>
      </c>
      <c r="B94" s="10"/>
      <c r="C94" s="10"/>
      <c r="D94" s="10"/>
      <c r="E94" s="10"/>
      <c r="F94" s="10" t="s">
        <v>1827</v>
      </c>
      <c r="G94" s="10" t="s">
        <v>1827</v>
      </c>
      <c r="H94" s="10" t="s">
        <v>1827</v>
      </c>
      <c r="I94" s="10" t="s">
        <v>1827</v>
      </c>
      <c r="J94" s="10" t="s">
        <v>1827</v>
      </c>
      <c r="K94" s="10" t="s">
        <v>1827</v>
      </c>
      <c r="L94" s="10" t="s">
        <v>1827</v>
      </c>
      <c r="M94" s="10" t="s">
        <v>1827</v>
      </c>
      <c r="N94" s="10" t="s">
        <v>1827</v>
      </c>
      <c r="O94" s="10" t="s">
        <v>1827</v>
      </c>
      <c r="P94" s="10" t="s">
        <v>1827</v>
      </c>
      <c r="Q94" s="10" t="s">
        <v>1827</v>
      </c>
      <c r="R94" s="10" t="s">
        <v>1827</v>
      </c>
      <c r="S94" s="10" t="s">
        <v>1827</v>
      </c>
      <c r="T94" s="10" t="s">
        <v>1827</v>
      </c>
      <c r="U94" s="10" t="s">
        <v>1827</v>
      </c>
      <c r="V94" s="10" t="s">
        <v>1827</v>
      </c>
      <c r="W94" s="10" t="s">
        <v>1827</v>
      </c>
      <c r="X94" s="10" t="s">
        <v>1827</v>
      </c>
      <c r="Y94" s="10" t="s">
        <v>1827</v>
      </c>
      <c r="Z94" s="10" t="s">
        <v>1827</v>
      </c>
      <c r="AA94" s="10" t="s">
        <v>1827</v>
      </c>
      <c r="AB94" s="10" t="s">
        <v>1827</v>
      </c>
      <c r="AC94" s="10" t="s">
        <v>1827</v>
      </c>
      <c r="AD94" s="10" t="s">
        <v>1827</v>
      </c>
      <c r="AE94" s="10" t="s">
        <v>1827</v>
      </c>
      <c r="AF94" s="10" t="s">
        <v>1827</v>
      </c>
      <c r="AG94" s="10" t="s">
        <v>1827</v>
      </c>
      <c r="AH94" s="10" t="s">
        <v>1827</v>
      </c>
      <c r="AI94" s="10" t="s">
        <v>1827</v>
      </c>
      <c r="AJ94" s="10" t="s">
        <v>1827</v>
      </c>
      <c r="AK94" s="10" t="s">
        <v>1827</v>
      </c>
      <c r="AL94" s="10" t="s">
        <v>1827</v>
      </c>
      <c r="AM94" s="10" t="s">
        <v>1827</v>
      </c>
      <c r="AN94" s="10" t="s">
        <v>1827</v>
      </c>
      <c r="AO94" s="10" t="s">
        <v>1827</v>
      </c>
      <c r="AP94" s="10" t="s">
        <v>1827</v>
      </c>
      <c r="AQ94" s="10" t="s">
        <v>1827</v>
      </c>
      <c r="AR94" s="10" t="s">
        <v>1827</v>
      </c>
      <c r="AS94" s="10" t="s">
        <v>1827</v>
      </c>
      <c r="AT94" s="10" t="s">
        <v>1827</v>
      </c>
      <c r="AU94" s="10" t="s">
        <v>1827</v>
      </c>
      <c r="AV94" s="10" t="s">
        <v>1827</v>
      </c>
      <c r="AW94" s="10" t="s">
        <v>1827</v>
      </c>
      <c r="AX94" s="10" t="s">
        <v>1827</v>
      </c>
      <c r="AY94" s="10" t="s">
        <v>1827</v>
      </c>
      <c r="AZ94" s="10" t="s">
        <v>1827</v>
      </c>
      <c r="BA94" s="10" t="s">
        <v>1827</v>
      </c>
      <c r="BB94" s="10" t="s">
        <v>1827</v>
      </c>
      <c r="BC94" s="10" t="s">
        <v>1827</v>
      </c>
      <c r="BD94" s="10" t="s">
        <v>1827</v>
      </c>
      <c r="BE94" s="10" t="s">
        <v>1827</v>
      </c>
      <c r="BF94" s="10" t="s">
        <v>1827</v>
      </c>
      <c r="BG94" s="10" t="s">
        <v>1827</v>
      </c>
      <c r="BH94" s="10" t="s">
        <v>1827</v>
      </c>
      <c r="BI94" s="10" t="s">
        <v>1827</v>
      </c>
      <c r="BJ94" s="10" t="s">
        <v>1827</v>
      </c>
      <c r="BK94" s="10" t="s">
        <v>1827</v>
      </c>
      <c r="BL94" s="10" t="s">
        <v>1827</v>
      </c>
      <c r="BM94" s="10" t="s">
        <v>1827</v>
      </c>
      <c r="BN94" s="10" t="s">
        <v>1827</v>
      </c>
      <c r="BO94" s="10" t="s">
        <v>1827</v>
      </c>
      <c r="BP94" s="10" t="s">
        <v>1827</v>
      </c>
      <c r="BQ94" s="10" t="s">
        <v>1827</v>
      </c>
      <c r="BR94" s="10" t="s">
        <v>1827</v>
      </c>
      <c r="BS94" s="10" t="s">
        <v>1827</v>
      </c>
      <c r="BT94" s="10" t="s">
        <v>1827</v>
      </c>
      <c r="BU94" s="10" t="s">
        <v>1827</v>
      </c>
      <c r="BV94" s="10" t="s">
        <v>1827</v>
      </c>
      <c r="BW94" s="10" t="s">
        <v>1827</v>
      </c>
      <c r="BX94" s="10" t="s">
        <v>1827</v>
      </c>
      <c r="BY94" s="10" t="s">
        <v>1827</v>
      </c>
      <c r="BZ94" s="10" t="s">
        <v>1827</v>
      </c>
      <c r="CA94" s="10" t="s">
        <v>1827</v>
      </c>
      <c r="CB94" s="10" t="s">
        <v>1827</v>
      </c>
      <c r="CC94" s="10" t="s">
        <v>1827</v>
      </c>
      <c r="CD94" s="10" t="s">
        <v>1827</v>
      </c>
      <c r="CE94" s="10" t="s">
        <v>1827</v>
      </c>
      <c r="CF94" s="10" t="s">
        <v>1827</v>
      </c>
      <c r="CG94" s="10" t="s">
        <v>1827</v>
      </c>
      <c r="CH94" s="10" t="s">
        <v>1827</v>
      </c>
      <c r="CI94" s="10" t="s">
        <v>1827</v>
      </c>
      <c r="CJ94" s="10" t="s">
        <v>1827</v>
      </c>
      <c r="CK94" s="10" t="s">
        <v>1827</v>
      </c>
      <c r="CL94" s="10" t="s">
        <v>1827</v>
      </c>
      <c r="CM94" s="10" t="s">
        <v>1827</v>
      </c>
      <c r="CN94" s="10" t="s">
        <v>1827</v>
      </c>
      <c r="CO94" s="10" t="s">
        <v>1827</v>
      </c>
      <c r="CP94" s="10" t="s">
        <v>1827</v>
      </c>
      <c r="CQ94" s="10" t="s">
        <v>1827</v>
      </c>
      <c r="CR94" s="10" t="s">
        <v>1827</v>
      </c>
      <c r="CS94" s="10" t="s">
        <v>1827</v>
      </c>
      <c r="CT94" s="10" t="s">
        <v>1827</v>
      </c>
      <c r="CU94" s="10" t="s">
        <v>1827</v>
      </c>
      <c r="CV94" s="10" t="s">
        <v>1827</v>
      </c>
      <c r="CW94" s="10" t="s">
        <v>1827</v>
      </c>
      <c r="CX94" s="10" t="s">
        <v>1827</v>
      </c>
      <c r="CY94" s="10" t="s">
        <v>1827</v>
      </c>
      <c r="CZ94" s="10" t="s">
        <v>1827</v>
      </c>
      <c r="DA94" s="10" t="s">
        <v>1827</v>
      </c>
      <c r="DB94" s="10" t="s">
        <v>1827</v>
      </c>
      <c r="DC94" s="10" t="s">
        <v>1827</v>
      </c>
      <c r="DD94" s="10" t="s">
        <v>1827</v>
      </c>
      <c r="DE94" s="10" t="s">
        <v>1827</v>
      </c>
      <c r="DF94" s="10" t="s">
        <v>1827</v>
      </c>
      <c r="DG94" s="10" t="s">
        <v>1827</v>
      </c>
      <c r="DH94" s="10" t="s">
        <v>1827</v>
      </c>
      <c r="DI94" s="10" t="s">
        <v>1827</v>
      </c>
      <c r="DJ94" s="10" t="s">
        <v>1827</v>
      </c>
      <c r="DK94" s="10" t="s">
        <v>1827</v>
      </c>
      <c r="DL94" s="10" t="s">
        <v>1827</v>
      </c>
      <c r="DM94" s="10" t="s">
        <v>1827</v>
      </c>
      <c r="DN94" s="10" t="s">
        <v>1827</v>
      </c>
      <c r="DO94" s="10" t="s">
        <v>1827</v>
      </c>
      <c r="DP94" s="10" t="s">
        <v>1827</v>
      </c>
      <c r="DQ94" s="10" t="s">
        <v>1827</v>
      </c>
      <c r="DR94" s="10" t="s">
        <v>1827</v>
      </c>
      <c r="DS94" s="10" t="s">
        <v>1827</v>
      </c>
      <c r="DT94" s="10" t="s">
        <v>1827</v>
      </c>
      <c r="DU94" s="10" t="s">
        <v>1827</v>
      </c>
      <c r="DV94" s="10" t="s">
        <v>1827</v>
      </c>
      <c r="DW94" s="10" t="s">
        <v>1827</v>
      </c>
      <c r="DX94" s="10" t="s">
        <v>1827</v>
      </c>
      <c r="DY94" s="10" t="s">
        <v>1827</v>
      </c>
      <c r="DZ94" s="10" t="s">
        <v>1827</v>
      </c>
      <c r="EA94" s="10" t="s">
        <v>1827</v>
      </c>
      <c r="EB94" s="10" t="s">
        <v>1827</v>
      </c>
      <c r="EC94" s="10" t="s">
        <v>1827</v>
      </c>
      <c r="ED94" s="10" t="s">
        <v>1827</v>
      </c>
      <c r="EE94" s="10" t="s">
        <v>1827</v>
      </c>
      <c r="EF94" s="10" t="s">
        <v>1827</v>
      </c>
      <c r="EG94" s="10" t="s">
        <v>1827</v>
      </c>
      <c r="EH94" s="10" t="s">
        <v>1827</v>
      </c>
      <c r="EI94" s="10" t="s">
        <v>1827</v>
      </c>
      <c r="EJ94" s="10" t="s">
        <v>1827</v>
      </c>
      <c r="EK94" s="10" t="s">
        <v>1827</v>
      </c>
      <c r="EL94" s="10" t="s">
        <v>1827</v>
      </c>
      <c r="EM94" s="10" t="s">
        <v>1827</v>
      </c>
      <c r="EN94" s="10" t="s">
        <v>1827</v>
      </c>
      <c r="EO94" s="10" t="s">
        <v>1827</v>
      </c>
      <c r="EP94" s="10" t="s">
        <v>1827</v>
      </c>
      <c r="EQ94" s="10" t="s">
        <v>1827</v>
      </c>
      <c r="ER94" s="10" t="s">
        <v>1827</v>
      </c>
      <c r="ES94" s="10" t="s">
        <v>1827</v>
      </c>
      <c r="ET94" s="10" t="s">
        <v>1827</v>
      </c>
      <c r="EU94" s="10" t="s">
        <v>1827</v>
      </c>
      <c r="EV94" s="10" t="s">
        <v>1827</v>
      </c>
      <c r="EW94" s="10" t="s">
        <v>1827</v>
      </c>
      <c r="EX94" s="10" t="s">
        <v>1827</v>
      </c>
      <c r="EY94" s="10" t="s">
        <v>1827</v>
      </c>
      <c r="EZ94" s="10" t="s">
        <v>1827</v>
      </c>
      <c r="FA94" s="10" t="s">
        <v>1827</v>
      </c>
      <c r="FB94" s="10" t="s">
        <v>1827</v>
      </c>
      <c r="FC94" s="10" t="s">
        <v>1827</v>
      </c>
      <c r="FD94" s="10" t="s">
        <v>1827</v>
      </c>
      <c r="FE94" s="10" t="s">
        <v>1827</v>
      </c>
      <c r="FF94" s="10" t="s">
        <v>1827</v>
      </c>
      <c r="FG94" s="10" t="s">
        <v>1827</v>
      </c>
      <c r="FH94" s="10" t="s">
        <v>1827</v>
      </c>
      <c r="FI94" s="10" t="s">
        <v>1827</v>
      </c>
      <c r="FJ94" s="10" t="s">
        <v>1827</v>
      </c>
      <c r="FK94" s="10" t="s">
        <v>1827</v>
      </c>
      <c r="FL94" s="10" t="s">
        <v>1827</v>
      </c>
      <c r="FM94" s="10" t="s">
        <v>1827</v>
      </c>
      <c r="FN94" s="10" t="s">
        <v>1827</v>
      </c>
      <c r="FO94" s="10" t="s">
        <v>1827</v>
      </c>
      <c r="FP94" s="10" t="s">
        <v>1827</v>
      </c>
      <c r="FQ94" s="10" t="s">
        <v>1827</v>
      </c>
      <c r="FR94" s="10" t="s">
        <v>1827</v>
      </c>
      <c r="FS94" s="10" t="s">
        <v>1827</v>
      </c>
      <c r="FT94" s="10">
        <v>1000</v>
      </c>
      <c r="FU94" s="10">
        <v>1000</v>
      </c>
      <c r="FV94" s="10">
        <v>968</v>
      </c>
      <c r="FW94" s="10">
        <v>1044</v>
      </c>
      <c r="FX94" s="10">
        <v>1081</v>
      </c>
      <c r="FY94" s="10">
        <v>1086</v>
      </c>
      <c r="FZ94" s="10">
        <v>1139</v>
      </c>
      <c r="GA94" s="10">
        <v>1120</v>
      </c>
      <c r="GB94" s="10">
        <v>1165</v>
      </c>
      <c r="GC94" s="10">
        <v>1168</v>
      </c>
      <c r="GD94" s="10">
        <v>1177</v>
      </c>
      <c r="GE94" s="10">
        <v>1204</v>
      </c>
      <c r="GF94" s="10">
        <v>1198</v>
      </c>
      <c r="GG94" s="10">
        <v>1205</v>
      </c>
      <c r="GH94" s="10">
        <v>1211</v>
      </c>
      <c r="GI94" s="10">
        <v>1221</v>
      </c>
      <c r="GJ94" s="10">
        <v>1236</v>
      </c>
      <c r="GK94" s="10">
        <v>1235</v>
      </c>
      <c r="GL94" s="10">
        <v>1257</v>
      </c>
      <c r="GM94" s="10">
        <v>1261</v>
      </c>
      <c r="GN94" s="10">
        <v>1326</v>
      </c>
      <c r="GO94" s="10">
        <v>1361</v>
      </c>
      <c r="GP94" s="10">
        <v>1379</v>
      </c>
      <c r="GQ94" s="10">
        <v>1293</v>
      </c>
      <c r="GR94" s="10">
        <v>1491</v>
      </c>
      <c r="GS94" s="10">
        <v>1483</v>
      </c>
    </row>
    <row r="95" spans="1:201" ht="12.6">
      <c r="A95" s="51" t="s">
        <v>1913</v>
      </c>
      <c r="B95" s="10"/>
      <c r="C95" s="10"/>
      <c r="D95" s="10"/>
      <c r="E95" s="10"/>
      <c r="F95" s="10" t="s">
        <v>1827</v>
      </c>
      <c r="G95" s="10" t="s">
        <v>1827</v>
      </c>
      <c r="H95" s="10" t="s">
        <v>1827</v>
      </c>
      <c r="I95" s="10" t="s">
        <v>1827</v>
      </c>
      <c r="J95" s="10" t="s">
        <v>1827</v>
      </c>
      <c r="K95" s="10" t="s">
        <v>1827</v>
      </c>
      <c r="L95" s="10" t="s">
        <v>1827</v>
      </c>
      <c r="M95" s="10" t="s">
        <v>1827</v>
      </c>
      <c r="N95" s="10" t="s">
        <v>1827</v>
      </c>
      <c r="O95" s="10" t="s">
        <v>1827</v>
      </c>
      <c r="P95" s="10" t="s">
        <v>1827</v>
      </c>
      <c r="Q95" s="10" t="s">
        <v>1827</v>
      </c>
      <c r="R95" s="10" t="s">
        <v>1827</v>
      </c>
      <c r="S95" s="10" t="s">
        <v>1827</v>
      </c>
      <c r="T95" s="10" t="s">
        <v>1827</v>
      </c>
      <c r="U95" s="10" t="s">
        <v>1827</v>
      </c>
      <c r="V95" s="10" t="s">
        <v>1827</v>
      </c>
      <c r="W95" s="10" t="s">
        <v>1827</v>
      </c>
      <c r="X95" s="10" t="s">
        <v>1827</v>
      </c>
      <c r="Y95" s="10" t="s">
        <v>1827</v>
      </c>
      <c r="Z95" s="10" t="s">
        <v>1827</v>
      </c>
      <c r="AA95" s="10" t="s">
        <v>1827</v>
      </c>
      <c r="AB95" s="10" t="s">
        <v>1827</v>
      </c>
      <c r="AC95" s="10" t="s">
        <v>1827</v>
      </c>
      <c r="AD95" s="10" t="s">
        <v>1827</v>
      </c>
      <c r="AE95" s="10" t="s">
        <v>1827</v>
      </c>
      <c r="AF95" s="10" t="s">
        <v>1827</v>
      </c>
      <c r="AG95" s="10" t="s">
        <v>1827</v>
      </c>
      <c r="AH95" s="10" t="s">
        <v>1827</v>
      </c>
      <c r="AI95" s="10" t="s">
        <v>1827</v>
      </c>
      <c r="AJ95" s="10" t="s">
        <v>1827</v>
      </c>
      <c r="AK95" s="10" t="s">
        <v>1827</v>
      </c>
      <c r="AL95" s="10" t="s">
        <v>1827</v>
      </c>
      <c r="AM95" s="10" t="s">
        <v>1827</v>
      </c>
      <c r="AN95" s="10" t="s">
        <v>1827</v>
      </c>
      <c r="AO95" s="10" t="s">
        <v>1827</v>
      </c>
      <c r="AP95" s="10" t="s">
        <v>1827</v>
      </c>
      <c r="AQ95" s="10" t="s">
        <v>1827</v>
      </c>
      <c r="AR95" s="10" t="s">
        <v>1827</v>
      </c>
      <c r="AS95" s="10" t="s">
        <v>1827</v>
      </c>
      <c r="AT95" s="10" t="s">
        <v>1827</v>
      </c>
      <c r="AU95" s="10" t="s">
        <v>1827</v>
      </c>
      <c r="AV95" s="10" t="s">
        <v>1827</v>
      </c>
      <c r="AW95" s="10" t="s">
        <v>1827</v>
      </c>
      <c r="AX95" s="10" t="s">
        <v>1827</v>
      </c>
      <c r="AY95" s="10" t="s">
        <v>1827</v>
      </c>
      <c r="AZ95" s="10" t="s">
        <v>1827</v>
      </c>
      <c r="BA95" s="10" t="s">
        <v>1827</v>
      </c>
      <c r="BB95" s="10" t="s">
        <v>1827</v>
      </c>
      <c r="BC95" s="10" t="s">
        <v>1827</v>
      </c>
      <c r="BD95" s="10" t="s">
        <v>1827</v>
      </c>
      <c r="BE95" s="10" t="s">
        <v>1827</v>
      </c>
      <c r="BF95" s="10" t="s">
        <v>1827</v>
      </c>
      <c r="BG95" s="10" t="s">
        <v>1827</v>
      </c>
      <c r="BH95" s="10" t="s">
        <v>1827</v>
      </c>
      <c r="BI95" s="10" t="s">
        <v>1827</v>
      </c>
      <c r="BJ95" s="10">
        <v>555.14947700000005</v>
      </c>
      <c r="BK95" s="10">
        <v>561.25612100000001</v>
      </c>
      <c r="BL95" s="10">
        <v>567.917914</v>
      </c>
      <c r="BM95" s="10">
        <v>585.68269799999996</v>
      </c>
      <c r="BN95" s="10">
        <v>593.45479</v>
      </c>
      <c r="BO95" s="10">
        <v>599.56143399999996</v>
      </c>
      <c r="BP95" s="10">
        <v>632.87040400000001</v>
      </c>
      <c r="BQ95" s="10">
        <v>633.98070199999995</v>
      </c>
      <c r="BR95" s="10">
        <v>637.311599</v>
      </c>
      <c r="BS95" s="10">
        <v>643.41824399999996</v>
      </c>
      <c r="BT95" s="10">
        <v>651.74548600000003</v>
      </c>
      <c r="BU95" s="10">
        <v>657.85212999999999</v>
      </c>
      <c r="BV95" s="10">
        <v>661.18302600000004</v>
      </c>
      <c r="BW95" s="10">
        <v>659.51757799999996</v>
      </c>
      <c r="BX95" s="10">
        <v>663.95877299999995</v>
      </c>
      <c r="BY95" s="10">
        <v>665.069073</v>
      </c>
      <c r="BZ95" s="10">
        <v>674.50661400000001</v>
      </c>
      <c r="CA95" s="10">
        <v>676.72721200000001</v>
      </c>
      <c r="CB95" s="10">
        <v>677.83751099999995</v>
      </c>
      <c r="CC95" s="10">
        <v>681.168408</v>
      </c>
      <c r="CD95" s="10">
        <v>689.49564899999996</v>
      </c>
      <c r="CE95" s="10">
        <v>694.32212000000004</v>
      </c>
      <c r="CF95" s="10">
        <v>699.83808499999998</v>
      </c>
      <c r="CG95" s="10">
        <v>704.66455399999995</v>
      </c>
      <c r="CH95" s="10">
        <v>704.66455399999995</v>
      </c>
      <c r="CI95" s="10">
        <v>710.18052</v>
      </c>
      <c r="CJ95" s="10">
        <v>722.59144100000003</v>
      </c>
      <c r="CK95" s="10">
        <v>731.55488400000002</v>
      </c>
      <c r="CL95" s="10">
        <v>726.03891899999996</v>
      </c>
      <c r="CM95" s="10">
        <v>741.89731900000004</v>
      </c>
      <c r="CN95" s="10">
        <v>741.89731900000004</v>
      </c>
      <c r="CO95" s="10">
        <v>749.48177099999998</v>
      </c>
      <c r="CP95" s="10">
        <v>746.03429300000005</v>
      </c>
      <c r="CQ95" s="10">
        <v>760.51370099999997</v>
      </c>
      <c r="CR95" s="10">
        <v>777.75109199999997</v>
      </c>
      <c r="CS95" s="10">
        <v>776.37210100000004</v>
      </c>
      <c r="CT95" s="10">
        <v>781.88806699999998</v>
      </c>
      <c r="CU95" s="10">
        <v>793.60949300000004</v>
      </c>
      <c r="CV95" s="10">
        <v>795.67798000000005</v>
      </c>
      <c r="CW95" s="10">
        <v>812.91537100000005</v>
      </c>
      <c r="CX95" s="10">
        <v>818.43133599999999</v>
      </c>
      <c r="CY95" s="10">
        <v>823.94730100000004</v>
      </c>
      <c r="CZ95" s="10">
        <v>825.32629299999996</v>
      </c>
      <c r="DA95" s="10">
        <v>836.88086099999998</v>
      </c>
      <c r="DB95" s="10">
        <v>857.51401799999996</v>
      </c>
      <c r="DC95" s="10">
        <v>866.59260800000004</v>
      </c>
      <c r="DD95" s="10">
        <v>871.54456500000003</v>
      </c>
      <c r="DE95" s="10">
        <v>876.49652300000002</v>
      </c>
      <c r="DF95" s="10">
        <v>878.97250199999996</v>
      </c>
      <c r="DG95" s="10">
        <v>895.47902799999997</v>
      </c>
      <c r="DH95" s="10">
        <v>911.98555399999998</v>
      </c>
      <c r="DI95" s="10">
        <v>918.58816300000001</v>
      </c>
      <c r="DJ95" s="10">
        <v>927.66675299999997</v>
      </c>
      <c r="DK95" s="10">
        <v>941.69730000000004</v>
      </c>
      <c r="DL95" s="10">
        <v>953.25186799999994</v>
      </c>
      <c r="DM95" s="10">
        <v>954.90252099999998</v>
      </c>
      <c r="DN95" s="10">
        <v>957.37849900000003</v>
      </c>
      <c r="DO95" s="10">
        <v>969.75839299999996</v>
      </c>
      <c r="DP95" s="10">
        <v>978.83698300000003</v>
      </c>
      <c r="DQ95" s="10">
        <v>991.21687699999995</v>
      </c>
      <c r="DR95" s="10">
        <v>995.34351000000004</v>
      </c>
      <c r="DS95" s="10">
        <v>1025.0552560000001</v>
      </c>
      <c r="DT95" s="10">
        <v>1028.3565599999999</v>
      </c>
      <c r="DU95" s="10">
        <v>1044.863087</v>
      </c>
      <c r="DV95" s="10">
        <v>1053.1163489999999</v>
      </c>
      <c r="DW95" s="10">
        <v>1075.400159</v>
      </c>
      <c r="DX95" s="10">
        <v>1094.382664</v>
      </c>
      <c r="DY95" s="10">
        <v>1107.5878849999999</v>
      </c>
      <c r="DZ95" s="10">
        <v>1086.954727</v>
      </c>
      <c r="EA95" s="10">
        <v>1096.0333169999999</v>
      </c>
      <c r="EB95" s="10">
        <v>1127.395716</v>
      </c>
      <c r="EC95" s="10">
        <v>1138.6696730000001</v>
      </c>
      <c r="ED95" s="10">
        <v>1129.6505070000001</v>
      </c>
      <c r="EE95" s="10">
        <v>1139.797069</v>
      </c>
      <c r="EF95" s="10">
        <v>1121.7587370000001</v>
      </c>
      <c r="EG95" s="10">
        <v>758.73731699999996</v>
      </c>
      <c r="EH95" s="10">
        <v>736.18940199999997</v>
      </c>
      <c r="EI95" s="10">
        <v>744.08117200000004</v>
      </c>
      <c r="EJ95" s="10">
        <v>745.20856800000001</v>
      </c>
      <c r="EK95" s="10">
        <v>747.46335999999997</v>
      </c>
      <c r="EL95" s="10">
        <v>757.60992099999999</v>
      </c>
      <c r="EM95" s="10">
        <v>768.88387799999998</v>
      </c>
      <c r="EN95" s="10">
        <v>767.756483</v>
      </c>
      <c r="EO95" s="10">
        <v>771.13867000000005</v>
      </c>
      <c r="EP95" s="10">
        <v>768.88387799999998</v>
      </c>
      <c r="EQ95" s="10">
        <v>777.90304400000002</v>
      </c>
      <c r="ER95" s="10">
        <v>782.41262700000004</v>
      </c>
      <c r="ES95" s="10">
        <v>795.94137499999999</v>
      </c>
      <c r="ET95" s="10">
        <v>825.25366399999996</v>
      </c>
      <c r="EU95" s="10">
        <v>869.22209699999996</v>
      </c>
      <c r="EV95" s="10">
        <v>873.73167999999998</v>
      </c>
      <c r="EW95" s="10">
        <v>886.13303299999995</v>
      </c>
      <c r="EX95" s="10">
        <v>891.77001099999995</v>
      </c>
      <c r="EY95" s="10">
        <v>906.42615599999999</v>
      </c>
      <c r="EZ95" s="10">
        <v>908.68094699999995</v>
      </c>
      <c r="FA95" s="10">
        <v>913.19052999999997</v>
      </c>
      <c r="FB95" s="10">
        <v>923.33709099999999</v>
      </c>
      <c r="FC95" s="10">
        <v>928.97406999999998</v>
      </c>
      <c r="FD95" s="10">
        <v>931.22886100000005</v>
      </c>
      <c r="FE95" s="10">
        <v>934.61104799999998</v>
      </c>
      <c r="FF95" s="10">
        <v>925.59188300000005</v>
      </c>
      <c r="FG95" s="10">
        <v>931.22886100000005</v>
      </c>
      <c r="FH95" s="10">
        <v>950.394589</v>
      </c>
      <c r="FI95" s="10">
        <v>951.52198399999997</v>
      </c>
      <c r="FJ95" s="10">
        <v>968.43291999999997</v>
      </c>
      <c r="FK95" s="10">
        <v>968.43291999999997</v>
      </c>
      <c r="FL95" s="10">
        <v>976.32469000000003</v>
      </c>
      <c r="FM95" s="10">
        <v>978.57948099999999</v>
      </c>
      <c r="FN95" s="10">
        <v>971.81510700000001</v>
      </c>
      <c r="FO95" s="10">
        <v>970.68771100000004</v>
      </c>
      <c r="FP95" s="10">
        <v>984.21645999999998</v>
      </c>
      <c r="FQ95" s="10">
        <v>986.47125100000005</v>
      </c>
      <c r="FR95" s="10">
        <v>990.98083399999996</v>
      </c>
      <c r="FS95" s="10">
        <v>990.98083399999996</v>
      </c>
      <c r="FT95" s="10">
        <v>1000</v>
      </c>
      <c r="FU95" s="10">
        <v>1002.254791</v>
      </c>
      <c r="FV95" s="10">
        <v>1012</v>
      </c>
      <c r="FW95" s="10">
        <v>1020</v>
      </c>
      <c r="FX95" s="10">
        <v>1026</v>
      </c>
      <c r="FY95" s="10">
        <v>1027</v>
      </c>
      <c r="FZ95" s="10">
        <v>1027</v>
      </c>
      <c r="GA95" s="10">
        <v>1027</v>
      </c>
      <c r="GB95" s="10">
        <v>1027</v>
      </c>
      <c r="GC95" s="10">
        <v>1059</v>
      </c>
      <c r="GD95" s="10">
        <v>1059</v>
      </c>
      <c r="GE95" s="10">
        <v>1059</v>
      </c>
      <c r="GF95" s="10">
        <v>1059</v>
      </c>
      <c r="GG95" s="10">
        <v>1083</v>
      </c>
      <c r="GH95" s="10">
        <v>1086</v>
      </c>
      <c r="GI95" s="10">
        <v>1086</v>
      </c>
      <c r="GJ95" s="10">
        <v>1086</v>
      </c>
      <c r="GK95" s="10">
        <v>1106</v>
      </c>
      <c r="GL95" s="10">
        <v>1106</v>
      </c>
      <c r="GM95" s="10">
        <v>1106</v>
      </c>
      <c r="GN95" s="10">
        <v>1106</v>
      </c>
      <c r="GO95" s="10">
        <v>1151</v>
      </c>
      <c r="GP95" s="10">
        <v>1151</v>
      </c>
      <c r="GQ95" s="10">
        <v>1151</v>
      </c>
      <c r="GR95" s="10">
        <v>1151</v>
      </c>
      <c r="GS95" s="10">
        <v>1192</v>
      </c>
    </row>
    <row r="96" spans="1:201" ht="12.6">
      <c r="A96" s="51" t="s">
        <v>1914</v>
      </c>
      <c r="B96" s="10"/>
      <c r="C96" s="10"/>
      <c r="D96" s="10"/>
      <c r="E96" s="10"/>
      <c r="F96" s="10" t="s">
        <v>1827</v>
      </c>
      <c r="G96" s="10" t="s">
        <v>1827</v>
      </c>
      <c r="H96" s="10" t="s">
        <v>1827</v>
      </c>
      <c r="I96" s="10" t="s">
        <v>1827</v>
      </c>
      <c r="J96" s="10" t="s">
        <v>1827</v>
      </c>
      <c r="K96" s="10" t="s">
        <v>1827</v>
      </c>
      <c r="L96" s="10" t="s">
        <v>1827</v>
      </c>
      <c r="M96" s="10" t="s">
        <v>1827</v>
      </c>
      <c r="N96" s="10" t="s">
        <v>1827</v>
      </c>
      <c r="O96" s="10" t="s">
        <v>1827</v>
      </c>
      <c r="P96" s="10" t="s">
        <v>1827</v>
      </c>
      <c r="Q96" s="10" t="s">
        <v>1827</v>
      </c>
      <c r="R96" s="10" t="s">
        <v>1827</v>
      </c>
      <c r="S96" s="10" t="s">
        <v>1827</v>
      </c>
      <c r="T96" s="10" t="s">
        <v>1827</v>
      </c>
      <c r="U96" s="10" t="s">
        <v>1827</v>
      </c>
      <c r="V96" s="10" t="s">
        <v>1827</v>
      </c>
      <c r="W96" s="10" t="s">
        <v>1827</v>
      </c>
      <c r="X96" s="10" t="s">
        <v>1827</v>
      </c>
      <c r="Y96" s="10" t="s">
        <v>1827</v>
      </c>
      <c r="Z96" s="10" t="s">
        <v>1827</v>
      </c>
      <c r="AA96" s="10" t="s">
        <v>1827</v>
      </c>
      <c r="AB96" s="10" t="s">
        <v>1827</v>
      </c>
      <c r="AC96" s="10" t="s">
        <v>1827</v>
      </c>
      <c r="AD96" s="10" t="s">
        <v>1827</v>
      </c>
      <c r="AE96" s="10" t="s">
        <v>1827</v>
      </c>
      <c r="AF96" s="10" t="s">
        <v>1827</v>
      </c>
      <c r="AG96" s="10" t="s">
        <v>1827</v>
      </c>
      <c r="AH96" s="10" t="s">
        <v>1827</v>
      </c>
      <c r="AI96" s="10" t="s">
        <v>1827</v>
      </c>
      <c r="AJ96" s="10" t="s">
        <v>1827</v>
      </c>
      <c r="AK96" s="10" t="s">
        <v>1827</v>
      </c>
      <c r="AL96" s="10" t="s">
        <v>1827</v>
      </c>
      <c r="AM96" s="10" t="s">
        <v>1827</v>
      </c>
      <c r="AN96" s="10" t="s">
        <v>1827</v>
      </c>
      <c r="AO96" s="10" t="s">
        <v>1827</v>
      </c>
      <c r="AP96" s="10" t="s">
        <v>1827</v>
      </c>
      <c r="AQ96" s="10" t="s">
        <v>1827</v>
      </c>
      <c r="AR96" s="10" t="s">
        <v>1827</v>
      </c>
      <c r="AS96" s="10" t="s">
        <v>1827</v>
      </c>
      <c r="AT96" s="10" t="s">
        <v>1827</v>
      </c>
      <c r="AU96" s="10" t="s">
        <v>1827</v>
      </c>
      <c r="AV96" s="10" t="s">
        <v>1827</v>
      </c>
      <c r="AW96" s="10" t="s">
        <v>1827</v>
      </c>
      <c r="AX96" s="10" t="s">
        <v>1827</v>
      </c>
      <c r="AY96" s="10" t="s">
        <v>1827</v>
      </c>
      <c r="AZ96" s="10" t="s">
        <v>1827</v>
      </c>
      <c r="BA96" s="10" t="s">
        <v>1827</v>
      </c>
      <c r="BB96" s="10" t="s">
        <v>1827</v>
      </c>
      <c r="BC96" s="10" t="s">
        <v>1827</v>
      </c>
      <c r="BD96" s="10" t="s">
        <v>1827</v>
      </c>
      <c r="BE96" s="10" t="s">
        <v>1827</v>
      </c>
      <c r="BF96" s="10" t="s">
        <v>1827</v>
      </c>
      <c r="BG96" s="10" t="s">
        <v>1827</v>
      </c>
      <c r="BH96" s="10" t="s">
        <v>1827</v>
      </c>
      <c r="BI96" s="10" t="s">
        <v>1827</v>
      </c>
      <c r="BJ96" s="10" t="s">
        <v>1827</v>
      </c>
      <c r="BK96" s="10" t="s">
        <v>1827</v>
      </c>
      <c r="BL96" s="10" t="s">
        <v>1827</v>
      </c>
      <c r="BM96" s="10" t="s">
        <v>1827</v>
      </c>
      <c r="BN96" s="10" t="s">
        <v>1827</v>
      </c>
      <c r="BO96" s="10" t="s">
        <v>1827</v>
      </c>
      <c r="BP96" s="10" t="s">
        <v>1827</v>
      </c>
      <c r="BQ96" s="10" t="s">
        <v>1827</v>
      </c>
      <c r="BR96" s="10" t="s">
        <v>1827</v>
      </c>
      <c r="BS96" s="10" t="s">
        <v>1827</v>
      </c>
      <c r="BT96" s="10" t="s">
        <v>1827</v>
      </c>
      <c r="BU96" s="10" t="s">
        <v>1827</v>
      </c>
      <c r="BV96" s="10" t="s">
        <v>1827</v>
      </c>
      <c r="BW96" s="10" t="s">
        <v>1827</v>
      </c>
      <c r="BX96" s="10" t="s">
        <v>1827</v>
      </c>
      <c r="BY96" s="10" t="s">
        <v>1827</v>
      </c>
      <c r="BZ96" s="10" t="s">
        <v>1827</v>
      </c>
      <c r="CA96" s="10" t="s">
        <v>1827</v>
      </c>
      <c r="CB96" s="10" t="s">
        <v>1827</v>
      </c>
      <c r="CC96" s="10" t="s">
        <v>1827</v>
      </c>
      <c r="CD96" s="10">
        <v>314.90808399999997</v>
      </c>
      <c r="CE96" s="10">
        <v>319.31679700000001</v>
      </c>
      <c r="CF96" s="10">
        <v>320.89133700000002</v>
      </c>
      <c r="CG96" s="10">
        <v>321.20624500000002</v>
      </c>
      <c r="CH96" s="10">
        <v>321.52115300000003</v>
      </c>
      <c r="CI96" s="10">
        <v>337.58146499999998</v>
      </c>
      <c r="CJ96" s="10">
        <v>338.84109799999999</v>
      </c>
      <c r="CK96" s="10">
        <v>339.785822</v>
      </c>
      <c r="CL96" s="10">
        <v>340.415638</v>
      </c>
      <c r="CM96" s="10">
        <v>360.25484799999998</v>
      </c>
      <c r="CN96" s="10">
        <v>361.51447999999999</v>
      </c>
      <c r="CO96" s="10">
        <v>362.459204</v>
      </c>
      <c r="CP96" s="10">
        <v>364.34865300000001</v>
      </c>
      <c r="CQ96" s="10">
        <v>387.33694300000002</v>
      </c>
      <c r="CR96" s="10">
        <v>388.59657499999997</v>
      </c>
      <c r="CS96" s="10">
        <v>388.91148299999998</v>
      </c>
      <c r="CT96" s="10">
        <v>389.22639099999998</v>
      </c>
      <c r="CU96" s="10">
        <v>402.13762300000002</v>
      </c>
      <c r="CV96" s="10">
        <v>409.69541700000002</v>
      </c>
      <c r="CW96" s="10">
        <v>410.01032500000002</v>
      </c>
      <c r="CX96" s="10">
        <v>408.75069200000002</v>
      </c>
      <c r="CY96" s="10">
        <v>421.03210799999999</v>
      </c>
      <c r="CZ96" s="10">
        <v>420.40229099999999</v>
      </c>
      <c r="DA96" s="10">
        <v>419.561487</v>
      </c>
      <c r="DB96" s="10">
        <v>417.459475</v>
      </c>
      <c r="DC96" s="10">
        <v>438.05918700000001</v>
      </c>
      <c r="DD96" s="10">
        <v>438.05918700000001</v>
      </c>
      <c r="DE96" s="10">
        <v>438.05918700000001</v>
      </c>
      <c r="DF96" s="10">
        <v>440.16119900000001</v>
      </c>
      <c r="DG96" s="10">
        <v>447.30803800000001</v>
      </c>
      <c r="DH96" s="10">
        <v>447.30803800000001</v>
      </c>
      <c r="DI96" s="10">
        <v>455.295682</v>
      </c>
      <c r="DJ96" s="10">
        <v>456.55688800000001</v>
      </c>
      <c r="DK96" s="10">
        <v>483.46263499999998</v>
      </c>
      <c r="DL96" s="10">
        <v>487.66665799999998</v>
      </c>
      <c r="DM96" s="10">
        <v>487.66665799999998</v>
      </c>
      <c r="DN96" s="10">
        <v>487.66665799999998</v>
      </c>
      <c r="DO96" s="10">
        <v>512.89079500000003</v>
      </c>
      <c r="DP96" s="10">
        <v>512.89079500000003</v>
      </c>
      <c r="DQ96" s="10">
        <v>513.31119799999999</v>
      </c>
      <c r="DR96" s="10">
        <v>513.31119799999999</v>
      </c>
      <c r="DS96" s="10">
        <v>534.75171499999999</v>
      </c>
      <c r="DT96" s="10">
        <v>534.75171499999999</v>
      </c>
      <c r="DU96" s="10">
        <v>534.75171499999999</v>
      </c>
      <c r="DV96" s="10">
        <v>534.75171499999999</v>
      </c>
      <c r="DW96" s="10">
        <v>578.05315099999996</v>
      </c>
      <c r="DX96" s="10">
        <v>578.47355300000004</v>
      </c>
      <c r="DY96" s="10">
        <v>578.89395500000001</v>
      </c>
      <c r="DZ96" s="10">
        <v>580.15516200000002</v>
      </c>
      <c r="EA96" s="10">
        <v>614.62815000000001</v>
      </c>
      <c r="EB96" s="10">
        <v>614.62815000000001</v>
      </c>
      <c r="EC96" s="10">
        <v>614.62815000000001</v>
      </c>
      <c r="ED96" s="10">
        <v>614.62815000000001</v>
      </c>
      <c r="EE96" s="10">
        <v>658.88137700000004</v>
      </c>
      <c r="EF96" s="10">
        <v>658.88137700000004</v>
      </c>
      <c r="EG96" s="10">
        <v>658.88137700000004</v>
      </c>
      <c r="EH96" s="10">
        <v>658.88137700000004</v>
      </c>
      <c r="EI96" s="10">
        <v>696.373694</v>
      </c>
      <c r="EJ96" s="10">
        <v>696.373694</v>
      </c>
      <c r="EK96" s="10">
        <v>696.373694</v>
      </c>
      <c r="EL96" s="10">
        <v>696.373694</v>
      </c>
      <c r="EM96" s="10">
        <v>730.17824199999995</v>
      </c>
      <c r="EN96" s="10">
        <v>730.17824199999995</v>
      </c>
      <c r="EO96" s="10">
        <v>730.17824199999995</v>
      </c>
      <c r="EP96" s="10">
        <v>730.17824199999995</v>
      </c>
      <c r="EQ96" s="10">
        <v>753.53411200000005</v>
      </c>
      <c r="ER96" s="10">
        <v>753.53411200000005</v>
      </c>
      <c r="ES96" s="10">
        <v>753.53411200000005</v>
      </c>
      <c r="ET96" s="10">
        <v>753.53411200000005</v>
      </c>
      <c r="EU96" s="10">
        <v>792.25568499999997</v>
      </c>
      <c r="EV96" s="10">
        <v>792.25568499999997</v>
      </c>
      <c r="EW96" s="10">
        <v>792.25568499999997</v>
      </c>
      <c r="EX96" s="10">
        <v>792.25568499999997</v>
      </c>
      <c r="EY96" s="10">
        <v>819.29932399999996</v>
      </c>
      <c r="EZ96" s="10">
        <v>819.29932399999996</v>
      </c>
      <c r="FA96" s="10">
        <v>819.29932399999996</v>
      </c>
      <c r="FB96" s="10">
        <v>819.29932399999996</v>
      </c>
      <c r="FC96" s="10">
        <v>858.02089699999999</v>
      </c>
      <c r="FD96" s="10">
        <v>858.02089699999999</v>
      </c>
      <c r="FE96" s="10">
        <v>858.02089699999999</v>
      </c>
      <c r="FF96" s="10">
        <v>858.02089699999999</v>
      </c>
      <c r="FG96" s="10">
        <v>896.12784299999998</v>
      </c>
      <c r="FH96" s="10">
        <v>896.12784299999998</v>
      </c>
      <c r="FI96" s="10">
        <v>896.12784299999998</v>
      </c>
      <c r="FJ96" s="10">
        <v>896.12784299999998</v>
      </c>
      <c r="FK96" s="10">
        <v>938.53718500000002</v>
      </c>
      <c r="FL96" s="10">
        <v>938.53718500000002</v>
      </c>
      <c r="FM96" s="10">
        <v>938.53718500000002</v>
      </c>
      <c r="FN96" s="10">
        <v>938.53718500000002</v>
      </c>
      <c r="FO96" s="10">
        <v>972.95636100000002</v>
      </c>
      <c r="FP96" s="10">
        <v>972.95636100000002</v>
      </c>
      <c r="FQ96" s="10">
        <v>972.95636100000002</v>
      </c>
      <c r="FR96" s="10">
        <v>972.95636100000002</v>
      </c>
      <c r="FS96" s="10">
        <v>1000</v>
      </c>
      <c r="FT96" s="10">
        <v>1000</v>
      </c>
      <c r="FU96" s="10">
        <v>1000</v>
      </c>
      <c r="FV96" s="10">
        <v>1000</v>
      </c>
      <c r="FW96" s="10">
        <v>1028</v>
      </c>
      <c r="FX96" s="10">
        <v>1028</v>
      </c>
      <c r="FY96" s="10">
        <v>1028</v>
      </c>
      <c r="FZ96" s="10">
        <v>1028</v>
      </c>
      <c r="GA96" s="10">
        <v>1054</v>
      </c>
      <c r="GB96" s="10">
        <v>1054</v>
      </c>
      <c r="GC96" s="10">
        <v>1054</v>
      </c>
      <c r="GD96" s="10">
        <v>1054</v>
      </c>
      <c r="GE96" s="10">
        <v>1048</v>
      </c>
      <c r="GF96" s="10">
        <v>1048</v>
      </c>
      <c r="GG96" s="10">
        <v>1048</v>
      </c>
      <c r="GH96" s="10">
        <v>1048</v>
      </c>
      <c r="GI96" s="10">
        <v>1085</v>
      </c>
      <c r="GJ96" s="10">
        <v>1085</v>
      </c>
      <c r="GK96" s="10">
        <v>1085</v>
      </c>
      <c r="GL96" s="10">
        <v>1085</v>
      </c>
      <c r="GM96" s="10">
        <v>1124</v>
      </c>
      <c r="GN96" s="10">
        <v>1124</v>
      </c>
      <c r="GO96" s="10">
        <v>1124</v>
      </c>
      <c r="GP96" s="10">
        <v>1124</v>
      </c>
      <c r="GQ96" s="10">
        <v>1173</v>
      </c>
      <c r="GR96" s="10">
        <v>1173</v>
      </c>
      <c r="GS96" s="10">
        <v>1173</v>
      </c>
    </row>
    <row r="97" spans="1:201" ht="12.6">
      <c r="A97" s="51" t="s">
        <v>1915</v>
      </c>
      <c r="B97" s="10"/>
      <c r="C97" s="10"/>
      <c r="D97" s="10"/>
      <c r="E97" s="10"/>
      <c r="F97" s="10" t="s">
        <v>1827</v>
      </c>
      <c r="G97" s="10" t="s">
        <v>1827</v>
      </c>
      <c r="H97" s="10" t="s">
        <v>1827</v>
      </c>
      <c r="I97" s="10" t="s">
        <v>1827</v>
      </c>
      <c r="J97" s="10" t="s">
        <v>1827</v>
      </c>
      <c r="K97" s="10" t="s">
        <v>1827</v>
      </c>
      <c r="L97" s="10" t="s">
        <v>1827</v>
      </c>
      <c r="M97" s="10" t="s">
        <v>1827</v>
      </c>
      <c r="N97" s="10" t="s">
        <v>1827</v>
      </c>
      <c r="O97" s="10" t="s">
        <v>1827</v>
      </c>
      <c r="P97" s="10" t="s">
        <v>1827</v>
      </c>
      <c r="Q97" s="10" t="s">
        <v>1827</v>
      </c>
      <c r="R97" s="10" t="s">
        <v>1827</v>
      </c>
      <c r="S97" s="10" t="s">
        <v>1827</v>
      </c>
      <c r="T97" s="10" t="s">
        <v>1827</v>
      </c>
      <c r="U97" s="10" t="s">
        <v>1827</v>
      </c>
      <c r="V97" s="10" t="s">
        <v>1827</v>
      </c>
      <c r="W97" s="10" t="s">
        <v>1827</v>
      </c>
      <c r="X97" s="10" t="s">
        <v>1827</v>
      </c>
      <c r="Y97" s="10" t="s">
        <v>1827</v>
      </c>
      <c r="Z97" s="10" t="s">
        <v>1827</v>
      </c>
      <c r="AA97" s="10" t="s">
        <v>1827</v>
      </c>
      <c r="AB97" s="10" t="s">
        <v>1827</v>
      </c>
      <c r="AC97" s="10" t="s">
        <v>1827</v>
      </c>
      <c r="AD97" s="10" t="s">
        <v>1827</v>
      </c>
      <c r="AE97" s="10" t="s">
        <v>1827</v>
      </c>
      <c r="AF97" s="10" t="s">
        <v>1827</v>
      </c>
      <c r="AG97" s="10" t="s">
        <v>1827</v>
      </c>
      <c r="AH97" s="10" t="s">
        <v>1827</v>
      </c>
      <c r="AI97" s="10" t="s">
        <v>1827</v>
      </c>
      <c r="AJ97" s="10" t="s">
        <v>1827</v>
      </c>
      <c r="AK97" s="10" t="s">
        <v>1827</v>
      </c>
      <c r="AL97" s="10" t="s">
        <v>1827</v>
      </c>
      <c r="AM97" s="10" t="s">
        <v>1827</v>
      </c>
      <c r="AN97" s="10" t="s">
        <v>1827</v>
      </c>
      <c r="AO97" s="10" t="s">
        <v>1827</v>
      </c>
      <c r="AP97" s="10" t="s">
        <v>1827</v>
      </c>
      <c r="AQ97" s="10" t="s">
        <v>1827</v>
      </c>
      <c r="AR97" s="10" t="s">
        <v>1827</v>
      </c>
      <c r="AS97" s="10" t="s">
        <v>1827</v>
      </c>
      <c r="AT97" s="10" t="s">
        <v>1827</v>
      </c>
      <c r="AU97" s="10" t="s">
        <v>1827</v>
      </c>
      <c r="AV97" s="10" t="s">
        <v>1827</v>
      </c>
      <c r="AW97" s="10" t="s">
        <v>1827</v>
      </c>
      <c r="AX97" s="10" t="s">
        <v>1827</v>
      </c>
      <c r="AY97" s="10" t="s">
        <v>1827</v>
      </c>
      <c r="AZ97" s="10" t="s">
        <v>1827</v>
      </c>
      <c r="BA97" s="10" t="s">
        <v>1827</v>
      </c>
      <c r="BB97" s="10" t="s">
        <v>1827</v>
      </c>
      <c r="BC97" s="10" t="s">
        <v>1827</v>
      </c>
      <c r="BD97" s="10" t="s">
        <v>1827</v>
      </c>
      <c r="BE97" s="10" t="s">
        <v>1827</v>
      </c>
      <c r="BF97" s="10" t="s">
        <v>1827</v>
      </c>
      <c r="BG97" s="10" t="s">
        <v>1827</v>
      </c>
      <c r="BH97" s="10" t="s">
        <v>1827</v>
      </c>
      <c r="BI97" s="10" t="s">
        <v>1827</v>
      </c>
      <c r="BJ97" s="10" t="s">
        <v>1827</v>
      </c>
      <c r="BK97" s="10" t="s">
        <v>1827</v>
      </c>
      <c r="BL97" s="10" t="s">
        <v>1827</v>
      </c>
      <c r="BM97" s="10" t="s">
        <v>1827</v>
      </c>
      <c r="BN97" s="10" t="s">
        <v>1827</v>
      </c>
      <c r="BO97" s="10" t="s">
        <v>1827</v>
      </c>
      <c r="BP97" s="10" t="s">
        <v>1827</v>
      </c>
      <c r="BQ97" s="10" t="s">
        <v>1827</v>
      </c>
      <c r="BR97" s="10" t="s">
        <v>1827</v>
      </c>
      <c r="BS97" s="10" t="s">
        <v>1827</v>
      </c>
      <c r="BT97" s="10" t="s">
        <v>1827</v>
      </c>
      <c r="BU97" s="10" t="s">
        <v>1827</v>
      </c>
      <c r="BV97" s="10" t="s">
        <v>1827</v>
      </c>
      <c r="BW97" s="10" t="s">
        <v>1827</v>
      </c>
      <c r="BX97" s="10" t="s">
        <v>1827</v>
      </c>
      <c r="BY97" s="10" t="s">
        <v>1827</v>
      </c>
      <c r="BZ97" s="10" t="s">
        <v>1827</v>
      </c>
      <c r="CA97" s="10" t="s">
        <v>1827</v>
      </c>
      <c r="CB97" s="10" t="s">
        <v>1827</v>
      </c>
      <c r="CC97" s="10" t="s">
        <v>1827</v>
      </c>
      <c r="CD97" s="10">
        <v>244.05944099999999</v>
      </c>
      <c r="CE97" s="10">
        <v>299.21687400000002</v>
      </c>
      <c r="CF97" s="10">
        <v>299.21687400000002</v>
      </c>
      <c r="CG97" s="10">
        <v>299.21687400000002</v>
      </c>
      <c r="CH97" s="10">
        <v>299.21687400000002</v>
      </c>
      <c r="CI97" s="10">
        <v>318.74162899999999</v>
      </c>
      <c r="CJ97" s="10">
        <v>318.74162899999999</v>
      </c>
      <c r="CK97" s="10">
        <v>318.74162899999999</v>
      </c>
      <c r="CL97" s="10">
        <v>318.74162899999999</v>
      </c>
      <c r="CM97" s="10">
        <v>371.21440899999999</v>
      </c>
      <c r="CN97" s="10">
        <v>371.21440899999999</v>
      </c>
      <c r="CO97" s="10">
        <v>371.21440899999999</v>
      </c>
      <c r="CP97" s="10">
        <v>371.21440899999999</v>
      </c>
      <c r="CQ97" s="10">
        <v>425.151546</v>
      </c>
      <c r="CR97" s="10">
        <v>425.151546</v>
      </c>
      <c r="CS97" s="10">
        <v>425.151546</v>
      </c>
      <c r="CT97" s="10">
        <v>425.151546</v>
      </c>
      <c r="CU97" s="10">
        <v>462.248581</v>
      </c>
      <c r="CV97" s="10">
        <v>462.248581</v>
      </c>
      <c r="CW97" s="10">
        <v>462.248581</v>
      </c>
      <c r="CX97" s="10">
        <v>462.248581</v>
      </c>
      <c r="CY97" s="10">
        <v>531.56146200000001</v>
      </c>
      <c r="CZ97" s="10">
        <v>531.56146200000001</v>
      </c>
      <c r="DA97" s="10">
        <v>531.56146200000001</v>
      </c>
      <c r="DB97" s="10">
        <v>531.56146200000001</v>
      </c>
      <c r="DC97" s="10">
        <v>587.37541499999998</v>
      </c>
      <c r="DD97" s="10">
        <v>587.37541499999998</v>
      </c>
      <c r="DE97" s="10">
        <v>587.37541499999998</v>
      </c>
      <c r="DF97" s="10">
        <v>587.37541499999998</v>
      </c>
      <c r="DG97" s="10">
        <v>586.84385399999996</v>
      </c>
      <c r="DH97" s="10">
        <v>586.84385399999996</v>
      </c>
      <c r="DI97" s="10">
        <v>586.84385399999996</v>
      </c>
      <c r="DJ97" s="10">
        <v>586.84385399999996</v>
      </c>
      <c r="DK97" s="10">
        <v>589.50166100000001</v>
      </c>
      <c r="DL97" s="10">
        <v>589.50166100000001</v>
      </c>
      <c r="DM97" s="10">
        <v>589.50166100000001</v>
      </c>
      <c r="DN97" s="10">
        <v>589.50166100000001</v>
      </c>
      <c r="DO97" s="10">
        <v>588.9701</v>
      </c>
      <c r="DP97" s="10">
        <v>588.9701</v>
      </c>
      <c r="DQ97" s="10">
        <v>588.9701</v>
      </c>
      <c r="DR97" s="10">
        <v>588.9701</v>
      </c>
      <c r="DS97" s="10">
        <v>610.23255800000004</v>
      </c>
      <c r="DT97" s="10">
        <v>610.23255800000004</v>
      </c>
      <c r="DU97" s="10">
        <v>610.23255800000004</v>
      </c>
      <c r="DV97" s="10">
        <v>610.23255800000004</v>
      </c>
      <c r="DW97" s="10">
        <v>635.21594700000003</v>
      </c>
      <c r="DX97" s="10">
        <v>635.21594700000003</v>
      </c>
      <c r="DY97" s="10">
        <v>635.21594700000003</v>
      </c>
      <c r="DZ97" s="10">
        <v>635.21594700000003</v>
      </c>
      <c r="EA97" s="10">
        <v>664.45182699999998</v>
      </c>
      <c r="EB97" s="10">
        <v>664.45182699999998</v>
      </c>
      <c r="EC97" s="10">
        <v>664.45182699999998</v>
      </c>
      <c r="ED97" s="10">
        <v>664.45182699999998</v>
      </c>
      <c r="EE97" s="10">
        <v>675.74750800000004</v>
      </c>
      <c r="EF97" s="10">
        <v>675.74750800000004</v>
      </c>
      <c r="EG97" s="10">
        <v>675.74750800000004</v>
      </c>
      <c r="EH97" s="10">
        <v>675.74750800000004</v>
      </c>
      <c r="EI97" s="10">
        <v>697.67441899999994</v>
      </c>
      <c r="EJ97" s="10">
        <v>697.67441899999994</v>
      </c>
      <c r="EK97" s="10">
        <v>697.67441899999994</v>
      </c>
      <c r="EL97" s="10">
        <v>697.67441899999994</v>
      </c>
      <c r="EM97" s="10">
        <v>728.23920299999997</v>
      </c>
      <c r="EN97" s="10">
        <v>728.23920299999997</v>
      </c>
      <c r="EO97" s="10">
        <v>728.23920299999997</v>
      </c>
      <c r="EP97" s="10">
        <v>728.23920299999997</v>
      </c>
      <c r="EQ97" s="10">
        <v>774.75083099999995</v>
      </c>
      <c r="ER97" s="10">
        <v>774.75083099999995</v>
      </c>
      <c r="ES97" s="10">
        <v>774.75083099999995</v>
      </c>
      <c r="ET97" s="10">
        <v>774.75083099999995</v>
      </c>
      <c r="EU97" s="10">
        <v>824.58471799999995</v>
      </c>
      <c r="EV97" s="10">
        <v>824.58471799999995</v>
      </c>
      <c r="EW97" s="10">
        <v>824.58471799999995</v>
      </c>
      <c r="EX97" s="10">
        <v>824.58471799999995</v>
      </c>
      <c r="EY97" s="10">
        <v>854.48505</v>
      </c>
      <c r="EZ97" s="10">
        <v>854.48505</v>
      </c>
      <c r="FA97" s="10">
        <v>854.48505</v>
      </c>
      <c r="FB97" s="10">
        <v>854.48505</v>
      </c>
      <c r="FC97" s="10">
        <v>887.04318899999998</v>
      </c>
      <c r="FD97" s="10">
        <v>887.04318899999998</v>
      </c>
      <c r="FE97" s="10">
        <v>887.04318899999998</v>
      </c>
      <c r="FF97" s="10">
        <v>887.04318899999998</v>
      </c>
      <c r="FG97" s="10">
        <v>918.93687699999998</v>
      </c>
      <c r="FH97" s="10">
        <v>918.93687699999998</v>
      </c>
      <c r="FI97" s="10">
        <v>918.93687699999998</v>
      </c>
      <c r="FJ97" s="10">
        <v>918.93687699999998</v>
      </c>
      <c r="FK97" s="10">
        <v>954.15282400000001</v>
      </c>
      <c r="FL97" s="10">
        <v>954.15282400000001</v>
      </c>
      <c r="FM97" s="10">
        <v>954.15282400000001</v>
      </c>
      <c r="FN97" s="10">
        <v>954.15282400000001</v>
      </c>
      <c r="FO97" s="10">
        <v>982.05980099999999</v>
      </c>
      <c r="FP97" s="10">
        <v>982.05980099999999</v>
      </c>
      <c r="FQ97" s="10">
        <v>982.05980099999999</v>
      </c>
      <c r="FR97" s="10">
        <v>982.05980099999999</v>
      </c>
      <c r="FS97" s="10">
        <v>1000</v>
      </c>
      <c r="FT97" s="10">
        <v>1000</v>
      </c>
      <c r="FU97" s="10">
        <v>1000</v>
      </c>
      <c r="FV97" s="10">
        <v>1000</v>
      </c>
      <c r="FW97" s="10">
        <v>840</v>
      </c>
      <c r="FX97" s="10">
        <v>840</v>
      </c>
      <c r="FY97" s="10">
        <v>840</v>
      </c>
      <c r="FZ97" s="10">
        <v>840</v>
      </c>
      <c r="GA97" s="10">
        <v>852</v>
      </c>
      <c r="GB97" s="10">
        <v>852</v>
      </c>
      <c r="GC97" s="10">
        <v>852</v>
      </c>
      <c r="GD97" s="10">
        <v>852</v>
      </c>
      <c r="GE97" s="10">
        <v>859</v>
      </c>
      <c r="GF97" s="10">
        <v>859</v>
      </c>
      <c r="GG97" s="10">
        <v>859</v>
      </c>
      <c r="GH97" s="10">
        <v>859</v>
      </c>
      <c r="GI97" s="10">
        <v>873</v>
      </c>
      <c r="GJ97" s="10">
        <v>873</v>
      </c>
      <c r="GK97" s="10">
        <v>873</v>
      </c>
      <c r="GL97" s="10">
        <v>873</v>
      </c>
      <c r="GM97" s="10">
        <v>885</v>
      </c>
      <c r="GN97" s="10">
        <v>885</v>
      </c>
      <c r="GO97" s="10">
        <v>885</v>
      </c>
      <c r="GP97" s="10">
        <v>885</v>
      </c>
      <c r="GQ97" s="10">
        <v>930</v>
      </c>
      <c r="GR97" s="10">
        <v>930</v>
      </c>
      <c r="GS97" s="10">
        <v>930</v>
      </c>
    </row>
    <row r="98" spans="1:201" ht="12.6">
      <c r="A98" s="51" t="s">
        <v>1916</v>
      </c>
      <c r="B98" s="10"/>
      <c r="C98" s="10"/>
      <c r="D98" s="10"/>
      <c r="E98" s="10"/>
      <c r="F98" s="10" t="s">
        <v>1827</v>
      </c>
      <c r="G98" s="10" t="s">
        <v>1827</v>
      </c>
      <c r="H98" s="10" t="s">
        <v>1827</v>
      </c>
      <c r="I98" s="10" t="s">
        <v>1827</v>
      </c>
      <c r="J98" s="10" t="s">
        <v>1827</v>
      </c>
      <c r="K98" s="10" t="s">
        <v>1827</v>
      </c>
      <c r="L98" s="10" t="s">
        <v>1827</v>
      </c>
      <c r="M98" s="10" t="s">
        <v>1827</v>
      </c>
      <c r="N98" s="10" t="s">
        <v>1827</v>
      </c>
      <c r="O98" s="10" t="s">
        <v>1827</v>
      </c>
      <c r="P98" s="10" t="s">
        <v>1827</v>
      </c>
      <c r="Q98" s="10" t="s">
        <v>1827</v>
      </c>
      <c r="R98" s="10" t="s">
        <v>1827</v>
      </c>
      <c r="S98" s="10" t="s">
        <v>1827</v>
      </c>
      <c r="T98" s="10" t="s">
        <v>1827</v>
      </c>
      <c r="U98" s="10" t="s">
        <v>1827</v>
      </c>
      <c r="V98" s="10" t="s">
        <v>1827</v>
      </c>
      <c r="W98" s="10" t="s">
        <v>1827</v>
      </c>
      <c r="X98" s="10" t="s">
        <v>1827</v>
      </c>
      <c r="Y98" s="10" t="s">
        <v>1827</v>
      </c>
      <c r="Z98" s="10" t="s">
        <v>1827</v>
      </c>
      <c r="AA98" s="10" t="s">
        <v>1827</v>
      </c>
      <c r="AB98" s="10" t="s">
        <v>1827</v>
      </c>
      <c r="AC98" s="10" t="s">
        <v>1827</v>
      </c>
      <c r="AD98" s="10" t="s">
        <v>1827</v>
      </c>
      <c r="AE98" s="10" t="s">
        <v>1827</v>
      </c>
      <c r="AF98" s="10" t="s">
        <v>1827</v>
      </c>
      <c r="AG98" s="10" t="s">
        <v>1827</v>
      </c>
      <c r="AH98" s="10" t="s">
        <v>1827</v>
      </c>
      <c r="AI98" s="10" t="s">
        <v>1827</v>
      </c>
      <c r="AJ98" s="10" t="s">
        <v>1827</v>
      </c>
      <c r="AK98" s="10" t="s">
        <v>1827</v>
      </c>
      <c r="AL98" s="10" t="s">
        <v>1827</v>
      </c>
      <c r="AM98" s="10" t="s">
        <v>1827</v>
      </c>
      <c r="AN98" s="10" t="s">
        <v>1827</v>
      </c>
      <c r="AO98" s="10" t="s">
        <v>1827</v>
      </c>
      <c r="AP98" s="10" t="s">
        <v>1827</v>
      </c>
      <c r="AQ98" s="10" t="s">
        <v>1827</v>
      </c>
      <c r="AR98" s="10" t="s">
        <v>1827</v>
      </c>
      <c r="AS98" s="10" t="s">
        <v>1827</v>
      </c>
      <c r="AT98" s="10" t="s">
        <v>1827</v>
      </c>
      <c r="AU98" s="10" t="s">
        <v>1827</v>
      </c>
      <c r="AV98" s="10" t="s">
        <v>1827</v>
      </c>
      <c r="AW98" s="10" t="s">
        <v>1827</v>
      </c>
      <c r="AX98" s="10" t="s">
        <v>1827</v>
      </c>
      <c r="AY98" s="10" t="s">
        <v>1827</v>
      </c>
      <c r="AZ98" s="10" t="s">
        <v>1827</v>
      </c>
      <c r="BA98" s="10" t="s">
        <v>1827</v>
      </c>
      <c r="BB98" s="10" t="s">
        <v>1827</v>
      </c>
      <c r="BC98" s="10" t="s">
        <v>1827</v>
      </c>
      <c r="BD98" s="10" t="s">
        <v>1827</v>
      </c>
      <c r="BE98" s="10" t="s">
        <v>1827</v>
      </c>
      <c r="BF98" s="10" t="s">
        <v>1827</v>
      </c>
      <c r="BG98" s="10" t="s">
        <v>1827</v>
      </c>
      <c r="BH98" s="10" t="s">
        <v>1827</v>
      </c>
      <c r="BI98" s="10" t="s">
        <v>1827</v>
      </c>
      <c r="BJ98" s="10" t="s">
        <v>1827</v>
      </c>
      <c r="BK98" s="10" t="s">
        <v>1827</v>
      </c>
      <c r="BL98" s="10" t="s">
        <v>1827</v>
      </c>
      <c r="BM98" s="10" t="s">
        <v>1827</v>
      </c>
      <c r="BN98" s="10" t="s">
        <v>1827</v>
      </c>
      <c r="BO98" s="10" t="s">
        <v>1827</v>
      </c>
      <c r="BP98" s="10" t="s">
        <v>1827</v>
      </c>
      <c r="BQ98" s="10" t="s">
        <v>1827</v>
      </c>
      <c r="BR98" s="10" t="s">
        <v>1827</v>
      </c>
      <c r="BS98" s="10" t="s">
        <v>1827</v>
      </c>
      <c r="BT98" s="10" t="s">
        <v>1827</v>
      </c>
      <c r="BU98" s="10" t="s">
        <v>1827</v>
      </c>
      <c r="BV98" s="10" t="s">
        <v>1827</v>
      </c>
      <c r="BW98" s="10" t="s">
        <v>1827</v>
      </c>
      <c r="BX98" s="10" t="s">
        <v>1827</v>
      </c>
      <c r="BY98" s="10" t="s">
        <v>1827</v>
      </c>
      <c r="BZ98" s="10" t="s">
        <v>1827</v>
      </c>
      <c r="CA98" s="10" t="s">
        <v>1827</v>
      </c>
      <c r="CB98" s="10" t="s">
        <v>1827</v>
      </c>
      <c r="CC98" s="10" t="s">
        <v>1827</v>
      </c>
      <c r="CD98" s="10" t="s">
        <v>1827</v>
      </c>
      <c r="CE98" s="10" t="s">
        <v>1827</v>
      </c>
      <c r="CF98" s="10" t="s">
        <v>1827</v>
      </c>
      <c r="CG98" s="10" t="s">
        <v>1827</v>
      </c>
      <c r="CH98" s="10" t="s">
        <v>1827</v>
      </c>
      <c r="CI98" s="10" t="s">
        <v>1827</v>
      </c>
      <c r="CJ98" s="10" t="s">
        <v>1827</v>
      </c>
      <c r="CK98" s="10" t="s">
        <v>1827</v>
      </c>
      <c r="CL98" s="10" t="s">
        <v>1827</v>
      </c>
      <c r="CM98" s="10" t="s">
        <v>1827</v>
      </c>
      <c r="CN98" s="10" t="s">
        <v>1827</v>
      </c>
      <c r="CO98" s="10" t="s">
        <v>1827</v>
      </c>
      <c r="CP98" s="10" t="s">
        <v>1827</v>
      </c>
      <c r="CQ98" s="10" t="s">
        <v>1827</v>
      </c>
      <c r="CR98" s="10" t="s">
        <v>1827</v>
      </c>
      <c r="CS98" s="10" t="s">
        <v>1827</v>
      </c>
      <c r="CT98" s="10" t="s">
        <v>1827</v>
      </c>
      <c r="CU98" s="10" t="s">
        <v>1827</v>
      </c>
      <c r="CV98" s="10" t="s">
        <v>1827</v>
      </c>
      <c r="CW98" s="10" t="s">
        <v>1827</v>
      </c>
      <c r="CX98" s="10" t="s">
        <v>1827</v>
      </c>
      <c r="CY98" s="10" t="s">
        <v>1827</v>
      </c>
      <c r="CZ98" s="10" t="s">
        <v>1827</v>
      </c>
      <c r="DA98" s="10" t="s">
        <v>1827</v>
      </c>
      <c r="DB98" s="10" t="s">
        <v>1827</v>
      </c>
      <c r="DC98" s="10" t="s">
        <v>1827</v>
      </c>
      <c r="DD98" s="10" t="s">
        <v>1827</v>
      </c>
      <c r="DE98" s="10" t="s">
        <v>1827</v>
      </c>
      <c r="DF98" s="10" t="s">
        <v>1827</v>
      </c>
      <c r="DG98" s="10" t="s">
        <v>1827</v>
      </c>
      <c r="DH98" s="10" t="s">
        <v>1827</v>
      </c>
      <c r="DI98" s="10" t="s">
        <v>1827</v>
      </c>
      <c r="DJ98" s="10" t="s">
        <v>1827</v>
      </c>
      <c r="DK98" s="10" t="s">
        <v>1827</v>
      </c>
      <c r="DL98" s="10" t="s">
        <v>1827</v>
      </c>
      <c r="DM98" s="10" t="s">
        <v>1827</v>
      </c>
      <c r="DN98" s="10" t="s">
        <v>1827</v>
      </c>
      <c r="DO98" s="10" t="s">
        <v>1827</v>
      </c>
      <c r="DP98" s="10" t="s">
        <v>1827</v>
      </c>
      <c r="DQ98" s="10" t="s">
        <v>1827</v>
      </c>
      <c r="DR98" s="10" t="s">
        <v>1827</v>
      </c>
      <c r="DS98" s="10" t="s">
        <v>1827</v>
      </c>
      <c r="DT98" s="10" t="s">
        <v>1827</v>
      </c>
      <c r="DU98" s="10" t="s">
        <v>1827</v>
      </c>
      <c r="DV98" s="10" t="s">
        <v>1827</v>
      </c>
      <c r="DW98" s="10" t="s">
        <v>1827</v>
      </c>
      <c r="DX98" s="10" t="s">
        <v>1827</v>
      </c>
      <c r="DY98" s="10" t="s">
        <v>1827</v>
      </c>
      <c r="DZ98" s="10" t="s">
        <v>1827</v>
      </c>
      <c r="EA98" s="10" t="s">
        <v>1827</v>
      </c>
      <c r="EB98" s="10" t="s">
        <v>1827</v>
      </c>
      <c r="EC98" s="10" t="s">
        <v>1827</v>
      </c>
      <c r="ED98" s="10" t="s">
        <v>1827</v>
      </c>
      <c r="EE98" s="10" t="s">
        <v>1827</v>
      </c>
      <c r="EF98" s="10" t="s">
        <v>1827</v>
      </c>
      <c r="EG98" s="10" t="s">
        <v>1827</v>
      </c>
      <c r="EH98" s="10" t="s">
        <v>1827</v>
      </c>
      <c r="EI98" s="10" t="s">
        <v>1827</v>
      </c>
      <c r="EJ98" s="10">
        <v>602.40963899999997</v>
      </c>
      <c r="EK98" s="10">
        <v>602.40963899999997</v>
      </c>
      <c r="EL98" s="10">
        <v>602.40963899999997</v>
      </c>
      <c r="EM98" s="10">
        <v>634.33734900000002</v>
      </c>
      <c r="EN98" s="10">
        <v>634.33734900000002</v>
      </c>
      <c r="EO98" s="10">
        <v>634.33734900000002</v>
      </c>
      <c r="EP98" s="10">
        <v>634.33734900000002</v>
      </c>
      <c r="EQ98" s="10">
        <v>782.53012000000001</v>
      </c>
      <c r="ER98" s="10">
        <v>782.53012000000001</v>
      </c>
      <c r="ES98" s="10">
        <v>782.53012000000001</v>
      </c>
      <c r="ET98" s="10">
        <v>782.53012000000001</v>
      </c>
      <c r="EU98" s="10">
        <v>824.69879500000002</v>
      </c>
      <c r="EV98" s="10">
        <v>824.69879500000002</v>
      </c>
      <c r="EW98" s="10">
        <v>824.69879500000002</v>
      </c>
      <c r="EX98" s="10">
        <v>824.69879500000002</v>
      </c>
      <c r="EY98" s="10">
        <v>858.43373499999996</v>
      </c>
      <c r="EZ98" s="10">
        <v>858.43373499999996</v>
      </c>
      <c r="FA98" s="10">
        <v>858.43373499999996</v>
      </c>
      <c r="FB98" s="10">
        <v>858.43373499999996</v>
      </c>
      <c r="FC98" s="10">
        <v>900.60240999999996</v>
      </c>
      <c r="FD98" s="10">
        <v>900.60240999999996</v>
      </c>
      <c r="FE98" s="10">
        <v>900.60240999999996</v>
      </c>
      <c r="FF98" s="10">
        <v>900.60240999999996</v>
      </c>
      <c r="FG98" s="10">
        <v>925.90361399999995</v>
      </c>
      <c r="FH98" s="10">
        <v>925.90361399999995</v>
      </c>
      <c r="FI98" s="10">
        <v>925.90361399999995</v>
      </c>
      <c r="FJ98" s="10">
        <v>925.90361399999995</v>
      </c>
      <c r="FK98" s="10">
        <v>942.77108399999997</v>
      </c>
      <c r="FL98" s="10">
        <v>942.77108399999997</v>
      </c>
      <c r="FM98" s="10">
        <v>942.77108399999997</v>
      </c>
      <c r="FN98" s="10">
        <v>942.77108399999997</v>
      </c>
      <c r="FO98" s="10">
        <v>962.65060200000005</v>
      </c>
      <c r="FP98" s="10">
        <v>962.65060200000005</v>
      </c>
      <c r="FQ98" s="10">
        <v>962.65060200000005</v>
      </c>
      <c r="FR98" s="10">
        <v>962.65060200000005</v>
      </c>
      <c r="FS98" s="10">
        <v>1000</v>
      </c>
      <c r="FT98" s="10">
        <v>1000</v>
      </c>
      <c r="FU98" s="10">
        <v>1000</v>
      </c>
      <c r="FV98" s="10">
        <v>1000</v>
      </c>
      <c r="FW98" s="10">
        <v>1031</v>
      </c>
      <c r="FX98" s="10">
        <v>1031</v>
      </c>
      <c r="FY98" s="10">
        <v>1031</v>
      </c>
      <c r="FZ98" s="10">
        <v>1031</v>
      </c>
      <c r="GA98" s="10">
        <v>1086</v>
      </c>
      <c r="GB98" s="10">
        <v>1086</v>
      </c>
      <c r="GC98" s="10">
        <v>1086</v>
      </c>
      <c r="GD98" s="10">
        <v>1086</v>
      </c>
      <c r="GE98" s="10">
        <v>1062</v>
      </c>
      <c r="GF98" s="10">
        <v>1062</v>
      </c>
      <c r="GG98" s="10">
        <v>1062</v>
      </c>
      <c r="GH98" s="10">
        <v>1062</v>
      </c>
      <c r="GI98" s="10">
        <v>1072</v>
      </c>
      <c r="GJ98" s="10">
        <v>1072</v>
      </c>
      <c r="GK98" s="10">
        <v>1072</v>
      </c>
      <c r="GL98" s="10">
        <v>1072</v>
      </c>
      <c r="GM98" s="10">
        <v>1083</v>
      </c>
      <c r="GN98" s="10">
        <v>1083</v>
      </c>
      <c r="GO98" s="10">
        <v>1083</v>
      </c>
      <c r="GP98" s="10">
        <v>1083</v>
      </c>
      <c r="GQ98" s="10">
        <v>1152</v>
      </c>
      <c r="GR98" s="10">
        <v>1152</v>
      </c>
      <c r="GS98" s="10">
        <v>1152</v>
      </c>
    </row>
    <row r="99" spans="1:201" ht="12.6">
      <c r="A99" s="51" t="s">
        <v>1917</v>
      </c>
      <c r="B99" s="10"/>
      <c r="C99" s="10"/>
      <c r="D99" s="10"/>
      <c r="E99" s="10"/>
      <c r="F99" s="10" t="s">
        <v>1827</v>
      </c>
      <c r="G99" s="10" t="s">
        <v>1827</v>
      </c>
      <c r="H99" s="10" t="s">
        <v>1827</v>
      </c>
      <c r="I99" s="10" t="s">
        <v>1827</v>
      </c>
      <c r="J99" s="10" t="s">
        <v>1827</v>
      </c>
      <c r="K99" s="10" t="s">
        <v>1827</v>
      </c>
      <c r="L99" s="10" t="s">
        <v>1827</v>
      </c>
      <c r="M99" s="10" t="s">
        <v>1827</v>
      </c>
      <c r="N99" s="10" t="s">
        <v>1827</v>
      </c>
      <c r="O99" s="10" t="s">
        <v>1827</v>
      </c>
      <c r="P99" s="10" t="s">
        <v>1827</v>
      </c>
      <c r="Q99" s="10" t="s">
        <v>1827</v>
      </c>
      <c r="R99" s="10" t="s">
        <v>1827</v>
      </c>
      <c r="S99" s="10" t="s">
        <v>1827</v>
      </c>
      <c r="T99" s="10" t="s">
        <v>1827</v>
      </c>
      <c r="U99" s="10" t="s">
        <v>1827</v>
      </c>
      <c r="V99" s="10" t="s">
        <v>1827</v>
      </c>
      <c r="W99" s="10" t="s">
        <v>1827</v>
      </c>
      <c r="X99" s="10" t="s">
        <v>1827</v>
      </c>
      <c r="Y99" s="10" t="s">
        <v>1827</v>
      </c>
      <c r="Z99" s="10" t="s">
        <v>1827</v>
      </c>
      <c r="AA99" s="10" t="s">
        <v>1827</v>
      </c>
      <c r="AB99" s="10" t="s">
        <v>1827</v>
      </c>
      <c r="AC99" s="10" t="s">
        <v>1827</v>
      </c>
      <c r="AD99" s="10" t="s">
        <v>1827</v>
      </c>
      <c r="AE99" s="10">
        <v>177.078677</v>
      </c>
      <c r="AF99" s="10">
        <v>187.19306800000001</v>
      </c>
      <c r="AG99" s="10">
        <v>196.64157299999999</v>
      </c>
      <c r="AH99" s="10">
        <v>200.53445099999999</v>
      </c>
      <c r="AI99" s="10">
        <v>211.622062</v>
      </c>
      <c r="AJ99" s="10">
        <v>222.485083</v>
      </c>
      <c r="AK99" s="10">
        <v>224.84917899999999</v>
      </c>
      <c r="AL99" s="10">
        <v>226.34644</v>
      </c>
      <c r="AM99" s="10">
        <v>231.77598</v>
      </c>
      <c r="AN99" s="10">
        <v>233.761821</v>
      </c>
      <c r="AO99" s="10">
        <v>234.80990399999999</v>
      </c>
      <c r="AP99" s="10">
        <v>237.92657</v>
      </c>
      <c r="AQ99" s="10">
        <v>239.124379</v>
      </c>
      <c r="AR99" s="10">
        <v>257.56432799999999</v>
      </c>
      <c r="AS99" s="10">
        <v>258.651813</v>
      </c>
      <c r="AT99" s="10">
        <v>257.30427800000001</v>
      </c>
      <c r="AU99" s="10">
        <v>258.90792299999998</v>
      </c>
      <c r="AV99" s="10">
        <v>267.82450599999999</v>
      </c>
      <c r="AW99" s="10">
        <v>275.66936399999997</v>
      </c>
      <c r="AX99" s="10">
        <v>280.4803</v>
      </c>
      <c r="AY99" s="10">
        <v>286.835779</v>
      </c>
      <c r="AZ99" s="10">
        <v>301.33162800000002</v>
      </c>
      <c r="BA99" s="10">
        <v>309.19224700000001</v>
      </c>
      <c r="BB99" s="10">
        <v>345.64660900000001</v>
      </c>
      <c r="BC99" s="10">
        <v>352.45914599999998</v>
      </c>
      <c r="BD99" s="10">
        <v>361.198421</v>
      </c>
      <c r="BE99" s="10">
        <v>368.36163199999999</v>
      </c>
      <c r="BF99" s="10">
        <v>377.91652099999999</v>
      </c>
      <c r="BG99" s="10">
        <v>372.74703</v>
      </c>
      <c r="BH99" s="10">
        <v>394.21302300000002</v>
      </c>
      <c r="BI99" s="10">
        <v>391.80164400000001</v>
      </c>
      <c r="BJ99" s="10">
        <v>394.01601499999998</v>
      </c>
      <c r="BK99" s="10">
        <v>398.68510400000002</v>
      </c>
      <c r="BL99" s="10">
        <v>400.80885000000001</v>
      </c>
      <c r="BM99" s="10">
        <v>425.49395399999997</v>
      </c>
      <c r="BN99" s="10">
        <v>425.62003900000002</v>
      </c>
      <c r="BO99" s="10">
        <v>431.23082699999998</v>
      </c>
      <c r="BP99" s="10">
        <v>432.207987</v>
      </c>
      <c r="BQ99" s="10">
        <v>434.97397899999999</v>
      </c>
      <c r="BR99" s="10">
        <v>448.61481400000002</v>
      </c>
      <c r="BS99" s="10">
        <v>453.03567399999997</v>
      </c>
      <c r="BT99" s="10">
        <v>454.44625100000002</v>
      </c>
      <c r="BU99" s="10">
        <v>452.141257</v>
      </c>
      <c r="BV99" s="10">
        <v>453.79612500000002</v>
      </c>
      <c r="BW99" s="10">
        <v>455.81742700000001</v>
      </c>
      <c r="BX99" s="10">
        <v>460.90811400000001</v>
      </c>
      <c r="BY99" s="10">
        <v>463.008218</v>
      </c>
      <c r="BZ99" s="10">
        <v>462.91365500000001</v>
      </c>
      <c r="CA99" s="10">
        <v>461.046019</v>
      </c>
      <c r="CB99" s="10">
        <v>460.15948300000002</v>
      </c>
      <c r="CC99" s="10">
        <v>467.98070100000001</v>
      </c>
      <c r="CD99" s="10">
        <v>468.84753599999999</v>
      </c>
      <c r="CE99" s="10">
        <v>470.72292599999997</v>
      </c>
      <c r="CF99" s="10">
        <v>475.88024899999999</v>
      </c>
      <c r="CG99" s="10">
        <v>477.75563899999997</v>
      </c>
      <c r="CH99" s="10">
        <v>479.63102900000001</v>
      </c>
      <c r="CI99" s="10">
        <v>493.22760799999998</v>
      </c>
      <c r="CJ99" s="10">
        <v>498.85377899999997</v>
      </c>
      <c r="CK99" s="10">
        <v>503.07340599999998</v>
      </c>
      <c r="CL99" s="10">
        <v>505.417644</v>
      </c>
      <c r="CM99" s="10">
        <v>506.824186</v>
      </c>
      <c r="CN99" s="10">
        <v>515.26344200000005</v>
      </c>
      <c r="CO99" s="10">
        <v>519.48307</v>
      </c>
      <c r="CP99" s="10">
        <v>524.17154500000004</v>
      </c>
      <c r="CQ99" s="10">
        <v>531.67310599999996</v>
      </c>
      <c r="CR99" s="10">
        <v>531.67310599999996</v>
      </c>
      <c r="CS99" s="10">
        <v>535.42388600000004</v>
      </c>
      <c r="CT99" s="10">
        <v>540.58120899999994</v>
      </c>
      <c r="CU99" s="10">
        <v>544.800837</v>
      </c>
      <c r="CV99" s="10">
        <v>543.86314100000004</v>
      </c>
      <c r="CW99" s="10">
        <v>550.427007</v>
      </c>
      <c r="CX99" s="10">
        <v>551.36470199999997</v>
      </c>
      <c r="CY99" s="10">
        <v>556.053178</v>
      </c>
      <c r="CZ99" s="10">
        <v>563.08589099999995</v>
      </c>
      <c r="DA99" s="10">
        <v>564.21206199999995</v>
      </c>
      <c r="DB99" s="10">
        <v>568.71675000000005</v>
      </c>
      <c r="DC99" s="10">
        <v>573.22143700000004</v>
      </c>
      <c r="DD99" s="10">
        <v>582.23081100000002</v>
      </c>
      <c r="DE99" s="10">
        <v>586.17241300000001</v>
      </c>
      <c r="DF99" s="10">
        <v>594.05561499999999</v>
      </c>
      <c r="DG99" s="10">
        <v>597.43412999999998</v>
      </c>
      <c r="DH99" s="10">
        <v>599.68647399999998</v>
      </c>
      <c r="DI99" s="10">
        <v>603.06498899999997</v>
      </c>
      <c r="DJ99" s="10">
        <v>611.51127699999995</v>
      </c>
      <c r="DK99" s="10">
        <v>614.32670700000006</v>
      </c>
      <c r="DL99" s="10">
        <v>620.52065200000004</v>
      </c>
      <c r="DM99" s="10">
        <v>625.58842400000003</v>
      </c>
      <c r="DN99" s="10">
        <v>631.21928400000002</v>
      </c>
      <c r="DO99" s="10">
        <v>640.228658</v>
      </c>
      <c r="DP99" s="10">
        <v>641.91791599999999</v>
      </c>
      <c r="DQ99" s="10">
        <v>648.11186099999998</v>
      </c>
      <c r="DR99" s="10">
        <v>652.61654799999997</v>
      </c>
      <c r="DS99" s="10">
        <v>659.93666399999995</v>
      </c>
      <c r="DT99" s="10">
        <v>671.76146800000004</v>
      </c>
      <c r="DU99" s="10">
        <v>676.26615500000003</v>
      </c>
      <c r="DV99" s="10">
        <v>688.654045</v>
      </c>
      <c r="DW99" s="10">
        <v>689.21713</v>
      </c>
      <c r="DX99" s="10">
        <v>692.59564599999999</v>
      </c>
      <c r="DY99" s="10">
        <v>708.36205099999995</v>
      </c>
      <c r="DZ99" s="10">
        <v>719.06068300000004</v>
      </c>
      <c r="EA99" s="10">
        <v>731.44857300000001</v>
      </c>
      <c r="EB99" s="10">
        <v>733.13783000000001</v>
      </c>
      <c r="EC99" s="10">
        <v>744.86803499999996</v>
      </c>
      <c r="ED99" s="10">
        <v>754.39882699999998</v>
      </c>
      <c r="EE99" s="10">
        <v>757.33137799999997</v>
      </c>
      <c r="EF99" s="10">
        <v>766.12903200000005</v>
      </c>
      <c r="EG99" s="10">
        <v>774.92668600000002</v>
      </c>
      <c r="EH99" s="10">
        <v>784.45747800000004</v>
      </c>
      <c r="EI99" s="10">
        <v>799.12023499999998</v>
      </c>
      <c r="EJ99" s="10">
        <v>808.651026</v>
      </c>
      <c r="EK99" s="10">
        <v>816.71554300000003</v>
      </c>
      <c r="EL99" s="10">
        <v>821.84750699999995</v>
      </c>
      <c r="EM99" s="10">
        <v>826.24633400000005</v>
      </c>
      <c r="EN99" s="10">
        <v>832.11143700000002</v>
      </c>
      <c r="EO99" s="10">
        <v>840.90909099999999</v>
      </c>
      <c r="EP99" s="10">
        <v>848.24046899999996</v>
      </c>
      <c r="EQ99" s="10">
        <v>851.17302099999995</v>
      </c>
      <c r="ER99" s="10">
        <v>859.23753699999997</v>
      </c>
      <c r="ES99" s="10">
        <v>873.90029300000003</v>
      </c>
      <c r="ET99" s="10">
        <v>900.29325500000004</v>
      </c>
      <c r="EU99" s="10">
        <v>906.15835800000002</v>
      </c>
      <c r="EV99" s="10">
        <v>905.42521999999997</v>
      </c>
      <c r="EW99" s="10">
        <v>908.35777099999996</v>
      </c>
      <c r="EX99" s="10">
        <v>914.95601199999999</v>
      </c>
      <c r="EY99" s="10">
        <v>918.62170100000003</v>
      </c>
      <c r="EZ99" s="10">
        <v>922.28738999999996</v>
      </c>
      <c r="FA99" s="10">
        <v>930.35190599999999</v>
      </c>
      <c r="FB99" s="10">
        <v>936.95014700000002</v>
      </c>
      <c r="FC99" s="10">
        <v>939.882698</v>
      </c>
      <c r="FD99" s="10">
        <v>944.28152499999999</v>
      </c>
      <c r="FE99" s="10">
        <v>947.21407599999998</v>
      </c>
      <c r="FF99" s="10">
        <v>950.14662799999996</v>
      </c>
      <c r="FG99" s="10">
        <v>954.54545499999995</v>
      </c>
      <c r="FH99" s="10">
        <v>956.01172999999994</v>
      </c>
      <c r="FI99" s="10">
        <v>959.67741899999999</v>
      </c>
      <c r="FJ99" s="10">
        <v>953.07917899999995</v>
      </c>
      <c r="FK99" s="10">
        <v>959.67741899999999</v>
      </c>
      <c r="FL99" s="10">
        <v>968.47507299999995</v>
      </c>
      <c r="FM99" s="10">
        <v>972.87390000000005</v>
      </c>
      <c r="FN99" s="10">
        <v>980.20527900000002</v>
      </c>
      <c r="FO99" s="10">
        <v>986.070381</v>
      </c>
      <c r="FP99" s="10">
        <v>991.20234600000003</v>
      </c>
      <c r="FQ99" s="10">
        <v>994.86803499999996</v>
      </c>
      <c r="FR99" s="10">
        <v>994.86803499999996</v>
      </c>
      <c r="FS99" s="10">
        <v>999.26686199999995</v>
      </c>
      <c r="FT99" s="10">
        <v>1000</v>
      </c>
      <c r="FU99" s="10">
        <v>1002.932551</v>
      </c>
      <c r="FV99" s="10">
        <v>1010</v>
      </c>
      <c r="FW99" s="10">
        <v>1018</v>
      </c>
      <c r="FX99" s="10">
        <v>1028</v>
      </c>
      <c r="FY99" s="10">
        <v>1034</v>
      </c>
      <c r="FZ99" s="10">
        <v>1038</v>
      </c>
      <c r="GA99" s="10">
        <v>1046</v>
      </c>
      <c r="GB99" s="10">
        <v>1049</v>
      </c>
      <c r="GC99" s="10">
        <v>1063</v>
      </c>
      <c r="GD99" s="10">
        <v>1071</v>
      </c>
      <c r="GE99" s="10">
        <v>1077</v>
      </c>
      <c r="GF99" s="10">
        <v>1092</v>
      </c>
      <c r="GG99" s="10">
        <v>1087</v>
      </c>
      <c r="GH99" s="10">
        <v>1091</v>
      </c>
      <c r="GI99" s="10">
        <v>1101</v>
      </c>
      <c r="GJ99" s="10">
        <v>1116</v>
      </c>
      <c r="GK99" s="10">
        <v>1122</v>
      </c>
      <c r="GL99" s="10">
        <v>1143</v>
      </c>
      <c r="GM99" s="10">
        <v>1163</v>
      </c>
      <c r="GN99" s="10">
        <v>1184</v>
      </c>
      <c r="GO99" s="10">
        <v>1197</v>
      </c>
      <c r="GP99" s="10">
        <v>1209</v>
      </c>
      <c r="GQ99" s="10">
        <v>1229</v>
      </c>
      <c r="GR99" s="10">
        <v>1252</v>
      </c>
      <c r="GS99" s="10">
        <v>1257</v>
      </c>
    </row>
    <row r="100" spans="1:201" ht="12.6">
      <c r="A100" s="51" t="s">
        <v>1918</v>
      </c>
      <c r="B100" s="10"/>
      <c r="C100" s="10"/>
      <c r="D100" s="10"/>
      <c r="E100" s="10"/>
      <c r="F100" s="10" t="s">
        <v>1827</v>
      </c>
      <c r="G100" s="10" t="s">
        <v>1827</v>
      </c>
      <c r="H100" s="10" t="s">
        <v>1827</v>
      </c>
      <c r="I100" s="10" t="s">
        <v>1827</v>
      </c>
      <c r="J100" s="10" t="s">
        <v>1827</v>
      </c>
      <c r="K100" s="10" t="s">
        <v>1827</v>
      </c>
      <c r="L100" s="10" t="s">
        <v>1827</v>
      </c>
      <c r="M100" s="10" t="s">
        <v>1827</v>
      </c>
      <c r="N100" s="10" t="s">
        <v>1827</v>
      </c>
      <c r="O100" s="10" t="s">
        <v>1827</v>
      </c>
      <c r="P100" s="10" t="s">
        <v>1827</v>
      </c>
      <c r="Q100" s="10" t="s">
        <v>1827</v>
      </c>
      <c r="R100" s="10" t="s">
        <v>1827</v>
      </c>
      <c r="S100" s="10" t="s">
        <v>1827</v>
      </c>
      <c r="T100" s="10" t="s">
        <v>1827</v>
      </c>
      <c r="U100" s="10" t="s">
        <v>1827</v>
      </c>
      <c r="V100" s="10" t="s">
        <v>1827</v>
      </c>
      <c r="W100" s="10" t="s">
        <v>1827</v>
      </c>
      <c r="X100" s="10" t="s">
        <v>1827</v>
      </c>
      <c r="Y100" s="10" t="s">
        <v>1827</v>
      </c>
      <c r="Z100" s="10" t="s">
        <v>1827</v>
      </c>
      <c r="AA100" s="10" t="s">
        <v>1827</v>
      </c>
      <c r="AB100" s="10" t="s">
        <v>1827</v>
      </c>
      <c r="AC100" s="10" t="s">
        <v>1827</v>
      </c>
      <c r="AD100" s="10" t="s">
        <v>1827</v>
      </c>
      <c r="AE100" s="10" t="s">
        <v>1827</v>
      </c>
      <c r="AF100" s="10" t="s">
        <v>1827</v>
      </c>
      <c r="AG100" s="10" t="s">
        <v>1827</v>
      </c>
      <c r="AH100" s="10" t="s">
        <v>1827</v>
      </c>
      <c r="AI100" s="10" t="s">
        <v>1827</v>
      </c>
      <c r="AJ100" s="10" t="s">
        <v>1827</v>
      </c>
      <c r="AK100" s="10" t="s">
        <v>1827</v>
      </c>
      <c r="AL100" s="10" t="s">
        <v>1827</v>
      </c>
      <c r="AM100" s="10" t="s">
        <v>1827</v>
      </c>
      <c r="AN100" s="10" t="s">
        <v>1827</v>
      </c>
      <c r="AO100" s="10" t="s">
        <v>1827</v>
      </c>
      <c r="AP100" s="10" t="s">
        <v>1827</v>
      </c>
      <c r="AQ100" s="10" t="s">
        <v>1827</v>
      </c>
      <c r="AR100" s="10" t="s">
        <v>1827</v>
      </c>
      <c r="AS100" s="10" t="s">
        <v>1827</v>
      </c>
      <c r="AT100" s="10" t="s">
        <v>1827</v>
      </c>
      <c r="AU100" s="10" t="s">
        <v>1827</v>
      </c>
      <c r="AV100" s="10" t="s">
        <v>1827</v>
      </c>
      <c r="AW100" s="10" t="s">
        <v>1827</v>
      </c>
      <c r="AX100" s="10" t="s">
        <v>1827</v>
      </c>
      <c r="AY100" s="10" t="s">
        <v>1827</v>
      </c>
      <c r="AZ100" s="10" t="s">
        <v>1827</v>
      </c>
      <c r="BA100" s="10" t="s">
        <v>1827</v>
      </c>
      <c r="BB100" s="10" t="s">
        <v>1827</v>
      </c>
      <c r="BC100" s="10" t="s">
        <v>1827</v>
      </c>
      <c r="BD100" s="10" t="s">
        <v>1827</v>
      </c>
      <c r="BE100" s="10" t="s">
        <v>1827</v>
      </c>
      <c r="BF100" s="10" t="s">
        <v>1827</v>
      </c>
      <c r="BG100" s="10" t="s">
        <v>1827</v>
      </c>
      <c r="BH100" s="10" t="s">
        <v>1827</v>
      </c>
      <c r="BI100" s="10" t="s">
        <v>1827</v>
      </c>
      <c r="BJ100" s="10" t="s">
        <v>1827</v>
      </c>
      <c r="BK100" s="10" t="s">
        <v>1827</v>
      </c>
      <c r="BL100" s="10" t="s">
        <v>1827</v>
      </c>
      <c r="BM100" s="10" t="s">
        <v>1827</v>
      </c>
      <c r="BN100" s="10" t="s">
        <v>1827</v>
      </c>
      <c r="BO100" s="10" t="s">
        <v>1827</v>
      </c>
      <c r="BP100" s="10" t="s">
        <v>1827</v>
      </c>
      <c r="BQ100" s="10" t="s">
        <v>1827</v>
      </c>
      <c r="BR100" s="10" t="s">
        <v>1827</v>
      </c>
      <c r="BS100" s="10" t="s">
        <v>1827</v>
      </c>
      <c r="BT100" s="10" t="s">
        <v>1827</v>
      </c>
      <c r="BU100" s="10" t="s">
        <v>1827</v>
      </c>
      <c r="BV100" s="10" t="s">
        <v>1827</v>
      </c>
      <c r="BW100" s="10" t="s">
        <v>1827</v>
      </c>
      <c r="BX100" s="10" t="s">
        <v>1827</v>
      </c>
      <c r="BY100" s="10" t="s">
        <v>1827</v>
      </c>
      <c r="BZ100" s="10" t="s">
        <v>1827</v>
      </c>
      <c r="CA100" s="10" t="s">
        <v>1827</v>
      </c>
      <c r="CB100" s="10" t="s">
        <v>1827</v>
      </c>
      <c r="CC100" s="10" t="s">
        <v>1827</v>
      </c>
      <c r="CD100" s="10" t="s">
        <v>1827</v>
      </c>
      <c r="CE100" s="10" t="s">
        <v>1827</v>
      </c>
      <c r="CF100" s="10" t="s">
        <v>1827</v>
      </c>
      <c r="CG100" s="10" t="s">
        <v>1827</v>
      </c>
      <c r="CH100" s="10" t="s">
        <v>1827</v>
      </c>
      <c r="CI100" s="10" t="s">
        <v>1827</v>
      </c>
      <c r="CJ100" s="10" t="s">
        <v>1827</v>
      </c>
      <c r="CK100" s="10" t="s">
        <v>1827</v>
      </c>
      <c r="CL100" s="10" t="s">
        <v>1827</v>
      </c>
      <c r="CM100" s="10" t="s">
        <v>1827</v>
      </c>
      <c r="CN100" s="10" t="s">
        <v>1827</v>
      </c>
      <c r="CO100" s="10" t="s">
        <v>1827</v>
      </c>
      <c r="CP100" s="10" t="s">
        <v>1827</v>
      </c>
      <c r="CQ100" s="10" t="s">
        <v>1827</v>
      </c>
      <c r="CR100" s="10" t="s">
        <v>1827</v>
      </c>
      <c r="CS100" s="10" t="s">
        <v>1827</v>
      </c>
      <c r="CT100" s="10" t="s">
        <v>1827</v>
      </c>
      <c r="CU100" s="10" t="s">
        <v>1827</v>
      </c>
      <c r="CV100" s="10" t="s">
        <v>1827</v>
      </c>
      <c r="CW100" s="10" t="s">
        <v>1827</v>
      </c>
      <c r="CX100" s="10" t="s">
        <v>1827</v>
      </c>
      <c r="CY100" s="10" t="s">
        <v>1827</v>
      </c>
      <c r="CZ100" s="10">
        <v>1510.564891</v>
      </c>
      <c r="DA100" s="10">
        <v>1513.5860210000001</v>
      </c>
      <c r="DB100" s="10">
        <v>1483.3747229999999</v>
      </c>
      <c r="DC100" s="10">
        <v>1486.3958520000001</v>
      </c>
      <c r="DD100" s="10">
        <v>1487.906418</v>
      </c>
      <c r="DE100" s="10">
        <v>1495.4592419999999</v>
      </c>
      <c r="DF100" s="10">
        <v>1506.0331960000001</v>
      </c>
      <c r="DG100" s="10">
        <v>1549.839577</v>
      </c>
      <c r="DH100" s="10">
        <v>1581.5614399999999</v>
      </c>
      <c r="DI100" s="10">
        <v>1577.0297459999999</v>
      </c>
      <c r="DJ100" s="10">
        <v>1589.1142649999999</v>
      </c>
      <c r="DK100" s="10">
        <v>1554.3712720000001</v>
      </c>
      <c r="DL100" s="10">
        <v>1564.9452269999999</v>
      </c>
      <c r="DM100" s="10">
        <v>1506.0331960000001</v>
      </c>
      <c r="DN100" s="10">
        <v>1498.480372</v>
      </c>
      <c r="DO100" s="10">
        <v>1503.0120669999999</v>
      </c>
      <c r="DP100" s="10">
        <v>1477.3324640000001</v>
      </c>
      <c r="DQ100" s="10">
        <v>1392.74083</v>
      </c>
      <c r="DR100" s="10">
        <v>1370.0823559999999</v>
      </c>
      <c r="DS100" s="10">
        <v>1391.230264</v>
      </c>
      <c r="DT100" s="10">
        <v>1285.490722</v>
      </c>
      <c r="DU100" s="10">
        <v>1277.9378979999999</v>
      </c>
      <c r="DV100" s="10">
        <v>1271.895638</v>
      </c>
      <c r="DW100" s="10">
        <v>1222.046996</v>
      </c>
      <c r="DX100" s="10">
        <v>1206.941347</v>
      </c>
      <c r="DY100" s="10">
        <v>1206.941347</v>
      </c>
      <c r="DZ100" s="10">
        <v>1222.046996</v>
      </c>
      <c r="EA100" s="10">
        <v>1203.920218</v>
      </c>
      <c r="EB100" s="10">
        <v>1173.70892</v>
      </c>
      <c r="EC100" s="10">
        <v>1200.704225</v>
      </c>
      <c r="ED100" s="10">
        <v>1199.530516</v>
      </c>
      <c r="EE100" s="10">
        <v>1157.2769949999999</v>
      </c>
      <c r="EF100" s="10">
        <v>1115.0234740000001</v>
      </c>
      <c r="EG100" s="10">
        <v>1161.9718310000001</v>
      </c>
      <c r="EH100" s="10">
        <v>1153.7558690000001</v>
      </c>
      <c r="EI100" s="10">
        <v>1098.591549</v>
      </c>
      <c r="EJ100" s="10">
        <v>1089.2018780000001</v>
      </c>
      <c r="EK100" s="10">
        <v>1076.29108</v>
      </c>
      <c r="EL100" s="10">
        <v>1042.2535210000001</v>
      </c>
      <c r="EM100" s="10">
        <v>1025.821596</v>
      </c>
      <c r="EN100" s="10">
        <v>1069.248826</v>
      </c>
      <c r="EO100" s="10">
        <v>1092.7230050000001</v>
      </c>
      <c r="EP100" s="10">
        <v>1110.328638</v>
      </c>
      <c r="EQ100" s="10">
        <v>948.356808</v>
      </c>
      <c r="ER100" s="10">
        <v>958.92018800000005</v>
      </c>
      <c r="ES100" s="10">
        <v>1001.173709</v>
      </c>
      <c r="ET100" s="10">
        <v>1011.737089</v>
      </c>
      <c r="EU100" s="10">
        <v>976.52582199999995</v>
      </c>
      <c r="EV100" s="10">
        <v>1007.042254</v>
      </c>
      <c r="EW100" s="10">
        <v>1043.42723</v>
      </c>
      <c r="EX100" s="10">
        <v>953.05164300000001</v>
      </c>
      <c r="EY100" s="10">
        <v>940.14084500000001</v>
      </c>
      <c r="EZ100" s="10">
        <v>943.66197199999999</v>
      </c>
      <c r="FA100" s="10">
        <v>962.44131500000003</v>
      </c>
      <c r="FB100" s="10">
        <v>968.30985899999996</v>
      </c>
      <c r="FC100" s="10">
        <v>876.76056300000005</v>
      </c>
      <c r="FD100" s="10">
        <v>988.26291100000003</v>
      </c>
      <c r="FE100" s="10">
        <v>869.71830999999997</v>
      </c>
      <c r="FF100" s="10">
        <v>867.37089200000003</v>
      </c>
      <c r="FG100" s="10">
        <v>847.41783999999996</v>
      </c>
      <c r="FH100" s="10">
        <v>875.58685400000002</v>
      </c>
      <c r="FI100" s="10">
        <v>921.36150199999997</v>
      </c>
      <c r="FJ100" s="10">
        <v>839.20187799999997</v>
      </c>
      <c r="FK100" s="10">
        <v>778.16901399999995</v>
      </c>
      <c r="FL100" s="10">
        <v>827.464789</v>
      </c>
      <c r="FM100" s="10">
        <v>1000</v>
      </c>
      <c r="FN100" s="10">
        <v>890.84506999999996</v>
      </c>
      <c r="FO100" s="10">
        <v>1037.558685</v>
      </c>
      <c r="FP100" s="10">
        <v>895.53990599999997</v>
      </c>
      <c r="FQ100" s="10">
        <v>929.57746499999996</v>
      </c>
      <c r="FR100" s="10">
        <v>910.79812200000003</v>
      </c>
      <c r="FS100" s="10">
        <v>931.92488300000002</v>
      </c>
      <c r="FT100" s="10">
        <v>1000</v>
      </c>
      <c r="FU100" s="10">
        <v>1039.906103</v>
      </c>
      <c r="FV100" s="10">
        <v>1000</v>
      </c>
      <c r="FW100" s="10">
        <v>974</v>
      </c>
      <c r="FX100" s="10">
        <v>980</v>
      </c>
      <c r="FY100" s="10">
        <v>1051</v>
      </c>
      <c r="FZ100" s="10">
        <v>894</v>
      </c>
      <c r="GA100" s="10">
        <v>842</v>
      </c>
      <c r="GB100" s="10">
        <v>927</v>
      </c>
      <c r="GC100" s="10">
        <v>966</v>
      </c>
      <c r="GD100" s="10">
        <v>992</v>
      </c>
      <c r="GE100" s="10">
        <v>1056</v>
      </c>
      <c r="GF100" s="10">
        <v>963</v>
      </c>
      <c r="GG100" s="10">
        <v>944</v>
      </c>
      <c r="GH100" s="10">
        <v>950</v>
      </c>
      <c r="GI100" s="10">
        <v>934</v>
      </c>
      <c r="GJ100" s="10">
        <v>835</v>
      </c>
      <c r="GK100" s="10">
        <v>933</v>
      </c>
      <c r="GL100" s="10">
        <v>966</v>
      </c>
      <c r="GM100" s="10">
        <v>939</v>
      </c>
      <c r="GN100" s="10">
        <v>956</v>
      </c>
      <c r="GO100" s="10">
        <v>1046</v>
      </c>
      <c r="GP100" s="10">
        <v>1083</v>
      </c>
      <c r="GQ100" s="10">
        <v>826</v>
      </c>
      <c r="GR100" s="10">
        <v>1027</v>
      </c>
      <c r="GS100" s="10">
        <v>934</v>
      </c>
    </row>
    <row r="101" spans="1:201" ht="12.6">
      <c r="A101" s="51" t="s">
        <v>1919</v>
      </c>
      <c r="B101" s="10"/>
      <c r="C101" s="10"/>
      <c r="D101" s="10"/>
      <c r="E101" s="10"/>
      <c r="F101" s="10" t="s">
        <v>1827</v>
      </c>
      <c r="G101" s="10" t="s">
        <v>1827</v>
      </c>
      <c r="H101" s="10" t="s">
        <v>1827</v>
      </c>
      <c r="I101" s="10" t="s">
        <v>1827</v>
      </c>
      <c r="J101" s="10" t="s">
        <v>1827</v>
      </c>
      <c r="K101" s="10" t="s">
        <v>1827</v>
      </c>
      <c r="L101" s="10" t="s">
        <v>1827</v>
      </c>
      <c r="M101" s="10" t="s">
        <v>1827</v>
      </c>
      <c r="N101" s="10" t="s">
        <v>1827</v>
      </c>
      <c r="O101" s="10" t="s">
        <v>1827</v>
      </c>
      <c r="P101" s="10" t="s">
        <v>1827</v>
      </c>
      <c r="Q101" s="10" t="s">
        <v>1827</v>
      </c>
      <c r="R101" s="10" t="s">
        <v>1827</v>
      </c>
      <c r="S101" s="10" t="s">
        <v>1827</v>
      </c>
      <c r="T101" s="10" t="s">
        <v>1827</v>
      </c>
      <c r="U101" s="10" t="s">
        <v>1827</v>
      </c>
      <c r="V101" s="10" t="s">
        <v>1827</v>
      </c>
      <c r="W101" s="10" t="s">
        <v>1827</v>
      </c>
      <c r="X101" s="10" t="s">
        <v>1827</v>
      </c>
      <c r="Y101" s="10" t="s">
        <v>1827</v>
      </c>
      <c r="Z101" s="10" t="s">
        <v>1827</v>
      </c>
      <c r="AA101" s="10" t="s">
        <v>1827</v>
      </c>
      <c r="AB101" s="10" t="s">
        <v>1827</v>
      </c>
      <c r="AC101" s="10" t="s">
        <v>1827</v>
      </c>
      <c r="AD101" s="10" t="s">
        <v>1827</v>
      </c>
      <c r="AE101" s="10" t="s">
        <v>1827</v>
      </c>
      <c r="AF101" s="10" t="s">
        <v>1827</v>
      </c>
      <c r="AG101" s="10" t="s">
        <v>1827</v>
      </c>
      <c r="AH101" s="10" t="s">
        <v>1827</v>
      </c>
      <c r="AI101" s="10" t="s">
        <v>1827</v>
      </c>
      <c r="AJ101" s="10" t="s">
        <v>1827</v>
      </c>
      <c r="AK101" s="10" t="s">
        <v>1827</v>
      </c>
      <c r="AL101" s="10" t="s">
        <v>1827</v>
      </c>
      <c r="AM101" s="10" t="s">
        <v>1827</v>
      </c>
      <c r="AN101" s="10" t="s">
        <v>1827</v>
      </c>
      <c r="AO101" s="10" t="s">
        <v>1827</v>
      </c>
      <c r="AP101" s="10" t="s">
        <v>1827</v>
      </c>
      <c r="AQ101" s="10" t="s">
        <v>1827</v>
      </c>
      <c r="AR101" s="10" t="s">
        <v>1827</v>
      </c>
      <c r="AS101" s="10" t="s">
        <v>1827</v>
      </c>
      <c r="AT101" s="10" t="s">
        <v>1827</v>
      </c>
      <c r="AU101" s="10" t="s">
        <v>1827</v>
      </c>
      <c r="AV101" s="10" t="s">
        <v>1827</v>
      </c>
      <c r="AW101" s="10" t="s">
        <v>1827</v>
      </c>
      <c r="AX101" s="10" t="s">
        <v>1827</v>
      </c>
      <c r="AY101" s="10" t="s">
        <v>1827</v>
      </c>
      <c r="AZ101" s="10" t="s">
        <v>1827</v>
      </c>
      <c r="BA101" s="10" t="s">
        <v>1827</v>
      </c>
      <c r="BB101" s="10" t="s">
        <v>1827</v>
      </c>
      <c r="BC101" s="10" t="s">
        <v>1827</v>
      </c>
      <c r="BD101" s="10" t="s">
        <v>1827</v>
      </c>
      <c r="BE101" s="10" t="s">
        <v>1827</v>
      </c>
      <c r="BF101" s="10" t="s">
        <v>1827</v>
      </c>
      <c r="BG101" s="10" t="s">
        <v>1827</v>
      </c>
      <c r="BH101" s="10" t="s">
        <v>1827</v>
      </c>
      <c r="BI101" s="10" t="s">
        <v>1827</v>
      </c>
      <c r="BJ101" s="10" t="s">
        <v>1827</v>
      </c>
      <c r="BK101" s="10" t="s">
        <v>1827</v>
      </c>
      <c r="BL101" s="10" t="s">
        <v>1827</v>
      </c>
      <c r="BM101" s="10" t="s">
        <v>1827</v>
      </c>
      <c r="BN101" s="10" t="s">
        <v>1827</v>
      </c>
      <c r="BO101" s="10" t="s">
        <v>1827</v>
      </c>
      <c r="BP101" s="10" t="s">
        <v>1827</v>
      </c>
      <c r="BQ101" s="10" t="s">
        <v>1827</v>
      </c>
      <c r="BR101" s="10" t="s">
        <v>1827</v>
      </c>
      <c r="BS101" s="10" t="s">
        <v>1827</v>
      </c>
      <c r="BT101" s="10" t="s">
        <v>1827</v>
      </c>
      <c r="BU101" s="10" t="s">
        <v>1827</v>
      </c>
      <c r="BV101" s="10" t="s">
        <v>1827</v>
      </c>
      <c r="BW101" s="10" t="s">
        <v>1827</v>
      </c>
      <c r="BX101" s="10" t="s">
        <v>1827</v>
      </c>
      <c r="BY101" s="10" t="s">
        <v>1827</v>
      </c>
      <c r="BZ101" s="10" t="s">
        <v>1827</v>
      </c>
      <c r="CA101" s="10" t="s">
        <v>1827</v>
      </c>
      <c r="CB101" s="10" t="s">
        <v>1827</v>
      </c>
      <c r="CC101" s="10" t="s">
        <v>1827</v>
      </c>
      <c r="CD101" s="10" t="s">
        <v>1827</v>
      </c>
      <c r="CE101" s="10" t="s">
        <v>1827</v>
      </c>
      <c r="CF101" s="10" t="s">
        <v>1827</v>
      </c>
      <c r="CG101" s="10" t="s">
        <v>1827</v>
      </c>
      <c r="CH101" s="10" t="s">
        <v>1827</v>
      </c>
      <c r="CI101" s="10" t="s">
        <v>1827</v>
      </c>
      <c r="CJ101" s="10" t="s">
        <v>1827</v>
      </c>
      <c r="CK101" s="10" t="s">
        <v>1827</v>
      </c>
      <c r="CL101" s="10" t="s">
        <v>1827</v>
      </c>
      <c r="CM101" s="10" t="s">
        <v>1827</v>
      </c>
      <c r="CN101" s="10" t="s">
        <v>1827</v>
      </c>
      <c r="CO101" s="10" t="s">
        <v>1827</v>
      </c>
      <c r="CP101" s="10" t="s">
        <v>1827</v>
      </c>
      <c r="CQ101" s="10" t="s">
        <v>1827</v>
      </c>
      <c r="CR101" s="10" t="s">
        <v>1827</v>
      </c>
      <c r="CS101" s="10" t="s">
        <v>1827</v>
      </c>
      <c r="CT101" s="10" t="s">
        <v>1827</v>
      </c>
      <c r="CU101" s="10" t="s">
        <v>1827</v>
      </c>
      <c r="CV101" s="10" t="s">
        <v>1827</v>
      </c>
      <c r="CW101" s="10" t="s">
        <v>1827</v>
      </c>
      <c r="CX101" s="10" t="s">
        <v>1827</v>
      </c>
      <c r="CY101" s="10" t="s">
        <v>1827</v>
      </c>
      <c r="CZ101" s="10">
        <v>911.15702499999998</v>
      </c>
      <c r="DA101" s="10">
        <v>914.25619800000004</v>
      </c>
      <c r="DB101" s="10">
        <v>909.09090900000001</v>
      </c>
      <c r="DC101" s="10">
        <v>917.35537199999999</v>
      </c>
      <c r="DD101" s="10">
        <v>909.09090900000001</v>
      </c>
      <c r="DE101" s="10">
        <v>920.45454500000005</v>
      </c>
      <c r="DF101" s="10">
        <v>944.214876</v>
      </c>
      <c r="DG101" s="10">
        <v>952.47933899999998</v>
      </c>
      <c r="DH101" s="10">
        <v>971.07438000000002</v>
      </c>
      <c r="DI101" s="10">
        <v>967.97520699999995</v>
      </c>
      <c r="DJ101" s="10">
        <v>974.17355399999997</v>
      </c>
      <c r="DK101" s="10">
        <v>974.17355399999997</v>
      </c>
      <c r="DL101" s="10">
        <v>984.50413200000003</v>
      </c>
      <c r="DM101" s="10">
        <v>989.66942100000006</v>
      </c>
      <c r="DN101" s="10">
        <v>1002.066116</v>
      </c>
      <c r="DO101" s="10">
        <v>1001.033058</v>
      </c>
      <c r="DP101" s="10">
        <v>1017.5619830000001</v>
      </c>
      <c r="DQ101" s="10">
        <v>1022.727273</v>
      </c>
      <c r="DR101" s="10">
        <v>1017.5619830000001</v>
      </c>
      <c r="DS101" s="10">
        <v>1019.628099</v>
      </c>
      <c r="DT101" s="10">
        <v>1022.727273</v>
      </c>
      <c r="DU101" s="10">
        <v>1022.727273</v>
      </c>
      <c r="DV101" s="10">
        <v>1019.628099</v>
      </c>
      <c r="DW101" s="10">
        <v>1036.157025</v>
      </c>
      <c r="DX101" s="10">
        <v>1034.090909</v>
      </c>
      <c r="DY101" s="10">
        <v>1029.958678</v>
      </c>
      <c r="DZ101" s="10">
        <v>1021.694215</v>
      </c>
      <c r="EA101" s="10">
        <v>1018.595041</v>
      </c>
      <c r="EB101" s="10">
        <v>1033.057851</v>
      </c>
      <c r="EC101" s="10">
        <v>1028.92562</v>
      </c>
      <c r="ED101" s="10">
        <v>1028.92562</v>
      </c>
      <c r="EE101" s="10">
        <v>1034.090909</v>
      </c>
      <c r="EF101" s="10">
        <v>1033.057851</v>
      </c>
      <c r="EG101" s="10">
        <v>1027.892562</v>
      </c>
      <c r="EH101" s="10">
        <v>1033.057851</v>
      </c>
      <c r="EI101" s="10">
        <v>1029.958678</v>
      </c>
      <c r="EJ101" s="10">
        <v>1035.123967</v>
      </c>
      <c r="EK101" s="10">
        <v>1050.619835</v>
      </c>
      <c r="EL101" s="10">
        <v>1051.6528929999999</v>
      </c>
      <c r="EM101" s="10">
        <v>1063.016529</v>
      </c>
      <c r="EN101" s="10">
        <v>1081.61157</v>
      </c>
      <c r="EO101" s="10">
        <v>1077.479339</v>
      </c>
      <c r="EP101" s="10">
        <v>1075.413223</v>
      </c>
      <c r="EQ101" s="10">
        <v>1067.14876</v>
      </c>
      <c r="ER101" s="10">
        <v>1056.818182</v>
      </c>
      <c r="ES101" s="10">
        <v>1061.983471</v>
      </c>
      <c r="ET101" s="10">
        <v>1074.380165</v>
      </c>
      <c r="EU101" s="10">
        <v>1078.512397</v>
      </c>
      <c r="EV101" s="10">
        <v>1085.743802</v>
      </c>
      <c r="EW101" s="10">
        <v>1084.710744</v>
      </c>
      <c r="EX101" s="10">
        <v>1077.479339</v>
      </c>
      <c r="EY101" s="10">
        <v>1081.61157</v>
      </c>
      <c r="EZ101" s="10">
        <v>1082.644628</v>
      </c>
      <c r="FA101" s="10">
        <v>1080.578512</v>
      </c>
      <c r="FB101" s="10">
        <v>1076.446281</v>
      </c>
      <c r="FC101" s="10">
        <v>1080.578512</v>
      </c>
      <c r="FD101" s="10">
        <v>1072.31405</v>
      </c>
      <c r="FE101" s="10">
        <v>1074.380165</v>
      </c>
      <c r="FF101" s="10">
        <v>1067.14876</v>
      </c>
      <c r="FG101" s="10">
        <v>1071.280992</v>
      </c>
      <c r="FH101" s="10">
        <v>1058.8842979999999</v>
      </c>
      <c r="FI101" s="10">
        <v>1067.14876</v>
      </c>
      <c r="FJ101" s="10">
        <v>1067.14876</v>
      </c>
      <c r="FK101" s="10">
        <v>1066.1157020000001</v>
      </c>
      <c r="FL101" s="10">
        <v>1061.983471</v>
      </c>
      <c r="FM101" s="10">
        <v>1051.6528929999999</v>
      </c>
      <c r="FN101" s="10">
        <v>1037.190083</v>
      </c>
      <c r="FO101" s="10">
        <v>1037.190083</v>
      </c>
      <c r="FP101" s="10">
        <v>1035.123967</v>
      </c>
      <c r="FQ101" s="10">
        <v>1022.727273</v>
      </c>
      <c r="FR101" s="10">
        <v>1016.528926</v>
      </c>
      <c r="FS101" s="10">
        <v>1015.495868</v>
      </c>
      <c r="FT101" s="10">
        <v>1000</v>
      </c>
      <c r="FU101" s="10">
        <v>1012.396694</v>
      </c>
      <c r="FV101" s="10">
        <v>995</v>
      </c>
      <c r="FW101" s="10">
        <v>999</v>
      </c>
      <c r="FX101" s="10">
        <v>1002</v>
      </c>
      <c r="FY101" s="10">
        <v>990</v>
      </c>
      <c r="FZ101" s="10">
        <v>1001</v>
      </c>
      <c r="GA101" s="10">
        <v>1003</v>
      </c>
      <c r="GB101" s="10">
        <v>1005</v>
      </c>
      <c r="GC101" s="10">
        <v>997</v>
      </c>
      <c r="GD101" s="10">
        <v>1007</v>
      </c>
      <c r="GE101" s="10">
        <v>1013</v>
      </c>
      <c r="GF101" s="10">
        <v>1011</v>
      </c>
      <c r="GG101" s="10">
        <v>985</v>
      </c>
      <c r="GH101" s="10">
        <v>986</v>
      </c>
      <c r="GI101" s="10">
        <v>987</v>
      </c>
      <c r="GJ101" s="10">
        <v>993</v>
      </c>
      <c r="GK101" s="10">
        <v>1013</v>
      </c>
      <c r="GL101" s="10">
        <v>1035</v>
      </c>
      <c r="GM101" s="10">
        <v>1057</v>
      </c>
      <c r="GN101" s="10">
        <v>1074</v>
      </c>
      <c r="GO101" s="10">
        <v>1083</v>
      </c>
      <c r="GP101" s="10">
        <v>1116</v>
      </c>
      <c r="GQ101" s="10">
        <v>1141</v>
      </c>
      <c r="GR101" s="10">
        <v>1166</v>
      </c>
      <c r="GS101" s="10">
        <v>1156</v>
      </c>
    </row>
    <row r="102" spans="1:201" ht="12.6">
      <c r="A102" s="51" t="s">
        <v>1920</v>
      </c>
      <c r="B102" s="10"/>
      <c r="C102" s="10"/>
      <c r="D102" s="10"/>
      <c r="E102" s="10"/>
      <c r="F102" s="10" t="s">
        <v>1827</v>
      </c>
      <c r="G102" s="10" t="s">
        <v>1827</v>
      </c>
      <c r="H102" s="10" t="s">
        <v>1827</v>
      </c>
      <c r="I102" s="10" t="s">
        <v>1827</v>
      </c>
      <c r="J102" s="10" t="s">
        <v>1827</v>
      </c>
      <c r="K102" s="10" t="s">
        <v>1827</v>
      </c>
      <c r="L102" s="10" t="s">
        <v>1827</v>
      </c>
      <c r="M102" s="10" t="s">
        <v>1827</v>
      </c>
      <c r="N102" s="10" t="s">
        <v>1827</v>
      </c>
      <c r="O102" s="10" t="s">
        <v>1827</v>
      </c>
      <c r="P102" s="10" t="s">
        <v>1827</v>
      </c>
      <c r="Q102" s="10" t="s">
        <v>1827</v>
      </c>
      <c r="R102" s="10" t="s">
        <v>1827</v>
      </c>
      <c r="S102" s="10" t="s">
        <v>1827</v>
      </c>
      <c r="T102" s="10" t="s">
        <v>1827</v>
      </c>
      <c r="U102" s="10" t="s">
        <v>1827</v>
      </c>
      <c r="V102" s="10" t="s">
        <v>1827</v>
      </c>
      <c r="W102" s="10" t="s">
        <v>1827</v>
      </c>
      <c r="X102" s="10" t="s">
        <v>1827</v>
      </c>
      <c r="Y102" s="10" t="s">
        <v>1827</v>
      </c>
      <c r="Z102" s="10" t="s">
        <v>1827</v>
      </c>
      <c r="AA102" s="10" t="s">
        <v>1827</v>
      </c>
      <c r="AB102" s="10" t="s">
        <v>1827</v>
      </c>
      <c r="AC102" s="10" t="s">
        <v>1827</v>
      </c>
      <c r="AD102" s="10" t="s">
        <v>1827</v>
      </c>
      <c r="AE102" s="10" t="s">
        <v>1827</v>
      </c>
      <c r="AF102" s="10" t="s">
        <v>1827</v>
      </c>
      <c r="AG102" s="10" t="s">
        <v>1827</v>
      </c>
      <c r="AH102" s="10" t="s">
        <v>1827</v>
      </c>
      <c r="AI102" s="10" t="s">
        <v>1827</v>
      </c>
      <c r="AJ102" s="10" t="s">
        <v>1827</v>
      </c>
      <c r="AK102" s="10" t="s">
        <v>1827</v>
      </c>
      <c r="AL102" s="10" t="s">
        <v>1827</v>
      </c>
      <c r="AM102" s="10" t="s">
        <v>1827</v>
      </c>
      <c r="AN102" s="10" t="s">
        <v>1827</v>
      </c>
      <c r="AO102" s="10" t="s">
        <v>1827</v>
      </c>
      <c r="AP102" s="10" t="s">
        <v>1827</v>
      </c>
      <c r="AQ102" s="10" t="s">
        <v>1827</v>
      </c>
      <c r="AR102" s="10" t="s">
        <v>1827</v>
      </c>
      <c r="AS102" s="10" t="s">
        <v>1827</v>
      </c>
      <c r="AT102" s="10" t="s">
        <v>1827</v>
      </c>
      <c r="AU102" s="10" t="s">
        <v>1827</v>
      </c>
      <c r="AV102" s="10" t="s">
        <v>1827</v>
      </c>
      <c r="AW102" s="10" t="s">
        <v>1827</v>
      </c>
      <c r="AX102" s="10" t="s">
        <v>1827</v>
      </c>
      <c r="AY102" s="10" t="s">
        <v>1827</v>
      </c>
      <c r="AZ102" s="10" t="s">
        <v>1827</v>
      </c>
      <c r="BA102" s="10" t="s">
        <v>1827</v>
      </c>
      <c r="BB102" s="10" t="s">
        <v>1827</v>
      </c>
      <c r="BC102" s="10" t="s">
        <v>1827</v>
      </c>
      <c r="BD102" s="10" t="s">
        <v>1827</v>
      </c>
      <c r="BE102" s="10" t="s">
        <v>1827</v>
      </c>
      <c r="BF102" s="10" t="s">
        <v>1827</v>
      </c>
      <c r="BG102" s="10" t="s">
        <v>1827</v>
      </c>
      <c r="BH102" s="10" t="s">
        <v>1827</v>
      </c>
      <c r="BI102" s="10" t="s">
        <v>1827</v>
      </c>
      <c r="BJ102" s="10" t="s">
        <v>1827</v>
      </c>
      <c r="BK102" s="10" t="s">
        <v>1827</v>
      </c>
      <c r="BL102" s="10" t="s">
        <v>1827</v>
      </c>
      <c r="BM102" s="10" t="s">
        <v>1827</v>
      </c>
      <c r="BN102" s="10" t="s">
        <v>1827</v>
      </c>
      <c r="BO102" s="10" t="s">
        <v>1827</v>
      </c>
      <c r="BP102" s="10" t="s">
        <v>1827</v>
      </c>
      <c r="BQ102" s="10" t="s">
        <v>1827</v>
      </c>
      <c r="BR102" s="10" t="s">
        <v>1827</v>
      </c>
      <c r="BS102" s="10" t="s">
        <v>1827</v>
      </c>
      <c r="BT102" s="10" t="s">
        <v>1827</v>
      </c>
      <c r="BU102" s="10" t="s">
        <v>1827</v>
      </c>
      <c r="BV102" s="10" t="s">
        <v>1827</v>
      </c>
      <c r="BW102" s="10" t="s">
        <v>1827</v>
      </c>
      <c r="BX102" s="10" t="s">
        <v>1827</v>
      </c>
      <c r="BY102" s="10" t="s">
        <v>1827</v>
      </c>
      <c r="BZ102" s="10" t="s">
        <v>1827</v>
      </c>
      <c r="CA102" s="10" t="s">
        <v>1827</v>
      </c>
      <c r="CB102" s="10" t="s">
        <v>1827</v>
      </c>
      <c r="CC102" s="10" t="s">
        <v>1827</v>
      </c>
      <c r="CD102" s="10" t="s">
        <v>1827</v>
      </c>
      <c r="CE102" s="10" t="s">
        <v>1827</v>
      </c>
      <c r="CF102" s="10" t="s">
        <v>1827</v>
      </c>
      <c r="CG102" s="10" t="s">
        <v>1827</v>
      </c>
      <c r="CH102" s="10" t="s">
        <v>1827</v>
      </c>
      <c r="CI102" s="10" t="s">
        <v>1827</v>
      </c>
      <c r="CJ102" s="10" t="s">
        <v>1827</v>
      </c>
      <c r="CK102" s="10" t="s">
        <v>1827</v>
      </c>
      <c r="CL102" s="10" t="s">
        <v>1827</v>
      </c>
      <c r="CM102" s="10" t="s">
        <v>1827</v>
      </c>
      <c r="CN102" s="10" t="s">
        <v>1827</v>
      </c>
      <c r="CO102" s="10" t="s">
        <v>1827</v>
      </c>
      <c r="CP102" s="10" t="s">
        <v>1827</v>
      </c>
      <c r="CQ102" s="10" t="s">
        <v>1827</v>
      </c>
      <c r="CR102" s="10" t="s">
        <v>1827</v>
      </c>
      <c r="CS102" s="10" t="s">
        <v>1827</v>
      </c>
      <c r="CT102" s="10" t="s">
        <v>1827</v>
      </c>
      <c r="CU102" s="10" t="s">
        <v>1827</v>
      </c>
      <c r="CV102" s="10" t="s">
        <v>1827</v>
      </c>
      <c r="CW102" s="10" t="s">
        <v>1827</v>
      </c>
      <c r="CX102" s="10" t="s">
        <v>1827</v>
      </c>
      <c r="CY102" s="10" t="s">
        <v>1827</v>
      </c>
      <c r="CZ102" s="10">
        <v>503.405573</v>
      </c>
      <c r="DA102" s="10">
        <v>495.97523200000001</v>
      </c>
      <c r="DB102" s="10">
        <v>508.35913299999999</v>
      </c>
      <c r="DC102" s="10">
        <v>513.31269299999997</v>
      </c>
      <c r="DD102" s="10">
        <v>513.93188899999996</v>
      </c>
      <c r="DE102" s="10">
        <v>513.93188899999996</v>
      </c>
      <c r="DF102" s="10">
        <v>531.26935000000003</v>
      </c>
      <c r="DG102" s="10">
        <v>539.93808000000001</v>
      </c>
      <c r="DH102" s="10">
        <v>543.03405599999996</v>
      </c>
      <c r="DI102" s="10">
        <v>546.74922600000002</v>
      </c>
      <c r="DJ102" s="10">
        <v>563.46749199999999</v>
      </c>
      <c r="DK102" s="10">
        <v>567.18266300000005</v>
      </c>
      <c r="DL102" s="10">
        <v>570.278638</v>
      </c>
      <c r="DM102" s="10">
        <v>573.37461299999995</v>
      </c>
      <c r="DN102" s="10">
        <v>575.85139300000003</v>
      </c>
      <c r="DO102" s="10">
        <v>575.85139300000003</v>
      </c>
      <c r="DP102" s="10">
        <v>577.08978300000001</v>
      </c>
      <c r="DQ102" s="10">
        <v>575.85139300000003</v>
      </c>
      <c r="DR102" s="10">
        <v>565.94427199999996</v>
      </c>
      <c r="DS102" s="10">
        <v>577.708978</v>
      </c>
      <c r="DT102" s="10">
        <v>580.18575899999996</v>
      </c>
      <c r="DU102" s="10">
        <v>578.94736799999998</v>
      </c>
      <c r="DV102" s="10">
        <v>575.85139300000003</v>
      </c>
      <c r="DW102" s="10">
        <v>576.47058800000002</v>
      </c>
      <c r="DX102" s="10">
        <v>583.90092900000002</v>
      </c>
      <c r="DY102" s="10">
        <v>582.66253900000004</v>
      </c>
      <c r="DZ102" s="10">
        <v>578.32817299999999</v>
      </c>
      <c r="EA102" s="10">
        <v>594.42724499999997</v>
      </c>
      <c r="EB102" s="10">
        <v>619.19504600000005</v>
      </c>
      <c r="EC102" s="10">
        <v>642.10526300000004</v>
      </c>
      <c r="ED102" s="10">
        <v>651.39318900000001</v>
      </c>
      <c r="EE102" s="10">
        <v>686.68730700000003</v>
      </c>
      <c r="EF102" s="10">
        <v>686.68730700000003</v>
      </c>
      <c r="EG102" s="10">
        <v>695.35603700000001</v>
      </c>
      <c r="EH102" s="10">
        <v>704.02476799999999</v>
      </c>
      <c r="EI102" s="10">
        <v>723.83900900000003</v>
      </c>
      <c r="EJ102" s="10">
        <v>731.88854500000002</v>
      </c>
      <c r="EK102" s="10">
        <v>758.51393199999995</v>
      </c>
      <c r="EL102" s="10">
        <v>762.22910200000001</v>
      </c>
      <c r="EM102" s="10">
        <v>795.66563499999995</v>
      </c>
      <c r="EN102" s="10">
        <v>805.57275500000003</v>
      </c>
      <c r="EO102" s="10">
        <v>832.19814199999996</v>
      </c>
      <c r="EP102" s="10">
        <v>832.19814199999996</v>
      </c>
      <c r="EQ102" s="10">
        <v>840.24767799999995</v>
      </c>
      <c r="ER102" s="10">
        <v>834.05572800000004</v>
      </c>
      <c r="ES102" s="10">
        <v>842.72445800000003</v>
      </c>
      <c r="ET102" s="10">
        <v>859.442724</v>
      </c>
      <c r="EU102" s="10">
        <v>873.684211</v>
      </c>
      <c r="EV102" s="10">
        <v>891.64086699999996</v>
      </c>
      <c r="EW102" s="10">
        <v>908.35913300000004</v>
      </c>
      <c r="EX102" s="10">
        <v>910.83591300000001</v>
      </c>
      <c r="EY102" s="10">
        <v>947.36842100000001</v>
      </c>
      <c r="EZ102" s="10">
        <v>959.75232200000005</v>
      </c>
      <c r="FA102" s="10">
        <v>972.75541799999996</v>
      </c>
      <c r="FB102" s="10">
        <v>944.27244599999995</v>
      </c>
      <c r="FC102" s="10">
        <v>987.61609899999996</v>
      </c>
      <c r="FD102" s="10">
        <v>980.80495399999995</v>
      </c>
      <c r="FE102" s="10">
        <v>964.70588199999997</v>
      </c>
      <c r="FF102" s="10">
        <v>964.08668699999998</v>
      </c>
      <c r="FG102" s="10">
        <v>958.51393199999995</v>
      </c>
      <c r="FH102" s="10">
        <v>956.03715199999999</v>
      </c>
      <c r="FI102" s="10">
        <v>955.417957</v>
      </c>
      <c r="FJ102" s="10">
        <v>963.46749199999999</v>
      </c>
      <c r="FK102" s="10">
        <v>945.51083600000004</v>
      </c>
      <c r="FL102" s="10">
        <v>947.36842100000001</v>
      </c>
      <c r="FM102" s="10">
        <v>967.18266300000005</v>
      </c>
      <c r="FN102" s="10">
        <v>978.94736799999998</v>
      </c>
      <c r="FO102" s="10">
        <v>954.79876200000001</v>
      </c>
      <c r="FP102" s="10">
        <v>932.50774000000001</v>
      </c>
      <c r="FQ102" s="10">
        <v>990.09287900000004</v>
      </c>
      <c r="FR102" s="10">
        <v>982.04334400000005</v>
      </c>
      <c r="FS102" s="10">
        <v>983.90092900000002</v>
      </c>
      <c r="FT102" s="10">
        <v>1000</v>
      </c>
      <c r="FU102" s="10">
        <v>993.18885399999999</v>
      </c>
      <c r="FV102" s="10">
        <v>1005</v>
      </c>
      <c r="FW102" s="10">
        <v>1010</v>
      </c>
      <c r="FX102" s="10">
        <v>1018</v>
      </c>
      <c r="FY102" s="10">
        <v>1020</v>
      </c>
      <c r="FZ102" s="10">
        <v>1029</v>
      </c>
      <c r="GA102" s="10">
        <v>1032</v>
      </c>
      <c r="GB102" s="10">
        <v>1034</v>
      </c>
      <c r="GC102" s="10">
        <v>1035</v>
      </c>
      <c r="GD102" s="10">
        <v>1096</v>
      </c>
      <c r="GE102" s="10">
        <v>1089</v>
      </c>
      <c r="GF102" s="10">
        <v>1087</v>
      </c>
      <c r="GG102" s="10">
        <v>1137</v>
      </c>
      <c r="GH102" s="10">
        <v>1135</v>
      </c>
      <c r="GI102" s="10">
        <v>1165</v>
      </c>
      <c r="GJ102" s="10">
        <v>1169</v>
      </c>
      <c r="GK102" s="10">
        <v>1171</v>
      </c>
      <c r="GL102" s="10">
        <v>1178</v>
      </c>
      <c r="GM102" s="10">
        <v>1186</v>
      </c>
      <c r="GN102" s="10">
        <v>1174</v>
      </c>
      <c r="GO102" s="10">
        <v>1232</v>
      </c>
      <c r="GP102" s="10">
        <v>1243</v>
      </c>
      <c r="GQ102" s="10">
        <v>1258</v>
      </c>
      <c r="GR102" s="10">
        <v>1253</v>
      </c>
      <c r="GS102" s="10">
        <v>1273</v>
      </c>
    </row>
    <row r="103" spans="1:201" ht="12.6">
      <c r="A103" s="51" t="s">
        <v>1921</v>
      </c>
      <c r="B103" s="10"/>
      <c r="C103" s="10"/>
      <c r="D103" s="10"/>
      <c r="E103" s="10"/>
      <c r="F103" s="10" t="s">
        <v>1827</v>
      </c>
      <c r="G103" s="10" t="s">
        <v>1827</v>
      </c>
      <c r="H103" s="10" t="s">
        <v>1827</v>
      </c>
      <c r="I103" s="10" t="s">
        <v>1827</v>
      </c>
      <c r="J103" s="10" t="s">
        <v>1827</v>
      </c>
      <c r="K103" s="10" t="s">
        <v>1827</v>
      </c>
      <c r="L103" s="10" t="s">
        <v>1827</v>
      </c>
      <c r="M103" s="10" t="s">
        <v>1827</v>
      </c>
      <c r="N103" s="10" t="s">
        <v>1827</v>
      </c>
      <c r="O103" s="10" t="s">
        <v>1827</v>
      </c>
      <c r="P103" s="10" t="s">
        <v>1827</v>
      </c>
      <c r="Q103" s="10" t="s">
        <v>1827</v>
      </c>
      <c r="R103" s="10" t="s">
        <v>1827</v>
      </c>
      <c r="S103" s="10" t="s">
        <v>1827</v>
      </c>
      <c r="T103" s="10" t="s">
        <v>1827</v>
      </c>
      <c r="U103" s="10" t="s">
        <v>1827</v>
      </c>
      <c r="V103" s="10" t="s">
        <v>1827</v>
      </c>
      <c r="W103" s="10" t="s">
        <v>1827</v>
      </c>
      <c r="X103" s="10" t="s">
        <v>1827</v>
      </c>
      <c r="Y103" s="10" t="s">
        <v>1827</v>
      </c>
      <c r="Z103" s="10" t="s">
        <v>1827</v>
      </c>
      <c r="AA103" s="10" t="s">
        <v>1827</v>
      </c>
      <c r="AB103" s="10" t="s">
        <v>1827</v>
      </c>
      <c r="AC103" s="10" t="s">
        <v>1827</v>
      </c>
      <c r="AD103" s="10" t="s">
        <v>1827</v>
      </c>
      <c r="AE103" s="10" t="s">
        <v>1827</v>
      </c>
      <c r="AF103" s="10" t="s">
        <v>1827</v>
      </c>
      <c r="AG103" s="10" t="s">
        <v>1827</v>
      </c>
      <c r="AH103" s="10" t="s">
        <v>1827</v>
      </c>
      <c r="AI103" s="10" t="s">
        <v>1827</v>
      </c>
      <c r="AJ103" s="10" t="s">
        <v>1827</v>
      </c>
      <c r="AK103" s="10" t="s">
        <v>1827</v>
      </c>
      <c r="AL103" s="10" t="s">
        <v>1827</v>
      </c>
      <c r="AM103" s="10" t="s">
        <v>1827</v>
      </c>
      <c r="AN103" s="10" t="s">
        <v>1827</v>
      </c>
      <c r="AO103" s="10" t="s">
        <v>1827</v>
      </c>
      <c r="AP103" s="10" t="s">
        <v>1827</v>
      </c>
      <c r="AQ103" s="10" t="s">
        <v>1827</v>
      </c>
      <c r="AR103" s="10" t="s">
        <v>1827</v>
      </c>
      <c r="AS103" s="10" t="s">
        <v>1827</v>
      </c>
      <c r="AT103" s="10" t="s">
        <v>1827</v>
      </c>
      <c r="AU103" s="10" t="s">
        <v>1827</v>
      </c>
      <c r="AV103" s="10" t="s">
        <v>1827</v>
      </c>
      <c r="AW103" s="10" t="s">
        <v>1827</v>
      </c>
      <c r="AX103" s="10" t="s">
        <v>1827</v>
      </c>
      <c r="AY103" s="10" t="s">
        <v>1827</v>
      </c>
      <c r="AZ103" s="10" t="s">
        <v>1827</v>
      </c>
      <c r="BA103" s="10" t="s">
        <v>1827</v>
      </c>
      <c r="BB103" s="10" t="s">
        <v>1827</v>
      </c>
      <c r="BC103" s="10" t="s">
        <v>1827</v>
      </c>
      <c r="BD103" s="10" t="s">
        <v>1827</v>
      </c>
      <c r="BE103" s="10" t="s">
        <v>1827</v>
      </c>
      <c r="BF103" s="10" t="s">
        <v>1827</v>
      </c>
      <c r="BG103" s="10" t="s">
        <v>1827</v>
      </c>
      <c r="BH103" s="10" t="s">
        <v>1827</v>
      </c>
      <c r="BI103" s="10" t="s">
        <v>1827</v>
      </c>
      <c r="BJ103" s="10" t="s">
        <v>1827</v>
      </c>
      <c r="BK103" s="10" t="s">
        <v>1827</v>
      </c>
      <c r="BL103" s="10" t="s">
        <v>1827</v>
      </c>
      <c r="BM103" s="10" t="s">
        <v>1827</v>
      </c>
      <c r="BN103" s="10" t="s">
        <v>1827</v>
      </c>
      <c r="BO103" s="10" t="s">
        <v>1827</v>
      </c>
      <c r="BP103" s="10" t="s">
        <v>1827</v>
      </c>
      <c r="BQ103" s="10" t="s">
        <v>1827</v>
      </c>
      <c r="BR103" s="10" t="s">
        <v>1827</v>
      </c>
      <c r="BS103" s="10" t="s">
        <v>1827</v>
      </c>
      <c r="BT103" s="10" t="s">
        <v>1827</v>
      </c>
      <c r="BU103" s="10" t="s">
        <v>1827</v>
      </c>
      <c r="BV103" s="10" t="s">
        <v>1827</v>
      </c>
      <c r="BW103" s="10" t="s">
        <v>1827</v>
      </c>
      <c r="BX103" s="10" t="s">
        <v>1827</v>
      </c>
      <c r="BY103" s="10" t="s">
        <v>1827</v>
      </c>
      <c r="BZ103" s="10" t="s">
        <v>1827</v>
      </c>
      <c r="CA103" s="10" t="s">
        <v>1827</v>
      </c>
      <c r="CB103" s="10" t="s">
        <v>1827</v>
      </c>
      <c r="CC103" s="10" t="s">
        <v>1827</v>
      </c>
      <c r="CD103" s="10" t="s">
        <v>1827</v>
      </c>
      <c r="CE103" s="10" t="s">
        <v>1827</v>
      </c>
      <c r="CF103" s="10" t="s">
        <v>1827</v>
      </c>
      <c r="CG103" s="10" t="s">
        <v>1827</v>
      </c>
      <c r="CH103" s="10" t="s">
        <v>1827</v>
      </c>
      <c r="CI103" s="10" t="s">
        <v>1827</v>
      </c>
      <c r="CJ103" s="10" t="s">
        <v>1827</v>
      </c>
      <c r="CK103" s="10" t="s">
        <v>1827</v>
      </c>
      <c r="CL103" s="10" t="s">
        <v>1827</v>
      </c>
      <c r="CM103" s="10" t="s">
        <v>1827</v>
      </c>
      <c r="CN103" s="10" t="s">
        <v>1827</v>
      </c>
      <c r="CO103" s="10" t="s">
        <v>1827</v>
      </c>
      <c r="CP103" s="10" t="s">
        <v>1827</v>
      </c>
      <c r="CQ103" s="10" t="s">
        <v>1827</v>
      </c>
      <c r="CR103" s="10" t="s">
        <v>1827</v>
      </c>
      <c r="CS103" s="10" t="s">
        <v>1827</v>
      </c>
      <c r="CT103" s="10" t="s">
        <v>1827</v>
      </c>
      <c r="CU103" s="10" t="s">
        <v>1827</v>
      </c>
      <c r="CV103" s="10" t="s">
        <v>1827</v>
      </c>
      <c r="CW103" s="10" t="s">
        <v>1827</v>
      </c>
      <c r="CX103" s="10" t="s">
        <v>1827</v>
      </c>
      <c r="CY103" s="10" t="s">
        <v>1827</v>
      </c>
      <c r="CZ103" s="10">
        <v>1155.6756760000001</v>
      </c>
      <c r="DA103" s="10">
        <v>1137.2972970000001</v>
      </c>
      <c r="DB103" s="10">
        <v>1128.648649</v>
      </c>
      <c r="DC103" s="10">
        <v>1120</v>
      </c>
      <c r="DD103" s="10">
        <v>1117.8378379999999</v>
      </c>
      <c r="DE103" s="10">
        <v>1110.27027</v>
      </c>
      <c r="DF103" s="10">
        <v>1102.7027029999999</v>
      </c>
      <c r="DG103" s="10">
        <v>1107.0270270000001</v>
      </c>
      <c r="DH103" s="10">
        <v>1092.9729729999999</v>
      </c>
      <c r="DI103" s="10">
        <v>1090.8108110000001</v>
      </c>
      <c r="DJ103" s="10">
        <v>1108.1081079999999</v>
      </c>
      <c r="DK103" s="10">
        <v>1096.216216</v>
      </c>
      <c r="DL103" s="10">
        <v>1122.1621620000001</v>
      </c>
      <c r="DM103" s="10">
        <v>1120</v>
      </c>
      <c r="DN103" s="10">
        <v>1134.054054</v>
      </c>
      <c r="DO103" s="10">
        <v>1122.1621620000001</v>
      </c>
      <c r="DP103" s="10">
        <v>1113.513514</v>
      </c>
      <c r="DQ103" s="10">
        <v>1114.594595</v>
      </c>
      <c r="DR103" s="10">
        <v>1110.27027</v>
      </c>
      <c r="DS103" s="10">
        <v>1099.4594589999999</v>
      </c>
      <c r="DT103" s="10">
        <v>1104.864865</v>
      </c>
      <c r="DU103" s="10">
        <v>1086.486486</v>
      </c>
      <c r="DV103" s="10">
        <v>1074.594595</v>
      </c>
      <c r="DW103" s="10">
        <v>1063.783784</v>
      </c>
      <c r="DX103" s="10">
        <v>1058.3783780000001</v>
      </c>
      <c r="DY103" s="10">
        <v>1052.9729729999999</v>
      </c>
      <c r="DZ103" s="10">
        <v>1082.1621620000001</v>
      </c>
      <c r="EA103" s="10">
        <v>1072.4324320000001</v>
      </c>
      <c r="EB103" s="10">
        <v>1081.081081</v>
      </c>
      <c r="EC103" s="10">
        <v>1086.486486</v>
      </c>
      <c r="ED103" s="10">
        <v>1099.4594589999999</v>
      </c>
      <c r="EE103" s="10">
        <v>1080</v>
      </c>
      <c r="EF103" s="10">
        <v>1086.486486</v>
      </c>
      <c r="EG103" s="10">
        <v>1103.783784</v>
      </c>
      <c r="EH103" s="10">
        <v>1101.6216219999999</v>
      </c>
      <c r="EI103" s="10">
        <v>1076.7567570000001</v>
      </c>
      <c r="EJ103" s="10">
        <v>1076.7567570000001</v>
      </c>
      <c r="EK103" s="10">
        <v>1059.4594589999999</v>
      </c>
      <c r="EL103" s="10">
        <v>1082.1621620000001</v>
      </c>
      <c r="EM103" s="10">
        <v>1052.9729729999999</v>
      </c>
      <c r="EN103" s="10">
        <v>1069.1891889999999</v>
      </c>
      <c r="EO103" s="10">
        <v>1094.054054</v>
      </c>
      <c r="EP103" s="10">
        <v>1097.2972970000001</v>
      </c>
      <c r="EQ103" s="10">
        <v>1069.1891889999999</v>
      </c>
      <c r="ER103" s="10">
        <v>1086.486486</v>
      </c>
      <c r="ES103" s="10">
        <v>1070.27027</v>
      </c>
      <c r="ET103" s="10">
        <v>1084.3243239999999</v>
      </c>
      <c r="EU103" s="10">
        <v>1059.4594589999999</v>
      </c>
      <c r="EV103" s="10">
        <v>1052.9729729999999</v>
      </c>
      <c r="EW103" s="10">
        <v>1056.216216</v>
      </c>
      <c r="EX103" s="10">
        <v>1046.486486</v>
      </c>
      <c r="EY103" s="10">
        <v>1029.1891889999999</v>
      </c>
      <c r="EZ103" s="10">
        <v>1035.6756760000001</v>
      </c>
      <c r="FA103" s="10">
        <v>1024.864865</v>
      </c>
      <c r="FB103" s="10">
        <v>1010.8108109999999</v>
      </c>
      <c r="FC103" s="10">
        <v>980.54054099999996</v>
      </c>
      <c r="FD103" s="10">
        <v>985.94594600000005</v>
      </c>
      <c r="FE103" s="10">
        <v>976.21621600000003</v>
      </c>
      <c r="FF103" s="10">
        <v>989.18918900000006</v>
      </c>
      <c r="FG103" s="10">
        <v>964.32432400000005</v>
      </c>
      <c r="FH103" s="10">
        <v>962.16216199999997</v>
      </c>
      <c r="FI103" s="10">
        <v>971.89189199999998</v>
      </c>
      <c r="FJ103" s="10">
        <v>968.64864899999998</v>
      </c>
      <c r="FK103" s="10">
        <v>981.621622</v>
      </c>
      <c r="FL103" s="10">
        <v>969.72973000000002</v>
      </c>
      <c r="FM103" s="10">
        <v>997.83783800000003</v>
      </c>
      <c r="FN103" s="10">
        <v>978.378378</v>
      </c>
      <c r="FO103" s="10">
        <v>974.05405399999995</v>
      </c>
      <c r="FP103" s="10">
        <v>977.29729699999996</v>
      </c>
      <c r="FQ103" s="10">
        <v>965.40540499999997</v>
      </c>
      <c r="FR103" s="10">
        <v>1003.243243</v>
      </c>
      <c r="FS103" s="10">
        <v>992.43243199999995</v>
      </c>
      <c r="FT103" s="10">
        <v>1000</v>
      </c>
      <c r="FU103" s="10">
        <v>992.43243199999995</v>
      </c>
      <c r="FV103" s="10">
        <v>999</v>
      </c>
      <c r="FW103" s="10">
        <v>978</v>
      </c>
      <c r="FX103" s="10">
        <v>994</v>
      </c>
      <c r="FY103" s="10">
        <v>1002</v>
      </c>
      <c r="FZ103" s="10">
        <v>989</v>
      </c>
      <c r="GA103" s="10">
        <v>977</v>
      </c>
      <c r="GB103" s="10">
        <v>971</v>
      </c>
      <c r="GC103" s="10">
        <v>967</v>
      </c>
      <c r="GD103" s="10">
        <v>992</v>
      </c>
      <c r="GE103" s="10">
        <v>974</v>
      </c>
      <c r="GF103" s="10">
        <v>948</v>
      </c>
      <c r="GG103" s="10">
        <v>959</v>
      </c>
      <c r="GH103" s="10">
        <v>962</v>
      </c>
      <c r="GI103" s="10">
        <v>907</v>
      </c>
      <c r="GJ103" s="10">
        <v>906</v>
      </c>
      <c r="GK103" s="10">
        <v>919</v>
      </c>
      <c r="GL103" s="10">
        <v>949</v>
      </c>
      <c r="GM103" s="10">
        <v>926</v>
      </c>
      <c r="GN103" s="10">
        <v>949</v>
      </c>
      <c r="GO103" s="10">
        <v>958</v>
      </c>
      <c r="GP103" s="10">
        <v>1001</v>
      </c>
      <c r="GQ103" s="10">
        <v>987</v>
      </c>
      <c r="GR103" s="10">
        <v>964</v>
      </c>
      <c r="GS103" s="10">
        <v>972</v>
      </c>
    </row>
    <row r="104" spans="1:201" ht="12.6">
      <c r="A104" s="51" t="s">
        <v>1922</v>
      </c>
      <c r="B104" s="10"/>
      <c r="C104" s="10"/>
      <c r="D104" s="10"/>
      <c r="E104" s="10"/>
      <c r="F104" s="10" t="s">
        <v>1827</v>
      </c>
      <c r="G104" s="10" t="s">
        <v>1827</v>
      </c>
      <c r="H104" s="10" t="s">
        <v>1827</v>
      </c>
      <c r="I104" s="10" t="s">
        <v>1827</v>
      </c>
      <c r="J104" s="10" t="s">
        <v>1827</v>
      </c>
      <c r="K104" s="10" t="s">
        <v>1827</v>
      </c>
      <c r="L104" s="10" t="s">
        <v>1827</v>
      </c>
      <c r="M104" s="10" t="s">
        <v>1827</v>
      </c>
      <c r="N104" s="10" t="s">
        <v>1827</v>
      </c>
      <c r="O104" s="10" t="s">
        <v>1827</v>
      </c>
      <c r="P104" s="10" t="s">
        <v>1827</v>
      </c>
      <c r="Q104" s="10" t="s">
        <v>1827</v>
      </c>
      <c r="R104" s="10" t="s">
        <v>1827</v>
      </c>
      <c r="S104" s="10" t="s">
        <v>1827</v>
      </c>
      <c r="T104" s="10" t="s">
        <v>1827</v>
      </c>
      <c r="U104" s="10" t="s">
        <v>1827</v>
      </c>
      <c r="V104" s="10" t="s">
        <v>1827</v>
      </c>
      <c r="W104" s="10" t="s">
        <v>1827</v>
      </c>
      <c r="X104" s="10" t="s">
        <v>1827</v>
      </c>
      <c r="Y104" s="10" t="s">
        <v>1827</v>
      </c>
      <c r="Z104" s="10" t="s">
        <v>1827</v>
      </c>
      <c r="AA104" s="10" t="s">
        <v>1827</v>
      </c>
      <c r="AB104" s="10" t="s">
        <v>1827</v>
      </c>
      <c r="AC104" s="10" t="s">
        <v>1827</v>
      </c>
      <c r="AD104" s="10" t="s">
        <v>1827</v>
      </c>
      <c r="AE104" s="10">
        <v>381.78840400000001</v>
      </c>
      <c r="AF104" s="10">
        <v>379.89282400000002</v>
      </c>
      <c r="AG104" s="10">
        <v>398.64520099999999</v>
      </c>
      <c r="AH104" s="10">
        <v>417.37908299999998</v>
      </c>
      <c r="AI104" s="10">
        <v>441.83669600000002</v>
      </c>
      <c r="AJ104" s="10">
        <v>470.43684400000001</v>
      </c>
      <c r="AK104" s="10">
        <v>503.50316500000002</v>
      </c>
      <c r="AL104" s="10">
        <v>539.537688</v>
      </c>
      <c r="AM104" s="10">
        <v>550.69849599999998</v>
      </c>
      <c r="AN104" s="10">
        <v>611.89338199999997</v>
      </c>
      <c r="AO104" s="10">
        <v>620.31715699999995</v>
      </c>
      <c r="AP104" s="10">
        <v>628.91661999999997</v>
      </c>
      <c r="AQ104" s="10">
        <v>637.74725100000001</v>
      </c>
      <c r="AR104" s="10">
        <v>585.58642299999997</v>
      </c>
      <c r="AS104" s="10">
        <v>622.59185300000001</v>
      </c>
      <c r="AT104" s="10">
        <v>638.28356099999996</v>
      </c>
      <c r="AU104" s="10">
        <v>655.57495400000005</v>
      </c>
      <c r="AV104" s="10">
        <v>673.11600899999996</v>
      </c>
      <c r="AW104" s="10">
        <v>692.79305899999997</v>
      </c>
      <c r="AX104" s="10">
        <v>710.98138500000005</v>
      </c>
      <c r="AY104" s="10">
        <v>721.21751900000004</v>
      </c>
      <c r="AZ104" s="10">
        <v>732.90539100000001</v>
      </c>
      <c r="BA104" s="10">
        <v>738.61987299999998</v>
      </c>
      <c r="BB104" s="10">
        <v>760.56237299999998</v>
      </c>
      <c r="BC104" s="10">
        <v>806.25973299999998</v>
      </c>
      <c r="BD104" s="10">
        <v>833.97219500000006</v>
      </c>
      <c r="BE104" s="10">
        <v>853.68623200000002</v>
      </c>
      <c r="BF104" s="10">
        <v>875.61023799999998</v>
      </c>
      <c r="BG104" s="10">
        <v>904.82067099999995</v>
      </c>
      <c r="BH104" s="10">
        <v>904.13641299999995</v>
      </c>
      <c r="BI104" s="10">
        <v>921.39081899999996</v>
      </c>
      <c r="BJ104" s="10">
        <v>924.67340899999999</v>
      </c>
      <c r="BK104" s="10">
        <v>941.65966000000003</v>
      </c>
      <c r="BL104" s="10">
        <v>952.75574099999994</v>
      </c>
      <c r="BM104" s="10">
        <v>986.44159400000001</v>
      </c>
      <c r="BN104" s="10">
        <v>1001.698705</v>
      </c>
      <c r="BO104" s="10">
        <v>1027.9686770000001</v>
      </c>
      <c r="BP104" s="10">
        <v>1067.221063</v>
      </c>
      <c r="BQ104" s="10">
        <v>1061.5158269999999</v>
      </c>
      <c r="BR104" s="10">
        <v>1063.0970199999999</v>
      </c>
      <c r="BS104" s="10">
        <v>1067.9977879999999</v>
      </c>
      <c r="BT104" s="10">
        <v>1069.5327460000001</v>
      </c>
      <c r="BU104" s="10">
        <v>1061.219932</v>
      </c>
      <c r="BV104" s="10">
        <v>1026.7388599999999</v>
      </c>
      <c r="BW104" s="10">
        <v>1028.597454</v>
      </c>
      <c r="BX104" s="10">
        <v>1031.4731879999999</v>
      </c>
      <c r="BY104" s="10">
        <v>1036.1427900000001</v>
      </c>
      <c r="BZ104" s="10">
        <v>1047.6642199999999</v>
      </c>
      <c r="CA104" s="10">
        <v>1053.452675</v>
      </c>
      <c r="CB104" s="10">
        <v>1065.621378</v>
      </c>
      <c r="CC104" s="10">
        <v>1096.3482750000001</v>
      </c>
      <c r="CD104" s="10">
        <v>1083.8374429999999</v>
      </c>
      <c r="CE104" s="10">
        <v>1088.1727940000001</v>
      </c>
      <c r="CF104" s="10">
        <v>1088.1727940000001</v>
      </c>
      <c r="CG104" s="10">
        <v>1094.6758179999999</v>
      </c>
      <c r="CH104" s="10">
        <v>1094.6758179999999</v>
      </c>
      <c r="CI104" s="10">
        <v>1028.5617339999999</v>
      </c>
      <c r="CJ104" s="10">
        <v>1030.729409</v>
      </c>
      <c r="CK104" s="10">
        <v>1030.729409</v>
      </c>
      <c r="CL104" s="10">
        <v>1030.729409</v>
      </c>
      <c r="CM104" s="10">
        <v>1033.9809210000001</v>
      </c>
      <c r="CN104" s="10">
        <v>1033.9809210000001</v>
      </c>
      <c r="CO104" s="10">
        <v>1014.471848</v>
      </c>
      <c r="CP104" s="10">
        <v>1014.471848</v>
      </c>
      <c r="CQ104" s="10">
        <v>967.86683700000003</v>
      </c>
      <c r="CR104" s="10">
        <v>967.86683700000003</v>
      </c>
      <c r="CS104" s="10">
        <v>971.11834899999997</v>
      </c>
      <c r="CT104" s="10">
        <v>937.51938900000005</v>
      </c>
      <c r="CU104" s="10">
        <v>937.51938900000005</v>
      </c>
      <c r="CV104" s="10">
        <v>937.51938900000005</v>
      </c>
      <c r="CW104" s="10">
        <v>953.77695100000005</v>
      </c>
      <c r="CX104" s="10">
        <v>951.60927600000002</v>
      </c>
      <c r="CY104" s="10">
        <v>966.78300000000002</v>
      </c>
      <c r="CZ104" s="10">
        <v>861.65076799999997</v>
      </c>
      <c r="DA104" s="10">
        <v>863.37406899999996</v>
      </c>
      <c r="DB104" s="10">
        <v>863.37406899999996</v>
      </c>
      <c r="DC104" s="10">
        <v>864.23572000000001</v>
      </c>
      <c r="DD104" s="10">
        <v>864.23572000000001</v>
      </c>
      <c r="DE104" s="10">
        <v>853.89590999999996</v>
      </c>
      <c r="DF104" s="10">
        <v>853.89590999999996</v>
      </c>
      <c r="DG104" s="10">
        <v>856.480863</v>
      </c>
      <c r="DH104" s="10">
        <v>856.480863</v>
      </c>
      <c r="DI104" s="10">
        <v>901.28670299999999</v>
      </c>
      <c r="DJ104" s="10">
        <v>901.28670299999999</v>
      </c>
      <c r="DK104" s="10">
        <v>901.28670299999999</v>
      </c>
      <c r="DL104" s="10">
        <v>920.24302</v>
      </c>
      <c r="DM104" s="10">
        <v>920.24302</v>
      </c>
      <c r="DN104" s="10">
        <v>920.24302</v>
      </c>
      <c r="DO104" s="10">
        <v>934.89108299999998</v>
      </c>
      <c r="DP104" s="10">
        <v>934.89108299999998</v>
      </c>
      <c r="DQ104" s="10">
        <v>934.89108299999998</v>
      </c>
      <c r="DR104" s="10">
        <v>934.89108299999998</v>
      </c>
      <c r="DS104" s="10">
        <v>909.90320999999994</v>
      </c>
      <c r="DT104" s="10">
        <v>909.90320999999994</v>
      </c>
      <c r="DU104" s="10">
        <v>909.90320999999994</v>
      </c>
      <c r="DV104" s="10">
        <v>890.94689300000005</v>
      </c>
      <c r="DW104" s="10">
        <v>890.94689300000005</v>
      </c>
      <c r="DX104" s="10">
        <v>890.94689300000005</v>
      </c>
      <c r="DY104" s="10">
        <v>890.94689300000005</v>
      </c>
      <c r="DZ104" s="10">
        <v>890.94689300000005</v>
      </c>
      <c r="EA104" s="10">
        <v>895.25514799999996</v>
      </c>
      <c r="EB104" s="10">
        <v>895.25514799999996</v>
      </c>
      <c r="EC104" s="10">
        <v>895.25514799999996</v>
      </c>
      <c r="ED104" s="10">
        <v>895.25514799999996</v>
      </c>
      <c r="EE104" s="10">
        <v>899.73142299999995</v>
      </c>
      <c r="EF104" s="10">
        <v>899.73142299999995</v>
      </c>
      <c r="EG104" s="10">
        <v>899.73142299999995</v>
      </c>
      <c r="EH104" s="10">
        <v>899.73142299999995</v>
      </c>
      <c r="EI104" s="10">
        <v>902.41718900000001</v>
      </c>
      <c r="EJ104" s="10">
        <v>902.41718900000001</v>
      </c>
      <c r="EK104" s="10">
        <v>902.41718900000001</v>
      </c>
      <c r="EL104" s="10">
        <v>924.79856800000005</v>
      </c>
      <c r="EM104" s="10">
        <v>954.34198700000002</v>
      </c>
      <c r="EN104" s="10">
        <v>954.34198700000002</v>
      </c>
      <c r="EO104" s="10">
        <v>954.34198700000002</v>
      </c>
      <c r="EP104" s="10">
        <v>954.34198700000002</v>
      </c>
      <c r="EQ104" s="10">
        <v>948.07520099999999</v>
      </c>
      <c r="ER104" s="10">
        <v>939.12265000000002</v>
      </c>
      <c r="ES104" s="10">
        <v>948.07520099999999</v>
      </c>
      <c r="ET104" s="10">
        <v>948.07520099999999</v>
      </c>
      <c r="EU104" s="10">
        <v>967.77081499999997</v>
      </c>
      <c r="EV104" s="10">
        <v>952.55147699999998</v>
      </c>
      <c r="EW104" s="10">
        <v>953.446732</v>
      </c>
      <c r="EX104" s="10">
        <v>953.446732</v>
      </c>
      <c r="EY104" s="10">
        <v>966.87555999999995</v>
      </c>
      <c r="EZ104" s="10">
        <v>966.87555999999995</v>
      </c>
      <c r="FA104" s="10">
        <v>976.72336600000006</v>
      </c>
      <c r="FB104" s="10">
        <v>976.72336600000006</v>
      </c>
      <c r="FC104" s="10">
        <v>978.51387599999998</v>
      </c>
      <c r="FD104" s="10">
        <v>978.51387599999998</v>
      </c>
      <c r="FE104" s="10">
        <v>990.15219300000001</v>
      </c>
      <c r="FF104" s="10">
        <v>991.94270400000005</v>
      </c>
      <c r="FG104" s="10">
        <v>993.73321399999998</v>
      </c>
      <c r="FH104" s="10">
        <v>993.73321399999998</v>
      </c>
      <c r="FI104" s="10">
        <v>1004.476276</v>
      </c>
      <c r="FJ104" s="10">
        <v>1004.476276</v>
      </c>
      <c r="FK104" s="10">
        <v>1006.266786</v>
      </c>
      <c r="FL104" s="10">
        <v>1006.266786</v>
      </c>
      <c r="FM104" s="10">
        <v>1007.162041</v>
      </c>
      <c r="FN104" s="10">
        <v>1017.9051030000001</v>
      </c>
      <c r="FO104" s="10">
        <v>1019.695613</v>
      </c>
      <c r="FP104" s="10">
        <v>1019.695613</v>
      </c>
      <c r="FQ104" s="10">
        <v>1019.695613</v>
      </c>
      <c r="FR104" s="10">
        <v>983.88540699999999</v>
      </c>
      <c r="FS104" s="10">
        <v>1000</v>
      </c>
      <c r="FT104" s="10">
        <v>1000</v>
      </c>
      <c r="FU104" s="10">
        <v>1000</v>
      </c>
      <c r="FV104" s="10">
        <v>1000</v>
      </c>
      <c r="FW104" s="10">
        <v>1001</v>
      </c>
      <c r="FX104" s="10">
        <v>1002</v>
      </c>
      <c r="FY104" s="10">
        <v>1003</v>
      </c>
      <c r="FZ104" s="10">
        <v>1005</v>
      </c>
      <c r="GA104" s="10">
        <v>1006</v>
      </c>
      <c r="GB104" s="10">
        <v>1008</v>
      </c>
      <c r="GC104" s="10">
        <v>1015</v>
      </c>
      <c r="GD104" s="10">
        <v>1023</v>
      </c>
      <c r="GE104" s="10">
        <v>1031</v>
      </c>
      <c r="GF104" s="10">
        <v>1039</v>
      </c>
      <c r="GG104" s="10">
        <v>1040</v>
      </c>
      <c r="GH104" s="10">
        <v>1040</v>
      </c>
      <c r="GI104" s="10">
        <v>1041</v>
      </c>
      <c r="GJ104" s="10">
        <v>1042</v>
      </c>
      <c r="GK104" s="10">
        <v>1043</v>
      </c>
      <c r="GL104" s="10">
        <v>1045</v>
      </c>
      <c r="GM104" s="10">
        <v>1048</v>
      </c>
      <c r="GN104" s="10">
        <v>1051</v>
      </c>
      <c r="GO104" s="10">
        <v>1052</v>
      </c>
      <c r="GP104" s="10">
        <v>1054</v>
      </c>
      <c r="GQ104" s="10">
        <v>1056</v>
      </c>
      <c r="GR104" s="10">
        <v>1059</v>
      </c>
      <c r="GS104" s="10">
        <v>1058</v>
      </c>
    </row>
    <row r="105" spans="1:201" ht="12.6">
      <c r="A105" s="51" t="s">
        <v>1923</v>
      </c>
      <c r="B105" s="10"/>
      <c r="C105" s="10"/>
      <c r="D105" s="10"/>
      <c r="E105" s="10"/>
      <c r="F105" s="10" t="s">
        <v>1827</v>
      </c>
      <c r="G105" s="10" t="s">
        <v>1827</v>
      </c>
      <c r="H105" s="10" t="s">
        <v>1827</v>
      </c>
      <c r="I105" s="10" t="s">
        <v>1827</v>
      </c>
      <c r="J105" s="10" t="s">
        <v>1827</v>
      </c>
      <c r="K105" s="10" t="s">
        <v>1827</v>
      </c>
      <c r="L105" s="10" t="s">
        <v>1827</v>
      </c>
      <c r="M105" s="10" t="s">
        <v>1827</v>
      </c>
      <c r="N105" s="10" t="s">
        <v>1827</v>
      </c>
      <c r="O105" s="10" t="s">
        <v>1827</v>
      </c>
      <c r="P105" s="10" t="s">
        <v>1827</v>
      </c>
      <c r="Q105" s="10" t="s">
        <v>1827</v>
      </c>
      <c r="R105" s="10" t="s">
        <v>1827</v>
      </c>
      <c r="S105" s="10" t="s">
        <v>1827</v>
      </c>
      <c r="T105" s="10" t="s">
        <v>1827</v>
      </c>
      <c r="U105" s="10" t="s">
        <v>1827</v>
      </c>
      <c r="V105" s="10" t="s">
        <v>1827</v>
      </c>
      <c r="W105" s="10" t="s">
        <v>1827</v>
      </c>
      <c r="X105" s="10" t="s">
        <v>1827</v>
      </c>
      <c r="Y105" s="10" t="s">
        <v>1827</v>
      </c>
      <c r="Z105" s="10" t="s">
        <v>1827</v>
      </c>
      <c r="AA105" s="10" t="s">
        <v>1827</v>
      </c>
      <c r="AB105" s="10" t="s">
        <v>1827</v>
      </c>
      <c r="AC105" s="10" t="s">
        <v>1827</v>
      </c>
      <c r="AD105" s="10" t="s">
        <v>1827</v>
      </c>
      <c r="AE105" s="10">
        <v>57.111193999999998</v>
      </c>
      <c r="AF105" s="10">
        <v>58.853997</v>
      </c>
      <c r="AG105" s="10">
        <v>62.576613999999999</v>
      </c>
      <c r="AH105" s="10">
        <v>68.882625000000004</v>
      </c>
      <c r="AI105" s="10">
        <v>73.420552000000001</v>
      </c>
      <c r="AJ105" s="10">
        <v>79.091379000000003</v>
      </c>
      <c r="AK105" s="10">
        <v>90.764847000000003</v>
      </c>
      <c r="AL105" s="10">
        <v>98.898985999999994</v>
      </c>
      <c r="AM105" s="10">
        <v>101.351236</v>
      </c>
      <c r="AN105" s="10">
        <v>103.87616800000001</v>
      </c>
      <c r="AO105" s="10">
        <v>105.535229</v>
      </c>
      <c r="AP105" s="10">
        <v>107.230631</v>
      </c>
      <c r="AQ105" s="10">
        <v>109.502754</v>
      </c>
      <c r="AR105" s="10">
        <v>108.598961</v>
      </c>
      <c r="AS105" s="10">
        <v>108.545239</v>
      </c>
      <c r="AT105" s="10">
        <v>109.53435500000001</v>
      </c>
      <c r="AU105" s="10">
        <v>110.709919</v>
      </c>
      <c r="AV105" s="10">
        <v>113.062625</v>
      </c>
      <c r="AW105" s="10">
        <v>117.03805</v>
      </c>
      <c r="AX105" s="10">
        <v>118.586507</v>
      </c>
      <c r="AY105" s="10">
        <v>122.664637</v>
      </c>
      <c r="AZ105" s="10">
        <v>126.30825</v>
      </c>
      <c r="BA105" s="10">
        <v>138.07652200000001</v>
      </c>
      <c r="BB105" s="10">
        <v>150.20504600000001</v>
      </c>
      <c r="BC105" s="10">
        <v>157.14150100000001</v>
      </c>
      <c r="BD105" s="10">
        <v>163.88360800000001</v>
      </c>
      <c r="BE105" s="10">
        <v>169.499134</v>
      </c>
      <c r="BF105" s="10">
        <v>166.80513500000001</v>
      </c>
      <c r="BG105" s="10">
        <v>164.30864299999999</v>
      </c>
      <c r="BH105" s="10">
        <v>162.32883100000001</v>
      </c>
      <c r="BI105" s="10">
        <v>161.54986199999999</v>
      </c>
      <c r="BJ105" s="10">
        <v>158.00579200000001</v>
      </c>
      <c r="BK105" s="10">
        <v>159.56214900000001</v>
      </c>
      <c r="BL105" s="10">
        <v>160.39168000000001</v>
      </c>
      <c r="BM105" s="10">
        <v>164.73841899999999</v>
      </c>
      <c r="BN105" s="10">
        <v>166.22841399999999</v>
      </c>
      <c r="BO105" s="10">
        <v>168.124483</v>
      </c>
      <c r="BP105" s="10">
        <v>169.82146599999999</v>
      </c>
      <c r="BQ105" s="10">
        <v>174.94401300000001</v>
      </c>
      <c r="BR105" s="10">
        <v>178.494404</v>
      </c>
      <c r="BS105" s="10">
        <v>182.610454</v>
      </c>
      <c r="BT105" s="10">
        <v>184.63450800000001</v>
      </c>
      <c r="BU105" s="10">
        <v>188.18331900000001</v>
      </c>
      <c r="BV105" s="10">
        <v>189.946663</v>
      </c>
      <c r="BW105" s="10">
        <v>191.382936</v>
      </c>
      <c r="BX105" s="10">
        <v>192.28988899999999</v>
      </c>
      <c r="BY105" s="10">
        <v>193.04515699999999</v>
      </c>
      <c r="BZ105" s="10">
        <v>192.96615399999999</v>
      </c>
      <c r="CA105" s="10">
        <v>193.31218699999999</v>
      </c>
      <c r="CB105" s="10">
        <v>191.75424899999999</v>
      </c>
      <c r="CC105" s="10">
        <v>191.703688</v>
      </c>
      <c r="CD105" s="10">
        <v>190.97212099999999</v>
      </c>
      <c r="CE105" s="10">
        <v>181.80545900000001</v>
      </c>
      <c r="CF105" s="10">
        <v>165.95477299999999</v>
      </c>
      <c r="CG105" s="10">
        <v>171.68393699999999</v>
      </c>
      <c r="CH105" s="10">
        <v>173.97560200000001</v>
      </c>
      <c r="CI105" s="10">
        <v>166.52768900000001</v>
      </c>
      <c r="CJ105" s="10">
        <v>163.663107</v>
      </c>
      <c r="CK105" s="10">
        <v>165.19088400000001</v>
      </c>
      <c r="CL105" s="10">
        <v>165.57282900000001</v>
      </c>
      <c r="CM105" s="10">
        <v>167.86449400000001</v>
      </c>
      <c r="CN105" s="10">
        <v>169.774216</v>
      </c>
      <c r="CO105" s="10">
        <v>170.15616</v>
      </c>
      <c r="CP105" s="10">
        <v>170.15616</v>
      </c>
      <c r="CQ105" s="10">
        <v>169.20129900000001</v>
      </c>
      <c r="CR105" s="10">
        <v>170.72907599999999</v>
      </c>
      <c r="CS105" s="10">
        <v>194.791563</v>
      </c>
      <c r="CT105" s="10">
        <v>195.173508</v>
      </c>
      <c r="CU105" s="10">
        <v>195.173508</v>
      </c>
      <c r="CV105" s="10">
        <v>188.29851099999999</v>
      </c>
      <c r="CW105" s="10">
        <v>188.87142800000001</v>
      </c>
      <c r="CX105" s="10">
        <v>190.39920499999999</v>
      </c>
      <c r="CY105" s="10">
        <v>186.57976199999999</v>
      </c>
      <c r="CZ105" s="10">
        <v>190.20823200000001</v>
      </c>
      <c r="DA105" s="10">
        <v>195.914479</v>
      </c>
      <c r="DB105" s="10">
        <v>194.77323000000001</v>
      </c>
      <c r="DC105" s="10">
        <v>207.136765</v>
      </c>
      <c r="DD105" s="10">
        <v>207.32697300000001</v>
      </c>
      <c r="DE105" s="10">
        <v>206.756348</v>
      </c>
      <c r="DF105" s="10">
        <v>207.51718199999999</v>
      </c>
      <c r="DG105" s="10">
        <v>213.41363699999999</v>
      </c>
      <c r="DH105" s="10">
        <v>221.78279900000001</v>
      </c>
      <c r="DI105" s="10">
        <v>222.16321600000001</v>
      </c>
      <c r="DJ105" s="10">
        <v>224.06529800000001</v>
      </c>
      <c r="DK105" s="10">
        <v>225.01633899999999</v>
      </c>
      <c r="DL105" s="10">
        <v>227.489046</v>
      </c>
      <c r="DM105" s="10">
        <v>228.05967100000001</v>
      </c>
      <c r="DN105" s="10">
        <v>238.52112299999999</v>
      </c>
      <c r="DO105" s="10">
        <v>240.42320599999999</v>
      </c>
      <c r="DP105" s="10">
        <v>240.993831</v>
      </c>
      <c r="DQ105" s="10">
        <v>242.325288</v>
      </c>
      <c r="DR105" s="10">
        <v>248.41195099999999</v>
      </c>
      <c r="DS105" s="10">
        <v>250.31403399999999</v>
      </c>
      <c r="DT105" s="10">
        <v>255.830072</v>
      </c>
      <c r="DU105" s="10">
        <v>262.48736100000002</v>
      </c>
      <c r="DV105" s="10">
        <v>263.05798499999997</v>
      </c>
      <c r="DW105" s="10">
        <v>263.81881800000002</v>
      </c>
      <c r="DX105" s="10">
        <v>273.70964600000002</v>
      </c>
      <c r="DY105" s="10">
        <v>276.94318600000003</v>
      </c>
      <c r="DZ105" s="10">
        <v>277.894227</v>
      </c>
      <c r="EA105" s="10">
        <v>283.790683</v>
      </c>
      <c r="EB105" s="10">
        <v>289.687138</v>
      </c>
      <c r="EC105" s="10">
        <v>289.687138</v>
      </c>
      <c r="ED105" s="10">
        <v>291.13557400000002</v>
      </c>
      <c r="EE105" s="10">
        <v>296.349942</v>
      </c>
      <c r="EF105" s="10">
        <v>298.667439</v>
      </c>
      <c r="EG105" s="10">
        <v>301.27462300000002</v>
      </c>
      <c r="EH105" s="10">
        <v>304.75086900000002</v>
      </c>
      <c r="EI105" s="10">
        <v>322.71147200000001</v>
      </c>
      <c r="EJ105" s="10">
        <v>324.739282</v>
      </c>
      <c r="EK105" s="10">
        <v>337.77520299999998</v>
      </c>
      <c r="EL105" s="10">
        <v>363.26767100000001</v>
      </c>
      <c r="EM105" s="10">
        <v>366.74391700000001</v>
      </c>
      <c r="EN105" s="10">
        <v>373.11703399999999</v>
      </c>
      <c r="EO105" s="10">
        <v>391.94669800000003</v>
      </c>
      <c r="EP105" s="10">
        <v>404.40324399999997</v>
      </c>
      <c r="EQ105" s="10">
        <v>407.300116</v>
      </c>
      <c r="ER105" s="10">
        <v>410.48667399999999</v>
      </c>
      <c r="ES105" s="10">
        <v>410.77636200000001</v>
      </c>
      <c r="ET105" s="10">
        <v>423.23290800000001</v>
      </c>
      <c r="EU105" s="10">
        <v>429.60602499999999</v>
      </c>
      <c r="EV105" s="10">
        <v>430.47508699999997</v>
      </c>
      <c r="EW105" s="10">
        <v>483.48783300000002</v>
      </c>
      <c r="EX105" s="10">
        <v>497.39281599999998</v>
      </c>
      <c r="EY105" s="10">
        <v>589.22363800000005</v>
      </c>
      <c r="EZ105" s="10">
        <v>590.67207399999995</v>
      </c>
      <c r="FA105" s="10">
        <v>693.22132099999999</v>
      </c>
      <c r="FB105" s="10">
        <v>715.81691799999999</v>
      </c>
      <c r="FC105" s="10">
        <v>734.06720700000005</v>
      </c>
      <c r="FD105" s="10">
        <v>807.06836599999997</v>
      </c>
      <c r="FE105" s="10">
        <v>824.739282</v>
      </c>
      <c r="FF105" s="10">
        <v>839.80301299999996</v>
      </c>
      <c r="FG105" s="10">
        <v>889.91888800000004</v>
      </c>
      <c r="FH105" s="10">
        <v>895.13325599999996</v>
      </c>
      <c r="FI105" s="10">
        <v>898.03012699999999</v>
      </c>
      <c r="FJ105" s="10">
        <v>908.45886399999995</v>
      </c>
      <c r="FK105" s="10">
        <v>918.01854000000003</v>
      </c>
      <c r="FL105" s="10">
        <v>922.07416000000001</v>
      </c>
      <c r="FM105" s="10">
        <v>924.39165700000001</v>
      </c>
      <c r="FN105" s="10">
        <v>931.34414800000002</v>
      </c>
      <c r="FO105" s="10">
        <v>936.55851700000005</v>
      </c>
      <c r="FP105" s="10">
        <v>934.53070700000001</v>
      </c>
      <c r="FQ105" s="10">
        <v>946.69756700000005</v>
      </c>
      <c r="FR105" s="10">
        <v>964.07879500000001</v>
      </c>
      <c r="FS105" s="10">
        <v>987.25376600000004</v>
      </c>
      <c r="FT105" s="10">
        <v>1000</v>
      </c>
      <c r="FU105" s="10">
        <v>1060.8342990000001</v>
      </c>
      <c r="FV105" s="10">
        <v>1093</v>
      </c>
      <c r="FW105" s="10">
        <v>1134</v>
      </c>
      <c r="FX105" s="10">
        <v>1179</v>
      </c>
      <c r="FY105" s="10">
        <v>1231</v>
      </c>
      <c r="FZ105" s="10">
        <v>1259</v>
      </c>
      <c r="GA105" s="10">
        <v>1282</v>
      </c>
      <c r="GB105" s="10">
        <v>1306</v>
      </c>
      <c r="GC105" s="10">
        <v>1325</v>
      </c>
      <c r="GD105" s="10">
        <v>1330</v>
      </c>
      <c r="GE105" s="10">
        <v>1322</v>
      </c>
      <c r="GF105" s="10">
        <v>1311</v>
      </c>
      <c r="GG105" s="10">
        <v>1302</v>
      </c>
      <c r="GH105" s="10">
        <v>1292</v>
      </c>
      <c r="GI105" s="10">
        <v>1301</v>
      </c>
      <c r="GJ105" s="10">
        <v>1317</v>
      </c>
      <c r="GK105" s="10">
        <v>1339</v>
      </c>
      <c r="GL105" s="10">
        <v>1343</v>
      </c>
      <c r="GM105" s="10">
        <v>1338</v>
      </c>
      <c r="GN105" s="10">
        <v>1339</v>
      </c>
      <c r="GO105" s="10">
        <v>1346</v>
      </c>
      <c r="GP105" s="10">
        <v>1396</v>
      </c>
      <c r="GQ105" s="10">
        <v>1460</v>
      </c>
      <c r="GR105" s="10">
        <v>1545</v>
      </c>
      <c r="GS105" s="10">
        <v>1631</v>
      </c>
    </row>
    <row r="106" spans="1:201" ht="12.6">
      <c r="A106" s="51" t="s">
        <v>1924</v>
      </c>
      <c r="B106" s="10"/>
      <c r="C106" s="10"/>
      <c r="D106" s="10"/>
      <c r="E106" s="10"/>
      <c r="F106" s="10" t="s">
        <v>1827</v>
      </c>
      <c r="G106" s="10" t="s">
        <v>1827</v>
      </c>
      <c r="H106" s="10" t="s">
        <v>1827</v>
      </c>
      <c r="I106" s="10" t="s">
        <v>1827</v>
      </c>
      <c r="J106" s="10" t="s">
        <v>1827</v>
      </c>
      <c r="K106" s="10" t="s">
        <v>1827</v>
      </c>
      <c r="L106" s="10" t="s">
        <v>1827</v>
      </c>
      <c r="M106" s="10" t="s">
        <v>1827</v>
      </c>
      <c r="N106" s="10" t="s">
        <v>1827</v>
      </c>
      <c r="O106" s="10" t="s">
        <v>1827</v>
      </c>
      <c r="P106" s="10" t="s">
        <v>1827</v>
      </c>
      <c r="Q106" s="10" t="s">
        <v>1827</v>
      </c>
      <c r="R106" s="10" t="s">
        <v>1827</v>
      </c>
      <c r="S106" s="10" t="s">
        <v>1827</v>
      </c>
      <c r="T106" s="10" t="s">
        <v>1827</v>
      </c>
      <c r="U106" s="10" t="s">
        <v>1827</v>
      </c>
      <c r="V106" s="10" t="s">
        <v>1827</v>
      </c>
      <c r="W106" s="10" t="s">
        <v>1827</v>
      </c>
      <c r="X106" s="10" t="s">
        <v>1827</v>
      </c>
      <c r="Y106" s="10" t="s">
        <v>1827</v>
      </c>
      <c r="Z106" s="10" t="s">
        <v>1827</v>
      </c>
      <c r="AA106" s="10" t="s">
        <v>1827</v>
      </c>
      <c r="AB106" s="10" t="s">
        <v>1827</v>
      </c>
      <c r="AC106" s="10" t="s">
        <v>1827</v>
      </c>
      <c r="AD106" s="10" t="s">
        <v>1827</v>
      </c>
      <c r="AE106" s="10">
        <v>135.168711</v>
      </c>
      <c r="AF106" s="10">
        <v>137.45847000000001</v>
      </c>
      <c r="AG106" s="10">
        <v>143.266728</v>
      </c>
      <c r="AH106" s="10">
        <v>159.433595</v>
      </c>
      <c r="AI106" s="10">
        <v>170.53965500000001</v>
      </c>
      <c r="AJ106" s="10">
        <v>170.88238999999999</v>
      </c>
      <c r="AK106" s="10">
        <v>192.79188500000001</v>
      </c>
      <c r="AL106" s="10">
        <v>196.583842</v>
      </c>
      <c r="AM106" s="10">
        <v>198.155317</v>
      </c>
      <c r="AN106" s="10">
        <v>198.326685</v>
      </c>
      <c r="AO106" s="10">
        <v>199.89815999999999</v>
      </c>
      <c r="AP106" s="10">
        <v>200.240894</v>
      </c>
      <c r="AQ106" s="10">
        <v>201.859768</v>
      </c>
      <c r="AR106" s="10">
        <v>200.43778399999999</v>
      </c>
      <c r="AS106" s="10">
        <v>202.494192</v>
      </c>
      <c r="AT106" s="10">
        <v>207.132048</v>
      </c>
      <c r="AU106" s="10">
        <v>208.79467600000001</v>
      </c>
      <c r="AV106" s="10">
        <v>223.81666200000001</v>
      </c>
      <c r="AW106" s="10">
        <v>229.32594</v>
      </c>
      <c r="AX106" s="10">
        <v>241.485727</v>
      </c>
      <c r="AY106" s="10">
        <v>255.067499</v>
      </c>
      <c r="AZ106" s="10">
        <v>269.126912</v>
      </c>
      <c r="BA106" s="10">
        <v>304.97914400000002</v>
      </c>
      <c r="BB106" s="10">
        <v>325.21142600000002</v>
      </c>
      <c r="BC106" s="10">
        <v>348.41893700000003</v>
      </c>
      <c r="BD106" s="10">
        <v>370.63105899999999</v>
      </c>
      <c r="BE106" s="10">
        <v>389.43771099999998</v>
      </c>
      <c r="BF106" s="10">
        <v>383.611222</v>
      </c>
      <c r="BG106" s="10">
        <v>384.64307200000002</v>
      </c>
      <c r="BH106" s="10">
        <v>387.62923899999998</v>
      </c>
      <c r="BI106" s="10">
        <v>365.65776</v>
      </c>
      <c r="BJ106" s="10">
        <v>364.61132600000002</v>
      </c>
      <c r="BK106" s="10">
        <v>369.18719800000002</v>
      </c>
      <c r="BL106" s="10">
        <v>367.67406099999999</v>
      </c>
      <c r="BM106" s="10">
        <v>380.16564499999998</v>
      </c>
      <c r="BN106" s="10">
        <v>379.26505500000002</v>
      </c>
      <c r="BO106" s="10">
        <v>388.95277800000002</v>
      </c>
      <c r="BP106" s="10">
        <v>391.63996400000002</v>
      </c>
      <c r="BQ106" s="10">
        <v>395.54130500000002</v>
      </c>
      <c r="BR106" s="10">
        <v>412.73637500000001</v>
      </c>
      <c r="BS106" s="10">
        <v>450.31321800000001</v>
      </c>
      <c r="BT106" s="10">
        <v>461.23332699999997</v>
      </c>
      <c r="BU106" s="10">
        <v>479.67172199999999</v>
      </c>
      <c r="BV106" s="10">
        <v>486.97124100000002</v>
      </c>
      <c r="BW106" s="10">
        <v>489.775102</v>
      </c>
      <c r="BX106" s="10">
        <v>503.06518499999999</v>
      </c>
      <c r="BY106" s="10">
        <v>507.15612399999998</v>
      </c>
      <c r="BZ106" s="10">
        <v>508.13328200000001</v>
      </c>
      <c r="CA106" s="10">
        <v>509.97456899999997</v>
      </c>
      <c r="CB106" s="10">
        <v>512.68363199999999</v>
      </c>
      <c r="CC106" s="10">
        <v>514.63065600000004</v>
      </c>
      <c r="CD106" s="10">
        <v>515.32706399999995</v>
      </c>
      <c r="CE106" s="10">
        <v>485.43809399999998</v>
      </c>
      <c r="CF106" s="10">
        <v>455.54912400000001</v>
      </c>
      <c r="CG106" s="10">
        <v>457.610432</v>
      </c>
      <c r="CH106" s="10">
        <v>449.88052699999997</v>
      </c>
      <c r="CI106" s="10">
        <v>450.911181</v>
      </c>
      <c r="CJ106" s="10">
        <v>439.05865799999998</v>
      </c>
      <c r="CK106" s="10">
        <v>445.24258300000002</v>
      </c>
      <c r="CL106" s="10">
        <v>448.33454499999999</v>
      </c>
      <c r="CM106" s="10">
        <v>468.432301</v>
      </c>
      <c r="CN106" s="10">
        <v>464.309684</v>
      </c>
      <c r="CO106" s="10">
        <v>471.52426300000002</v>
      </c>
      <c r="CP106" s="10">
        <v>476.16220700000002</v>
      </c>
      <c r="CQ106" s="10">
        <v>478.73884199999998</v>
      </c>
      <c r="CR106" s="10">
        <v>502.44388700000002</v>
      </c>
      <c r="CS106" s="10">
        <v>573.55902200000003</v>
      </c>
      <c r="CT106" s="10">
        <v>569.43640500000004</v>
      </c>
      <c r="CU106" s="10">
        <v>574.58967600000005</v>
      </c>
      <c r="CV106" s="10">
        <v>582.31958199999997</v>
      </c>
      <c r="CW106" s="10">
        <v>577.16631199999995</v>
      </c>
      <c r="CX106" s="10">
        <v>571.49771399999997</v>
      </c>
      <c r="CY106" s="10">
        <v>583.350236</v>
      </c>
      <c r="CZ106" s="10">
        <v>585.41154500000005</v>
      </c>
      <c r="DA106" s="10">
        <v>594.19271800000001</v>
      </c>
      <c r="DB106" s="10">
        <v>594.19271800000001</v>
      </c>
      <c r="DC106" s="10">
        <v>600.04683299999999</v>
      </c>
      <c r="DD106" s="10">
        <v>600.63224500000001</v>
      </c>
      <c r="DE106" s="10">
        <v>602.97388999999998</v>
      </c>
      <c r="DF106" s="10">
        <v>607.07177100000001</v>
      </c>
      <c r="DG106" s="10">
        <v>609.41341799999998</v>
      </c>
      <c r="DH106" s="10">
        <v>615.85294499999998</v>
      </c>
      <c r="DI106" s="10">
        <v>607.65718300000003</v>
      </c>
      <c r="DJ106" s="10">
        <v>612.34047499999997</v>
      </c>
      <c r="DK106" s="10">
        <v>613.51129900000001</v>
      </c>
      <c r="DL106" s="10">
        <v>628.73199899999997</v>
      </c>
      <c r="DM106" s="10">
        <v>629.31741</v>
      </c>
      <c r="DN106" s="10">
        <v>650.39222600000005</v>
      </c>
      <c r="DO106" s="10">
        <v>653.90469499999995</v>
      </c>
      <c r="DP106" s="10">
        <v>653.90469499999995</v>
      </c>
      <c r="DQ106" s="10">
        <v>655.07551799999999</v>
      </c>
      <c r="DR106" s="10">
        <v>659.17339900000002</v>
      </c>
      <c r="DS106" s="10">
        <v>659.17339900000002</v>
      </c>
      <c r="DT106" s="10">
        <v>660.92963399999996</v>
      </c>
      <c r="DU106" s="10">
        <v>661.51504499999999</v>
      </c>
      <c r="DV106" s="10">
        <v>668.539984</v>
      </c>
      <c r="DW106" s="10">
        <v>677.90656799999999</v>
      </c>
      <c r="DX106" s="10">
        <v>679.07739100000003</v>
      </c>
      <c r="DY106" s="10">
        <v>680.24821399999996</v>
      </c>
      <c r="DZ106" s="10">
        <v>682.58986100000004</v>
      </c>
      <c r="EA106" s="10">
        <v>683.17527199999995</v>
      </c>
      <c r="EB106" s="10">
        <v>684.93150700000001</v>
      </c>
      <c r="EC106" s="10">
        <v>685.61643800000002</v>
      </c>
      <c r="ED106" s="10">
        <v>687.67123300000003</v>
      </c>
      <c r="EE106" s="10">
        <v>687.67123300000003</v>
      </c>
      <c r="EF106" s="10">
        <v>687.67123300000003</v>
      </c>
      <c r="EG106" s="10">
        <v>689.72602700000004</v>
      </c>
      <c r="EH106" s="10">
        <v>680.13698599999998</v>
      </c>
      <c r="EI106" s="10">
        <v>710.27397299999996</v>
      </c>
      <c r="EJ106" s="10">
        <v>712.32876699999997</v>
      </c>
      <c r="EK106" s="10">
        <v>726.02739699999995</v>
      </c>
      <c r="EL106" s="10">
        <v>743.15068499999995</v>
      </c>
      <c r="EM106" s="10">
        <v>745.89041099999997</v>
      </c>
      <c r="EN106" s="10">
        <v>747.94520499999999</v>
      </c>
      <c r="EO106" s="10">
        <v>756.84931500000005</v>
      </c>
      <c r="EP106" s="10">
        <v>816.438356</v>
      </c>
      <c r="EQ106" s="10">
        <v>806.84931500000005</v>
      </c>
      <c r="ER106" s="10">
        <v>806.16438400000004</v>
      </c>
      <c r="ES106" s="10">
        <v>806.16438400000004</v>
      </c>
      <c r="ET106" s="10">
        <v>834.24657500000001</v>
      </c>
      <c r="EU106" s="10">
        <v>860.95890399999996</v>
      </c>
      <c r="EV106" s="10">
        <v>864.38356199999998</v>
      </c>
      <c r="EW106" s="10">
        <v>913.01369899999997</v>
      </c>
      <c r="EX106" s="10">
        <v>920.54794500000003</v>
      </c>
      <c r="EY106" s="10">
        <v>958.21917800000006</v>
      </c>
      <c r="EZ106" s="10">
        <v>959.58904099999995</v>
      </c>
      <c r="FA106" s="10">
        <v>972.60274000000004</v>
      </c>
      <c r="FB106" s="10">
        <v>977.39725999999996</v>
      </c>
      <c r="FC106" s="10">
        <v>973.28767100000005</v>
      </c>
      <c r="FD106" s="10">
        <v>985.61643800000002</v>
      </c>
      <c r="FE106" s="10">
        <v>989.04109600000004</v>
      </c>
      <c r="FF106" s="10">
        <v>987.67123300000003</v>
      </c>
      <c r="FG106" s="10">
        <v>991.78082199999994</v>
      </c>
      <c r="FH106" s="10">
        <v>998.63013699999999</v>
      </c>
      <c r="FI106" s="10">
        <v>1000</v>
      </c>
      <c r="FJ106" s="10">
        <v>996.57534199999998</v>
      </c>
      <c r="FK106" s="10">
        <v>985.61643800000002</v>
      </c>
      <c r="FL106" s="10">
        <v>987.67123300000003</v>
      </c>
      <c r="FM106" s="10">
        <v>984.24657500000001</v>
      </c>
      <c r="FN106" s="10">
        <v>986.98630100000003</v>
      </c>
      <c r="FO106" s="10">
        <v>981.50684899999999</v>
      </c>
      <c r="FP106" s="10">
        <v>985.61643800000002</v>
      </c>
      <c r="FQ106" s="10">
        <v>983.561644</v>
      </c>
      <c r="FR106" s="10">
        <v>983.561644</v>
      </c>
      <c r="FS106" s="10">
        <v>991.78082199999994</v>
      </c>
      <c r="FT106" s="10">
        <v>1000</v>
      </c>
      <c r="FU106" s="10">
        <v>1026.712329</v>
      </c>
      <c r="FV106" s="10">
        <v>1038</v>
      </c>
      <c r="FW106" s="10">
        <v>1048</v>
      </c>
      <c r="FX106" s="10">
        <v>1059</v>
      </c>
      <c r="FY106" s="10">
        <v>1071</v>
      </c>
      <c r="FZ106" s="10">
        <v>1072</v>
      </c>
      <c r="GA106" s="10">
        <v>1073</v>
      </c>
      <c r="GB106" s="10">
        <v>1093</v>
      </c>
      <c r="GC106" s="10">
        <v>1109</v>
      </c>
      <c r="GD106" s="10">
        <v>1127</v>
      </c>
      <c r="GE106" s="10">
        <v>1146</v>
      </c>
      <c r="GF106" s="10">
        <v>1169</v>
      </c>
      <c r="GG106" s="10">
        <v>1173</v>
      </c>
      <c r="GH106" s="10">
        <v>1175</v>
      </c>
      <c r="GI106" s="10">
        <v>1186</v>
      </c>
      <c r="GJ106" s="10">
        <v>1195</v>
      </c>
      <c r="GK106" s="10">
        <v>1206</v>
      </c>
      <c r="GL106" s="10">
        <v>1214</v>
      </c>
      <c r="GM106" s="10">
        <v>1220</v>
      </c>
      <c r="GN106" s="10">
        <v>1229</v>
      </c>
      <c r="GO106" s="10">
        <v>1239</v>
      </c>
      <c r="GP106" s="10">
        <v>1263</v>
      </c>
      <c r="GQ106" s="10">
        <v>1299</v>
      </c>
      <c r="GR106" s="10">
        <v>1381</v>
      </c>
      <c r="GS106" s="10">
        <v>1472</v>
      </c>
    </row>
    <row r="107" spans="1:201" ht="12.6">
      <c r="A107" s="51" t="s">
        <v>1925</v>
      </c>
      <c r="B107" s="10"/>
      <c r="C107" s="10"/>
      <c r="D107" s="10"/>
      <c r="E107" s="10"/>
      <c r="F107" s="10" t="s">
        <v>1827</v>
      </c>
      <c r="G107" s="10" t="s">
        <v>1827</v>
      </c>
      <c r="H107" s="10" t="s">
        <v>1827</v>
      </c>
      <c r="I107" s="10" t="s">
        <v>1827</v>
      </c>
      <c r="J107" s="10" t="s">
        <v>1827</v>
      </c>
      <c r="K107" s="10" t="s">
        <v>1827</v>
      </c>
      <c r="L107" s="10" t="s">
        <v>1827</v>
      </c>
      <c r="M107" s="10" t="s">
        <v>1827</v>
      </c>
      <c r="N107" s="10" t="s">
        <v>1827</v>
      </c>
      <c r="O107" s="10" t="s">
        <v>1827</v>
      </c>
      <c r="P107" s="10" t="s">
        <v>1827</v>
      </c>
      <c r="Q107" s="10" t="s">
        <v>1827</v>
      </c>
      <c r="R107" s="10" t="s">
        <v>1827</v>
      </c>
      <c r="S107" s="10" t="s">
        <v>1827</v>
      </c>
      <c r="T107" s="10" t="s">
        <v>1827</v>
      </c>
      <c r="U107" s="10" t="s">
        <v>1827</v>
      </c>
      <c r="V107" s="10" t="s">
        <v>1827</v>
      </c>
      <c r="W107" s="10" t="s">
        <v>1827</v>
      </c>
      <c r="X107" s="10" t="s">
        <v>1827</v>
      </c>
      <c r="Y107" s="10" t="s">
        <v>1827</v>
      </c>
      <c r="Z107" s="10" t="s">
        <v>1827</v>
      </c>
      <c r="AA107" s="10" t="s">
        <v>1827</v>
      </c>
      <c r="AB107" s="10" t="s">
        <v>1827</v>
      </c>
      <c r="AC107" s="10" t="s">
        <v>1827</v>
      </c>
      <c r="AD107" s="10" t="s">
        <v>1827</v>
      </c>
      <c r="AE107" s="10">
        <v>39.950564999999997</v>
      </c>
      <c r="AF107" s="10">
        <v>39.950564999999997</v>
      </c>
      <c r="AG107" s="10">
        <v>39.950564999999997</v>
      </c>
      <c r="AH107" s="10">
        <v>39.950564999999997</v>
      </c>
      <c r="AI107" s="10">
        <v>53.043703999999998</v>
      </c>
      <c r="AJ107" s="10">
        <v>53.043703999999998</v>
      </c>
      <c r="AK107" s="10">
        <v>53.043703999999998</v>
      </c>
      <c r="AL107" s="10">
        <v>53.043703999999998</v>
      </c>
      <c r="AM107" s="10">
        <v>53.043703999999998</v>
      </c>
      <c r="AN107" s="10">
        <v>53.043703999999998</v>
      </c>
      <c r="AO107" s="10">
        <v>53.043703999999998</v>
      </c>
      <c r="AP107" s="10">
        <v>53.043703999999998</v>
      </c>
      <c r="AQ107" s="10">
        <v>53.043703999999998</v>
      </c>
      <c r="AR107" s="10">
        <v>53.043703999999998</v>
      </c>
      <c r="AS107" s="10">
        <v>53.043703999999998</v>
      </c>
      <c r="AT107" s="10">
        <v>53.043703999999998</v>
      </c>
      <c r="AU107" s="10">
        <v>53.043703999999998</v>
      </c>
      <c r="AV107" s="10">
        <v>53.043703999999998</v>
      </c>
      <c r="AW107" s="10">
        <v>67.986005000000006</v>
      </c>
      <c r="AX107" s="10">
        <v>62.257677000000001</v>
      </c>
      <c r="AY107" s="10">
        <v>62.257677000000001</v>
      </c>
      <c r="AZ107" s="10">
        <v>62.257677000000001</v>
      </c>
      <c r="BA107" s="10">
        <v>82.887552999999997</v>
      </c>
      <c r="BB107" s="10">
        <v>90.906958000000003</v>
      </c>
      <c r="BC107" s="10">
        <v>91.174397999999997</v>
      </c>
      <c r="BD107" s="10">
        <v>91.174397999999997</v>
      </c>
      <c r="BE107" s="10">
        <v>107.84997</v>
      </c>
      <c r="BF107" s="10">
        <v>107.84997</v>
      </c>
      <c r="BG107" s="10">
        <v>107.84997</v>
      </c>
      <c r="BH107" s="10">
        <v>107.84997</v>
      </c>
      <c r="BI107" s="10">
        <v>127.352774</v>
      </c>
      <c r="BJ107" s="10">
        <v>127.352774</v>
      </c>
      <c r="BK107" s="10">
        <v>127.352774</v>
      </c>
      <c r="BL107" s="10">
        <v>128.473479</v>
      </c>
      <c r="BM107" s="10">
        <v>140.83688599999999</v>
      </c>
      <c r="BN107" s="10">
        <v>140.83688599999999</v>
      </c>
      <c r="BO107" s="10">
        <v>140.83688599999999</v>
      </c>
      <c r="BP107" s="10">
        <v>142.11423500000001</v>
      </c>
      <c r="BQ107" s="10">
        <v>142.11423500000001</v>
      </c>
      <c r="BR107" s="10">
        <v>142.11423500000001</v>
      </c>
      <c r="BS107" s="10">
        <v>142.11423500000001</v>
      </c>
      <c r="BT107" s="10">
        <v>173.68880799999999</v>
      </c>
      <c r="BU107" s="10">
        <v>176.28553099999999</v>
      </c>
      <c r="BV107" s="10">
        <v>176.28553099999999</v>
      </c>
      <c r="BW107" s="10">
        <v>245.69533999999999</v>
      </c>
      <c r="BX107" s="10">
        <v>258.53886799999998</v>
      </c>
      <c r="BY107" s="10">
        <v>258.53886799999998</v>
      </c>
      <c r="BZ107" s="10">
        <v>258.53886799999998</v>
      </c>
      <c r="CA107" s="10">
        <v>258.53886799999998</v>
      </c>
      <c r="CB107" s="10">
        <v>247.69350600000001</v>
      </c>
      <c r="CC107" s="10">
        <v>247.69350600000001</v>
      </c>
      <c r="CD107" s="10">
        <v>243.762125</v>
      </c>
      <c r="CE107" s="10">
        <v>254.243897</v>
      </c>
      <c r="CF107" s="10">
        <v>254.243897</v>
      </c>
      <c r="CG107" s="10">
        <v>254.243897</v>
      </c>
      <c r="CH107" s="10">
        <v>254.243897</v>
      </c>
      <c r="CI107" s="10">
        <v>254.243897</v>
      </c>
      <c r="CJ107" s="10">
        <v>254.243897</v>
      </c>
      <c r="CK107" s="10">
        <v>256.43775599999998</v>
      </c>
      <c r="CL107" s="10">
        <v>259.11913900000002</v>
      </c>
      <c r="CM107" s="10">
        <v>266.67576500000001</v>
      </c>
      <c r="CN107" s="10">
        <v>266.67576500000001</v>
      </c>
      <c r="CO107" s="10">
        <v>266.188241</v>
      </c>
      <c r="CP107" s="10">
        <v>294.70841000000001</v>
      </c>
      <c r="CQ107" s="10">
        <v>294.70841000000001</v>
      </c>
      <c r="CR107" s="10">
        <v>296.65850699999999</v>
      </c>
      <c r="CS107" s="10">
        <v>309.577899</v>
      </c>
      <c r="CT107" s="10">
        <v>327.61629599999998</v>
      </c>
      <c r="CU107" s="10">
        <v>327.86005899999998</v>
      </c>
      <c r="CV107" s="10">
        <v>327.86005899999998</v>
      </c>
      <c r="CW107" s="10">
        <v>327.86005899999998</v>
      </c>
      <c r="CX107" s="10">
        <v>327.86005899999998</v>
      </c>
      <c r="CY107" s="10">
        <v>327.86005899999998</v>
      </c>
      <c r="CZ107" s="10">
        <v>327.37253399999997</v>
      </c>
      <c r="DA107" s="10">
        <v>327.37253399999997</v>
      </c>
      <c r="DB107" s="10">
        <v>327.37253399999997</v>
      </c>
      <c r="DC107" s="10">
        <v>327.37253399999997</v>
      </c>
      <c r="DD107" s="10">
        <v>360.43716000000001</v>
      </c>
      <c r="DE107" s="10">
        <v>363.05614000000003</v>
      </c>
      <c r="DF107" s="10">
        <v>363.05614000000003</v>
      </c>
      <c r="DG107" s="10">
        <v>387.609081</v>
      </c>
      <c r="DH107" s="10">
        <v>387.609081</v>
      </c>
      <c r="DI107" s="10">
        <v>396.120767</v>
      </c>
      <c r="DJ107" s="10">
        <v>396.120767</v>
      </c>
      <c r="DK107" s="10">
        <v>407.25143300000002</v>
      </c>
      <c r="DL107" s="10">
        <v>407.25143300000002</v>
      </c>
      <c r="DM107" s="10">
        <v>465.196371</v>
      </c>
      <c r="DN107" s="10">
        <v>465.196371</v>
      </c>
      <c r="DO107" s="10">
        <v>471.74382200000002</v>
      </c>
      <c r="DP107" s="10">
        <v>488.76719400000002</v>
      </c>
      <c r="DQ107" s="10">
        <v>488.76719400000002</v>
      </c>
      <c r="DR107" s="10">
        <v>488.76719400000002</v>
      </c>
      <c r="DS107" s="10">
        <v>481.23762499999998</v>
      </c>
      <c r="DT107" s="10">
        <v>488.76719400000002</v>
      </c>
      <c r="DU107" s="10">
        <v>494.33252700000003</v>
      </c>
      <c r="DV107" s="10">
        <v>494.33252700000003</v>
      </c>
      <c r="DW107" s="10">
        <v>499.89785999999998</v>
      </c>
      <c r="DX107" s="10">
        <v>502.84421300000002</v>
      </c>
      <c r="DY107" s="10">
        <v>476.32703700000002</v>
      </c>
      <c r="DZ107" s="10">
        <v>476.32703700000002</v>
      </c>
      <c r="EA107" s="10">
        <v>486.80295899999999</v>
      </c>
      <c r="EB107" s="10">
        <v>492.368291</v>
      </c>
      <c r="EC107" s="10">
        <v>516.98670600000003</v>
      </c>
      <c r="ED107" s="10">
        <v>516.98670600000003</v>
      </c>
      <c r="EE107" s="10">
        <v>516.98670600000003</v>
      </c>
      <c r="EF107" s="10">
        <v>527.32644000000005</v>
      </c>
      <c r="EG107" s="10">
        <v>520.92565200000001</v>
      </c>
      <c r="EH107" s="10">
        <v>521.41802099999995</v>
      </c>
      <c r="EI107" s="10">
        <v>521.41802099999995</v>
      </c>
      <c r="EJ107" s="10">
        <v>526.34170400000005</v>
      </c>
      <c r="EK107" s="10">
        <v>526.34170400000005</v>
      </c>
      <c r="EL107" s="10">
        <v>529.78828199999998</v>
      </c>
      <c r="EM107" s="10">
        <v>529.78828199999998</v>
      </c>
      <c r="EN107" s="10">
        <v>572.624323</v>
      </c>
      <c r="EO107" s="10">
        <v>580.99458400000003</v>
      </c>
      <c r="EP107" s="10">
        <v>580.99458400000003</v>
      </c>
      <c r="EQ107" s="10">
        <v>580.99458400000003</v>
      </c>
      <c r="ER107" s="10">
        <v>632.69325500000002</v>
      </c>
      <c r="ES107" s="10">
        <v>642.04825200000005</v>
      </c>
      <c r="ET107" s="10">
        <v>660.75824699999998</v>
      </c>
      <c r="EU107" s="10">
        <v>660.75824699999998</v>
      </c>
      <c r="EV107" s="10">
        <v>705.07139299999994</v>
      </c>
      <c r="EW107" s="10">
        <v>716.39586399999996</v>
      </c>
      <c r="EX107" s="10">
        <v>721.31954700000006</v>
      </c>
      <c r="EY107" s="10">
        <v>721.31954700000006</v>
      </c>
      <c r="EZ107" s="10">
        <v>745.93796199999997</v>
      </c>
      <c r="FA107" s="10">
        <v>747.41506600000002</v>
      </c>
      <c r="FB107" s="10">
        <v>752.33874900000001</v>
      </c>
      <c r="FC107" s="10">
        <v>752.33874900000001</v>
      </c>
      <c r="FD107" s="10">
        <v>784.34268799999995</v>
      </c>
      <c r="FE107" s="10">
        <v>805.51452500000005</v>
      </c>
      <c r="FF107" s="10">
        <v>813.88478599999996</v>
      </c>
      <c r="FG107" s="10">
        <v>814.86952199999996</v>
      </c>
      <c r="FH107" s="10">
        <v>828.16346599999997</v>
      </c>
      <c r="FI107" s="10">
        <v>848.84293500000001</v>
      </c>
      <c r="FJ107" s="10">
        <v>864.59871999999996</v>
      </c>
      <c r="FK107" s="10">
        <v>861.64450999999997</v>
      </c>
      <c r="FL107" s="10">
        <v>893.15608099999997</v>
      </c>
      <c r="FM107" s="10">
        <v>902.511078</v>
      </c>
      <c r="FN107" s="10">
        <v>922.20581000000004</v>
      </c>
      <c r="FO107" s="10">
        <v>920.72870499999999</v>
      </c>
      <c r="FP107" s="10">
        <v>957.65632700000003</v>
      </c>
      <c r="FQ107" s="10">
        <v>952.73264400000005</v>
      </c>
      <c r="FR107" s="10">
        <v>959.62580000000003</v>
      </c>
      <c r="FS107" s="10">
        <v>967.99606100000005</v>
      </c>
      <c r="FT107" s="10">
        <v>1000</v>
      </c>
      <c r="FU107" s="10">
        <v>1031.019202</v>
      </c>
      <c r="FV107" s="10">
        <v>1039</v>
      </c>
      <c r="FW107" s="10">
        <v>1038</v>
      </c>
      <c r="FX107" s="10">
        <v>1042</v>
      </c>
      <c r="FY107" s="10">
        <v>1053</v>
      </c>
      <c r="FZ107" s="10">
        <v>1072</v>
      </c>
      <c r="GA107" s="10">
        <v>1099</v>
      </c>
      <c r="GB107" s="10">
        <v>1128</v>
      </c>
      <c r="GC107" s="10">
        <v>1150</v>
      </c>
      <c r="GD107" s="10">
        <v>1164</v>
      </c>
      <c r="GE107" s="10">
        <v>1176</v>
      </c>
      <c r="GF107" s="10">
        <v>1184</v>
      </c>
      <c r="GG107" s="10">
        <v>1192</v>
      </c>
      <c r="GH107" s="10">
        <v>1212</v>
      </c>
      <c r="GI107" s="10">
        <v>1232</v>
      </c>
      <c r="GJ107" s="10">
        <v>1256</v>
      </c>
      <c r="GK107" s="10">
        <v>1285</v>
      </c>
      <c r="GL107" s="10">
        <v>1309</v>
      </c>
      <c r="GM107" s="10">
        <v>1331</v>
      </c>
      <c r="GN107" s="10">
        <v>1355</v>
      </c>
      <c r="GO107" s="10">
        <v>1375</v>
      </c>
      <c r="GP107" s="10">
        <v>1399</v>
      </c>
      <c r="GQ107" s="10">
        <v>1423</v>
      </c>
      <c r="GR107" s="10">
        <v>1445</v>
      </c>
      <c r="GS107" s="10">
        <v>1473</v>
      </c>
    </row>
    <row r="108" spans="1:201" ht="12.6">
      <c r="A108" s="51" t="s">
        <v>1926</v>
      </c>
      <c r="B108" s="10"/>
      <c r="C108" s="10"/>
      <c r="D108" s="10"/>
      <c r="E108" s="10"/>
      <c r="F108" s="10" t="s">
        <v>1827</v>
      </c>
      <c r="G108" s="10" t="s">
        <v>1827</v>
      </c>
      <c r="H108" s="10" t="s">
        <v>1827</v>
      </c>
      <c r="I108" s="10" t="s">
        <v>1827</v>
      </c>
      <c r="J108" s="10" t="s">
        <v>1827</v>
      </c>
      <c r="K108" s="10" t="s">
        <v>1827</v>
      </c>
      <c r="L108" s="10" t="s">
        <v>1827</v>
      </c>
      <c r="M108" s="10" t="s">
        <v>1827</v>
      </c>
      <c r="N108" s="10" t="s">
        <v>1827</v>
      </c>
      <c r="O108" s="10" t="s">
        <v>1827</v>
      </c>
      <c r="P108" s="10" t="s">
        <v>1827</v>
      </c>
      <c r="Q108" s="10" t="s">
        <v>1827</v>
      </c>
      <c r="R108" s="10" t="s">
        <v>1827</v>
      </c>
      <c r="S108" s="10" t="s">
        <v>1827</v>
      </c>
      <c r="T108" s="10" t="s">
        <v>1827</v>
      </c>
      <c r="U108" s="10" t="s">
        <v>1827</v>
      </c>
      <c r="V108" s="10" t="s">
        <v>1827</v>
      </c>
      <c r="W108" s="10" t="s">
        <v>1827</v>
      </c>
      <c r="X108" s="10" t="s">
        <v>1827</v>
      </c>
      <c r="Y108" s="10" t="s">
        <v>1827</v>
      </c>
      <c r="Z108" s="10" t="s">
        <v>1827</v>
      </c>
      <c r="AA108" s="10" t="s">
        <v>1827</v>
      </c>
      <c r="AB108" s="10" t="s">
        <v>1827</v>
      </c>
      <c r="AC108" s="10" t="s">
        <v>1827</v>
      </c>
      <c r="AD108" s="10" t="s">
        <v>1827</v>
      </c>
      <c r="AE108" s="10">
        <v>156.54081099999999</v>
      </c>
      <c r="AF108" s="10">
        <v>166.01400599999999</v>
      </c>
      <c r="AG108" s="10">
        <v>168.374864</v>
      </c>
      <c r="AH108" s="10">
        <v>168.374864</v>
      </c>
      <c r="AI108" s="10">
        <v>168.374864</v>
      </c>
      <c r="AJ108" s="10">
        <v>201.16897900000001</v>
      </c>
      <c r="AK108" s="10">
        <v>201.16897900000001</v>
      </c>
      <c r="AL108" s="10">
        <v>201.08466300000001</v>
      </c>
      <c r="AM108" s="10">
        <v>201.08466300000001</v>
      </c>
      <c r="AN108" s="10">
        <v>216.003703</v>
      </c>
      <c r="AO108" s="10">
        <v>216.003703</v>
      </c>
      <c r="AP108" s="10">
        <v>216.003703</v>
      </c>
      <c r="AQ108" s="10">
        <v>218.781184</v>
      </c>
      <c r="AR108" s="10">
        <v>221.335475</v>
      </c>
      <c r="AS108" s="10">
        <v>229.504245</v>
      </c>
      <c r="AT108" s="10">
        <v>230.67971399999999</v>
      </c>
      <c r="AU108" s="10">
        <v>253.162431</v>
      </c>
      <c r="AV108" s="10">
        <v>263.14152300000001</v>
      </c>
      <c r="AW108" s="10">
        <v>292.21083700000003</v>
      </c>
      <c r="AX108" s="10">
        <v>316.75682499999999</v>
      </c>
      <c r="AY108" s="10">
        <v>336.77452799999998</v>
      </c>
      <c r="AZ108" s="10">
        <v>350.68673100000001</v>
      </c>
      <c r="BA108" s="10">
        <v>438.66344099999998</v>
      </c>
      <c r="BB108" s="10">
        <v>469.19589300000001</v>
      </c>
      <c r="BC108" s="10">
        <v>473.37699300000003</v>
      </c>
      <c r="BD108" s="10">
        <v>489.53598</v>
      </c>
      <c r="BE108" s="10">
        <v>503.656496</v>
      </c>
      <c r="BF108" s="10">
        <v>511.621914</v>
      </c>
      <c r="BG108" s="10">
        <v>514.98960999999997</v>
      </c>
      <c r="BH108" s="10">
        <v>503.35890799999999</v>
      </c>
      <c r="BI108" s="10">
        <v>500.78477900000001</v>
      </c>
      <c r="BJ108" s="10">
        <v>495.978745</v>
      </c>
      <c r="BK108" s="10">
        <v>498.106493</v>
      </c>
      <c r="BL108" s="10">
        <v>521.14966600000002</v>
      </c>
      <c r="BM108" s="10">
        <v>528.77285900000004</v>
      </c>
      <c r="BN108" s="10">
        <v>530.875809</v>
      </c>
      <c r="BO108" s="10">
        <v>530.90060800000003</v>
      </c>
      <c r="BP108" s="10">
        <v>551.47876599999995</v>
      </c>
      <c r="BQ108" s="10">
        <v>569.97877300000005</v>
      </c>
      <c r="BR108" s="10">
        <v>604.11698999999999</v>
      </c>
      <c r="BS108" s="10">
        <v>609.99929799999995</v>
      </c>
      <c r="BT108" s="10">
        <v>617.141392</v>
      </c>
      <c r="BU108" s="10">
        <v>638.58255299999996</v>
      </c>
      <c r="BV108" s="10">
        <v>640.49703099999999</v>
      </c>
      <c r="BW108" s="10">
        <v>632.04059299999994</v>
      </c>
      <c r="BX108" s="10">
        <v>635.770354</v>
      </c>
      <c r="BY108" s="10">
        <v>638.97437600000001</v>
      </c>
      <c r="BZ108" s="10">
        <v>645.14931200000001</v>
      </c>
      <c r="CA108" s="10">
        <v>650.67451500000004</v>
      </c>
      <c r="CB108" s="10">
        <v>652.31124499999999</v>
      </c>
      <c r="CC108" s="10">
        <v>655.50534800000003</v>
      </c>
      <c r="CD108" s="10">
        <v>656.53698399999996</v>
      </c>
      <c r="CE108" s="10">
        <v>630.93204100000003</v>
      </c>
      <c r="CF108" s="10">
        <v>609.92285800000002</v>
      </c>
      <c r="CG108" s="10">
        <v>594.16597000000002</v>
      </c>
      <c r="CH108" s="10">
        <v>605.32709899999998</v>
      </c>
      <c r="CI108" s="10">
        <v>626.33628299999998</v>
      </c>
      <c r="CJ108" s="10">
        <v>597.44865500000003</v>
      </c>
      <c r="CK108" s="10">
        <v>587.60060099999998</v>
      </c>
      <c r="CL108" s="10">
        <v>596.135581</v>
      </c>
      <c r="CM108" s="10">
        <v>606.640173</v>
      </c>
      <c r="CN108" s="10">
        <v>618.45783900000004</v>
      </c>
      <c r="CO108" s="10">
        <v>638.81048499999997</v>
      </c>
      <c r="CP108" s="10">
        <v>669.01118599999995</v>
      </c>
      <c r="CQ108" s="10">
        <v>688.05075899999997</v>
      </c>
      <c r="CR108" s="10">
        <v>693.95959200000004</v>
      </c>
      <c r="CS108" s="10">
        <v>683.45500000000004</v>
      </c>
      <c r="CT108" s="10">
        <v>726.12990400000001</v>
      </c>
      <c r="CU108" s="10">
        <v>722.19068200000004</v>
      </c>
      <c r="CV108" s="10">
        <v>756.33060599999999</v>
      </c>
      <c r="CW108" s="10">
        <v>737.29103299999997</v>
      </c>
      <c r="CX108" s="10">
        <v>730.06912599999998</v>
      </c>
      <c r="CY108" s="10">
        <v>734.66488500000003</v>
      </c>
      <c r="CZ108" s="10">
        <v>744.51293999999996</v>
      </c>
      <c r="DA108" s="10">
        <v>743.76842699999997</v>
      </c>
      <c r="DB108" s="10">
        <v>740.04586200000006</v>
      </c>
      <c r="DC108" s="10">
        <v>748.23550399999999</v>
      </c>
      <c r="DD108" s="10">
        <v>754.19160799999997</v>
      </c>
      <c r="DE108" s="10">
        <v>754.93612099999996</v>
      </c>
      <c r="DF108" s="10">
        <v>754.93612099999996</v>
      </c>
      <c r="DG108" s="10">
        <v>759.40319799999997</v>
      </c>
      <c r="DH108" s="10">
        <v>755.68063299999994</v>
      </c>
      <c r="DI108" s="10">
        <v>763.87027599999999</v>
      </c>
      <c r="DJ108" s="10">
        <v>769.82637999999997</v>
      </c>
      <c r="DK108" s="10">
        <v>769.82637999999997</v>
      </c>
      <c r="DL108" s="10">
        <v>702.07570199999998</v>
      </c>
      <c r="DM108" s="10">
        <v>711.00985800000001</v>
      </c>
      <c r="DN108" s="10">
        <v>720.68852500000003</v>
      </c>
      <c r="DO108" s="10">
        <v>730.36719300000004</v>
      </c>
      <c r="DP108" s="10">
        <v>731.85622000000001</v>
      </c>
      <c r="DQ108" s="10">
        <v>742.27940100000001</v>
      </c>
      <c r="DR108" s="10">
        <v>748.98001699999998</v>
      </c>
      <c r="DS108" s="10">
        <v>793.65079300000002</v>
      </c>
      <c r="DT108" s="10">
        <v>777.27150900000004</v>
      </c>
      <c r="DU108" s="10">
        <v>775.78248299999996</v>
      </c>
      <c r="DV108" s="10">
        <v>774.29345699999999</v>
      </c>
      <c r="DW108" s="10">
        <v>774.29345699999999</v>
      </c>
      <c r="DX108" s="10">
        <v>807.05202699999995</v>
      </c>
      <c r="DY108" s="10">
        <v>804.818488</v>
      </c>
      <c r="DZ108" s="10">
        <v>806.30751399999997</v>
      </c>
      <c r="EA108" s="10">
        <v>813.00813000000005</v>
      </c>
      <c r="EB108" s="10">
        <v>813.00813000000005</v>
      </c>
      <c r="EC108" s="10">
        <v>815.44715399999995</v>
      </c>
      <c r="ED108" s="10">
        <v>813.82113800000002</v>
      </c>
      <c r="EE108" s="10">
        <v>813.82113800000002</v>
      </c>
      <c r="EF108" s="10">
        <v>804.87804900000003</v>
      </c>
      <c r="EG108" s="10">
        <v>813.82113800000002</v>
      </c>
      <c r="EH108" s="10">
        <v>801.62601600000005</v>
      </c>
      <c r="EI108" s="10">
        <v>858.53658499999995</v>
      </c>
      <c r="EJ108" s="10">
        <v>858.53658499999995</v>
      </c>
      <c r="EK108" s="10">
        <v>886.99186999999995</v>
      </c>
      <c r="EL108" s="10">
        <v>914.63414599999999</v>
      </c>
      <c r="EM108" s="10">
        <v>922.764228</v>
      </c>
      <c r="EN108" s="10">
        <v>934.95934999999997</v>
      </c>
      <c r="EO108" s="10">
        <v>928.455285</v>
      </c>
      <c r="EP108" s="10">
        <v>927.64227600000004</v>
      </c>
      <c r="EQ108" s="10">
        <v>930.08130100000005</v>
      </c>
      <c r="ER108" s="10">
        <v>940.65040699999997</v>
      </c>
      <c r="ES108" s="10">
        <v>935.77235800000005</v>
      </c>
      <c r="ET108" s="10">
        <v>954.47154499999999</v>
      </c>
      <c r="EU108" s="10">
        <v>937.39837399999999</v>
      </c>
      <c r="EV108" s="10">
        <v>941.46341500000005</v>
      </c>
      <c r="EW108" s="10">
        <v>956.09756100000004</v>
      </c>
      <c r="EX108" s="10">
        <v>962.60162600000001</v>
      </c>
      <c r="EY108" s="10">
        <v>961.78861800000004</v>
      </c>
      <c r="EZ108" s="10">
        <v>961.78861800000004</v>
      </c>
      <c r="FA108" s="10">
        <v>956.91056900000001</v>
      </c>
      <c r="FB108" s="10">
        <v>956.91056900000001</v>
      </c>
      <c r="FC108" s="10">
        <v>955.28455299999996</v>
      </c>
      <c r="FD108" s="10">
        <v>962.60162600000001</v>
      </c>
      <c r="FE108" s="10">
        <v>957.72357699999998</v>
      </c>
      <c r="FF108" s="10">
        <v>961.78861800000004</v>
      </c>
      <c r="FG108" s="10">
        <v>990.24390200000005</v>
      </c>
      <c r="FH108" s="10">
        <v>976.42276400000003</v>
      </c>
      <c r="FI108" s="10">
        <v>976.42276400000003</v>
      </c>
      <c r="FJ108" s="10">
        <v>978.04877999999997</v>
      </c>
      <c r="FK108" s="10">
        <v>982.11382100000003</v>
      </c>
      <c r="FL108" s="10">
        <v>969.10569099999998</v>
      </c>
      <c r="FM108" s="10">
        <v>969.10569099999998</v>
      </c>
      <c r="FN108" s="10">
        <v>978.04877999999997</v>
      </c>
      <c r="FO108" s="10">
        <v>973.98374000000001</v>
      </c>
      <c r="FP108" s="10">
        <v>973.17073200000004</v>
      </c>
      <c r="FQ108" s="10">
        <v>973.17073200000004</v>
      </c>
      <c r="FR108" s="10">
        <v>967.47967500000004</v>
      </c>
      <c r="FS108" s="10">
        <v>993.49593500000003</v>
      </c>
      <c r="FT108" s="10">
        <v>1000</v>
      </c>
      <c r="FU108" s="10">
        <v>1018.6991870000001</v>
      </c>
      <c r="FV108" s="10">
        <v>1026</v>
      </c>
      <c r="FW108" s="10">
        <v>1040</v>
      </c>
      <c r="FX108" s="10">
        <v>1057</v>
      </c>
      <c r="FY108" s="10">
        <v>1076</v>
      </c>
      <c r="FZ108" s="10">
        <v>1100</v>
      </c>
      <c r="GA108" s="10">
        <v>1123</v>
      </c>
      <c r="GB108" s="10">
        <v>1153</v>
      </c>
      <c r="GC108" s="10">
        <v>1166</v>
      </c>
      <c r="GD108" s="10">
        <v>1168</v>
      </c>
      <c r="GE108" s="10">
        <v>1174</v>
      </c>
      <c r="GF108" s="10">
        <v>1187</v>
      </c>
      <c r="GG108" s="10">
        <v>1209</v>
      </c>
      <c r="GH108" s="10">
        <v>1224</v>
      </c>
      <c r="GI108" s="10">
        <v>1227</v>
      </c>
      <c r="GJ108" s="10">
        <v>1233</v>
      </c>
      <c r="GK108" s="10">
        <v>1241</v>
      </c>
      <c r="GL108" s="10">
        <v>1266</v>
      </c>
      <c r="GM108" s="10">
        <v>1293</v>
      </c>
      <c r="GN108" s="10">
        <v>1299</v>
      </c>
      <c r="GO108" s="10">
        <v>1301</v>
      </c>
      <c r="GP108" s="10">
        <v>1297</v>
      </c>
      <c r="GQ108" s="10">
        <v>1308</v>
      </c>
      <c r="GR108" s="10">
        <v>1361</v>
      </c>
      <c r="GS108" s="10">
        <v>1434</v>
      </c>
    </row>
    <row r="109" spans="1:201" ht="12.6">
      <c r="A109" s="51" t="s">
        <v>1927</v>
      </c>
      <c r="B109" s="10"/>
      <c r="C109" s="10"/>
      <c r="D109" s="10"/>
      <c r="E109" s="10"/>
      <c r="F109" s="10" t="s">
        <v>1827</v>
      </c>
      <c r="G109" s="10" t="s">
        <v>1827</v>
      </c>
      <c r="H109" s="10" t="s">
        <v>1827</v>
      </c>
      <c r="I109" s="10" t="s">
        <v>1827</v>
      </c>
      <c r="J109" s="10" t="s">
        <v>1827</v>
      </c>
      <c r="K109" s="10" t="s">
        <v>1827</v>
      </c>
      <c r="L109" s="10" t="s">
        <v>1827</v>
      </c>
      <c r="M109" s="10" t="s">
        <v>1827</v>
      </c>
      <c r="N109" s="10" t="s">
        <v>1827</v>
      </c>
      <c r="O109" s="10" t="s">
        <v>1827</v>
      </c>
      <c r="P109" s="10" t="s">
        <v>1827</v>
      </c>
      <c r="Q109" s="10" t="s">
        <v>1827</v>
      </c>
      <c r="R109" s="10" t="s">
        <v>1827</v>
      </c>
      <c r="S109" s="10" t="s">
        <v>1827</v>
      </c>
      <c r="T109" s="10" t="s">
        <v>1827</v>
      </c>
      <c r="U109" s="10" t="s">
        <v>1827</v>
      </c>
      <c r="V109" s="10" t="s">
        <v>1827</v>
      </c>
      <c r="W109" s="10" t="s">
        <v>1827</v>
      </c>
      <c r="X109" s="10" t="s">
        <v>1827</v>
      </c>
      <c r="Y109" s="10" t="s">
        <v>1827</v>
      </c>
      <c r="Z109" s="10" t="s">
        <v>1827</v>
      </c>
      <c r="AA109" s="10" t="s">
        <v>1827</v>
      </c>
      <c r="AB109" s="10" t="s">
        <v>1827</v>
      </c>
      <c r="AC109" s="10" t="s">
        <v>1827</v>
      </c>
      <c r="AD109" s="10" t="s">
        <v>1827</v>
      </c>
      <c r="AE109" s="10" t="s">
        <v>1827</v>
      </c>
      <c r="AF109" s="10" t="s">
        <v>1827</v>
      </c>
      <c r="AG109" s="10" t="s">
        <v>1827</v>
      </c>
      <c r="AH109" s="10" t="s">
        <v>1827</v>
      </c>
      <c r="AI109" s="10" t="s">
        <v>1827</v>
      </c>
      <c r="AJ109" s="10" t="s">
        <v>1827</v>
      </c>
      <c r="AK109" s="10" t="s">
        <v>1827</v>
      </c>
      <c r="AL109" s="10" t="s">
        <v>1827</v>
      </c>
      <c r="AM109" s="10" t="s">
        <v>1827</v>
      </c>
      <c r="AN109" s="10" t="s">
        <v>1827</v>
      </c>
      <c r="AO109" s="10" t="s">
        <v>1827</v>
      </c>
      <c r="AP109" s="10" t="s">
        <v>1827</v>
      </c>
      <c r="AQ109" s="10" t="s">
        <v>1827</v>
      </c>
      <c r="AR109" s="10" t="s">
        <v>1827</v>
      </c>
      <c r="AS109" s="10" t="s">
        <v>1827</v>
      </c>
      <c r="AT109" s="10" t="s">
        <v>1827</v>
      </c>
      <c r="AU109" s="10" t="s">
        <v>1827</v>
      </c>
      <c r="AV109" s="10" t="s">
        <v>1827</v>
      </c>
      <c r="AW109" s="10" t="s">
        <v>1827</v>
      </c>
      <c r="AX109" s="10" t="s">
        <v>1827</v>
      </c>
      <c r="AY109" s="10" t="s">
        <v>1827</v>
      </c>
      <c r="AZ109" s="10" t="s">
        <v>1827</v>
      </c>
      <c r="BA109" s="10" t="s">
        <v>1827</v>
      </c>
      <c r="BB109" s="10" t="s">
        <v>1827</v>
      </c>
      <c r="BC109" s="10" t="s">
        <v>1827</v>
      </c>
      <c r="BD109" s="10" t="s">
        <v>1827</v>
      </c>
      <c r="BE109" s="10" t="s">
        <v>1827</v>
      </c>
      <c r="BF109" s="10" t="s">
        <v>1827</v>
      </c>
      <c r="BG109" s="10" t="s">
        <v>1827</v>
      </c>
      <c r="BH109" s="10" t="s">
        <v>1827</v>
      </c>
      <c r="BI109" s="10" t="s">
        <v>1827</v>
      </c>
      <c r="BJ109" s="10">
        <v>1332.818863</v>
      </c>
      <c r="BK109" s="10">
        <v>1342.148596</v>
      </c>
      <c r="BL109" s="10">
        <v>1350.1455100000001</v>
      </c>
      <c r="BM109" s="10">
        <v>1352.8111469999999</v>
      </c>
      <c r="BN109" s="10">
        <v>1351.4783279999999</v>
      </c>
      <c r="BO109" s="10">
        <v>1388.7972560000001</v>
      </c>
      <c r="BP109" s="10">
        <v>1410.1223580000001</v>
      </c>
      <c r="BQ109" s="10">
        <v>1435.4459159999999</v>
      </c>
      <c r="BR109" s="10">
        <v>1442.110011</v>
      </c>
      <c r="BS109" s="10">
        <v>1444.775648</v>
      </c>
      <c r="BT109" s="10">
        <v>1410.1223580000001</v>
      </c>
      <c r="BU109" s="10">
        <v>1347.479871</v>
      </c>
      <c r="BV109" s="10">
        <v>1283.5045660000001</v>
      </c>
      <c r="BW109" s="10">
        <v>1234.1902680000001</v>
      </c>
      <c r="BX109" s="10">
        <v>1203.5354339999999</v>
      </c>
      <c r="BY109" s="10">
        <v>1159.552412</v>
      </c>
      <c r="BZ109" s="10">
        <v>1132.8960340000001</v>
      </c>
      <c r="CA109" s="10">
        <v>1120.9006649999999</v>
      </c>
      <c r="CB109" s="10">
        <v>1135.561672</v>
      </c>
      <c r="CC109" s="10">
        <v>1130.230397</v>
      </c>
      <c r="CD109" s="10">
        <v>1104.906839</v>
      </c>
      <c r="CE109" s="10">
        <v>1087.228329</v>
      </c>
      <c r="CF109" s="10">
        <v>1060.7105650000001</v>
      </c>
      <c r="CG109" s="10">
        <v>1118.16572</v>
      </c>
      <c r="CH109" s="10">
        <v>1206.558268</v>
      </c>
      <c r="CI109" s="10">
        <v>1342.4618089999999</v>
      </c>
      <c r="CJ109" s="10">
        <v>1406.546405</v>
      </c>
      <c r="CK109" s="10">
        <v>1391.07771</v>
      </c>
      <c r="CL109" s="10">
        <v>1394.3924300000001</v>
      </c>
      <c r="CM109" s="10">
        <v>1371.189386</v>
      </c>
      <c r="CN109" s="10">
        <v>1385.553175</v>
      </c>
      <c r="CO109" s="10">
        <v>1435.273983</v>
      </c>
      <c r="CP109" s="10">
        <v>1448.5328649999999</v>
      </c>
      <c r="CQ109" s="10">
        <v>1370.08448</v>
      </c>
      <c r="CR109" s="10">
        <v>1339.1470879999999</v>
      </c>
      <c r="CS109" s="10">
        <v>1317.0489520000001</v>
      </c>
      <c r="CT109" s="10">
        <v>1329.202927</v>
      </c>
      <c r="CU109" s="10">
        <v>1322.5734849999999</v>
      </c>
      <c r="CV109" s="10">
        <v>1353.5108760000001</v>
      </c>
      <c r="CW109" s="10">
        <v>1349.0912490000001</v>
      </c>
      <c r="CX109" s="10">
        <v>1208.7680809999999</v>
      </c>
      <c r="CY109" s="10">
        <v>1122.585347</v>
      </c>
      <c r="CZ109" s="10">
        <v>1092.7528629999999</v>
      </c>
      <c r="DA109" s="10">
        <v>1096.0311220000001</v>
      </c>
      <c r="DB109" s="10">
        <v>1061.06303</v>
      </c>
      <c r="DC109" s="10">
        <v>1061.06303</v>
      </c>
      <c r="DD109" s="10">
        <v>1078.5470749999999</v>
      </c>
      <c r="DE109" s="10">
        <v>1084.0108399999999</v>
      </c>
      <c r="DF109" s="10">
        <v>1084.0108399999999</v>
      </c>
      <c r="DG109" s="10">
        <v>1056.692018</v>
      </c>
      <c r="DH109" s="10">
        <v>1004.239881</v>
      </c>
      <c r="DI109" s="10">
        <v>1000.961623</v>
      </c>
      <c r="DJ109" s="10">
        <v>992.21960000000001</v>
      </c>
      <c r="DK109" s="10">
        <v>994.40510500000005</v>
      </c>
      <c r="DL109" s="10">
        <v>1004.239881</v>
      </c>
      <c r="DM109" s="10">
        <v>1023.909432</v>
      </c>
      <c r="DN109" s="10">
        <v>1010.796398</v>
      </c>
      <c r="DO109" s="10">
        <v>974.73555399999998</v>
      </c>
      <c r="DP109" s="10">
        <v>1010.796398</v>
      </c>
      <c r="DQ109" s="10">
        <v>1022.81668</v>
      </c>
      <c r="DR109" s="10">
        <v>1022.81668</v>
      </c>
      <c r="DS109" s="10">
        <v>965.99353099999996</v>
      </c>
      <c r="DT109" s="10">
        <v>1018.445669</v>
      </c>
      <c r="DU109" s="10">
        <v>1020.631174</v>
      </c>
      <c r="DV109" s="10">
        <v>972.55004799999995</v>
      </c>
      <c r="DW109" s="10">
        <v>1008.610892</v>
      </c>
      <c r="DX109" s="10">
        <v>1026.0949390000001</v>
      </c>
      <c r="DY109" s="10">
        <v>1051.2282540000001</v>
      </c>
      <c r="DZ109" s="10">
        <v>1067.619547</v>
      </c>
      <c r="EA109" s="10">
        <v>1075.2688169999999</v>
      </c>
      <c r="EB109" s="10">
        <v>1075.2688169999999</v>
      </c>
      <c r="EC109" s="10">
        <v>1075.2688169999999</v>
      </c>
      <c r="ED109" s="10">
        <v>1068.8172039999999</v>
      </c>
      <c r="EE109" s="10">
        <v>1062.365591</v>
      </c>
      <c r="EF109" s="10">
        <v>1055.913978</v>
      </c>
      <c r="EG109" s="10">
        <v>1061.2903229999999</v>
      </c>
      <c r="EH109" s="10">
        <v>1060.215054</v>
      </c>
      <c r="EI109" s="10">
        <v>1066.666667</v>
      </c>
      <c r="EJ109" s="10">
        <v>1064.5161290000001</v>
      </c>
      <c r="EK109" s="10">
        <v>1064.5161290000001</v>
      </c>
      <c r="EL109" s="10">
        <v>1067.741935</v>
      </c>
      <c r="EM109" s="10">
        <v>1074.193548</v>
      </c>
      <c r="EN109" s="10">
        <v>1074.193548</v>
      </c>
      <c r="EO109" s="10">
        <v>1074.193548</v>
      </c>
      <c r="EP109" s="10">
        <v>1000</v>
      </c>
      <c r="EQ109" s="10">
        <v>962.36559099999999</v>
      </c>
      <c r="ER109" s="10">
        <v>955.91397800000004</v>
      </c>
      <c r="ES109" s="10">
        <v>955.91397800000004</v>
      </c>
      <c r="ET109" s="10">
        <v>970.96774200000004</v>
      </c>
      <c r="EU109" s="10">
        <v>972.04301099999998</v>
      </c>
      <c r="EV109" s="10">
        <v>973.11828000000003</v>
      </c>
      <c r="EW109" s="10">
        <v>995.69892500000003</v>
      </c>
      <c r="EX109" s="10">
        <v>998.92473099999995</v>
      </c>
      <c r="EY109" s="10">
        <v>1000</v>
      </c>
      <c r="EZ109" s="10">
        <v>1031.1827960000001</v>
      </c>
      <c r="FA109" s="10">
        <v>1036.5591400000001</v>
      </c>
      <c r="FB109" s="10">
        <v>1037.634409</v>
      </c>
      <c r="FC109" s="10">
        <v>1043.010753</v>
      </c>
      <c r="FD109" s="10">
        <v>1056.989247</v>
      </c>
      <c r="FE109" s="10">
        <v>1056.989247</v>
      </c>
      <c r="FF109" s="10">
        <v>1056.989247</v>
      </c>
      <c r="FG109" s="10">
        <v>1056.989247</v>
      </c>
      <c r="FH109" s="10">
        <v>1056.989247</v>
      </c>
      <c r="FI109" s="10">
        <v>1051.612903</v>
      </c>
      <c r="FJ109" s="10">
        <v>1051.612903</v>
      </c>
      <c r="FK109" s="10">
        <v>1051.612903</v>
      </c>
      <c r="FL109" s="10">
        <v>1051.612903</v>
      </c>
      <c r="FM109" s="10">
        <v>1051.612903</v>
      </c>
      <c r="FN109" s="10">
        <v>1049.462366</v>
      </c>
      <c r="FO109" s="10">
        <v>1048.387097</v>
      </c>
      <c r="FP109" s="10">
        <v>1048.387097</v>
      </c>
      <c r="FQ109" s="10">
        <v>1048.387097</v>
      </c>
      <c r="FR109" s="10">
        <v>1048.387097</v>
      </c>
      <c r="FS109" s="10">
        <v>1029.032258</v>
      </c>
      <c r="FT109" s="10">
        <v>1000</v>
      </c>
      <c r="FU109" s="10">
        <v>997.84946200000002</v>
      </c>
      <c r="FV109" s="10">
        <v>997</v>
      </c>
      <c r="FW109" s="10">
        <v>985</v>
      </c>
      <c r="FX109" s="10">
        <v>965</v>
      </c>
      <c r="FY109" s="10">
        <v>965</v>
      </c>
      <c r="FZ109" s="10">
        <v>962</v>
      </c>
      <c r="GA109" s="10">
        <v>912</v>
      </c>
      <c r="GB109" s="10">
        <v>911</v>
      </c>
      <c r="GC109" s="10">
        <v>872</v>
      </c>
      <c r="GD109" s="10">
        <v>865</v>
      </c>
      <c r="GE109" s="10">
        <v>865</v>
      </c>
      <c r="GF109" s="10">
        <v>865</v>
      </c>
      <c r="GG109" s="10">
        <v>865</v>
      </c>
      <c r="GH109" s="10">
        <v>866</v>
      </c>
      <c r="GI109" s="10">
        <v>865</v>
      </c>
      <c r="GJ109" s="10">
        <v>864</v>
      </c>
      <c r="GK109" s="10">
        <v>861</v>
      </c>
      <c r="GL109" s="10">
        <v>804</v>
      </c>
      <c r="GM109" s="10">
        <v>803</v>
      </c>
      <c r="GN109" s="10">
        <v>754</v>
      </c>
      <c r="GO109" s="10">
        <v>803</v>
      </c>
      <c r="GP109" s="10">
        <v>785</v>
      </c>
      <c r="GQ109" s="10">
        <v>776</v>
      </c>
      <c r="GR109" s="10">
        <v>776</v>
      </c>
      <c r="GS109" s="10">
        <v>776</v>
      </c>
    </row>
    <row r="110" spans="1:201" ht="12.6">
      <c r="A110" s="51" t="s">
        <v>1928</v>
      </c>
      <c r="B110" s="10"/>
      <c r="C110" s="10"/>
      <c r="D110" s="10"/>
      <c r="E110" s="10"/>
      <c r="F110" s="10" t="s">
        <v>1827</v>
      </c>
      <c r="G110" s="10" t="s">
        <v>1827</v>
      </c>
      <c r="H110" s="10" t="s">
        <v>1827</v>
      </c>
      <c r="I110" s="10" t="s">
        <v>1827</v>
      </c>
      <c r="J110" s="10" t="s">
        <v>1827</v>
      </c>
      <c r="K110" s="10" t="s">
        <v>1827</v>
      </c>
      <c r="L110" s="10" t="s">
        <v>1827</v>
      </c>
      <c r="M110" s="10" t="s">
        <v>1827</v>
      </c>
      <c r="N110" s="10" t="s">
        <v>1827</v>
      </c>
      <c r="O110" s="10" t="s">
        <v>1827</v>
      </c>
      <c r="P110" s="10" t="s">
        <v>1827</v>
      </c>
      <c r="Q110" s="10" t="s">
        <v>1827</v>
      </c>
      <c r="R110" s="10" t="s">
        <v>1827</v>
      </c>
      <c r="S110" s="10" t="s">
        <v>1827</v>
      </c>
      <c r="T110" s="10" t="s">
        <v>1827</v>
      </c>
      <c r="U110" s="10" t="s">
        <v>1827</v>
      </c>
      <c r="V110" s="10" t="s">
        <v>1827</v>
      </c>
      <c r="W110" s="10" t="s">
        <v>1827</v>
      </c>
      <c r="X110" s="10" t="s">
        <v>1827</v>
      </c>
      <c r="Y110" s="10" t="s">
        <v>1827</v>
      </c>
      <c r="Z110" s="10" t="s">
        <v>1827</v>
      </c>
      <c r="AA110" s="10" t="s">
        <v>1827</v>
      </c>
      <c r="AB110" s="10" t="s">
        <v>1827</v>
      </c>
      <c r="AC110" s="10" t="s">
        <v>1827</v>
      </c>
      <c r="AD110" s="10" t="s">
        <v>1827</v>
      </c>
      <c r="AE110" s="10">
        <v>84.318935999999994</v>
      </c>
      <c r="AF110" s="10">
        <v>90.940962999999996</v>
      </c>
      <c r="AG110" s="10">
        <v>90.940962999999996</v>
      </c>
      <c r="AH110" s="10">
        <v>90.940962999999996</v>
      </c>
      <c r="AI110" s="10">
        <v>90.940962999999996</v>
      </c>
      <c r="AJ110" s="10">
        <v>122.692734</v>
      </c>
      <c r="AK110" s="10">
        <v>134.21567899999999</v>
      </c>
      <c r="AL110" s="10">
        <v>133.11586700000001</v>
      </c>
      <c r="AM110" s="10">
        <v>139.73403500000001</v>
      </c>
      <c r="AN110" s="10">
        <v>139.73403500000001</v>
      </c>
      <c r="AO110" s="10">
        <v>139.73403500000001</v>
      </c>
      <c r="AP110" s="10">
        <v>139.73403500000001</v>
      </c>
      <c r="AQ110" s="10">
        <v>141.11941300000001</v>
      </c>
      <c r="AR110" s="10">
        <v>147.617952</v>
      </c>
      <c r="AS110" s="10">
        <v>150.89809399999999</v>
      </c>
      <c r="AT110" s="10">
        <v>152.487998</v>
      </c>
      <c r="AU110" s="10">
        <v>153.35241099999999</v>
      </c>
      <c r="AV110" s="10">
        <v>165.840104</v>
      </c>
      <c r="AW110" s="10">
        <v>171.779089</v>
      </c>
      <c r="AX110" s="10">
        <v>182.526377</v>
      </c>
      <c r="AY110" s="10">
        <v>187.766886</v>
      </c>
      <c r="AZ110" s="10">
        <v>219.85052999999999</v>
      </c>
      <c r="BA110" s="10">
        <v>229.62149400000001</v>
      </c>
      <c r="BB110" s="10">
        <v>252.551613</v>
      </c>
      <c r="BC110" s="10">
        <v>257.33676100000002</v>
      </c>
      <c r="BD110" s="10">
        <v>279.65715999999998</v>
      </c>
      <c r="BE110" s="10">
        <v>295.64881600000001</v>
      </c>
      <c r="BF110" s="10">
        <v>308.61888099999999</v>
      </c>
      <c r="BG110" s="10">
        <v>314.26458400000001</v>
      </c>
      <c r="BH110" s="10">
        <v>349.62065200000001</v>
      </c>
      <c r="BI110" s="10">
        <v>362.80682200000001</v>
      </c>
      <c r="BJ110" s="10">
        <v>385.89901900000001</v>
      </c>
      <c r="BK110" s="10">
        <v>395.26092999999997</v>
      </c>
      <c r="BL110" s="10">
        <v>405.30973999999998</v>
      </c>
      <c r="BM110" s="10">
        <v>420.21701899999999</v>
      </c>
      <c r="BN110" s="10">
        <v>428.98850299999998</v>
      </c>
      <c r="BO110" s="10">
        <v>432.20690200000001</v>
      </c>
      <c r="BP110" s="10">
        <v>468.56244800000002</v>
      </c>
      <c r="BQ110" s="10">
        <v>478.02469200000002</v>
      </c>
      <c r="BR110" s="10">
        <v>482.531992</v>
      </c>
      <c r="BS110" s="10">
        <v>486.33695699999998</v>
      </c>
      <c r="BT110" s="10">
        <v>491.52729900000003</v>
      </c>
      <c r="BU110" s="10">
        <v>492.90109899999999</v>
      </c>
      <c r="BV110" s="10">
        <v>498.45032700000002</v>
      </c>
      <c r="BW110" s="10">
        <v>498.84394400000002</v>
      </c>
      <c r="BX110" s="10">
        <v>498.84394400000002</v>
      </c>
      <c r="BY110" s="10">
        <v>498.66643099999999</v>
      </c>
      <c r="BZ110" s="10">
        <v>498.76676400000002</v>
      </c>
      <c r="CA110" s="10">
        <v>498.74746900000002</v>
      </c>
      <c r="CB110" s="10">
        <v>500.94323500000002</v>
      </c>
      <c r="CC110" s="10">
        <v>507.13305500000001</v>
      </c>
      <c r="CD110" s="10">
        <v>509.147448</v>
      </c>
      <c r="CE110" s="10">
        <v>512.71148000000005</v>
      </c>
      <c r="CF110" s="10">
        <v>508.12915299999997</v>
      </c>
      <c r="CG110" s="10">
        <v>511.69318500000003</v>
      </c>
      <c r="CH110" s="10">
        <v>514.238922</v>
      </c>
      <c r="CI110" s="10">
        <v>514.74806999999998</v>
      </c>
      <c r="CJ110" s="10">
        <v>517.802955</v>
      </c>
      <c r="CK110" s="10">
        <v>523.91272400000003</v>
      </c>
      <c r="CL110" s="10">
        <v>525.94931399999996</v>
      </c>
      <c r="CM110" s="10">
        <v>552.424981</v>
      </c>
      <c r="CN110" s="10">
        <v>560.06219299999998</v>
      </c>
      <c r="CO110" s="10">
        <v>553.44327599999997</v>
      </c>
      <c r="CP110" s="10">
        <v>554.97071800000003</v>
      </c>
      <c r="CQ110" s="10">
        <v>563.62622399999998</v>
      </c>
      <c r="CR110" s="10">
        <v>576.864058</v>
      </c>
      <c r="CS110" s="10">
        <v>576.864058</v>
      </c>
      <c r="CT110" s="10">
        <v>576.864058</v>
      </c>
      <c r="CU110" s="10">
        <v>582.46468000000004</v>
      </c>
      <c r="CV110" s="10">
        <v>582.46468000000004</v>
      </c>
      <c r="CW110" s="10">
        <v>582.46468000000004</v>
      </c>
      <c r="CX110" s="10">
        <v>589.59274500000004</v>
      </c>
      <c r="CY110" s="10">
        <v>589.59274500000004</v>
      </c>
      <c r="CZ110" s="10">
        <v>589.59274500000004</v>
      </c>
      <c r="DA110" s="10">
        <v>592.540708</v>
      </c>
      <c r="DB110" s="10">
        <v>592.540708</v>
      </c>
      <c r="DC110" s="10">
        <v>594.89907900000003</v>
      </c>
      <c r="DD110" s="10">
        <v>606.69093399999997</v>
      </c>
      <c r="DE110" s="10">
        <v>620.84115999999995</v>
      </c>
      <c r="DF110" s="10">
        <v>620.84115999999995</v>
      </c>
      <c r="DG110" s="10">
        <v>620.84115999999995</v>
      </c>
      <c r="DH110" s="10">
        <v>627.32668000000001</v>
      </c>
      <c r="DI110" s="10">
        <v>627.32668000000001</v>
      </c>
      <c r="DJ110" s="10">
        <v>628.50586599999997</v>
      </c>
      <c r="DK110" s="10">
        <v>628.50586599999997</v>
      </c>
      <c r="DL110" s="10">
        <v>631.45383000000004</v>
      </c>
      <c r="DM110" s="10">
        <v>632.04342299999996</v>
      </c>
      <c r="DN110" s="10">
        <v>640.29772100000002</v>
      </c>
      <c r="DO110" s="10">
        <v>640.29772100000002</v>
      </c>
      <c r="DP110" s="10">
        <v>640.29772100000002</v>
      </c>
      <c r="DQ110" s="10">
        <v>640.29772100000002</v>
      </c>
      <c r="DR110" s="10">
        <v>640.29772100000002</v>
      </c>
      <c r="DS110" s="10">
        <v>640.29772100000002</v>
      </c>
      <c r="DT110" s="10">
        <v>662.11265200000003</v>
      </c>
      <c r="DU110" s="10">
        <v>665.06061599999998</v>
      </c>
      <c r="DV110" s="10">
        <v>676.85247100000004</v>
      </c>
      <c r="DW110" s="10">
        <v>676.85247100000004</v>
      </c>
      <c r="DX110" s="10">
        <v>743.476451</v>
      </c>
      <c r="DY110" s="10">
        <v>745.24522899999999</v>
      </c>
      <c r="DZ110" s="10">
        <v>752.32034199999998</v>
      </c>
      <c r="EA110" s="10">
        <v>752.32034199999998</v>
      </c>
      <c r="EB110" s="10">
        <v>755.85789899999997</v>
      </c>
      <c r="EC110" s="10">
        <v>757.36961499999995</v>
      </c>
      <c r="ED110" s="10">
        <v>779.28949399999999</v>
      </c>
      <c r="EE110" s="10">
        <v>790.62736199999995</v>
      </c>
      <c r="EF110" s="10">
        <v>805.74451999999997</v>
      </c>
      <c r="EG110" s="10">
        <v>805.74451999999997</v>
      </c>
      <c r="EH110" s="10">
        <v>806.50037799999996</v>
      </c>
      <c r="EI110" s="10">
        <v>810.27966700000002</v>
      </c>
      <c r="EJ110" s="10">
        <v>817.08238900000003</v>
      </c>
      <c r="EK110" s="10">
        <v>819.349962</v>
      </c>
      <c r="EL110" s="10">
        <v>820.86167799999998</v>
      </c>
      <c r="EM110" s="10">
        <v>832.19954600000005</v>
      </c>
      <c r="EN110" s="10">
        <v>847.31670399999996</v>
      </c>
      <c r="EO110" s="10">
        <v>855.63114099999996</v>
      </c>
      <c r="EP110" s="10">
        <v>856.38699899999995</v>
      </c>
      <c r="EQ110" s="10">
        <v>856.38699899999995</v>
      </c>
      <c r="ER110" s="10">
        <v>859.41043100000002</v>
      </c>
      <c r="ES110" s="10">
        <v>861.67800499999998</v>
      </c>
      <c r="ET110" s="10">
        <v>869.23658399999999</v>
      </c>
      <c r="EU110" s="10">
        <v>869.23658399999999</v>
      </c>
      <c r="EV110" s="10">
        <v>891.91232000000002</v>
      </c>
      <c r="EW110" s="10">
        <v>891.91232000000002</v>
      </c>
      <c r="EX110" s="10">
        <v>915.34391500000004</v>
      </c>
      <c r="EY110" s="10">
        <v>916.85563100000002</v>
      </c>
      <c r="EZ110" s="10">
        <v>931.21693100000005</v>
      </c>
      <c r="FA110" s="10">
        <v>931.21693100000005</v>
      </c>
      <c r="FB110" s="10">
        <v>934.240363</v>
      </c>
      <c r="FC110" s="10">
        <v>938.01965199999995</v>
      </c>
      <c r="FD110" s="10">
        <v>950.11337900000001</v>
      </c>
      <c r="FE110" s="10">
        <v>952.38095199999998</v>
      </c>
      <c r="FF110" s="10">
        <v>952.38095199999998</v>
      </c>
      <c r="FG110" s="10">
        <v>954.64852599999995</v>
      </c>
      <c r="FH110" s="10">
        <v>956.16024200000004</v>
      </c>
      <c r="FI110" s="10">
        <v>958.42781600000001</v>
      </c>
      <c r="FJ110" s="10">
        <v>959.183673</v>
      </c>
      <c r="FK110" s="10">
        <v>962.96296299999995</v>
      </c>
      <c r="FL110" s="10">
        <v>978.83597899999995</v>
      </c>
      <c r="FM110" s="10">
        <v>978.83597899999995</v>
      </c>
      <c r="FN110" s="10">
        <v>978.83597899999995</v>
      </c>
      <c r="FO110" s="10">
        <v>981.10355300000003</v>
      </c>
      <c r="FP110" s="10">
        <v>984.88284199999998</v>
      </c>
      <c r="FQ110" s="10">
        <v>986.39455799999996</v>
      </c>
      <c r="FR110" s="10">
        <v>987.90627400000005</v>
      </c>
      <c r="FS110" s="10">
        <v>988.66213200000004</v>
      </c>
      <c r="FT110" s="10">
        <v>1000</v>
      </c>
      <c r="FU110" s="10">
        <v>1009.826153</v>
      </c>
      <c r="FV110" s="10">
        <v>1012</v>
      </c>
      <c r="FW110" s="10">
        <v>1015</v>
      </c>
      <c r="FX110" s="10">
        <v>1023</v>
      </c>
      <c r="FY110" s="10">
        <v>1023</v>
      </c>
      <c r="FZ110" s="10">
        <v>1023</v>
      </c>
      <c r="GA110" s="10">
        <v>1028</v>
      </c>
      <c r="GB110" s="10">
        <v>1033</v>
      </c>
      <c r="GC110" s="10">
        <v>1039</v>
      </c>
      <c r="GD110" s="10">
        <v>1041</v>
      </c>
      <c r="GE110" s="10">
        <v>1046</v>
      </c>
      <c r="GF110" s="10">
        <v>1046</v>
      </c>
      <c r="GG110" s="10">
        <v>1051</v>
      </c>
      <c r="GH110" s="10">
        <v>1061</v>
      </c>
      <c r="GI110" s="10">
        <v>1064</v>
      </c>
      <c r="GJ110" s="10">
        <v>1040</v>
      </c>
      <c r="GK110" s="10">
        <v>1040</v>
      </c>
      <c r="GL110" s="10">
        <v>1043</v>
      </c>
      <c r="GM110" s="10">
        <v>1049</v>
      </c>
      <c r="GN110" s="10">
        <v>1072</v>
      </c>
      <c r="GO110" s="10">
        <v>1075</v>
      </c>
      <c r="GP110" s="10">
        <v>1080</v>
      </c>
      <c r="GQ110" s="10">
        <v>1098</v>
      </c>
      <c r="GR110" s="10">
        <v>1115</v>
      </c>
      <c r="GS110" s="10">
        <v>1120</v>
      </c>
    </row>
    <row r="111" spans="1:201" ht="12.6">
      <c r="A111" s="51" t="s">
        <v>1929</v>
      </c>
      <c r="B111" s="10"/>
      <c r="C111" s="10"/>
      <c r="D111" s="10"/>
      <c r="E111" s="10"/>
      <c r="F111" s="10" t="s">
        <v>1827</v>
      </c>
      <c r="G111" s="10" t="s">
        <v>1827</v>
      </c>
      <c r="H111" s="10" t="s">
        <v>1827</v>
      </c>
      <c r="I111" s="10" t="s">
        <v>1827</v>
      </c>
      <c r="J111" s="10" t="s">
        <v>1827</v>
      </c>
      <c r="K111" s="10" t="s">
        <v>1827</v>
      </c>
      <c r="L111" s="10" t="s">
        <v>1827</v>
      </c>
      <c r="M111" s="10" t="s">
        <v>1827</v>
      </c>
      <c r="N111" s="10" t="s">
        <v>1827</v>
      </c>
      <c r="O111" s="10" t="s">
        <v>1827</v>
      </c>
      <c r="P111" s="10" t="s">
        <v>1827</v>
      </c>
      <c r="Q111" s="10" t="s">
        <v>1827</v>
      </c>
      <c r="R111" s="10" t="s">
        <v>1827</v>
      </c>
      <c r="S111" s="10" t="s">
        <v>1827</v>
      </c>
      <c r="T111" s="10" t="s">
        <v>1827</v>
      </c>
      <c r="U111" s="10" t="s">
        <v>1827</v>
      </c>
      <c r="V111" s="10" t="s">
        <v>1827</v>
      </c>
      <c r="W111" s="10" t="s">
        <v>1827</v>
      </c>
      <c r="X111" s="10" t="s">
        <v>1827</v>
      </c>
      <c r="Y111" s="10" t="s">
        <v>1827</v>
      </c>
      <c r="Z111" s="10" t="s">
        <v>1827</v>
      </c>
      <c r="AA111" s="10" t="s">
        <v>1827</v>
      </c>
      <c r="AB111" s="10" t="s">
        <v>1827</v>
      </c>
      <c r="AC111" s="10" t="s">
        <v>1827</v>
      </c>
      <c r="AD111" s="10" t="s">
        <v>1827</v>
      </c>
      <c r="AE111" s="10">
        <v>163.35704899999999</v>
      </c>
      <c r="AF111" s="10">
        <v>166.837177</v>
      </c>
      <c r="AG111" s="10">
        <v>174.25918300000001</v>
      </c>
      <c r="AH111" s="10">
        <v>176.757488</v>
      </c>
      <c r="AI111" s="10">
        <v>197.62853899999999</v>
      </c>
      <c r="AJ111" s="10">
        <v>211.2234</v>
      </c>
      <c r="AK111" s="10">
        <v>223.39412999999999</v>
      </c>
      <c r="AL111" s="10">
        <v>236.05091100000001</v>
      </c>
      <c r="AM111" s="10">
        <v>239.978207</v>
      </c>
      <c r="AN111" s="10">
        <v>243.856898</v>
      </c>
      <c r="AO111" s="10">
        <v>244.299205</v>
      </c>
      <c r="AP111" s="10">
        <v>246.719741</v>
      </c>
      <c r="AQ111" s="10">
        <v>249.64090999999999</v>
      </c>
      <c r="AR111" s="10">
        <v>256.49909700000001</v>
      </c>
      <c r="AS111" s="10">
        <v>259.76050300000003</v>
      </c>
      <c r="AT111" s="10">
        <v>330.87955799999997</v>
      </c>
      <c r="AU111" s="10">
        <v>336.82882899999998</v>
      </c>
      <c r="AV111" s="10">
        <v>340.14370000000002</v>
      </c>
      <c r="AW111" s="10">
        <v>344.168206</v>
      </c>
      <c r="AX111" s="10">
        <v>356.09591</v>
      </c>
      <c r="AY111" s="10">
        <v>367.54728399999999</v>
      </c>
      <c r="AZ111" s="10">
        <v>368.266639</v>
      </c>
      <c r="BA111" s="10">
        <v>365.43781999999999</v>
      </c>
      <c r="BB111" s="10">
        <v>396.67635000000001</v>
      </c>
      <c r="BC111" s="10">
        <v>415.98231500000003</v>
      </c>
      <c r="BD111" s="10">
        <v>452.92222900000002</v>
      </c>
      <c r="BE111" s="10">
        <v>463.17791599999998</v>
      </c>
      <c r="BF111" s="10">
        <v>468.51476100000002</v>
      </c>
      <c r="BG111" s="10">
        <v>484.36976099999998</v>
      </c>
      <c r="BH111" s="10">
        <v>510.674868</v>
      </c>
      <c r="BI111" s="10">
        <v>486.109826</v>
      </c>
      <c r="BJ111" s="10">
        <v>486.05149899999998</v>
      </c>
      <c r="BK111" s="10">
        <v>490.23154199999999</v>
      </c>
      <c r="BL111" s="10">
        <v>482.67830199999997</v>
      </c>
      <c r="BM111" s="10">
        <v>499.81161700000001</v>
      </c>
      <c r="BN111" s="10">
        <v>496.98765800000001</v>
      </c>
      <c r="BO111" s="10">
        <v>494.56712199999998</v>
      </c>
      <c r="BP111" s="10">
        <v>493.93039399999998</v>
      </c>
      <c r="BQ111" s="10">
        <v>498.19306599999999</v>
      </c>
      <c r="BR111" s="10">
        <v>500.84690699999999</v>
      </c>
      <c r="BS111" s="10">
        <v>499.91368799999998</v>
      </c>
      <c r="BT111" s="10">
        <v>493.30824799999999</v>
      </c>
      <c r="BU111" s="10">
        <v>486.97985799999998</v>
      </c>
      <c r="BV111" s="10">
        <v>483.08658500000001</v>
      </c>
      <c r="BW111" s="10">
        <v>476.53461099999998</v>
      </c>
      <c r="BX111" s="10">
        <v>474.78968600000002</v>
      </c>
      <c r="BY111" s="10">
        <v>467.35795899999999</v>
      </c>
      <c r="BZ111" s="10">
        <v>456.533592</v>
      </c>
      <c r="CA111" s="10">
        <v>460.72821599999997</v>
      </c>
      <c r="CB111" s="10">
        <v>460.31021199999998</v>
      </c>
      <c r="CC111" s="10">
        <v>463.19735800000001</v>
      </c>
      <c r="CD111" s="10">
        <v>455.57607000000002</v>
      </c>
      <c r="CE111" s="10">
        <v>451.47588500000001</v>
      </c>
      <c r="CF111" s="10">
        <v>462.86528800000002</v>
      </c>
      <c r="CG111" s="10">
        <v>463.32086299999997</v>
      </c>
      <c r="CH111" s="10">
        <v>467.42104799999998</v>
      </c>
      <c r="CI111" s="10">
        <v>471.521233</v>
      </c>
      <c r="CJ111" s="10">
        <v>476.07699400000001</v>
      </c>
      <c r="CK111" s="10">
        <v>477.44372199999998</v>
      </c>
      <c r="CL111" s="10">
        <v>483.36621100000002</v>
      </c>
      <c r="CM111" s="10">
        <v>485.644091</v>
      </c>
      <c r="CN111" s="10">
        <v>482.91063400000002</v>
      </c>
      <c r="CO111" s="10">
        <v>481.54390599999999</v>
      </c>
      <c r="CP111" s="10">
        <v>481.999483</v>
      </c>
      <c r="CQ111" s="10">
        <v>482.91063400000002</v>
      </c>
      <c r="CR111" s="10">
        <v>481.999483</v>
      </c>
      <c r="CS111" s="10">
        <v>484.73293899999999</v>
      </c>
      <c r="CT111" s="10">
        <v>487.46639499999998</v>
      </c>
      <c r="CU111" s="10">
        <v>491.11100399999998</v>
      </c>
      <c r="CV111" s="10">
        <v>489.74427500000002</v>
      </c>
      <c r="CW111" s="10">
        <v>488.37754699999999</v>
      </c>
      <c r="CX111" s="10">
        <v>485.644091</v>
      </c>
      <c r="CY111" s="10">
        <v>486.09966700000001</v>
      </c>
      <c r="CZ111" s="10">
        <v>492.93330800000001</v>
      </c>
      <c r="DA111" s="10">
        <v>485.04637500000001</v>
      </c>
      <c r="DB111" s="10">
        <v>483.56757499999998</v>
      </c>
      <c r="DC111" s="10">
        <v>487.01810799999998</v>
      </c>
      <c r="DD111" s="10">
        <v>486.52517499999999</v>
      </c>
      <c r="DE111" s="10">
        <v>489.975708</v>
      </c>
      <c r="DF111" s="10">
        <v>490.46864199999999</v>
      </c>
      <c r="DG111" s="10">
        <v>490.96157499999998</v>
      </c>
      <c r="DH111" s="10">
        <v>487.01810799999998</v>
      </c>
      <c r="DI111" s="10">
        <v>491.94744200000002</v>
      </c>
      <c r="DJ111" s="10">
        <v>493.919175</v>
      </c>
      <c r="DK111" s="10">
        <v>496.87677400000001</v>
      </c>
      <c r="DL111" s="10">
        <v>500.32730800000002</v>
      </c>
      <c r="DM111" s="10">
        <v>502.29904099999999</v>
      </c>
      <c r="DN111" s="10">
        <v>505.256641</v>
      </c>
      <c r="DO111" s="10">
        <v>510.67890699999998</v>
      </c>
      <c r="DP111" s="10">
        <v>515.60824000000002</v>
      </c>
      <c r="DQ111" s="10">
        <v>524.48104000000001</v>
      </c>
      <c r="DR111" s="10">
        <v>528.42450599999995</v>
      </c>
      <c r="DS111" s="10">
        <v>533.35383899999999</v>
      </c>
      <c r="DT111" s="10">
        <v>540.25490600000001</v>
      </c>
      <c r="DU111" s="10">
        <v>544.69130600000005</v>
      </c>
      <c r="DV111" s="10">
        <v>551.09943899999996</v>
      </c>
      <c r="DW111" s="10">
        <v>550.11357199999998</v>
      </c>
      <c r="DX111" s="10">
        <v>552.57823800000006</v>
      </c>
      <c r="DY111" s="10">
        <v>558.98637199999996</v>
      </c>
      <c r="DZ111" s="10">
        <v>564.408638</v>
      </c>
      <c r="EA111" s="10">
        <v>572.78850399999999</v>
      </c>
      <c r="EB111" s="10">
        <v>578.70370400000002</v>
      </c>
      <c r="EC111" s="10">
        <v>582.75463000000002</v>
      </c>
      <c r="ED111" s="10">
        <v>587.38425900000004</v>
      </c>
      <c r="EE111" s="10">
        <v>598.37963000000002</v>
      </c>
      <c r="EF111" s="10">
        <v>617.47685200000001</v>
      </c>
      <c r="EG111" s="10">
        <v>624.42129599999998</v>
      </c>
      <c r="EH111" s="10">
        <v>629.050926</v>
      </c>
      <c r="EI111" s="10">
        <v>629.62963000000002</v>
      </c>
      <c r="EJ111" s="10">
        <v>637.73148100000003</v>
      </c>
      <c r="EK111" s="10">
        <v>649.88425900000004</v>
      </c>
      <c r="EL111" s="10">
        <v>652.77777800000001</v>
      </c>
      <c r="EM111" s="10">
        <v>655.67129599999998</v>
      </c>
      <c r="EN111" s="10">
        <v>657.98611100000005</v>
      </c>
      <c r="EO111" s="10">
        <v>663.19444399999998</v>
      </c>
      <c r="EP111" s="10">
        <v>671.875</v>
      </c>
      <c r="EQ111" s="10">
        <v>675.34722199999999</v>
      </c>
      <c r="ER111" s="10">
        <v>675.925926</v>
      </c>
      <c r="ES111" s="10">
        <v>689.23611100000005</v>
      </c>
      <c r="ET111" s="10">
        <v>708.33333300000004</v>
      </c>
      <c r="EU111" s="10">
        <v>715.85648100000003</v>
      </c>
      <c r="EV111" s="10">
        <v>722.22222199999999</v>
      </c>
      <c r="EW111" s="10">
        <v>756.36574099999996</v>
      </c>
      <c r="EX111" s="10">
        <v>765.625</v>
      </c>
      <c r="EY111" s="10">
        <v>773.72685200000001</v>
      </c>
      <c r="EZ111" s="10">
        <v>785.300926</v>
      </c>
      <c r="FA111" s="10">
        <v>795.13888899999995</v>
      </c>
      <c r="FB111" s="10">
        <v>806.13425900000004</v>
      </c>
      <c r="FC111" s="10">
        <v>811.34259299999997</v>
      </c>
      <c r="FD111" s="10">
        <v>820.02314799999999</v>
      </c>
      <c r="FE111" s="10">
        <v>824.074074</v>
      </c>
      <c r="FF111" s="10">
        <v>838.54166699999996</v>
      </c>
      <c r="FG111" s="10">
        <v>838.54166699999996</v>
      </c>
      <c r="FH111" s="10">
        <v>852.43055600000002</v>
      </c>
      <c r="FI111" s="10">
        <v>856.48148100000003</v>
      </c>
      <c r="FJ111" s="10">
        <v>863.425926</v>
      </c>
      <c r="FK111" s="10">
        <v>865.16203700000005</v>
      </c>
      <c r="FL111" s="10">
        <v>874.42129599999998</v>
      </c>
      <c r="FM111" s="10">
        <v>883.10185200000001</v>
      </c>
      <c r="FN111" s="10">
        <v>895.83333300000004</v>
      </c>
      <c r="FO111" s="10">
        <v>903.35648100000003</v>
      </c>
      <c r="FP111" s="10">
        <v>913.77314799999999</v>
      </c>
      <c r="FQ111" s="10">
        <v>921.875</v>
      </c>
      <c r="FR111" s="10">
        <v>958.33333300000004</v>
      </c>
      <c r="FS111" s="10">
        <v>991.31944399999998</v>
      </c>
      <c r="FT111" s="10">
        <v>1000</v>
      </c>
      <c r="FU111" s="10">
        <v>995.949074</v>
      </c>
      <c r="FV111" s="10">
        <v>1002</v>
      </c>
      <c r="FW111" s="10">
        <v>1009</v>
      </c>
      <c r="FX111" s="10">
        <v>1019</v>
      </c>
      <c r="FY111" s="10">
        <v>1031</v>
      </c>
      <c r="FZ111" s="10">
        <v>1058</v>
      </c>
      <c r="GA111" s="10">
        <v>1064</v>
      </c>
      <c r="GB111" s="10">
        <v>1067</v>
      </c>
      <c r="GC111" s="10">
        <v>1070</v>
      </c>
      <c r="GD111" s="10">
        <v>1102</v>
      </c>
      <c r="GE111" s="10">
        <v>1114</v>
      </c>
      <c r="GF111" s="10">
        <v>1121</v>
      </c>
      <c r="GG111" s="10">
        <v>1108</v>
      </c>
      <c r="GH111" s="10">
        <v>1134</v>
      </c>
      <c r="GI111" s="10">
        <v>1174</v>
      </c>
      <c r="GJ111" s="10">
        <v>1190</v>
      </c>
      <c r="GK111" s="10">
        <v>1225</v>
      </c>
      <c r="GL111" s="10">
        <v>1245</v>
      </c>
      <c r="GM111" s="10">
        <v>1274</v>
      </c>
      <c r="GN111" s="10">
        <v>1354</v>
      </c>
      <c r="GO111" s="10">
        <v>1372</v>
      </c>
      <c r="GP111" s="10">
        <v>1371</v>
      </c>
      <c r="GQ111" s="10">
        <v>1384</v>
      </c>
      <c r="GR111" s="10">
        <v>1407</v>
      </c>
      <c r="GS111" s="10">
        <v>1409</v>
      </c>
    </row>
    <row r="112" spans="1:201" ht="12.6">
      <c r="A112" s="51" t="s">
        <v>1930</v>
      </c>
      <c r="B112" s="10"/>
      <c r="C112" s="10"/>
      <c r="D112" s="10"/>
      <c r="E112" s="10"/>
      <c r="F112" s="10" t="s">
        <v>1827</v>
      </c>
      <c r="G112" s="10" t="s">
        <v>1827</v>
      </c>
      <c r="H112" s="10" t="s">
        <v>1827</v>
      </c>
      <c r="I112" s="10" t="s">
        <v>1827</v>
      </c>
      <c r="J112" s="10" t="s">
        <v>1827</v>
      </c>
      <c r="K112" s="10" t="s">
        <v>1827</v>
      </c>
      <c r="L112" s="10" t="s">
        <v>1827</v>
      </c>
      <c r="M112" s="10" t="s">
        <v>1827</v>
      </c>
      <c r="N112" s="10" t="s">
        <v>1827</v>
      </c>
      <c r="O112" s="10" t="s">
        <v>1827</v>
      </c>
      <c r="P112" s="10" t="s">
        <v>1827</v>
      </c>
      <c r="Q112" s="10" t="s">
        <v>1827</v>
      </c>
      <c r="R112" s="10" t="s">
        <v>1827</v>
      </c>
      <c r="S112" s="10" t="s">
        <v>1827</v>
      </c>
      <c r="T112" s="10" t="s">
        <v>1827</v>
      </c>
      <c r="U112" s="10" t="s">
        <v>1827</v>
      </c>
      <c r="V112" s="10" t="s">
        <v>1827</v>
      </c>
      <c r="W112" s="10" t="s">
        <v>1827</v>
      </c>
      <c r="X112" s="10" t="s">
        <v>1827</v>
      </c>
      <c r="Y112" s="10" t="s">
        <v>1827</v>
      </c>
      <c r="Z112" s="10" t="s">
        <v>1827</v>
      </c>
      <c r="AA112" s="10" t="s">
        <v>1827</v>
      </c>
      <c r="AB112" s="10" t="s">
        <v>1827</v>
      </c>
      <c r="AC112" s="10" t="s">
        <v>1827</v>
      </c>
      <c r="AD112" s="10" t="s">
        <v>1827</v>
      </c>
      <c r="AE112" s="10">
        <v>50.641393000000001</v>
      </c>
      <c r="AF112" s="10">
        <v>52.072443</v>
      </c>
      <c r="AG112" s="10">
        <v>55.102319999999999</v>
      </c>
      <c r="AH112" s="10">
        <v>58.130223999999998</v>
      </c>
      <c r="AI112" s="10">
        <v>62.089790000000001</v>
      </c>
      <c r="AJ112" s="10">
        <v>66.718495000000004</v>
      </c>
      <c r="AK112" s="10">
        <v>72.057790999999995</v>
      </c>
      <c r="AL112" s="10">
        <v>77.876734999999996</v>
      </c>
      <c r="AM112" s="10">
        <v>79.680845000000005</v>
      </c>
      <c r="AN112" s="10">
        <v>81.540222</v>
      </c>
      <c r="AO112" s="10">
        <v>82.777833999999999</v>
      </c>
      <c r="AP112" s="10">
        <v>84.041105000000002</v>
      </c>
      <c r="AQ112" s="10">
        <v>85.626115999999996</v>
      </c>
      <c r="AR112" s="10">
        <v>89.323159000000004</v>
      </c>
      <c r="AS112" s="10">
        <v>90.568664999999996</v>
      </c>
      <c r="AT112" s="10">
        <v>92.769520999999997</v>
      </c>
      <c r="AU112" s="10">
        <v>95.844797999999997</v>
      </c>
      <c r="AV112" s="10">
        <v>98.655575999999996</v>
      </c>
      <c r="AW112" s="10">
        <v>101.904552</v>
      </c>
      <c r="AX112" s="10">
        <v>104.37780100000001</v>
      </c>
      <c r="AY112" s="10">
        <v>117.25132600000001</v>
      </c>
      <c r="AZ112" s="10">
        <v>120.324629</v>
      </c>
      <c r="BA112" s="10">
        <v>125.598787</v>
      </c>
      <c r="BB112" s="10">
        <v>139.457269</v>
      </c>
      <c r="BC112" s="10">
        <v>146.50000800000001</v>
      </c>
      <c r="BD112" s="10">
        <v>155.32119499999999</v>
      </c>
      <c r="BE112" s="10">
        <v>165.37801999999999</v>
      </c>
      <c r="BF112" s="10">
        <v>171.51278199999999</v>
      </c>
      <c r="BG112" s="10">
        <v>178.61078800000001</v>
      </c>
      <c r="BH112" s="10">
        <v>188.578789</v>
      </c>
      <c r="BI112" s="10">
        <v>191.73302000000001</v>
      </c>
      <c r="BJ112" s="10">
        <v>197.38615999999999</v>
      </c>
      <c r="BK112" s="10">
        <v>200.41801100000001</v>
      </c>
      <c r="BL112" s="10">
        <v>207.857495</v>
      </c>
      <c r="BM112" s="10">
        <v>214.91602499999999</v>
      </c>
      <c r="BN112" s="10">
        <v>217.752464</v>
      </c>
      <c r="BO112" s="10">
        <v>224.106324</v>
      </c>
      <c r="BP112" s="10">
        <v>232.167575</v>
      </c>
      <c r="BQ112" s="10">
        <v>238.20167000000001</v>
      </c>
      <c r="BR112" s="10">
        <v>241.470384</v>
      </c>
      <c r="BS112" s="10">
        <v>244.470654</v>
      </c>
      <c r="BT112" s="10">
        <v>247.09983800000001</v>
      </c>
      <c r="BU112" s="10">
        <v>244.41736</v>
      </c>
      <c r="BV112" s="10">
        <v>241.387483</v>
      </c>
      <c r="BW112" s="10">
        <v>243.414638</v>
      </c>
      <c r="BX112" s="10">
        <v>243.07118600000001</v>
      </c>
      <c r="BY112" s="10">
        <v>244.48052300000001</v>
      </c>
      <c r="BZ112" s="10">
        <v>245.704318</v>
      </c>
      <c r="CA112" s="10">
        <v>248.13808900000001</v>
      </c>
      <c r="CB112" s="10">
        <v>249.928381</v>
      </c>
      <c r="CC112" s="10">
        <v>252.58519899999999</v>
      </c>
      <c r="CD112" s="10">
        <v>252.34833599999999</v>
      </c>
      <c r="CE112" s="10">
        <v>252.600684</v>
      </c>
      <c r="CF112" s="10">
        <v>265.975146</v>
      </c>
      <c r="CG112" s="10">
        <v>271.52680900000001</v>
      </c>
      <c r="CH112" s="10">
        <v>280.863698</v>
      </c>
      <c r="CI112" s="10">
        <v>290.95763099999999</v>
      </c>
      <c r="CJ112" s="10">
        <v>294.49050799999998</v>
      </c>
      <c r="CK112" s="10">
        <v>295.49990100000002</v>
      </c>
      <c r="CL112" s="10">
        <v>300.29451899999998</v>
      </c>
      <c r="CM112" s="10">
        <v>311.650194</v>
      </c>
      <c r="CN112" s="10">
        <v>322.50117299999999</v>
      </c>
      <c r="CO112" s="10">
        <v>326.538746</v>
      </c>
      <c r="CP112" s="10">
        <v>328.30518499999999</v>
      </c>
      <c r="CQ112" s="10">
        <v>334.61389300000002</v>
      </c>
      <c r="CR112" s="10">
        <v>339.40851199999997</v>
      </c>
      <c r="CS112" s="10">
        <v>345.96956799999998</v>
      </c>
      <c r="CT112" s="10">
        <v>346.22191700000002</v>
      </c>
      <c r="CU112" s="10">
        <v>352.27827600000001</v>
      </c>
      <c r="CV112" s="10">
        <v>351.521232</v>
      </c>
      <c r="CW112" s="10">
        <v>345.71722</v>
      </c>
      <c r="CX112" s="10">
        <v>337.389725</v>
      </c>
      <c r="CY112" s="10">
        <v>342.436691</v>
      </c>
      <c r="CZ112" s="10">
        <v>348.997748</v>
      </c>
      <c r="DA112" s="10">
        <v>351.09173399999997</v>
      </c>
      <c r="DB112" s="10">
        <v>352.48772500000001</v>
      </c>
      <c r="DC112" s="10">
        <v>358.42068699999999</v>
      </c>
      <c r="DD112" s="10">
        <v>355.27970800000003</v>
      </c>
      <c r="DE112" s="10">
        <v>357.02469600000001</v>
      </c>
      <c r="DF112" s="10">
        <v>353.185721</v>
      </c>
      <c r="DG112" s="10">
        <v>355.27970800000003</v>
      </c>
      <c r="DH112" s="10">
        <v>356.67569900000001</v>
      </c>
      <c r="DI112" s="10">
        <v>358.07168999999999</v>
      </c>
      <c r="DJ112" s="10">
        <v>361.21266900000001</v>
      </c>
      <c r="DK112" s="10">
        <v>366.79663399999998</v>
      </c>
      <c r="DL112" s="10">
        <v>374.82358099999999</v>
      </c>
      <c r="DM112" s="10">
        <v>381.10554100000002</v>
      </c>
      <c r="DN112" s="10">
        <v>390.179483</v>
      </c>
      <c r="DO112" s="10">
        <v>402.39440400000001</v>
      </c>
      <c r="DP112" s="10">
        <v>412.51533899999998</v>
      </c>
      <c r="DQ112" s="10">
        <v>427.52224200000001</v>
      </c>
      <c r="DR112" s="10">
        <v>449.50909899999999</v>
      </c>
      <c r="DS112" s="10">
        <v>479.52290599999998</v>
      </c>
      <c r="DT112" s="10">
        <v>500.81176900000003</v>
      </c>
      <c r="DU112" s="10">
        <v>516.86566500000004</v>
      </c>
      <c r="DV112" s="10">
        <v>518.61065399999995</v>
      </c>
      <c r="DW112" s="10">
        <v>539.89951699999995</v>
      </c>
      <c r="DX112" s="10">
        <v>586.66521499999999</v>
      </c>
      <c r="DY112" s="10">
        <v>609.69906700000001</v>
      </c>
      <c r="DZ112" s="10">
        <v>622.61198300000001</v>
      </c>
      <c r="EA112" s="10">
        <v>640.41086800000005</v>
      </c>
      <c r="EB112" s="10">
        <v>645.99483199999997</v>
      </c>
      <c r="EC112" s="10">
        <v>655.03876000000002</v>
      </c>
      <c r="ED112" s="10">
        <v>660.85271299999999</v>
      </c>
      <c r="EE112" s="10">
        <v>683.46253200000001</v>
      </c>
      <c r="EF112" s="10">
        <v>706.07235100000003</v>
      </c>
      <c r="EG112" s="10">
        <v>722.86821699999996</v>
      </c>
      <c r="EH112" s="10">
        <v>727.39018099999998</v>
      </c>
      <c r="EI112" s="10">
        <v>726.74418600000001</v>
      </c>
      <c r="EJ112" s="10">
        <v>721.57622700000002</v>
      </c>
      <c r="EK112" s="10">
        <v>698.32041300000003</v>
      </c>
      <c r="EL112" s="10">
        <v>682.81653700000004</v>
      </c>
      <c r="EM112" s="10">
        <v>675.06459900000004</v>
      </c>
      <c r="EN112" s="10">
        <v>676.35658899999999</v>
      </c>
      <c r="EO112" s="10">
        <v>686.04651200000001</v>
      </c>
      <c r="EP112" s="10">
        <v>693.15245500000003</v>
      </c>
      <c r="EQ112" s="10">
        <v>703.48837200000003</v>
      </c>
      <c r="ER112" s="10">
        <v>708.01033600000005</v>
      </c>
      <c r="ES112" s="10">
        <v>704.78036199999997</v>
      </c>
      <c r="ET112" s="10">
        <v>715.76227400000005</v>
      </c>
      <c r="EU112" s="10">
        <v>711.88630499999999</v>
      </c>
      <c r="EV112" s="10">
        <v>713.82428900000002</v>
      </c>
      <c r="EW112" s="10">
        <v>717.05426399999999</v>
      </c>
      <c r="EX112" s="10">
        <v>722.22222199999999</v>
      </c>
      <c r="EY112" s="10">
        <v>730.62015499999995</v>
      </c>
      <c r="EZ112" s="10">
        <v>733.85012900000004</v>
      </c>
      <c r="FA112" s="10">
        <v>737.08010300000001</v>
      </c>
      <c r="FB112" s="10">
        <v>744.832041</v>
      </c>
      <c r="FC112" s="10">
        <v>752.583979</v>
      </c>
      <c r="FD112" s="10">
        <v>762.27390200000002</v>
      </c>
      <c r="FE112" s="10">
        <v>771.31782899999996</v>
      </c>
      <c r="FF112" s="10">
        <v>785.52971600000001</v>
      </c>
      <c r="FG112" s="10">
        <v>791.98966399999995</v>
      </c>
      <c r="FH112" s="10">
        <v>794.57364299999995</v>
      </c>
      <c r="FI112" s="10">
        <v>799.74160199999994</v>
      </c>
      <c r="FJ112" s="10">
        <v>803.617571</v>
      </c>
      <c r="FK112" s="10">
        <v>820.41343700000004</v>
      </c>
      <c r="FL112" s="10">
        <v>829.45736399999998</v>
      </c>
      <c r="FM112" s="10">
        <v>848.83720900000003</v>
      </c>
      <c r="FN112" s="10">
        <v>878.55297199999995</v>
      </c>
      <c r="FO112" s="10">
        <v>891.47286799999995</v>
      </c>
      <c r="FP112" s="10">
        <v>913.43669299999999</v>
      </c>
      <c r="FQ112" s="10">
        <v>941.21447000000001</v>
      </c>
      <c r="FR112" s="10">
        <v>985.14211899999998</v>
      </c>
      <c r="FS112" s="10">
        <v>994.832041</v>
      </c>
      <c r="FT112" s="10">
        <v>1000</v>
      </c>
      <c r="FU112" s="10">
        <v>1017.44186</v>
      </c>
      <c r="FV112" s="10">
        <v>1023</v>
      </c>
      <c r="FW112" s="10">
        <v>1042</v>
      </c>
      <c r="FX112" s="10">
        <v>1044</v>
      </c>
      <c r="FY112" s="10">
        <v>1046</v>
      </c>
      <c r="FZ112" s="10">
        <v>1046</v>
      </c>
      <c r="GA112" s="10">
        <v>1056</v>
      </c>
      <c r="GB112" s="10">
        <v>1061</v>
      </c>
      <c r="GC112" s="10">
        <v>1064</v>
      </c>
      <c r="GD112" s="10">
        <v>1073</v>
      </c>
      <c r="GE112" s="10">
        <v>1090</v>
      </c>
      <c r="GF112" s="10">
        <v>1114</v>
      </c>
      <c r="GG112" s="10">
        <v>1127</v>
      </c>
      <c r="GH112" s="10">
        <v>1139</v>
      </c>
      <c r="GI112" s="10">
        <v>1192</v>
      </c>
      <c r="GJ112" s="10">
        <v>1238</v>
      </c>
      <c r="GK112" s="10">
        <v>1272</v>
      </c>
      <c r="GL112" s="10">
        <v>1348</v>
      </c>
      <c r="GM112" s="10">
        <v>1417</v>
      </c>
      <c r="GN112" s="10">
        <v>1412</v>
      </c>
      <c r="GO112" s="10">
        <v>1383</v>
      </c>
      <c r="GP112" s="10">
        <v>1337</v>
      </c>
      <c r="GQ112" s="10">
        <v>1321</v>
      </c>
      <c r="GR112" s="10">
        <v>1266</v>
      </c>
      <c r="GS112" s="10">
        <v>1274</v>
      </c>
    </row>
    <row r="113" spans="1:201" ht="12.6">
      <c r="A113" s="51" t="s">
        <v>1931</v>
      </c>
      <c r="B113" s="10"/>
      <c r="C113" s="10"/>
      <c r="D113" s="10"/>
      <c r="E113" s="10"/>
      <c r="F113" s="10" t="s">
        <v>1827</v>
      </c>
      <c r="G113" s="10" t="s">
        <v>1827</v>
      </c>
      <c r="H113" s="10" t="s">
        <v>1827</v>
      </c>
      <c r="I113" s="10" t="s">
        <v>1827</v>
      </c>
      <c r="J113" s="10" t="s">
        <v>1827</v>
      </c>
      <c r="K113" s="10" t="s">
        <v>1827</v>
      </c>
      <c r="L113" s="10" t="s">
        <v>1827</v>
      </c>
      <c r="M113" s="10" t="s">
        <v>1827</v>
      </c>
      <c r="N113" s="10" t="s">
        <v>1827</v>
      </c>
      <c r="O113" s="10" t="s">
        <v>1827</v>
      </c>
      <c r="P113" s="10" t="s">
        <v>1827</v>
      </c>
      <c r="Q113" s="10" t="s">
        <v>1827</v>
      </c>
      <c r="R113" s="10" t="s">
        <v>1827</v>
      </c>
      <c r="S113" s="10" t="s">
        <v>1827</v>
      </c>
      <c r="T113" s="10" t="s">
        <v>1827</v>
      </c>
      <c r="U113" s="10" t="s">
        <v>1827</v>
      </c>
      <c r="V113" s="10" t="s">
        <v>1827</v>
      </c>
      <c r="W113" s="10" t="s">
        <v>1827</v>
      </c>
      <c r="X113" s="10" t="s">
        <v>1827</v>
      </c>
      <c r="Y113" s="10" t="s">
        <v>1827</v>
      </c>
      <c r="Z113" s="10" t="s">
        <v>1827</v>
      </c>
      <c r="AA113" s="10" t="s">
        <v>1827</v>
      </c>
      <c r="AB113" s="10" t="s">
        <v>1827</v>
      </c>
      <c r="AC113" s="10" t="s">
        <v>1827</v>
      </c>
      <c r="AD113" s="10" t="s">
        <v>1827</v>
      </c>
      <c r="AE113" s="10">
        <v>120.068175</v>
      </c>
      <c r="AF113" s="10">
        <v>127.9834</v>
      </c>
      <c r="AG113" s="10">
        <v>131.68541300000001</v>
      </c>
      <c r="AH113" s="10">
        <v>137.18163200000001</v>
      </c>
      <c r="AI113" s="10">
        <v>141.00726800000001</v>
      </c>
      <c r="AJ113" s="10">
        <v>153.89080799999999</v>
      </c>
      <c r="AK113" s="10">
        <v>155.93894299999999</v>
      </c>
      <c r="AL113" s="10">
        <v>156.075931</v>
      </c>
      <c r="AM113" s="10">
        <v>155.93560199999999</v>
      </c>
      <c r="AN113" s="10">
        <v>155.98237800000001</v>
      </c>
      <c r="AO113" s="10">
        <v>156.25635399999999</v>
      </c>
      <c r="AP113" s="10">
        <v>157.49258599999999</v>
      </c>
      <c r="AQ113" s="10">
        <v>157.86345499999999</v>
      </c>
      <c r="AR113" s="10">
        <v>167.41251</v>
      </c>
      <c r="AS113" s="10">
        <v>173.186047</v>
      </c>
      <c r="AT113" s="10">
        <v>175.758745</v>
      </c>
      <c r="AU113" s="10">
        <v>187.47955899999999</v>
      </c>
      <c r="AV113" s="10">
        <v>196.176616</v>
      </c>
      <c r="AW113" s="10">
        <v>197.72691800000001</v>
      </c>
      <c r="AX113" s="10">
        <v>201.188367</v>
      </c>
      <c r="AY113" s="10">
        <v>206.51418699999999</v>
      </c>
      <c r="AZ113" s="10">
        <v>223.09639799999999</v>
      </c>
      <c r="BA113" s="10">
        <v>226.51107099999999</v>
      </c>
      <c r="BB113" s="10">
        <v>253.15687800000001</v>
      </c>
      <c r="BC113" s="10">
        <v>258.28890999999999</v>
      </c>
      <c r="BD113" s="10">
        <v>271.29941400000001</v>
      </c>
      <c r="BE113" s="10">
        <v>281.46324299999998</v>
      </c>
      <c r="BF113" s="10">
        <v>291.09248700000001</v>
      </c>
      <c r="BG113" s="10">
        <v>305.43611600000003</v>
      </c>
      <c r="BH113" s="10">
        <v>320.25753300000002</v>
      </c>
      <c r="BI113" s="10">
        <v>330.34117500000002</v>
      </c>
      <c r="BJ113" s="10">
        <v>334.116693</v>
      </c>
      <c r="BK113" s="10">
        <v>337.180544</v>
      </c>
      <c r="BL113" s="10">
        <v>348.40686399999998</v>
      </c>
      <c r="BM113" s="10">
        <v>363.08795199999997</v>
      </c>
      <c r="BN113" s="10">
        <v>364.61152399999997</v>
      </c>
      <c r="BO113" s="10">
        <v>372.30288999999999</v>
      </c>
      <c r="BP113" s="10">
        <v>382.73067200000003</v>
      </c>
      <c r="BQ113" s="10">
        <v>392.34989200000001</v>
      </c>
      <c r="BR113" s="10">
        <v>397.10771299999999</v>
      </c>
      <c r="BS113" s="10">
        <v>401.73857099999998</v>
      </c>
      <c r="BT113" s="10">
        <v>409.463348</v>
      </c>
      <c r="BU113" s="10">
        <v>415.47744899999998</v>
      </c>
      <c r="BV113" s="10">
        <v>417.88308899999998</v>
      </c>
      <c r="BW113" s="10">
        <v>419.56703700000003</v>
      </c>
      <c r="BX113" s="10">
        <v>426.12574799999999</v>
      </c>
      <c r="BY113" s="10">
        <v>429.75091400000002</v>
      </c>
      <c r="BZ113" s="10">
        <v>428.51802400000003</v>
      </c>
      <c r="CA113" s="10">
        <v>428.33760000000001</v>
      </c>
      <c r="CB113" s="10">
        <v>429.887902</v>
      </c>
      <c r="CC113" s="10">
        <v>435.57122800000002</v>
      </c>
      <c r="CD113" s="10">
        <v>436.41654199999999</v>
      </c>
      <c r="CE113" s="10">
        <v>438.16220900000002</v>
      </c>
      <c r="CF113" s="10">
        <v>439.03504199999998</v>
      </c>
      <c r="CG113" s="10">
        <v>439.47145799999998</v>
      </c>
      <c r="CH113" s="10">
        <v>441.65354100000002</v>
      </c>
      <c r="CI113" s="10">
        <v>441.21712500000001</v>
      </c>
      <c r="CJ113" s="10">
        <v>445.58128900000003</v>
      </c>
      <c r="CK113" s="10">
        <v>452.12753800000002</v>
      </c>
      <c r="CL113" s="10">
        <v>453.87320399999999</v>
      </c>
      <c r="CM113" s="10">
        <v>459.11020200000002</v>
      </c>
      <c r="CN113" s="10">
        <v>464.34720099999998</v>
      </c>
      <c r="CO113" s="10">
        <v>473.94836500000002</v>
      </c>
      <c r="CP113" s="10">
        <v>485.29519499999998</v>
      </c>
      <c r="CQ113" s="10">
        <v>491.40502700000002</v>
      </c>
      <c r="CR113" s="10">
        <v>495.76919199999998</v>
      </c>
      <c r="CS113" s="10">
        <v>505.37035600000002</v>
      </c>
      <c r="CT113" s="10">
        <v>508.42527200000001</v>
      </c>
      <c r="CU113" s="10">
        <v>514.53510400000005</v>
      </c>
      <c r="CV113" s="10">
        <v>520.20851800000003</v>
      </c>
      <c r="CW113" s="10">
        <v>534.61026400000003</v>
      </c>
      <c r="CX113" s="10">
        <v>545.52067799999998</v>
      </c>
      <c r="CY113" s="10">
        <v>545.52067799999998</v>
      </c>
      <c r="CZ113" s="10">
        <v>553.37617599999999</v>
      </c>
      <c r="DA113" s="10">
        <v>560.570066</v>
      </c>
      <c r="DB113" s="10">
        <v>558.35656200000005</v>
      </c>
      <c r="DC113" s="10">
        <v>560.01669000000004</v>
      </c>
      <c r="DD113" s="10">
        <v>564.99707599999999</v>
      </c>
      <c r="DE113" s="10">
        <v>578.27810399999998</v>
      </c>
      <c r="DF113" s="10">
        <v>589.34562700000004</v>
      </c>
      <c r="DG113" s="10">
        <v>589.89900399999999</v>
      </c>
      <c r="DH113" s="10">
        <v>594.87938899999995</v>
      </c>
      <c r="DI113" s="10">
        <v>601.519903</v>
      </c>
      <c r="DJ113" s="10">
        <v>610.37392199999999</v>
      </c>
      <c r="DK113" s="10">
        <v>617.01443600000005</v>
      </c>
      <c r="DL113" s="10">
        <v>629.18871200000001</v>
      </c>
      <c r="DM113" s="10">
        <v>630.84884</v>
      </c>
      <c r="DN113" s="10">
        <v>633.06234500000005</v>
      </c>
      <c r="DO113" s="10">
        <v>640.25623499999995</v>
      </c>
      <c r="DP113" s="10">
        <v>648.00350200000003</v>
      </c>
      <c r="DQ113" s="10">
        <v>652.43051100000002</v>
      </c>
      <c r="DR113" s="10">
        <v>656.30414499999995</v>
      </c>
      <c r="DS113" s="10">
        <v>657.96427300000005</v>
      </c>
      <c r="DT113" s="10">
        <v>666.81829200000004</v>
      </c>
      <c r="DU113" s="10">
        <v>675.67231000000004</v>
      </c>
      <c r="DV113" s="10">
        <v>682.31282399999998</v>
      </c>
      <c r="DW113" s="10">
        <v>687.846587</v>
      </c>
      <c r="DX113" s="10">
        <v>692.273596</v>
      </c>
      <c r="DY113" s="10">
        <v>694.48710100000005</v>
      </c>
      <c r="DZ113" s="10">
        <v>704.44787199999996</v>
      </c>
      <c r="EA113" s="10">
        <v>714.96201900000005</v>
      </c>
      <c r="EB113" s="10">
        <v>719.94240500000001</v>
      </c>
      <c r="EC113" s="10">
        <v>755.21958199999995</v>
      </c>
      <c r="ED113" s="10">
        <v>763.13894900000003</v>
      </c>
      <c r="EE113" s="10">
        <v>766.73866099999998</v>
      </c>
      <c r="EF113" s="10">
        <v>771.05831499999999</v>
      </c>
      <c r="EG113" s="10">
        <v>788.33693300000004</v>
      </c>
      <c r="EH113" s="10">
        <v>799.13606900000002</v>
      </c>
      <c r="EI113" s="10">
        <v>799.13606900000002</v>
      </c>
      <c r="EJ113" s="10">
        <v>817.85457199999996</v>
      </c>
      <c r="EK113" s="10">
        <v>830.813535</v>
      </c>
      <c r="EL113" s="10">
        <v>847.37221</v>
      </c>
      <c r="EM113" s="10">
        <v>860.33117400000003</v>
      </c>
      <c r="EN113" s="10">
        <v>866.810655</v>
      </c>
      <c r="EO113" s="10">
        <v>874.73002199999996</v>
      </c>
      <c r="EP113" s="10">
        <v>877.60979099999997</v>
      </c>
      <c r="EQ113" s="10">
        <v>879.76961800000004</v>
      </c>
      <c r="ER113" s="10">
        <v>883.36932999999999</v>
      </c>
      <c r="ES113" s="10">
        <v>894.16846699999996</v>
      </c>
      <c r="ET113" s="10">
        <v>916.48668099999998</v>
      </c>
      <c r="EU113" s="10">
        <v>928.72570199999996</v>
      </c>
      <c r="EV113" s="10">
        <v>927.28581699999995</v>
      </c>
      <c r="EW113" s="10">
        <v>933.04535599999997</v>
      </c>
      <c r="EX113" s="10">
        <v>935.20518400000003</v>
      </c>
      <c r="EY113" s="10">
        <v>933.76529900000003</v>
      </c>
      <c r="EZ113" s="10">
        <v>935.20518400000003</v>
      </c>
      <c r="FA113" s="10">
        <v>939.52483800000005</v>
      </c>
      <c r="FB113" s="10">
        <v>930.88552900000002</v>
      </c>
      <c r="FC113" s="10">
        <v>930.88552900000002</v>
      </c>
      <c r="FD113" s="10">
        <v>935.92512599999998</v>
      </c>
      <c r="FE113" s="10">
        <v>954.64362900000003</v>
      </c>
      <c r="FF113" s="10">
        <v>954.64362900000003</v>
      </c>
      <c r="FG113" s="10">
        <v>958.96328300000005</v>
      </c>
      <c r="FH113" s="10">
        <v>959.68322499999999</v>
      </c>
      <c r="FI113" s="10">
        <v>970.48236099999997</v>
      </c>
      <c r="FJ113" s="10">
        <v>987.04103699999996</v>
      </c>
      <c r="FK113" s="10">
        <v>987.04103699999996</v>
      </c>
      <c r="FL113" s="10">
        <v>987.76097900000002</v>
      </c>
      <c r="FM113" s="10">
        <v>1002.87977</v>
      </c>
      <c r="FN113" s="10">
        <v>986.32109400000002</v>
      </c>
      <c r="FO113" s="10">
        <v>979.12166999999999</v>
      </c>
      <c r="FP113" s="10">
        <v>988.48092199999996</v>
      </c>
      <c r="FQ113" s="10">
        <v>997.84017300000005</v>
      </c>
      <c r="FR113" s="10">
        <v>1000</v>
      </c>
      <c r="FS113" s="10">
        <v>1002.159827</v>
      </c>
      <c r="FT113" s="10">
        <v>1000</v>
      </c>
      <c r="FU113" s="10">
        <v>1013.678906</v>
      </c>
      <c r="FV113" s="10">
        <v>1014</v>
      </c>
      <c r="FW113" s="10">
        <v>1020</v>
      </c>
      <c r="FX113" s="10">
        <v>1019</v>
      </c>
      <c r="FY113" s="10">
        <v>1026</v>
      </c>
      <c r="FZ113" s="10">
        <v>1027</v>
      </c>
      <c r="GA113" s="10">
        <v>1032</v>
      </c>
      <c r="GB113" s="10">
        <v>1036</v>
      </c>
      <c r="GC113" s="10">
        <v>1037</v>
      </c>
      <c r="GD113" s="10">
        <v>1036</v>
      </c>
      <c r="GE113" s="10">
        <v>1041</v>
      </c>
      <c r="GF113" s="10">
        <v>1045</v>
      </c>
      <c r="GG113" s="10">
        <v>1047</v>
      </c>
      <c r="GH113" s="10">
        <v>1047</v>
      </c>
      <c r="GI113" s="10">
        <v>1057</v>
      </c>
      <c r="GJ113" s="10">
        <v>1052</v>
      </c>
      <c r="GK113" s="10">
        <v>1059</v>
      </c>
      <c r="GL113" s="10">
        <v>1066</v>
      </c>
      <c r="GM113" s="10">
        <v>1085</v>
      </c>
      <c r="GN113" s="10">
        <v>1094</v>
      </c>
      <c r="GO113" s="10">
        <v>1107</v>
      </c>
      <c r="GP113" s="10">
        <v>1110</v>
      </c>
      <c r="GQ113" s="10">
        <v>1124</v>
      </c>
      <c r="GR113" s="10">
        <v>1133</v>
      </c>
      <c r="GS113" s="10">
        <v>1158</v>
      </c>
    </row>
    <row r="114" spans="1:201" ht="12.95">
      <c r="A114" s="57" t="s">
        <v>1932</v>
      </c>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c r="AY114" s="115"/>
      <c r="AZ114" s="115"/>
      <c r="BA114" s="115"/>
      <c r="BB114" s="115"/>
      <c r="BC114" s="115"/>
      <c r="BD114" s="115"/>
      <c r="BE114" s="115"/>
      <c r="BF114" s="115"/>
      <c r="BG114" s="115"/>
      <c r="BH114" s="115"/>
      <c r="BI114" s="115"/>
      <c r="BJ114" s="115"/>
      <c r="BK114" s="115"/>
      <c r="BL114" s="115"/>
      <c r="BM114" s="115"/>
      <c r="BN114" s="115"/>
      <c r="BO114" s="115"/>
      <c r="BP114" s="115"/>
      <c r="BQ114" s="115"/>
      <c r="BR114" s="115"/>
      <c r="BS114" s="115"/>
      <c r="BT114" s="115"/>
      <c r="BU114" s="115"/>
      <c r="BV114" s="115"/>
      <c r="BW114" s="115"/>
      <c r="BX114" s="115"/>
      <c r="BY114" s="115"/>
      <c r="BZ114" s="115"/>
      <c r="CA114" s="115"/>
      <c r="CB114" s="115"/>
      <c r="CC114" s="115"/>
      <c r="CD114" s="115"/>
      <c r="CE114" s="115"/>
      <c r="CF114" s="115"/>
      <c r="CG114" s="115"/>
      <c r="CH114" s="115"/>
      <c r="CI114" s="115"/>
      <c r="CJ114" s="115"/>
      <c r="CK114" s="115"/>
      <c r="CL114" s="115"/>
      <c r="CM114" s="115"/>
      <c r="CN114" s="115"/>
      <c r="CO114" s="115"/>
      <c r="CP114" s="115"/>
      <c r="CQ114" s="115"/>
      <c r="CR114" s="115"/>
      <c r="CS114" s="115"/>
      <c r="CT114" s="115"/>
      <c r="CU114" s="115"/>
      <c r="CV114" s="115"/>
      <c r="CW114" s="115"/>
      <c r="CX114" s="115"/>
      <c r="CY114" s="115"/>
      <c r="CZ114" s="115"/>
      <c r="DA114" s="115"/>
      <c r="DB114" s="115"/>
      <c r="DC114" s="115"/>
      <c r="DD114" s="115"/>
      <c r="DE114" s="115"/>
      <c r="DF114" s="115"/>
      <c r="DG114" s="115"/>
      <c r="DH114" s="115"/>
      <c r="DI114" s="115"/>
      <c r="DJ114" s="115"/>
      <c r="DK114" s="115"/>
      <c r="DL114" s="115"/>
      <c r="DM114" s="115"/>
      <c r="DN114" s="115"/>
      <c r="DO114" s="115"/>
      <c r="DP114" s="115"/>
      <c r="DQ114" s="115"/>
      <c r="DR114" s="115"/>
      <c r="DS114" s="115"/>
      <c r="DT114" s="115"/>
      <c r="DU114" s="115"/>
      <c r="DV114" s="115"/>
      <c r="DW114" s="115"/>
      <c r="DX114" s="115"/>
      <c r="DY114" s="115"/>
      <c r="DZ114" s="115"/>
      <c r="EA114" s="115"/>
      <c r="EB114" s="115"/>
      <c r="EC114" s="115"/>
      <c r="ED114" s="115"/>
      <c r="EE114" s="115"/>
      <c r="EF114" s="115"/>
      <c r="EG114" s="115"/>
      <c r="EH114" s="115"/>
      <c r="EI114" s="115"/>
      <c r="EJ114" s="115"/>
      <c r="EK114" s="115"/>
      <c r="EL114" s="115"/>
      <c r="EM114" s="115"/>
      <c r="EN114" s="115"/>
      <c r="EO114" s="115"/>
      <c r="EP114" s="115"/>
      <c r="EQ114" s="115"/>
      <c r="ER114" s="115"/>
      <c r="ES114" s="115"/>
      <c r="ET114" s="115"/>
      <c r="EU114" s="115"/>
      <c r="EV114" s="115"/>
      <c r="EW114" s="115"/>
      <c r="EX114" s="115"/>
      <c r="EY114" s="115"/>
      <c r="EZ114" s="115"/>
      <c r="FA114" s="115"/>
      <c r="FB114" s="115"/>
      <c r="FC114" s="115"/>
      <c r="FD114" s="115"/>
      <c r="FE114" s="115"/>
      <c r="FF114" s="115"/>
      <c r="FG114" s="115"/>
      <c r="FH114" s="115"/>
      <c r="FI114" s="115"/>
      <c r="FJ114" s="115"/>
      <c r="FK114" s="115"/>
      <c r="FL114" s="115"/>
      <c r="FM114" s="115"/>
      <c r="FN114" s="115"/>
      <c r="FO114" s="115"/>
      <c r="FP114" s="115"/>
      <c r="FQ114" s="115"/>
      <c r="FR114" s="115"/>
      <c r="FS114" s="115"/>
      <c r="FT114" s="115"/>
      <c r="FU114" s="115"/>
      <c r="FV114" s="115"/>
      <c r="FW114" s="115"/>
      <c r="FX114" s="115"/>
      <c r="FY114" s="115"/>
      <c r="FZ114" s="115"/>
      <c r="GA114" s="115"/>
      <c r="GB114" s="115"/>
      <c r="GC114" s="115"/>
      <c r="GD114" s="115"/>
      <c r="GE114" s="115"/>
      <c r="GF114" s="115"/>
      <c r="GG114" s="115"/>
      <c r="GH114" s="115"/>
      <c r="GI114" s="115"/>
      <c r="GJ114" s="115"/>
      <c r="GK114" s="115"/>
      <c r="GL114" s="115"/>
      <c r="GM114" s="115"/>
      <c r="GN114" s="115"/>
      <c r="GO114" s="115"/>
      <c r="GP114" s="115"/>
      <c r="GQ114" s="115"/>
      <c r="GR114" s="115"/>
      <c r="GS114" s="115"/>
    </row>
    <row r="115" spans="1:201" ht="12.6">
      <c r="A115" s="51"/>
    </row>
    <row r="116" spans="1:201" ht="12.6">
      <c r="A116" s="51"/>
    </row>
    <row r="117" spans="1:201" ht="12.6">
      <c r="A117" s="51" t="s">
        <v>1933</v>
      </c>
    </row>
  </sheetData>
  <hyperlinks>
    <hyperlink ref="A1" r:id="rId1"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900FF"/>
    <outlinePr summaryBelow="0" summaryRight="0"/>
  </sheetPr>
  <dimension ref="B3:AH93"/>
  <sheetViews>
    <sheetView zoomScaleNormal="100" workbookViewId="0">
      <selection activeCell="F7" sqref="F7"/>
    </sheetView>
  </sheetViews>
  <sheetFormatPr defaultColWidth="12.5703125" defaultRowHeight="15.75" customHeight="1"/>
  <cols>
    <col min="1" max="1" width="5.140625" customWidth="1"/>
    <col min="2" max="2" width="41.42578125" customWidth="1"/>
    <col min="3" max="3" width="14.5703125" customWidth="1"/>
    <col min="4" max="4" width="22" customWidth="1"/>
    <col min="5" max="5" width="21.5703125" customWidth="1"/>
    <col min="6" max="6" width="15.42578125" customWidth="1"/>
    <col min="7" max="7" width="16.42578125" customWidth="1"/>
    <col min="10" max="10" width="22.42578125" customWidth="1"/>
    <col min="16" max="16" width="6.42578125" customWidth="1"/>
    <col min="25" max="25" width="29" customWidth="1"/>
  </cols>
  <sheetData>
    <row r="3" spans="2:3" ht="16.5">
      <c r="B3" s="163" t="s">
        <v>284</v>
      </c>
      <c r="C3" s="51"/>
    </row>
    <row r="4" spans="2:3" ht="12.6">
      <c r="B4" s="51"/>
      <c r="C4" s="51"/>
    </row>
    <row r="5" spans="2:3" ht="12.6">
      <c r="B5" s="51" t="s">
        <v>285</v>
      </c>
      <c r="C5" s="13" t="s">
        <v>286</v>
      </c>
    </row>
    <row r="6" spans="2:3" ht="12.6">
      <c r="B6" s="102" t="s">
        <v>287</v>
      </c>
      <c r="C6" s="164">
        <f>VLOOKUP(C5,B83:C88,2,0)</f>
        <v>1</v>
      </c>
    </row>
    <row r="7" spans="2:3" ht="12.6">
      <c r="B7" s="102" t="s">
        <v>288</v>
      </c>
      <c r="C7" s="164">
        <v>1</v>
      </c>
    </row>
    <row r="8" spans="2:3" ht="12.6">
      <c r="B8" s="51" t="s">
        <v>289</v>
      </c>
      <c r="C8" s="13">
        <v>1.8</v>
      </c>
    </row>
    <row r="9" spans="2:3" ht="12.6">
      <c r="B9" s="102" t="s">
        <v>290</v>
      </c>
      <c r="C9" s="164">
        <v>1</v>
      </c>
    </row>
    <row r="10" spans="2:3" ht="12.6">
      <c r="B10" s="13"/>
      <c r="C10" s="13"/>
    </row>
    <row r="11" spans="2:3" ht="12.6">
      <c r="B11" s="165" t="s">
        <v>291</v>
      </c>
      <c r="C11" s="166">
        <f>VLOOKUP(C5,B83:E88,4,0)</f>
        <v>0.15</v>
      </c>
    </row>
    <row r="12" spans="2:3" ht="12.6">
      <c r="B12" s="165" t="s">
        <v>292</v>
      </c>
      <c r="C12" s="37">
        <v>7</v>
      </c>
    </row>
    <row r="13" spans="2:3" ht="12.6">
      <c r="B13" s="165" t="s">
        <v>293</v>
      </c>
      <c r="C13" s="167">
        <v>-0.12</v>
      </c>
    </row>
    <row r="14" spans="2:3" ht="12.6">
      <c r="B14" s="165" t="s">
        <v>294</v>
      </c>
      <c r="C14" s="166">
        <v>0.5</v>
      </c>
    </row>
    <row r="15" spans="2:3" ht="12.6">
      <c r="B15" s="165" t="s">
        <v>295</v>
      </c>
      <c r="C15" s="166">
        <v>0.5</v>
      </c>
    </row>
    <row r="16" spans="2:3" ht="12.6">
      <c r="B16" s="36" t="s">
        <v>296</v>
      </c>
      <c r="C16" s="95">
        <v>7</v>
      </c>
    </row>
    <row r="18" spans="2:10" ht="12.6">
      <c r="B18" s="129" t="s">
        <v>297</v>
      </c>
      <c r="C18" s="168">
        <v>5.5E-2</v>
      </c>
      <c r="E18" s="10"/>
      <c r="F18" s="10"/>
    </row>
    <row r="19" spans="2:10" ht="12.6">
      <c r="B19" s="129" t="s">
        <v>298</v>
      </c>
      <c r="C19" s="133">
        <v>0.01</v>
      </c>
      <c r="E19" s="10"/>
      <c r="F19" s="10"/>
    </row>
    <row r="20" spans="2:10" ht="12.6">
      <c r="B20" s="129" t="s">
        <v>299</v>
      </c>
      <c r="C20" s="38">
        <v>15</v>
      </c>
      <c r="D20" s="10"/>
      <c r="F20" s="10"/>
    </row>
    <row r="21" spans="2:10" ht="12.95">
      <c r="B21" s="51" t="s">
        <v>300</v>
      </c>
      <c r="C21" s="13">
        <v>15</v>
      </c>
      <c r="D21" s="10"/>
      <c r="E21" s="169"/>
    </row>
    <row r="22" spans="2:10" ht="12.6">
      <c r="E22" s="10"/>
      <c r="F22" s="10"/>
      <c r="G22" s="10"/>
      <c r="H22" s="10"/>
      <c r="I22" s="10"/>
    </row>
    <row r="23" spans="2:10" ht="12.6">
      <c r="E23" s="10"/>
      <c r="F23" s="10"/>
      <c r="G23" s="10"/>
      <c r="H23" s="10"/>
      <c r="I23" s="10"/>
    </row>
    <row r="24" spans="2:10" ht="12.95">
      <c r="B24" s="57" t="s">
        <v>301</v>
      </c>
      <c r="C24" s="51" t="s">
        <v>302</v>
      </c>
      <c r="D24" s="51" t="s">
        <v>303</v>
      </c>
      <c r="E24" s="51" t="s">
        <v>304</v>
      </c>
    </row>
    <row r="25" spans="2:10" ht="12.6">
      <c r="B25" s="13" t="s">
        <v>305</v>
      </c>
      <c r="C25" s="74">
        <f t="shared" ref="C25:C27" ca="1" si="0">E25*365.25</f>
        <v>10209.969768684387</v>
      </c>
      <c r="D25" s="17">
        <f t="shared" ref="D25:D27" ca="1" si="1">C25/$C$25</f>
        <v>1</v>
      </c>
      <c r="E25" s="12">
        <f ca="1">SUM(E26:E27)</f>
        <v>27.953373767787504</v>
      </c>
    </row>
    <row r="26" spans="2:10" ht="12.6">
      <c r="B26" s="13" t="s">
        <v>306</v>
      </c>
      <c r="C26" s="74">
        <f t="shared" si="0"/>
        <v>4932.9454795867878</v>
      </c>
      <c r="D26" s="17">
        <f t="shared" ca="1" si="1"/>
        <v>0.48314986149292255</v>
      </c>
      <c r="E26" s="12">
        <f>SUM(Machines!C244,Machines!C224,Machines!F192,Machines!I137,Machines!I71,Machines!D113)*(C7)</f>
        <v>13.505668664166429</v>
      </c>
    </row>
    <row r="27" spans="2:10" ht="12.6">
      <c r="B27" s="13" t="s">
        <v>307</v>
      </c>
      <c r="C27" s="74">
        <f t="shared" ca="1" si="0"/>
        <v>5277.0242890975978</v>
      </c>
      <c r="D27" s="17">
        <f t="shared" ca="1" si="1"/>
        <v>0.51685013850707739</v>
      </c>
      <c r="E27" s="12">
        <f ca="1">Machines!F255*(C8/1.8)*C9</f>
        <v>14.447705103621075</v>
      </c>
    </row>
    <row r="28" spans="2:10" ht="12.6">
      <c r="B28" s="170" t="s">
        <v>308</v>
      </c>
      <c r="C28" s="171">
        <f>(C12*8760*C11)*'Energy prices'!C112</f>
        <v>8561.2413517908317</v>
      </c>
      <c r="D28" s="172">
        <f ca="1">C28/C25</f>
        <v>0.83851779640420987</v>
      </c>
      <c r="E28" s="173">
        <f t="shared" ref="E28:E32" si="2">C28/365.25</f>
        <v>23.439401373828424</v>
      </c>
    </row>
    <row r="29" spans="2:10" ht="12.6">
      <c r="B29" s="37" t="s">
        <v>309</v>
      </c>
      <c r="C29" s="81">
        <f ca="1">SUM((C14*C26),(C15*C27))</f>
        <v>5104.9848843421933</v>
      </c>
      <c r="D29" s="166">
        <f ca="1">C29/C28</f>
        <v>0.59629026616266789</v>
      </c>
      <c r="E29" s="72">
        <f t="shared" ca="1" si="2"/>
        <v>13.976686883893754</v>
      </c>
    </row>
    <row r="30" spans="2:10" ht="12.6">
      <c r="B30" s="3" t="s">
        <v>310</v>
      </c>
      <c r="C30" s="174">
        <f ca="1">(C25-C29)-C31</f>
        <v>3035.0116760088599</v>
      </c>
      <c r="D30" s="175">
        <f ca="1">C30/$C$25</f>
        <v>0.29725961435436637</v>
      </c>
      <c r="E30" s="176">
        <f t="shared" ca="1" si="2"/>
        <v>8.3094091061159752</v>
      </c>
    </row>
    <row r="31" spans="2:10" ht="12.6">
      <c r="B31" s="39" t="s">
        <v>311</v>
      </c>
      <c r="C31" s="177">
        <f ca="1">IF(C28-C29&lt;(((C16*'Energy prices'!F132)*0.95)*365.25),C28-C29,(((C16*'Energy prices'!F132)*0.95)*365.25))</f>
        <v>2069.9732083333333</v>
      </c>
      <c r="D31" s="178">
        <f ca="1">C31/C25</f>
        <v>0.20274038564563363</v>
      </c>
      <c r="E31" s="179">
        <f t="shared" ca="1" si="2"/>
        <v>5.6672777777777776</v>
      </c>
      <c r="F31" s="180"/>
    </row>
    <row r="32" spans="2:10" ht="12.6">
      <c r="B32" s="181" t="s">
        <v>312</v>
      </c>
      <c r="C32" s="182">
        <f ca="1">(C30+C28)-C25</f>
        <v>1386.2832591153056</v>
      </c>
      <c r="D32" s="183">
        <f ca="1">C32/C25</f>
        <v>0.13577741075857624</v>
      </c>
      <c r="E32" s="184">
        <f t="shared" ca="1" si="2"/>
        <v>3.7954367121568939</v>
      </c>
      <c r="J32" s="10"/>
    </row>
    <row r="37" spans="2:34" ht="39.75" customHeight="1">
      <c r="B37" s="185" t="s">
        <v>313</v>
      </c>
      <c r="C37" s="186"/>
      <c r="D37" s="187" t="s">
        <v>314</v>
      </c>
      <c r="E37" s="188" t="s">
        <v>42</v>
      </c>
      <c r="F37" s="189" t="s">
        <v>315</v>
      </c>
      <c r="G37" s="190" t="s">
        <v>316</v>
      </c>
      <c r="J37" s="25" t="s">
        <v>317</v>
      </c>
      <c r="K37" s="25" t="s">
        <v>314</v>
      </c>
      <c r="L37" s="25" t="s">
        <v>42</v>
      </c>
      <c r="M37" s="19" t="s">
        <v>318</v>
      </c>
      <c r="N37" s="191" t="s">
        <v>319</v>
      </c>
      <c r="O37" s="25"/>
      <c r="P37" s="28"/>
      <c r="Q37" s="25" t="s">
        <v>320</v>
      </c>
      <c r="R37" s="25" t="s">
        <v>321</v>
      </c>
      <c r="S37" s="25" t="s">
        <v>322</v>
      </c>
      <c r="T37" s="25" t="s">
        <v>323</v>
      </c>
      <c r="U37" s="25" t="s">
        <v>324</v>
      </c>
      <c r="V37" s="25" t="s">
        <v>325</v>
      </c>
      <c r="W37" s="25" t="s">
        <v>326</v>
      </c>
      <c r="X37" s="28"/>
      <c r="Y37" s="192" t="s">
        <v>327</v>
      </c>
      <c r="Z37" s="192" t="s">
        <v>328</v>
      </c>
      <c r="AA37" s="192"/>
      <c r="AB37" s="192" t="s">
        <v>320</v>
      </c>
      <c r="AC37" s="192" t="s">
        <v>321</v>
      </c>
      <c r="AD37" s="192" t="s">
        <v>322</v>
      </c>
      <c r="AE37" s="192" t="s">
        <v>323</v>
      </c>
      <c r="AF37" s="192" t="s">
        <v>324</v>
      </c>
      <c r="AG37" s="192" t="s">
        <v>325</v>
      </c>
      <c r="AH37" s="192" t="s">
        <v>326</v>
      </c>
    </row>
    <row r="38" spans="2:34" ht="12.6">
      <c r="B38" s="9" t="s">
        <v>329</v>
      </c>
      <c r="C38" s="9"/>
      <c r="D38" s="145">
        <f t="shared" ref="D38:G38" ca="1" si="3">SUM(D39,(D63))</f>
        <v>223279.2390279565</v>
      </c>
      <c r="E38" s="145">
        <f t="shared" ca="1" si="3"/>
        <v>212896.49683346853</v>
      </c>
      <c r="F38" s="145">
        <f t="shared" ca="1" si="3"/>
        <v>170707.29176139066</v>
      </c>
      <c r="G38" s="145">
        <f t="shared" ca="1" si="3"/>
        <v>160409.92395414761</v>
      </c>
      <c r="J38" s="47" t="s">
        <v>329</v>
      </c>
      <c r="K38" s="193">
        <f t="shared" ref="K38:N38" ca="1" si="4">SUM(K40:K45,K46,K49:K50)</f>
        <v>253874.37474197592</v>
      </c>
      <c r="L38" s="193">
        <f t="shared" ca="1" si="4"/>
        <v>243491.63254748794</v>
      </c>
      <c r="M38" s="193">
        <f t="shared" ca="1" si="4"/>
        <v>211757.54204411525</v>
      </c>
      <c r="N38" s="193">
        <f t="shared" ca="1" si="4"/>
        <v>201460.1742368722</v>
      </c>
      <c r="O38" s="47"/>
      <c r="Q38" s="193">
        <f t="shared" ref="Q38:W38" ca="1" si="5">SUM(Q40:Q45,Q46,Q49:Q50)</f>
        <v>183853.47512871775</v>
      </c>
      <c r="R38" s="193">
        <f t="shared" ca="1" si="5"/>
        <v>174169.26793671362</v>
      </c>
      <c r="S38" s="193">
        <f t="shared" ca="1" si="5"/>
        <v>167231.01855164242</v>
      </c>
      <c r="T38" s="193">
        <f t="shared" ca="1" si="5"/>
        <v>161068.68355923318</v>
      </c>
      <c r="U38" s="193">
        <f t="shared" ca="1" si="5"/>
        <v>154209.73470733035</v>
      </c>
      <c r="V38" s="193">
        <f t="shared" ca="1" si="5"/>
        <v>148028.41743437489</v>
      </c>
      <c r="W38" s="193">
        <f t="shared" ca="1" si="5"/>
        <v>146595.9297241054</v>
      </c>
      <c r="Y38" s="39"/>
      <c r="Z38" s="39"/>
      <c r="AA38" s="39"/>
      <c r="AB38" s="39"/>
      <c r="AC38" s="39"/>
      <c r="AD38" s="39"/>
      <c r="AE38" s="39"/>
      <c r="AF38" s="39"/>
      <c r="AG38" s="39"/>
      <c r="AH38" s="39"/>
    </row>
    <row r="39" spans="2:34" ht="12.95">
      <c r="B39" s="194" t="s">
        <v>330</v>
      </c>
      <c r="C39" s="194"/>
      <c r="D39" s="195">
        <f t="shared" ref="D39:G39" ca="1" si="6">SUM(D40:D45)</f>
        <v>79680</v>
      </c>
      <c r="E39" s="195">
        <f t="shared" ca="1" si="6"/>
        <v>79680</v>
      </c>
      <c r="F39" s="195">
        <f t="shared" ca="1" si="6"/>
        <v>116620</v>
      </c>
      <c r="G39" s="195">
        <f t="shared" ca="1" si="6"/>
        <v>139564.44444444444</v>
      </c>
      <c r="J39" s="9" t="s">
        <v>331</v>
      </c>
      <c r="K39" s="145">
        <f t="shared" ref="K39:N39" ca="1" si="7">SUM(K38,K47:K48)</f>
        <v>287059.31716592883</v>
      </c>
      <c r="L39" s="145">
        <f t="shared" ca="1" si="7"/>
        <v>276676.57497144083</v>
      </c>
      <c r="M39" s="145">
        <f t="shared" ca="1" si="7"/>
        <v>260327.17037596001</v>
      </c>
      <c r="N39" s="145">
        <f t="shared" ca="1" si="7"/>
        <v>259585.65181367769</v>
      </c>
      <c r="O39" s="9"/>
      <c r="P39" s="10"/>
      <c r="Q39" s="145">
        <f t="shared" ref="Q39:W39" ca="1" si="8">SUM(Q38,Q47:Q48)</f>
        <v>234594.80682481296</v>
      </c>
      <c r="R39" s="145">
        <f t="shared" ca="1" si="8"/>
        <v>220774.64640391408</v>
      </c>
      <c r="S39" s="145">
        <f t="shared" ca="1" si="8"/>
        <v>210844.07395713782</v>
      </c>
      <c r="T39" s="145">
        <f t="shared" ca="1" si="8"/>
        <v>202012.56693774241</v>
      </c>
      <c r="U39" s="145">
        <f t="shared" ca="1" si="8"/>
        <v>192194.32192708849</v>
      </c>
      <c r="V39" s="145">
        <f t="shared" ca="1" si="8"/>
        <v>183335.92693077389</v>
      </c>
      <c r="W39" s="145">
        <f t="shared" ca="1" si="8"/>
        <v>181204.1430686675</v>
      </c>
      <c r="Y39" s="39" t="s">
        <v>332</v>
      </c>
      <c r="Z39" s="39"/>
      <c r="AA39" s="39"/>
      <c r="AB39" s="39"/>
      <c r="AC39" s="39"/>
      <c r="AD39" s="39"/>
      <c r="AE39" s="39"/>
      <c r="AF39" s="39"/>
      <c r="AG39" s="39"/>
      <c r="AH39" s="39"/>
    </row>
    <row r="40" spans="2:34" ht="12.6">
      <c r="B40" s="9" t="s">
        <v>131</v>
      </c>
      <c r="C40" s="9"/>
      <c r="D40" s="145" t="s">
        <v>89</v>
      </c>
      <c r="E40" s="145" t="s">
        <v>89</v>
      </c>
      <c r="F40" s="145" t="s">
        <v>89</v>
      </c>
      <c r="G40" s="145">
        <f>C12*('Energy prices'!C71/9)</f>
        <v>15944.444444444445</v>
      </c>
      <c r="J40" s="102" t="s">
        <v>333</v>
      </c>
      <c r="K40" s="196">
        <f t="shared" ref="K40:N40" si="9">D42</f>
        <v>6400</v>
      </c>
      <c r="L40" s="196">
        <f t="shared" si="9"/>
        <v>6400</v>
      </c>
      <c r="M40" s="196">
        <f t="shared" si="9"/>
        <v>5400</v>
      </c>
      <c r="N40" s="196">
        <f t="shared" si="9"/>
        <v>5400</v>
      </c>
      <c r="O40" s="102"/>
      <c r="Q40" s="196">
        <f>$N$40*'Learning rates'!D34</f>
        <v>5358.688524590164</v>
      </c>
      <c r="R40" s="196">
        <f>$N$40*'Learning rates'!E34</f>
        <v>5323.2786885245905</v>
      </c>
      <c r="S40" s="196">
        <f>$N$40*'Learning rates'!F34</f>
        <v>5287.8688524590161</v>
      </c>
      <c r="T40" s="196">
        <f>$N$40*'Learning rates'!G34</f>
        <v>5258.3606557377052</v>
      </c>
      <c r="U40" s="196">
        <f>$N$40*'Learning rates'!H34</f>
        <v>5222.9508196721308</v>
      </c>
      <c r="V40" s="196">
        <f>$N$40*'Learning rates'!I34</f>
        <v>5187.5409836065573</v>
      </c>
      <c r="W40" s="196">
        <f>$N$40*'Learning rates'!J34</f>
        <v>5152.1311475409839</v>
      </c>
      <c r="Y40" s="39" t="str">
        <f>"Savings with " &amp; TEXT(C18,"0.0%") &amp; " finance"</f>
        <v>Savings with 5.5% finance</v>
      </c>
      <c r="Z40" s="197">
        <f ca="1">((SUM($K$38:$L$38,$K$47:$L$47)/2))-(SUM(N38,N47:N48,))</f>
        <v>22282.294255007117</v>
      </c>
      <c r="AA40" s="39"/>
      <c r="AB40" s="197">
        <f t="shared" ref="AB40:AH40" ca="1" si="10">((SUM($K$38:$L$38,$K$47:$L$47)/2))-(SUM(Q38,Q47:Q48,))</f>
        <v>47273.139243871847</v>
      </c>
      <c r="AC40" s="197">
        <f t="shared" ca="1" si="10"/>
        <v>61093.299664770719</v>
      </c>
      <c r="AD40" s="197">
        <f t="shared" ca="1" si="10"/>
        <v>71023.872111546982</v>
      </c>
      <c r="AE40" s="197">
        <f t="shared" ca="1" si="10"/>
        <v>79855.379130942398</v>
      </c>
      <c r="AF40" s="197">
        <f t="shared" ca="1" si="10"/>
        <v>89673.624141596316</v>
      </c>
      <c r="AG40" s="197">
        <f t="shared" ca="1" si="10"/>
        <v>98532.019137910916</v>
      </c>
      <c r="AH40" s="197">
        <f t="shared" ca="1" si="10"/>
        <v>100663.8030000173</v>
      </c>
    </row>
    <row r="41" spans="2:34" ht="12.6">
      <c r="B41" s="9" t="s">
        <v>334</v>
      </c>
      <c r="C41" s="9"/>
      <c r="D41" s="145" t="s">
        <v>89</v>
      </c>
      <c r="E41" s="145" t="s">
        <v>89</v>
      </c>
      <c r="F41" s="145" t="s">
        <v>89</v>
      </c>
      <c r="G41" s="145">
        <f>C16*'Energy prices'!C138</f>
        <v>7000</v>
      </c>
      <c r="J41" s="7" t="s">
        <v>335</v>
      </c>
      <c r="K41" s="198">
        <f t="shared" ref="K41:N41" si="11">D43</f>
        <v>3580</v>
      </c>
      <c r="L41" s="198">
        <f t="shared" si="11"/>
        <v>3580</v>
      </c>
      <c r="M41" s="198">
        <f t="shared" si="11"/>
        <v>7020</v>
      </c>
      <c r="N41" s="198">
        <f t="shared" si="11"/>
        <v>7020</v>
      </c>
      <c r="O41" s="7"/>
      <c r="Q41" s="198">
        <f>$N$41*'Learning rates'!D34</f>
        <v>6966.2950819672124</v>
      </c>
      <c r="R41" s="198">
        <f>$N$41*'Learning rates'!E34</f>
        <v>6920.2622950819677</v>
      </c>
      <c r="S41" s="198">
        <f>$N$41*'Learning rates'!F34</f>
        <v>6874.2295081967213</v>
      </c>
      <c r="T41" s="198">
        <f>$N$41*'Learning rates'!G34</f>
        <v>6835.8688524590161</v>
      </c>
      <c r="U41" s="198">
        <f>$N$41*'Learning rates'!H34</f>
        <v>6789.8360655737706</v>
      </c>
      <c r="V41" s="198">
        <f>$N$41*'Learning rates'!I34</f>
        <v>6743.8032786885251</v>
      </c>
      <c r="W41" s="198">
        <f>$N$41*'Learning rates'!J34</f>
        <v>6697.7704918032787</v>
      </c>
      <c r="Y41" s="39" t="str">
        <f>"Savings with " &amp; TEXT(C19,"0%") &amp; " finance"</f>
        <v>Savings with 1% finance</v>
      </c>
      <c r="Z41" s="197">
        <f ca="1">((SUM($K$38:$L$38,$K$47:$L$47)/2))-(SUM(N38,N48,))</f>
        <v>70478.424502892682</v>
      </c>
      <c r="AA41" s="39"/>
      <c r="AB41" s="197">
        <f t="shared" ref="AB41:AH41" ca="1" si="12">((SUM($K$38:$L$38,$K$47:$L$47)/2))-(SUM(Q38,Q48,))</f>
        <v>89346.528286477143</v>
      </c>
      <c r="AC41" s="197">
        <f t="shared" ca="1" si="12"/>
        <v>99737.264144703397</v>
      </c>
      <c r="AD41" s="197">
        <f t="shared" ca="1" si="12"/>
        <v>107186.68034058914</v>
      </c>
      <c r="AE41" s="197">
        <f t="shared" ca="1" si="12"/>
        <v>113804.9795201582</v>
      </c>
      <c r="AF41" s="197">
        <f t="shared" ca="1" si="12"/>
        <v>121169.45332659665</v>
      </c>
      <c r="AG41" s="197">
        <f t="shared" ca="1" si="12"/>
        <v>127808.08528581209</v>
      </c>
      <c r="AH41" s="197">
        <f t="shared" ca="1" si="12"/>
        <v>129360.03101461037</v>
      </c>
    </row>
    <row r="42" spans="2:34" ht="12.6">
      <c r="B42" s="9" t="s">
        <v>336</v>
      </c>
      <c r="C42" s="9"/>
      <c r="D42" s="145">
        <f>ROUND('Product prices'!C10,-2)*VLOOKUP($C$5,$B$83:$E$88,3,0)</f>
        <v>6400</v>
      </c>
      <c r="E42" s="145">
        <f>ROUND('Product prices'!C10,-2)*VLOOKUP($C$5,$B$83:$E$88,3,0)</f>
        <v>6400</v>
      </c>
      <c r="F42" s="145">
        <f>ROUND('Product prices'!C8,-2)*VLOOKUP($C$5,$B$83:$E$88,3,0)</f>
        <v>5400</v>
      </c>
      <c r="G42" s="145">
        <f>ROUND('Product prices'!C8,-2)*VLOOKUP($C$5,$B$83:$E$88,3,0)</f>
        <v>5400</v>
      </c>
      <c r="J42" s="38" t="s">
        <v>337</v>
      </c>
      <c r="K42" s="199">
        <f t="shared" ref="K42:N42" si="13">D44</f>
        <v>1700</v>
      </c>
      <c r="L42" s="199">
        <f t="shared" si="13"/>
        <v>1700</v>
      </c>
      <c r="M42" s="199">
        <f t="shared" si="13"/>
        <v>1200</v>
      </c>
      <c r="N42" s="199">
        <f t="shared" si="13"/>
        <v>1200</v>
      </c>
      <c r="O42" s="38"/>
      <c r="Q42" s="199">
        <f t="shared" ref="Q42:W42" si="14">$N$42</f>
        <v>1200</v>
      </c>
      <c r="R42" s="199">
        <f t="shared" si="14"/>
        <v>1200</v>
      </c>
      <c r="S42" s="199">
        <f t="shared" si="14"/>
        <v>1200</v>
      </c>
      <c r="T42" s="199">
        <f t="shared" si="14"/>
        <v>1200</v>
      </c>
      <c r="U42" s="199">
        <f t="shared" si="14"/>
        <v>1200</v>
      </c>
      <c r="V42" s="199">
        <f t="shared" si="14"/>
        <v>1200</v>
      </c>
      <c r="W42" s="199">
        <f t="shared" si="14"/>
        <v>1200</v>
      </c>
      <c r="Y42" s="39" t="s">
        <v>338</v>
      </c>
      <c r="Z42" s="39"/>
      <c r="AA42" s="39">
        <v>0</v>
      </c>
      <c r="AB42" s="39"/>
      <c r="AC42" s="39"/>
      <c r="AD42" s="39"/>
      <c r="AE42" s="39"/>
      <c r="AF42" s="39"/>
      <c r="AG42" s="39"/>
      <c r="AH42" s="39"/>
    </row>
    <row r="43" spans="2:34" ht="12.6">
      <c r="B43" s="9" t="s">
        <v>339</v>
      </c>
      <c r="C43" s="9"/>
      <c r="D43" s="145">
        <f>Machines!E147</f>
        <v>3580</v>
      </c>
      <c r="E43" s="145">
        <f>Machines!D147</f>
        <v>3580</v>
      </c>
      <c r="F43" s="145">
        <f>Machines!I147</f>
        <v>7020</v>
      </c>
      <c r="G43" s="145">
        <f>Machines!I147</f>
        <v>7020</v>
      </c>
      <c r="J43" s="51" t="s">
        <v>340</v>
      </c>
      <c r="K43" s="200">
        <f t="shared" ref="K43:N43" ca="1" si="15">D45</f>
        <v>68000</v>
      </c>
      <c r="L43" s="200">
        <f t="shared" ca="1" si="15"/>
        <v>68000</v>
      </c>
      <c r="M43" s="200">
        <f t="shared" ca="1" si="15"/>
        <v>103000</v>
      </c>
      <c r="N43" s="200">
        <f t="shared" ca="1" si="15"/>
        <v>103000</v>
      </c>
      <c r="O43" s="51"/>
      <c r="Q43" s="200">
        <f ca="1">$N$43*'Learning rates'!D26</f>
        <v>88092.105263157893</v>
      </c>
      <c r="R43" s="200">
        <f ca="1">$N$43*'Learning rates'!E26</f>
        <v>79282.894736842092</v>
      </c>
      <c r="S43" s="200">
        <f ca="1">$N$43*'Learning rates'!F26</f>
        <v>73184.210526315786</v>
      </c>
      <c r="T43" s="200">
        <f ca="1">$N$43*'Learning rates'!G26</f>
        <v>67763.15789473684</v>
      </c>
      <c r="U43" s="200">
        <f ca="1">$N$43*'Learning rates'!H26</f>
        <v>61664.473684210527</v>
      </c>
      <c r="V43" s="200">
        <f ca="1">$N$43*'Learning rates'!I26</f>
        <v>56243.42105263158</v>
      </c>
      <c r="W43" s="200">
        <f ca="1">$N$43*'Learning rates'!J26</f>
        <v>55565.789473684214</v>
      </c>
      <c r="Y43" s="39" t="s">
        <v>341</v>
      </c>
      <c r="Z43" s="39"/>
      <c r="AA43" s="39" t="s">
        <v>338</v>
      </c>
      <c r="AB43" s="39"/>
      <c r="AC43" s="39"/>
      <c r="AD43" s="39"/>
      <c r="AE43" s="39"/>
      <c r="AF43" s="39"/>
      <c r="AG43" s="39"/>
      <c r="AH43" s="39"/>
    </row>
    <row r="44" spans="2:34" ht="12.6">
      <c r="B44" s="9" t="s">
        <v>342</v>
      </c>
      <c r="C44" s="9"/>
      <c r="D44" s="145">
        <f>Machines!E202</f>
        <v>1700</v>
      </c>
      <c r="E44" s="145">
        <f>Machines!D202</f>
        <v>1700</v>
      </c>
      <c r="F44" s="145">
        <f>Machines!F202</f>
        <v>1200</v>
      </c>
      <c r="G44" s="145">
        <f>Machines!F202</f>
        <v>1200</v>
      </c>
      <c r="J44" s="170" t="s">
        <v>131</v>
      </c>
      <c r="K44" s="201"/>
      <c r="L44" s="201"/>
      <c r="M44" s="201"/>
      <c r="N44" s="201">
        <f t="shared" ref="N44:N45" si="16">G40</f>
        <v>15944.444444444445</v>
      </c>
      <c r="O44" s="170"/>
      <c r="Q44" s="202">
        <f>$N$44*'Learning rates'!D15</f>
        <v>15181.578252837162</v>
      </c>
      <c r="R44" s="202">
        <f>$N$44*'Learning rates'!E15</f>
        <v>14424.122459751914</v>
      </c>
      <c r="S44" s="202">
        <f>$N$44*'Learning rates'!F15</f>
        <v>13661.256268144629</v>
      </c>
      <c r="T44" s="202">
        <f>$N$44*'Learning rates'!G15</f>
        <v>12903.800475059381</v>
      </c>
      <c r="U44" s="202">
        <f>$N$44*'Learning rates'!H15</f>
        <v>12140.934283452099</v>
      </c>
      <c r="V44" s="202">
        <f>$N$44*'Learning rates'!I15</f>
        <v>11378.068091844816</v>
      </c>
      <c r="W44" s="202">
        <f>$N$44*'Learning rates'!J15</f>
        <v>10620.612298759568</v>
      </c>
      <c r="Y44" s="39"/>
      <c r="Z44" s="39"/>
      <c r="AA44" s="39"/>
      <c r="AB44" s="39"/>
      <c r="AC44" s="39"/>
      <c r="AD44" s="39"/>
      <c r="AE44" s="39"/>
      <c r="AF44" s="39"/>
      <c r="AG44" s="39"/>
      <c r="AH44" s="39"/>
    </row>
    <row r="45" spans="2:34" ht="12.6">
      <c r="B45" s="9" t="s">
        <v>343</v>
      </c>
      <c r="C45" s="9"/>
      <c r="D45" s="145">
        <f ca="1">Machines!D265*(C8/1.8)</f>
        <v>68000</v>
      </c>
      <c r="E45" s="145">
        <f ca="1">Machines!D265*(C8/1.8)</f>
        <v>68000</v>
      </c>
      <c r="F45" s="145">
        <f ca="1">Machines!F265*(C8/1.8)</f>
        <v>103000</v>
      </c>
      <c r="G45" s="145">
        <f ca="1">Machines!F265*(C8/1.8)</f>
        <v>103000</v>
      </c>
      <c r="J45" s="203" t="s">
        <v>334</v>
      </c>
      <c r="K45" s="204"/>
      <c r="L45" s="204"/>
      <c r="M45" s="204"/>
      <c r="N45" s="204">
        <f t="shared" si="16"/>
        <v>7000</v>
      </c>
      <c r="O45" s="203"/>
      <c r="Q45" s="204">
        <f>$N$45*'Learning rates'!D20</f>
        <v>5035.7859222291263</v>
      </c>
      <c r="R45" s="204">
        <f>$N$45*'Learning rates'!E20</f>
        <v>4753.1030895600379</v>
      </c>
      <c r="S45" s="204">
        <f>$N$45*'Learning rates'!F20</f>
        <v>4511.2621465564198</v>
      </c>
      <c r="T45" s="204">
        <f>$N$45*'Learning rates'!G20</f>
        <v>4348.7198482535314</v>
      </c>
      <c r="U45" s="204">
        <f>$N$45*'Learning rates'!H20</f>
        <v>4186.179438418284</v>
      </c>
      <c r="V45" s="204">
        <f>$N$45*'Learning rates'!I20</f>
        <v>4023.6390285830375</v>
      </c>
      <c r="W45" s="204">
        <f>$N$45*'Learning rates'!J20</f>
        <v>3861.0967302801487</v>
      </c>
      <c r="Y45" s="39"/>
      <c r="Z45" s="39"/>
      <c r="AA45" s="39"/>
      <c r="AB45" s="39"/>
      <c r="AC45" s="39"/>
      <c r="AD45" s="39"/>
      <c r="AE45" s="39"/>
      <c r="AF45" s="39"/>
      <c r="AG45" s="39"/>
      <c r="AH45" s="39"/>
    </row>
    <row r="46" spans="2:34" ht="12.6">
      <c r="B46" s="9" t="s">
        <v>344</v>
      </c>
      <c r="C46" s="9"/>
      <c r="D46" s="145">
        <f t="shared" ref="D46:E46" ca="1" si="17">D39/$C$20</f>
        <v>5312</v>
      </c>
      <c r="E46" s="145">
        <f t="shared" ca="1" si="17"/>
        <v>5312</v>
      </c>
      <c r="F46" s="145"/>
      <c r="G46" s="145"/>
      <c r="J46" s="5" t="s">
        <v>268</v>
      </c>
      <c r="K46" s="5"/>
      <c r="L46" s="5"/>
      <c r="M46" s="84">
        <f t="shared" ref="M46:N46" si="18">F47*$C$21</f>
        <v>22572</v>
      </c>
      <c r="N46" s="84">
        <f t="shared" si="18"/>
        <v>22572</v>
      </c>
      <c r="O46" s="5"/>
      <c r="Q46" s="27">
        <f t="shared" ref="Q46:W46" si="19">$G$47*$C$21</f>
        <v>22572</v>
      </c>
      <c r="R46" s="27">
        <f t="shared" si="19"/>
        <v>22572</v>
      </c>
      <c r="S46" s="27">
        <f t="shared" si="19"/>
        <v>22572</v>
      </c>
      <c r="T46" s="27">
        <f t="shared" si="19"/>
        <v>22572</v>
      </c>
      <c r="U46" s="27">
        <f t="shared" si="19"/>
        <v>22572</v>
      </c>
      <c r="V46" s="27">
        <f t="shared" si="19"/>
        <v>22572</v>
      </c>
      <c r="W46" s="27">
        <f t="shared" si="19"/>
        <v>22572</v>
      </c>
      <c r="Y46" s="39" t="s">
        <v>345</v>
      </c>
      <c r="Z46" s="39"/>
      <c r="AA46" s="39"/>
      <c r="AB46" s="39"/>
      <c r="AC46" s="39"/>
      <c r="AD46" s="39"/>
      <c r="AE46" s="39"/>
      <c r="AF46" s="39"/>
      <c r="AG46" s="39"/>
      <c r="AH46" s="39"/>
    </row>
    <row r="47" spans="2:34" ht="12.6">
      <c r="B47" s="9" t="s">
        <v>268</v>
      </c>
      <c r="C47" s="9"/>
      <c r="D47" s="145"/>
      <c r="E47" s="145"/>
      <c r="F47" s="145">
        <f>((Machines!I259*C8)*C9)*(76/1000)</f>
        <v>1504.8</v>
      </c>
      <c r="G47" s="145">
        <f>((Machines!I259*C8)*C9)*(76/1000)</f>
        <v>1504.8</v>
      </c>
      <c r="J47" s="37" t="str">
        <f>"Finance at "&amp;TEXT(C18,"0.0%")</f>
        <v>Finance at 5.5%</v>
      </c>
      <c r="K47" s="89">
        <f ca="1">((CUMIPMT(C18,$C$20,SUM(K40:K45), 1,$C$20,1)*-1))</f>
        <v>33184.942423952903</v>
      </c>
      <c r="L47" s="89">
        <f ca="1">((CUMIPMT($C$18,$C$20,SUM(L40:L45), 1,$C$20,1)*-1))</f>
        <v>33184.942423952903</v>
      </c>
      <c r="M47" s="89">
        <f t="shared" ref="M47:N47" ca="1" si="20">((CUMIPMT($C$18,$C$20,SUM(M40:M45), 1,$C$20,1)*-1))-M48</f>
        <v>40272.669245251745</v>
      </c>
      <c r="N47" s="89">
        <f t="shared" ca="1" si="20"/>
        <v>48196.13024788558</v>
      </c>
      <c r="O47" s="89"/>
      <c r="P47" s="27"/>
      <c r="Q47" s="89">
        <f t="shared" ref="Q47:W47" ca="1" si="21">((CUMIPMT($C$18,$C$20,SUM(Q40:Q45), 1,$C$20,1)*-1))-Q48</f>
        <v>42073.38904260534</v>
      </c>
      <c r="R47" s="89">
        <f t="shared" ca="1" si="21"/>
        <v>38643.964479932707</v>
      </c>
      <c r="S47" s="89">
        <f t="shared" ca="1" si="21"/>
        <v>36162.808229042159</v>
      </c>
      <c r="T47" s="89">
        <f t="shared" ca="1" si="21"/>
        <v>33949.600389215761</v>
      </c>
      <c r="U47" s="89">
        <f t="shared" ca="1" si="21"/>
        <v>31495.829185000344</v>
      </c>
      <c r="V47" s="89">
        <f t="shared" ca="1" si="21"/>
        <v>29276.066147901132</v>
      </c>
      <c r="W47" s="89">
        <f t="shared" ca="1" si="21"/>
        <v>28696.228014593056</v>
      </c>
      <c r="Y47" s="39" t="str">
        <f>"Savings with " &amp; TEXT(C18,"0.0%") &amp; " finance"</f>
        <v>Savings with 5.5% finance</v>
      </c>
      <c r="Z47" s="197">
        <f t="shared" ref="Z47:Z48" ca="1" si="22">Z40/$C$21</f>
        <v>1485.4862836671412</v>
      </c>
      <c r="AA47" s="39"/>
      <c r="AB47" s="197">
        <f t="shared" ref="AB47:AH47" ca="1" si="23">AB40/$C$21</f>
        <v>3151.542616258123</v>
      </c>
      <c r="AC47" s="197">
        <f t="shared" ca="1" si="23"/>
        <v>4072.8866443180477</v>
      </c>
      <c r="AD47" s="197">
        <f t="shared" ca="1" si="23"/>
        <v>4734.924807436465</v>
      </c>
      <c r="AE47" s="197">
        <f t="shared" ca="1" si="23"/>
        <v>5323.6919420628265</v>
      </c>
      <c r="AF47" s="197">
        <f t="shared" ca="1" si="23"/>
        <v>5978.241609439754</v>
      </c>
      <c r="AG47" s="197">
        <f t="shared" ca="1" si="23"/>
        <v>6568.8012758607274</v>
      </c>
      <c r="AH47" s="197">
        <f t="shared" ca="1" si="23"/>
        <v>6710.9202000011537</v>
      </c>
    </row>
    <row r="48" spans="2:34" ht="12.6">
      <c r="B48" s="9" t="s">
        <v>346</v>
      </c>
      <c r="C48" s="9"/>
      <c r="D48" s="145">
        <f>((Vehicles!B114*C8)*C9)</f>
        <v>2039.675714267961</v>
      </c>
      <c r="E48" s="145">
        <f>((Vehicles!B114*C8)*C9)</f>
        <v>2039.675714267961</v>
      </c>
      <c r="F48" s="145">
        <f>((Vehicles!C114*C8)*C9)</f>
        <v>1231.8833521816398</v>
      </c>
      <c r="G48" s="145">
        <f>((Vehicles!C114*C8)*C9)</f>
        <v>1231.8833521816398</v>
      </c>
      <c r="J48" s="37" t="str">
        <f>"Finance at "&amp;TEXT(C19,"0%")</f>
        <v>Finance at 1%</v>
      </c>
      <c r="K48" s="89"/>
      <c r="L48" s="89"/>
      <c r="M48" s="89">
        <f ca="1">((CUMIPMT(C19,$C$20,SUM(M40:M45), 1,$C$20,1)*-1))</f>
        <v>8296.9590865930077</v>
      </c>
      <c r="N48" s="89">
        <f ca="1">((CUMIPMT($C$19,$C$20,SUM(N40:N45), 1,$C$20,1)*-1))</f>
        <v>9929.3473289199173</v>
      </c>
      <c r="O48" s="89"/>
      <c r="P48" s="27"/>
      <c r="Q48" s="89">
        <f t="shared" ref="Q48:W48" ca="1" si="24">((CUMIPMT($C$19,$C$20,SUM(Q40:Q45), 1,$C$20,1)*-1))</f>
        <v>8667.9426534898957</v>
      </c>
      <c r="R48" s="89">
        <f t="shared" ca="1" si="24"/>
        <v>7961.413987267777</v>
      </c>
      <c r="S48" s="89">
        <f t="shared" ca="1" si="24"/>
        <v>7450.2471764532384</v>
      </c>
      <c r="T48" s="89">
        <f t="shared" ca="1" si="24"/>
        <v>6994.2829892934387</v>
      </c>
      <c r="U48" s="89">
        <f t="shared" ca="1" si="24"/>
        <v>6488.7580347578041</v>
      </c>
      <c r="V48" s="89">
        <f t="shared" ca="1" si="24"/>
        <v>6031.4433484978363</v>
      </c>
      <c r="W48" s="89">
        <f t="shared" ca="1" si="24"/>
        <v>5911.985329969044</v>
      </c>
      <c r="Y48" s="39" t="str">
        <f>"Savings with " &amp; TEXT(C19,"0%") &amp; " finance"</f>
        <v>Savings with 1% finance</v>
      </c>
      <c r="Z48" s="197">
        <f t="shared" ca="1" si="22"/>
        <v>4698.5616335261784</v>
      </c>
      <c r="AA48" s="39"/>
      <c r="AB48" s="197">
        <f t="shared" ref="AB48:AH48" ca="1" si="25">AB41/$C$21</f>
        <v>5956.4352190984764</v>
      </c>
      <c r="AC48" s="197">
        <f t="shared" ca="1" si="25"/>
        <v>6649.1509429802263</v>
      </c>
      <c r="AD48" s="197">
        <f t="shared" ca="1" si="25"/>
        <v>7145.7786893726097</v>
      </c>
      <c r="AE48" s="197">
        <f t="shared" ca="1" si="25"/>
        <v>7586.9986346772139</v>
      </c>
      <c r="AF48" s="197">
        <f t="shared" ca="1" si="25"/>
        <v>8077.963555106443</v>
      </c>
      <c r="AG48" s="197">
        <f t="shared" ca="1" si="25"/>
        <v>8520.5390190541402</v>
      </c>
      <c r="AH48" s="197">
        <f t="shared" ca="1" si="25"/>
        <v>8624.0020676406912</v>
      </c>
    </row>
    <row r="49" spans="2:32" ht="12.95">
      <c r="B49" s="194" t="s">
        <v>136</v>
      </c>
      <c r="C49" s="205"/>
      <c r="D49" s="205"/>
      <c r="E49" s="205"/>
      <c r="F49" s="205"/>
      <c r="G49" s="205"/>
      <c r="J49" s="51" t="s">
        <v>267</v>
      </c>
      <c r="K49" s="200">
        <f t="shared" ref="K49:N49" si="26">D48*$C$21</f>
        <v>30595.135714019416</v>
      </c>
      <c r="L49" s="200">
        <f t="shared" si="26"/>
        <v>30595.135714019416</v>
      </c>
      <c r="M49" s="200">
        <f t="shared" si="26"/>
        <v>18478.250282724595</v>
      </c>
      <c r="N49" s="200">
        <f t="shared" si="26"/>
        <v>18478.250282724595</v>
      </c>
      <c r="O49" s="51"/>
      <c r="Q49" s="27">
        <f t="shared" ref="Q49:W49" si="27">$G$48*$C$21</f>
        <v>18478.250282724595</v>
      </c>
      <c r="R49" s="27">
        <f t="shared" si="27"/>
        <v>18478.250282724595</v>
      </c>
      <c r="S49" s="27">
        <f t="shared" si="27"/>
        <v>18478.250282724595</v>
      </c>
      <c r="T49" s="27">
        <f t="shared" si="27"/>
        <v>18478.250282724595</v>
      </c>
      <c r="U49" s="27">
        <f t="shared" si="27"/>
        <v>18478.250282724595</v>
      </c>
      <c r="V49" s="27">
        <f t="shared" si="27"/>
        <v>18478.250282724595</v>
      </c>
      <c r="W49" s="27">
        <f t="shared" si="27"/>
        <v>18478.250282724595</v>
      </c>
      <c r="Y49" s="39"/>
      <c r="Z49" s="39"/>
      <c r="AA49" s="39"/>
      <c r="AB49" s="39"/>
      <c r="AC49" s="39"/>
      <c r="AD49" s="39"/>
      <c r="AE49" s="39"/>
      <c r="AF49" s="39"/>
    </row>
    <row r="50" spans="2:32" ht="12.6">
      <c r="B50" s="96" t="s">
        <v>347</v>
      </c>
      <c r="C50" s="96"/>
      <c r="D50" s="88">
        <f>D66*AVERAGE('CPI Energy'!AT49:BH49)</f>
        <v>822.2277957040701</v>
      </c>
      <c r="E50" s="88">
        <f>E66*AVERAGE('CPI Energy'!AT49:BH49)</f>
        <v>822.2277957040701</v>
      </c>
      <c r="F50" s="88">
        <f ca="1">F66*AVERAGE('CPI Energy'!AT49:BH49)</f>
        <v>2916.819450759378</v>
      </c>
      <c r="G50" s="88">
        <f ca="1">C30*AVERAGE('CPI Energy'!AT49:BH49)</f>
        <v>867.05262507404746</v>
      </c>
      <c r="J50" s="102" t="s">
        <v>348</v>
      </c>
      <c r="K50" s="196">
        <f ca="1">D62*C21</f>
        <v>143599.2390279565</v>
      </c>
      <c r="L50" s="196">
        <f ca="1">E62*C21</f>
        <v>133216.49683346853</v>
      </c>
      <c r="M50" s="196">
        <f ca="1">F62*C21</f>
        <v>54087.291761390668</v>
      </c>
      <c r="N50" s="196">
        <f ca="1">C21*((($C$30*AVERAGE('CPI Energy'!AT49:BH49)))+Machines!$D$291+G52)</f>
        <v>20845.479509703164</v>
      </c>
      <c r="O50" s="102"/>
      <c r="Q50" s="196">
        <f ca="1">C21*(($C$30*AVERAGE('CPI Energy'!AU49:BI49))+Machines!$D$291+G52)</f>
        <v>20968.77180121158</v>
      </c>
      <c r="R50" s="196">
        <f ca="1">C21*(($C$30*AVERAGE('CPI Energy'!AV49:BJ49))+Machines!$D$291+G52)</f>
        <v>21215.356384228417</v>
      </c>
      <c r="S50" s="196">
        <f ca="1">C21*(($C$30*AVERAGE('CPI Energy'!AW49:BK49))+Machines!$D$291+G52)</f>
        <v>21461.940967245257</v>
      </c>
      <c r="T50" s="196">
        <f ca="1">C21*(($C$30*AVERAGE('CPI Energy'!AX49:BL49))+Machines!$D$291+G52)</f>
        <v>21708.525550262097</v>
      </c>
      <c r="U50" s="196">
        <f ca="1">C21*(($C$30*AVERAGE('CPI Energy'!AY49:BM49))+Machines!$D$291+G52)</f>
        <v>21955.110133278933</v>
      </c>
      <c r="V50" s="196">
        <f ca="1">C21*(($C$30*AVERAGE('CPI Energy'!AZ49:BN49))+Machines!$D$291+G52)</f>
        <v>22201.694716295773</v>
      </c>
      <c r="W50" s="196">
        <f ca="1">C21*(($C$30*AVERAGE('CPI Energy'!BA49:BO49))+Machines!$D$291+G52)</f>
        <v>22448.27929931261</v>
      </c>
    </row>
    <row r="51" spans="2:32" ht="12.6">
      <c r="B51" s="96" t="s">
        <v>349</v>
      </c>
      <c r="C51" s="96"/>
      <c r="D51" s="88">
        <f>Machines!D291</f>
        <v>689</v>
      </c>
      <c r="E51" s="88">
        <f>Machines!D291</f>
        <v>689</v>
      </c>
      <c r="F51" s="88">
        <f>Machines!D291</f>
        <v>689</v>
      </c>
      <c r="G51" s="88">
        <f>Machines!D291</f>
        <v>689</v>
      </c>
      <c r="J51" s="9" t="str">
        <f>"Total at "&amp;TEXT(C18,"0.0%")</f>
        <v>Total at 5.5%</v>
      </c>
      <c r="K51" s="145">
        <f t="shared" ref="K51:N51" ca="1" si="28">SUM(K40:K50)</f>
        <v>287059.31716592883</v>
      </c>
      <c r="L51" s="145">
        <f t="shared" ca="1" si="28"/>
        <v>276676.57497144083</v>
      </c>
      <c r="M51" s="145">
        <f t="shared" ca="1" si="28"/>
        <v>260327.17037596001</v>
      </c>
      <c r="N51" s="145">
        <f t="shared" ca="1" si="28"/>
        <v>259585.65181367772</v>
      </c>
      <c r="O51" s="9"/>
    </row>
    <row r="52" spans="2:32" ht="12.6">
      <c r="B52" s="96" t="s">
        <v>350</v>
      </c>
      <c r="C52" s="96"/>
      <c r="D52" s="206" t="s">
        <v>89</v>
      </c>
      <c r="E52" s="206" t="s">
        <v>89</v>
      </c>
      <c r="F52" s="206" t="s">
        <v>89</v>
      </c>
      <c r="G52" s="88">
        <f ca="1">C32*C13</f>
        <v>-166.35399109383667</v>
      </c>
      <c r="J52" s="9" t="s">
        <v>351</v>
      </c>
      <c r="K52" s="145">
        <f t="shared" ref="K52:L52" ca="1" si="29">SUM(K48:K50,K40:K47)</f>
        <v>287059.31716592883</v>
      </c>
      <c r="L52" s="145">
        <f t="shared" ca="1" si="29"/>
        <v>276676.57497144083</v>
      </c>
      <c r="M52" s="145">
        <f t="shared" ref="M52:N52" ca="1" si="30">SUM(M48:M50,M40:M46)</f>
        <v>220054.50113070826</v>
      </c>
      <c r="N52" s="145">
        <f t="shared" ca="1" si="30"/>
        <v>211389.52156579212</v>
      </c>
      <c r="O52" s="9"/>
    </row>
    <row r="53" spans="2:32" ht="12.6">
      <c r="B53" s="107" t="s">
        <v>352</v>
      </c>
      <c r="C53" s="107"/>
      <c r="D53" s="207">
        <f t="shared" ref="D53:G53" si="31">SUM(D50:D52)</f>
        <v>1511.2277957040701</v>
      </c>
      <c r="E53" s="207">
        <f t="shared" si="31"/>
        <v>1511.2277957040701</v>
      </c>
      <c r="F53" s="207">
        <f t="shared" ca="1" si="31"/>
        <v>3605.819450759378</v>
      </c>
      <c r="G53" s="207">
        <f t="shared" ca="1" si="31"/>
        <v>1389.6986339802108</v>
      </c>
      <c r="H53" s="10"/>
    </row>
    <row r="54" spans="2:32" ht="12.6">
      <c r="B54" s="29" t="s">
        <v>353</v>
      </c>
      <c r="C54" s="29"/>
      <c r="D54" s="208"/>
      <c r="E54" s="208">
        <f>E69*AVERAGE('CPI Energy'!AT52:BH52)</f>
        <v>935.11285577340607</v>
      </c>
      <c r="F54" s="208"/>
      <c r="G54" s="208"/>
      <c r="J54" s="42" t="s">
        <v>354</v>
      </c>
      <c r="K54" s="209">
        <f ca="1">D79*15</f>
        <v>105265.70668030879</v>
      </c>
      <c r="L54" s="210">
        <f ca="1">E79*$C$20</f>
        <v>105152.82450340134</v>
      </c>
      <c r="M54" s="210">
        <f ca="1">F79*15</f>
        <v>15008.65555996605</v>
      </c>
      <c r="N54" s="210">
        <f ca="1">G79*$C$20</f>
        <v>4461.4671637330248</v>
      </c>
      <c r="O54" s="210"/>
      <c r="Q54" s="210"/>
      <c r="R54" s="210"/>
      <c r="S54" s="210"/>
      <c r="T54" s="210"/>
      <c r="U54" s="210"/>
      <c r="V54" s="210"/>
      <c r="W54" s="210"/>
    </row>
    <row r="55" spans="2:32" ht="12.6">
      <c r="B55" s="29" t="s">
        <v>355</v>
      </c>
      <c r="C55" s="29"/>
      <c r="D55" s="208"/>
      <c r="E55" s="208">
        <f>Machines!D292</f>
        <v>587</v>
      </c>
      <c r="F55" s="208"/>
      <c r="G55" s="208"/>
      <c r="N55" s="211">
        <f ca="1">L54-N54</f>
        <v>100691.35733966832</v>
      </c>
      <c r="O55" s="10">
        <f ca="1">N55/15</f>
        <v>6712.757155977888</v>
      </c>
    </row>
    <row r="56" spans="2:32" ht="12.6">
      <c r="B56" s="4" t="s">
        <v>356</v>
      </c>
      <c r="C56" s="4"/>
      <c r="D56" s="212">
        <f t="shared" ref="D56:G56" si="32">SUM(D54:D55)</f>
        <v>0</v>
      </c>
      <c r="E56" s="212">
        <f t="shared" si="32"/>
        <v>1522.112855773406</v>
      </c>
      <c r="F56" s="212">
        <f t="shared" si="32"/>
        <v>0</v>
      </c>
      <c r="G56" s="212">
        <f t="shared" si="32"/>
        <v>0</v>
      </c>
      <c r="J56" s="9" t="s">
        <v>345</v>
      </c>
      <c r="K56" s="42"/>
      <c r="L56" s="42"/>
      <c r="M56" s="3"/>
      <c r="N56" s="170"/>
      <c r="O56" s="9"/>
      <c r="Q56" s="9"/>
      <c r="R56" s="9"/>
      <c r="S56" s="9"/>
      <c r="T56" s="9"/>
      <c r="U56" s="9"/>
      <c r="V56" s="9"/>
      <c r="W56" s="9"/>
      <c r="Y56" s="13" t="s">
        <v>357</v>
      </c>
      <c r="Z56" s="13" t="str">
        <f t="shared" ref="Z56:AC56" si="33">K37</f>
        <v>LPG appliances &amp; petrol vehicles</v>
      </c>
      <c r="AA56" s="13" t="str">
        <f t="shared" si="33"/>
        <v>Gas appliances &amp; petrol vehicles</v>
      </c>
      <c r="AB56" s="13" t="str">
        <f t="shared" si="33"/>
        <v>Electrified home &amp; vehicles on grid only</v>
      </c>
      <c r="AC56" s="13" t="str">
        <f t="shared" si="33"/>
        <v>Electrified appliances &amp; vehicles with solar &amp; battery</v>
      </c>
      <c r="AD56" s="13" t="str">
        <f>"Savings at " &amp; TEXT(C18,"0.0%") &amp; " finance (average)"</f>
        <v>Savings at 5.5% finance (average)</v>
      </c>
      <c r="AE56" s="13" t="str">
        <f>"Savings at " &amp; TEXT(C19,"0%") &amp; " finance (average)"</f>
        <v>Savings at 1% finance (average)</v>
      </c>
      <c r="AF56" s="10" t="s">
        <v>358</v>
      </c>
    </row>
    <row r="57" spans="2:32" ht="12.6">
      <c r="B57" s="98" t="s">
        <v>38</v>
      </c>
      <c r="C57" s="98"/>
      <c r="D57" s="83">
        <f>D70*AVERAGE('CPI Energy'!AT53:BH53)</f>
        <v>2075.2956687392702</v>
      </c>
      <c r="E57" s="83"/>
      <c r="F57" s="83"/>
      <c r="G57" s="83"/>
      <c r="J57" s="9" t="str">
        <f t="shared" ref="J57:J62" si="34">J40</f>
        <v>Space heaters</v>
      </c>
      <c r="K57" s="213">
        <f t="shared" ref="K57:N57" si="35">K40/$C$21</f>
        <v>426.66666666666669</v>
      </c>
      <c r="L57" s="213">
        <f t="shared" si="35"/>
        <v>426.66666666666669</v>
      </c>
      <c r="M57" s="214">
        <f t="shared" si="35"/>
        <v>360</v>
      </c>
      <c r="N57" s="201">
        <f t="shared" si="35"/>
        <v>360</v>
      </c>
      <c r="O57" s="9"/>
      <c r="Q57" s="145">
        <f t="shared" ref="Q57:W57" si="36">Q40/$C$21</f>
        <v>357.24590163934425</v>
      </c>
      <c r="R57" s="145">
        <f t="shared" si="36"/>
        <v>354.88524590163939</v>
      </c>
      <c r="S57" s="145">
        <f t="shared" si="36"/>
        <v>352.52459016393442</v>
      </c>
      <c r="T57" s="145">
        <f t="shared" si="36"/>
        <v>350.55737704918033</v>
      </c>
      <c r="U57" s="145">
        <f t="shared" si="36"/>
        <v>348.19672131147541</v>
      </c>
      <c r="V57" s="145">
        <f t="shared" si="36"/>
        <v>345.8360655737705</v>
      </c>
      <c r="W57" s="145">
        <f t="shared" si="36"/>
        <v>343.47540983606558</v>
      </c>
      <c r="Y57" s="13" t="str">
        <f t="shared" ref="Y57:AC57" si="37">J57</f>
        <v>Space heaters</v>
      </c>
      <c r="Z57" s="73">
        <f t="shared" si="37"/>
        <v>426.66666666666669</v>
      </c>
      <c r="AA57" s="73">
        <f t="shared" si="37"/>
        <v>426.66666666666669</v>
      </c>
      <c r="AB57" s="73">
        <f t="shared" si="37"/>
        <v>360</v>
      </c>
      <c r="AC57" s="73">
        <f t="shared" si="37"/>
        <v>360</v>
      </c>
      <c r="AE57" s="13"/>
      <c r="AF57" s="27">
        <f t="shared" ref="AF57:AF60" si="38">AVERAGE(Z57:AA57)</f>
        <v>426.66666666666669</v>
      </c>
    </row>
    <row r="58" spans="2:32" ht="12.6">
      <c r="B58" s="98" t="s">
        <v>359</v>
      </c>
      <c r="C58" s="98"/>
      <c r="D58" s="83">
        <f>Machines!D293</f>
        <v>139</v>
      </c>
      <c r="E58" s="83"/>
      <c r="F58" s="83"/>
      <c r="G58" s="83"/>
      <c r="J58" s="9" t="str">
        <f t="shared" si="34"/>
        <v>Water heater</v>
      </c>
      <c r="K58" s="213">
        <f t="shared" ref="K58:N58" si="39">K41/$C$21</f>
        <v>238.66666666666666</v>
      </c>
      <c r="L58" s="213">
        <f t="shared" si="39"/>
        <v>238.66666666666666</v>
      </c>
      <c r="M58" s="214">
        <f t="shared" si="39"/>
        <v>468</v>
      </c>
      <c r="N58" s="201">
        <f t="shared" si="39"/>
        <v>468</v>
      </c>
      <c r="O58" s="9"/>
      <c r="Q58" s="145">
        <f t="shared" ref="Q58:W58" si="40">Q41/$C$21</f>
        <v>464.41967213114748</v>
      </c>
      <c r="R58" s="145">
        <f t="shared" si="40"/>
        <v>461.35081967213119</v>
      </c>
      <c r="S58" s="145">
        <f t="shared" si="40"/>
        <v>458.28196721311474</v>
      </c>
      <c r="T58" s="145">
        <f t="shared" si="40"/>
        <v>455.72459016393441</v>
      </c>
      <c r="U58" s="145">
        <f t="shared" si="40"/>
        <v>452.65573770491807</v>
      </c>
      <c r="V58" s="145">
        <f t="shared" si="40"/>
        <v>449.58688524590167</v>
      </c>
      <c r="W58" s="145">
        <f t="shared" si="40"/>
        <v>446.51803278688527</v>
      </c>
      <c r="Y58" s="13" t="str">
        <f t="shared" ref="Y58:AC58" si="41">J58</f>
        <v>Water heater</v>
      </c>
      <c r="Z58" s="73">
        <f t="shared" si="41"/>
        <v>238.66666666666666</v>
      </c>
      <c r="AA58" s="73">
        <f t="shared" si="41"/>
        <v>238.66666666666666</v>
      </c>
      <c r="AB58" s="73">
        <f t="shared" si="41"/>
        <v>468</v>
      </c>
      <c r="AC58" s="73">
        <f t="shared" si="41"/>
        <v>468</v>
      </c>
      <c r="AE58" s="13"/>
      <c r="AF58" s="27">
        <f t="shared" si="38"/>
        <v>238.66666666666666</v>
      </c>
    </row>
    <row r="59" spans="2:32" ht="12.6">
      <c r="B59" s="5" t="s">
        <v>360</v>
      </c>
      <c r="C59" s="5"/>
      <c r="D59" s="84">
        <f t="shared" ref="D59:G59" si="42">SUM(D57:D58)</f>
        <v>2214.2956687392702</v>
      </c>
      <c r="E59" s="84">
        <f t="shared" si="42"/>
        <v>0</v>
      </c>
      <c r="F59" s="84">
        <f t="shared" si="42"/>
        <v>0</v>
      </c>
      <c r="G59" s="84">
        <f t="shared" si="42"/>
        <v>0</v>
      </c>
      <c r="J59" s="9" t="str">
        <f t="shared" si="34"/>
        <v>Cooktop</v>
      </c>
      <c r="K59" s="213">
        <f t="shared" ref="K59:N59" si="43">K42/$C$21</f>
        <v>113.33333333333333</v>
      </c>
      <c r="L59" s="213">
        <f t="shared" si="43"/>
        <v>113.33333333333333</v>
      </c>
      <c r="M59" s="214">
        <f t="shared" si="43"/>
        <v>80</v>
      </c>
      <c r="N59" s="201">
        <f t="shared" si="43"/>
        <v>80</v>
      </c>
      <c r="O59" s="9"/>
      <c r="Q59" s="145">
        <f t="shared" ref="Q59:W59" si="44">Q42/$C$21</f>
        <v>80</v>
      </c>
      <c r="R59" s="145">
        <f t="shared" si="44"/>
        <v>80</v>
      </c>
      <c r="S59" s="145">
        <f t="shared" si="44"/>
        <v>80</v>
      </c>
      <c r="T59" s="145">
        <f t="shared" si="44"/>
        <v>80</v>
      </c>
      <c r="U59" s="145">
        <f t="shared" si="44"/>
        <v>80</v>
      </c>
      <c r="V59" s="145">
        <f t="shared" si="44"/>
        <v>80</v>
      </c>
      <c r="W59" s="145">
        <f t="shared" si="44"/>
        <v>80</v>
      </c>
      <c r="Y59" s="13" t="str">
        <f t="shared" ref="Y59:AC59" si="45">J59</f>
        <v>Cooktop</v>
      </c>
      <c r="Z59" s="73">
        <f t="shared" si="45"/>
        <v>113.33333333333333</v>
      </c>
      <c r="AA59" s="73">
        <f t="shared" si="45"/>
        <v>113.33333333333333</v>
      </c>
      <c r="AB59" s="73">
        <f t="shared" si="45"/>
        <v>80</v>
      </c>
      <c r="AC59" s="73">
        <f t="shared" si="45"/>
        <v>80</v>
      </c>
      <c r="AE59" s="13"/>
      <c r="AF59" s="27">
        <f t="shared" si="38"/>
        <v>113.33333333333333</v>
      </c>
    </row>
    <row r="60" spans="2:32" ht="12.6">
      <c r="B60" s="215" t="s">
        <v>40</v>
      </c>
      <c r="C60" s="215"/>
      <c r="D60" s="216">
        <f ca="1">D71*AVERAGE('CPI Energy'!AT55:BH55)</f>
        <v>5847.7591374204258</v>
      </c>
      <c r="E60" s="216">
        <f ca="1">E71*AVERAGE('CPI Energy'!AT55:BH55)</f>
        <v>5847.7591374204258</v>
      </c>
      <c r="F60" s="216"/>
      <c r="G60" s="216"/>
      <c r="J60" s="9" t="str">
        <f t="shared" si="34"/>
        <v>Vehicle(s)</v>
      </c>
      <c r="K60" s="213">
        <f t="shared" ref="K60:N60" ca="1" si="46">K43/$C$21</f>
        <v>4533.333333333333</v>
      </c>
      <c r="L60" s="213">
        <f t="shared" ca="1" si="46"/>
        <v>4533.333333333333</v>
      </c>
      <c r="M60" s="214">
        <f t="shared" ca="1" si="46"/>
        <v>6866.666666666667</v>
      </c>
      <c r="N60" s="201">
        <f t="shared" ca="1" si="46"/>
        <v>6866.666666666667</v>
      </c>
      <c r="O60" s="9"/>
      <c r="Q60" s="145">
        <f t="shared" ref="Q60:W60" ca="1" si="47">Q43/$C$21</f>
        <v>5872.8070175438597</v>
      </c>
      <c r="R60" s="145">
        <f t="shared" ca="1" si="47"/>
        <v>5285.5263157894724</v>
      </c>
      <c r="S60" s="145">
        <f t="shared" ca="1" si="47"/>
        <v>4878.9473684210525</v>
      </c>
      <c r="T60" s="145">
        <f t="shared" ca="1" si="47"/>
        <v>4517.5438596491231</v>
      </c>
      <c r="U60" s="145">
        <f t="shared" ca="1" si="47"/>
        <v>4110.9649122807014</v>
      </c>
      <c r="V60" s="145">
        <f t="shared" ca="1" si="47"/>
        <v>3749.5614035087719</v>
      </c>
      <c r="W60" s="145">
        <f t="shared" ca="1" si="47"/>
        <v>3704.385964912281</v>
      </c>
      <c r="Y60" s="13" t="str">
        <f t="shared" ref="Y60:AC60" si="48">J60</f>
        <v>Vehicle(s)</v>
      </c>
      <c r="Z60" s="73">
        <f t="shared" ca="1" si="48"/>
        <v>4533.333333333333</v>
      </c>
      <c r="AA60" s="73">
        <f t="shared" ca="1" si="48"/>
        <v>4533.333333333333</v>
      </c>
      <c r="AB60" s="73">
        <f t="shared" ca="1" si="48"/>
        <v>6866.666666666667</v>
      </c>
      <c r="AC60" s="73">
        <f t="shared" ca="1" si="48"/>
        <v>6866.666666666667</v>
      </c>
      <c r="AE60" s="13"/>
      <c r="AF60" s="27">
        <f t="shared" ca="1" si="38"/>
        <v>4533.333333333333</v>
      </c>
    </row>
    <row r="61" spans="2:32" ht="12.6">
      <c r="B61" s="7" t="s">
        <v>41</v>
      </c>
      <c r="C61" s="7"/>
      <c r="D61" s="198"/>
      <c r="E61" s="198"/>
      <c r="F61" s="198"/>
      <c r="G61" s="198"/>
      <c r="J61" s="9" t="str">
        <f t="shared" si="34"/>
        <v>Solar</v>
      </c>
      <c r="K61" s="42"/>
      <c r="L61" s="42"/>
      <c r="M61" s="3"/>
      <c r="N61" s="201">
        <f t="shared" ref="N61:N62" si="49">N44/$C$21</f>
        <v>1062.962962962963</v>
      </c>
      <c r="O61" s="9"/>
      <c r="Q61" s="145">
        <f t="shared" ref="Q61:W61" si="50">Q44/$C$21</f>
        <v>1012.1052168558108</v>
      </c>
      <c r="R61" s="145">
        <f t="shared" si="50"/>
        <v>961.60816398346094</v>
      </c>
      <c r="S61" s="145">
        <f t="shared" si="50"/>
        <v>910.75041787630857</v>
      </c>
      <c r="T61" s="145">
        <f t="shared" si="50"/>
        <v>860.25336500395872</v>
      </c>
      <c r="U61" s="145">
        <f t="shared" si="50"/>
        <v>809.39561889680658</v>
      </c>
      <c r="V61" s="145">
        <f t="shared" si="50"/>
        <v>758.53787278965444</v>
      </c>
      <c r="W61" s="145">
        <f t="shared" si="50"/>
        <v>708.04081991730459</v>
      </c>
      <c r="Y61" s="13" t="str">
        <f t="shared" ref="Y61:AC61" si="51">J61</f>
        <v>Solar</v>
      </c>
      <c r="Z61" s="13">
        <f t="shared" si="51"/>
        <v>0</v>
      </c>
      <c r="AA61" s="13">
        <f t="shared" si="51"/>
        <v>0</v>
      </c>
      <c r="AB61" s="13">
        <f t="shared" si="51"/>
        <v>0</v>
      </c>
      <c r="AC61" s="73">
        <f t="shared" si="51"/>
        <v>1062.962962962963</v>
      </c>
      <c r="AE61" s="13"/>
    </row>
    <row r="62" spans="2:32" ht="12.6">
      <c r="B62" s="203" t="s">
        <v>361</v>
      </c>
      <c r="C62" s="203"/>
      <c r="D62" s="204">
        <f t="shared" ref="D62:G62" ca="1" si="52">SUM(D53,D56,D59,D60:D61)</f>
        <v>9573.2826018637661</v>
      </c>
      <c r="E62" s="204">
        <f t="shared" ca="1" si="52"/>
        <v>8881.0997888979018</v>
      </c>
      <c r="F62" s="204">
        <f t="shared" ca="1" si="52"/>
        <v>3605.819450759378</v>
      </c>
      <c r="G62" s="204">
        <f t="shared" ca="1" si="52"/>
        <v>1389.6986339802108</v>
      </c>
      <c r="J62" s="9" t="str">
        <f t="shared" si="34"/>
        <v>Battery</v>
      </c>
      <c r="K62" s="42"/>
      <c r="L62" s="42"/>
      <c r="M62" s="3"/>
      <c r="N62" s="201">
        <f t="shared" si="49"/>
        <v>466.66666666666669</v>
      </c>
      <c r="O62" s="9"/>
      <c r="Q62" s="145">
        <f t="shared" ref="Q62:W62" si="53">Q45/$C$21</f>
        <v>335.71906148194176</v>
      </c>
      <c r="R62" s="145">
        <f t="shared" si="53"/>
        <v>316.87353930400252</v>
      </c>
      <c r="S62" s="145">
        <f t="shared" si="53"/>
        <v>300.75080977042796</v>
      </c>
      <c r="T62" s="145">
        <f t="shared" si="53"/>
        <v>289.91465655023541</v>
      </c>
      <c r="U62" s="145">
        <f t="shared" si="53"/>
        <v>279.07862922788559</v>
      </c>
      <c r="V62" s="145">
        <f t="shared" si="53"/>
        <v>268.24260190553582</v>
      </c>
      <c r="W62" s="145">
        <f t="shared" si="53"/>
        <v>257.40644868534326</v>
      </c>
      <c r="Y62" s="13" t="str">
        <f t="shared" ref="Y62:AC62" si="54">J62</f>
        <v>Battery</v>
      </c>
      <c r="Z62" s="13">
        <f t="shared" si="54"/>
        <v>0</v>
      </c>
      <c r="AA62" s="13">
        <f t="shared" si="54"/>
        <v>0</v>
      </c>
      <c r="AB62" s="13">
        <f t="shared" si="54"/>
        <v>0</v>
      </c>
      <c r="AC62" s="73">
        <f t="shared" si="54"/>
        <v>466.66666666666669</v>
      </c>
      <c r="AE62" s="13"/>
    </row>
    <row r="63" spans="2:32" ht="12.6">
      <c r="B63" s="203" t="s">
        <v>348</v>
      </c>
      <c r="C63" s="203"/>
      <c r="D63" s="204">
        <f t="shared" ref="D63:G63" ca="1" si="55">D62*$C$21</f>
        <v>143599.2390279565</v>
      </c>
      <c r="E63" s="204">
        <f t="shared" ca="1" si="55"/>
        <v>133216.49683346853</v>
      </c>
      <c r="F63" s="204">
        <f t="shared" ca="1" si="55"/>
        <v>54087.291761390668</v>
      </c>
      <c r="G63" s="204">
        <f t="shared" ca="1" si="55"/>
        <v>20845.479509703164</v>
      </c>
      <c r="J63" s="9" t="s">
        <v>136</v>
      </c>
      <c r="K63" s="213">
        <f t="shared" ref="K63:N63" ca="1" si="56">K50/$C$21</f>
        <v>9573.2826018637661</v>
      </c>
      <c r="L63" s="213">
        <f t="shared" ca="1" si="56"/>
        <v>8881.0997888979018</v>
      </c>
      <c r="M63" s="214">
        <f t="shared" ca="1" si="56"/>
        <v>3605.819450759378</v>
      </c>
      <c r="N63" s="201">
        <f t="shared" ca="1" si="56"/>
        <v>1389.6986339802108</v>
      </c>
      <c r="O63" s="9"/>
      <c r="Q63" s="145">
        <f t="shared" ref="Q63:W63" ca="1" si="57">Q50/$C$21</f>
        <v>1397.918120080772</v>
      </c>
      <c r="R63" s="145">
        <f t="shared" ca="1" si="57"/>
        <v>1414.3570922818944</v>
      </c>
      <c r="S63" s="145">
        <f t="shared" ca="1" si="57"/>
        <v>1430.7960644830171</v>
      </c>
      <c r="T63" s="145">
        <f t="shared" ca="1" si="57"/>
        <v>1447.2350366841397</v>
      </c>
      <c r="U63" s="145">
        <f t="shared" ca="1" si="57"/>
        <v>1463.6740088852623</v>
      </c>
      <c r="V63" s="145">
        <f t="shared" ca="1" si="57"/>
        <v>1480.1129810863849</v>
      </c>
      <c r="W63" s="145">
        <f t="shared" ca="1" si="57"/>
        <v>1496.5519532875073</v>
      </c>
      <c r="Y63" s="13" t="str">
        <f t="shared" ref="Y63:AC63" si="58">J63</f>
        <v>Energy bills</v>
      </c>
      <c r="Z63" s="73">
        <f t="shared" ca="1" si="58"/>
        <v>9573.2826018637661</v>
      </c>
      <c r="AA63" s="73">
        <f t="shared" ca="1" si="58"/>
        <v>8881.0997888979018</v>
      </c>
      <c r="AB63" s="73">
        <f t="shared" ca="1" si="58"/>
        <v>3605.819450759378</v>
      </c>
      <c r="AC63" s="73">
        <f t="shared" ca="1" si="58"/>
        <v>1389.6986339802108</v>
      </c>
      <c r="AE63" s="13"/>
      <c r="AF63" s="27">
        <f t="shared" ref="AF63:AF65" ca="1" si="59">AVERAGE(Z63:AA63)</f>
        <v>9227.191195380834</v>
      </c>
    </row>
    <row r="64" spans="2:32" ht="12.6">
      <c r="J64" s="9" t="str">
        <f>"Finance at "&amp;TEXT(C18,"0.0%")</f>
        <v>Finance at 5.5%</v>
      </c>
      <c r="K64" s="213">
        <f t="shared" ref="K64:N64" ca="1" si="60">K47/$C$21</f>
        <v>2212.3294949301935</v>
      </c>
      <c r="L64" s="213">
        <f t="shared" ca="1" si="60"/>
        <v>2212.3294949301935</v>
      </c>
      <c r="M64" s="214">
        <f t="shared" ca="1" si="60"/>
        <v>2684.8446163501162</v>
      </c>
      <c r="N64" s="201">
        <f t="shared" ca="1" si="60"/>
        <v>3213.0753498590389</v>
      </c>
      <c r="O64" s="9"/>
      <c r="Q64" s="145">
        <f t="shared" ref="Q64:W64" ca="1" si="61">Q47/$C$21</f>
        <v>2804.8926028403562</v>
      </c>
      <c r="R64" s="145">
        <f t="shared" ca="1" si="61"/>
        <v>2576.2642986621804</v>
      </c>
      <c r="S64" s="145">
        <f t="shared" ca="1" si="61"/>
        <v>2410.8538819361438</v>
      </c>
      <c r="T64" s="145">
        <f t="shared" ca="1" si="61"/>
        <v>2263.3066926143842</v>
      </c>
      <c r="U64" s="145">
        <f t="shared" ca="1" si="61"/>
        <v>2099.7219456666894</v>
      </c>
      <c r="V64" s="145">
        <f t="shared" ca="1" si="61"/>
        <v>1951.7377431934087</v>
      </c>
      <c r="W64" s="145">
        <f t="shared" ca="1" si="61"/>
        <v>1913.081867639537</v>
      </c>
      <c r="Y64" s="13" t="str">
        <f t="shared" ref="Y64:AC64" si="62">J64</f>
        <v>Finance at 5.5%</v>
      </c>
      <c r="Z64" s="73">
        <f t="shared" ca="1" si="62"/>
        <v>2212.3294949301935</v>
      </c>
      <c r="AA64" s="73">
        <f t="shared" ca="1" si="62"/>
        <v>2212.3294949301935</v>
      </c>
      <c r="AB64" s="73">
        <f t="shared" ca="1" si="62"/>
        <v>2684.8446163501162</v>
      </c>
      <c r="AC64" s="73">
        <f t="shared" ca="1" si="62"/>
        <v>3213.0753498590389</v>
      </c>
      <c r="AE64" s="13"/>
      <c r="AF64" s="27">
        <f t="shared" ca="1" si="59"/>
        <v>2212.3294949301935</v>
      </c>
    </row>
    <row r="65" spans="2:32" ht="46.5">
      <c r="B65" s="217" t="s">
        <v>362</v>
      </c>
      <c r="C65" s="217"/>
      <c r="D65" s="187" t="s">
        <v>314</v>
      </c>
      <c r="E65" s="188" t="s">
        <v>42</v>
      </c>
      <c r="F65" s="189" t="s">
        <v>315</v>
      </c>
      <c r="G65" s="190" t="s">
        <v>316</v>
      </c>
      <c r="J65" s="9" t="str">
        <f>"Finance at "&amp;TEXT(C19,"0%")</f>
        <v>Finance at 1%</v>
      </c>
      <c r="K65" s="213">
        <f t="shared" ref="K65:N65" si="63">K48/$C$21</f>
        <v>0</v>
      </c>
      <c r="L65" s="213">
        <f t="shared" si="63"/>
        <v>0</v>
      </c>
      <c r="M65" s="214">
        <f t="shared" ca="1" si="63"/>
        <v>553.13060577286717</v>
      </c>
      <c r="N65" s="201">
        <f t="shared" ca="1" si="63"/>
        <v>661.95648859466121</v>
      </c>
      <c r="O65" s="9"/>
      <c r="Q65" s="145">
        <f t="shared" ref="Q65:W65" ca="1" si="64">Q48/$C$21</f>
        <v>577.8628435659931</v>
      </c>
      <c r="R65" s="145">
        <f t="shared" ca="1" si="64"/>
        <v>530.76093248451843</v>
      </c>
      <c r="S65" s="145">
        <f t="shared" ca="1" si="64"/>
        <v>496.68314509688258</v>
      </c>
      <c r="T65" s="145">
        <f t="shared" ca="1" si="64"/>
        <v>466.28553261956256</v>
      </c>
      <c r="U65" s="145">
        <f t="shared" ca="1" si="64"/>
        <v>432.58386898385362</v>
      </c>
      <c r="V65" s="145">
        <f t="shared" ca="1" si="64"/>
        <v>402.09622323318911</v>
      </c>
      <c r="W65" s="145">
        <f t="shared" ca="1" si="64"/>
        <v>394.13235533126959</v>
      </c>
      <c r="Y65" s="13" t="str">
        <f t="shared" ref="Y65:AC65" si="65">J65</f>
        <v>Finance at 1%</v>
      </c>
      <c r="Z65" s="73">
        <f t="shared" si="65"/>
        <v>0</v>
      </c>
      <c r="AA65" s="73">
        <f t="shared" si="65"/>
        <v>0</v>
      </c>
      <c r="AB65" s="73">
        <f t="shared" ca="1" si="65"/>
        <v>553.13060577286717</v>
      </c>
      <c r="AC65" s="73">
        <f t="shared" ca="1" si="65"/>
        <v>661.95648859466121</v>
      </c>
      <c r="AE65" s="13"/>
      <c r="AF65" s="27">
        <f t="shared" si="59"/>
        <v>0</v>
      </c>
    </row>
    <row r="66" spans="2:32" ht="12.6">
      <c r="B66" s="3" t="s">
        <v>363</v>
      </c>
      <c r="C66" s="3"/>
      <c r="D66" s="174">
        <f t="shared" ref="D66:E66" si="66">SUM(D76)</f>
        <v>2878.1078427480265</v>
      </c>
      <c r="E66" s="174">
        <f t="shared" si="66"/>
        <v>2878.1078427480265</v>
      </c>
      <c r="F66" s="174">
        <f t="shared" ref="F66:G66" ca="1" si="67">SUM(F73:F77)</f>
        <v>10209.969768684387</v>
      </c>
      <c r="G66" s="174">
        <f t="shared" ca="1" si="67"/>
        <v>10209.969768684387</v>
      </c>
      <c r="H66" s="91"/>
      <c r="J66" s="9" t="s">
        <v>268</v>
      </c>
      <c r="K66" s="42"/>
      <c r="L66" s="42"/>
      <c r="M66" s="214">
        <f t="shared" ref="M66:N66" si="68">M46/$C$21</f>
        <v>1504.8</v>
      </c>
      <c r="N66" s="201">
        <f t="shared" si="68"/>
        <v>1504.8</v>
      </c>
      <c r="O66" s="9"/>
      <c r="Q66" s="145">
        <f t="shared" ref="Q66:W66" si="69">Q46/$C$21</f>
        <v>1504.8</v>
      </c>
      <c r="R66" s="145">
        <f t="shared" si="69"/>
        <v>1504.8</v>
      </c>
      <c r="S66" s="145">
        <f t="shared" si="69"/>
        <v>1504.8</v>
      </c>
      <c r="T66" s="145">
        <f t="shared" si="69"/>
        <v>1504.8</v>
      </c>
      <c r="U66" s="145">
        <f t="shared" si="69"/>
        <v>1504.8</v>
      </c>
      <c r="V66" s="145">
        <f t="shared" si="69"/>
        <v>1504.8</v>
      </c>
      <c r="W66" s="145">
        <f t="shared" si="69"/>
        <v>1504.8</v>
      </c>
      <c r="Y66" s="13" t="s">
        <v>268</v>
      </c>
      <c r="Z66" s="13"/>
      <c r="AA66" s="13"/>
      <c r="AB66" s="73">
        <f t="shared" ref="AB66:AC66" si="70">M66</f>
        <v>1504.8</v>
      </c>
      <c r="AC66" s="73">
        <f t="shared" si="70"/>
        <v>1504.8</v>
      </c>
      <c r="AE66" s="13"/>
    </row>
    <row r="67" spans="2:32" ht="12.6">
      <c r="B67" s="95" t="s">
        <v>364</v>
      </c>
      <c r="C67" s="95"/>
      <c r="D67" s="79"/>
      <c r="E67" s="79"/>
      <c r="F67" s="79">
        <f t="shared" ref="F67:G67" si="71">SUM(F73:F76)</f>
        <v>4932.9454795867887</v>
      </c>
      <c r="G67" s="79">
        <f t="shared" si="71"/>
        <v>4932.9454795867887</v>
      </c>
      <c r="H67" s="91"/>
      <c r="J67" s="9" t="s">
        <v>267</v>
      </c>
      <c r="K67" s="213">
        <f t="shared" ref="K67:N67" si="72">K49/$C$21</f>
        <v>2039.675714267961</v>
      </c>
      <c r="L67" s="213">
        <f t="shared" si="72"/>
        <v>2039.675714267961</v>
      </c>
      <c r="M67" s="214">
        <f t="shared" si="72"/>
        <v>1231.8833521816398</v>
      </c>
      <c r="N67" s="201">
        <f t="shared" si="72"/>
        <v>1231.8833521816398</v>
      </c>
      <c r="O67" s="9"/>
      <c r="Q67" s="145">
        <f t="shared" ref="Q67:W67" si="73">Q49/$C$21</f>
        <v>1231.8833521816398</v>
      </c>
      <c r="R67" s="145">
        <f t="shared" si="73"/>
        <v>1231.8833521816398</v>
      </c>
      <c r="S67" s="145">
        <f t="shared" si="73"/>
        <v>1231.8833521816398</v>
      </c>
      <c r="T67" s="145">
        <f t="shared" si="73"/>
        <v>1231.8833521816398</v>
      </c>
      <c r="U67" s="145">
        <f t="shared" si="73"/>
        <v>1231.8833521816398</v>
      </c>
      <c r="V67" s="145">
        <f t="shared" si="73"/>
        <v>1231.8833521816398</v>
      </c>
      <c r="W67" s="145">
        <f t="shared" si="73"/>
        <v>1231.8833521816398</v>
      </c>
      <c r="Y67" s="13" t="s">
        <v>267</v>
      </c>
      <c r="Z67" s="73">
        <f>D48</f>
        <v>2039.675714267961</v>
      </c>
      <c r="AA67" s="73">
        <f>D48</f>
        <v>2039.675714267961</v>
      </c>
      <c r="AB67" s="73">
        <f t="shared" ref="AB67:AB68" si="74">M67</f>
        <v>1231.8833521816398</v>
      </c>
      <c r="AC67" s="73">
        <f>G48</f>
        <v>1231.8833521816398</v>
      </c>
      <c r="AE67" s="13"/>
      <c r="AF67" s="27">
        <f>AVERAGE(Z67:AA67)</f>
        <v>2039.675714267961</v>
      </c>
    </row>
    <row r="68" spans="2:32" ht="12.6">
      <c r="B68" s="95" t="s">
        <v>28</v>
      </c>
      <c r="C68" s="95"/>
      <c r="D68" s="79"/>
      <c r="E68" s="79"/>
      <c r="F68" s="79">
        <f t="shared" ref="F68:G68" ca="1" si="75">F77</f>
        <v>5277.0242890975978</v>
      </c>
      <c r="G68" s="79">
        <f t="shared" ca="1" si="75"/>
        <v>5277.0242890975978</v>
      </c>
      <c r="H68" s="91"/>
      <c r="Y68" s="13" t="s">
        <v>75</v>
      </c>
      <c r="Z68" s="13"/>
      <c r="AA68" s="13"/>
      <c r="AB68" s="13">
        <f t="shared" si="74"/>
        <v>0</v>
      </c>
      <c r="AC68" s="13"/>
      <c r="AD68" s="73">
        <f ca="1">SUM(AF57:AF67)-SUM(AC57:AC67)</f>
        <v>1485.4862836671382</v>
      </c>
      <c r="AE68" s="73">
        <f ca="1">SUM(AF57:AF67)-SUM(AC65,AC57:AC63,AC66,AC67)</f>
        <v>4698.5616335261784</v>
      </c>
    </row>
    <row r="69" spans="2:32" ht="12.6">
      <c r="B69" s="4" t="s">
        <v>37</v>
      </c>
      <c r="C69" s="4"/>
      <c r="D69" s="218"/>
      <c r="E69" s="218">
        <f>SUM(E73:E75)</f>
        <v>7525.4784604970318</v>
      </c>
      <c r="F69" s="218"/>
      <c r="G69" s="218"/>
      <c r="H69" s="91"/>
      <c r="Y69" s="13"/>
      <c r="Z69" s="13"/>
      <c r="AA69" s="13"/>
      <c r="AC69" s="13"/>
      <c r="AD69" s="13"/>
    </row>
    <row r="70" spans="2:32" ht="12.6">
      <c r="B70" s="5" t="s">
        <v>38</v>
      </c>
      <c r="C70" s="5"/>
      <c r="D70" s="76">
        <f>SUM(D73:D75)</f>
        <v>7525.4784604970318</v>
      </c>
      <c r="E70" s="76"/>
      <c r="F70" s="76"/>
      <c r="G70" s="76"/>
      <c r="H70" s="91"/>
      <c r="Y70" s="13" t="str">
        <f t="shared" ref="Y70:Y81" si="76">J80</f>
        <v>Label - bills</v>
      </c>
      <c r="Z70" s="13" t="s">
        <v>365</v>
      </c>
      <c r="AA70" s="13" t="str">
        <f t="shared" ref="AA70:AA76" si="77">K80</f>
        <v>Energy and fuel bills</v>
      </c>
      <c r="AB70" s="13" t="s">
        <v>366</v>
      </c>
      <c r="AC70" s="13" t="str">
        <f t="shared" ref="AC70:AC74" si="78">M80</f>
        <v>Electricity bills</v>
      </c>
      <c r="AD70" s="13"/>
      <c r="AF70" s="13" t="s">
        <v>365</v>
      </c>
    </row>
    <row r="71" spans="2:32" ht="12.6">
      <c r="B71" s="7" t="s">
        <v>40</v>
      </c>
      <c r="C71" s="7"/>
      <c r="D71" s="219">
        <f t="shared" ref="D71:E71" ca="1" si="79">D77</f>
        <v>21054.152502932204</v>
      </c>
      <c r="E71" s="219">
        <f t="shared" ca="1" si="79"/>
        <v>21054.152502932204</v>
      </c>
      <c r="F71" s="219"/>
      <c r="G71" s="219"/>
      <c r="H71" s="91"/>
      <c r="Y71" s="13" t="str">
        <f t="shared" si="76"/>
        <v>Label Vehicle costs</v>
      </c>
      <c r="Z71" s="13" t="s">
        <v>367</v>
      </c>
      <c r="AA71" s="13" t="str">
        <f t="shared" si="77"/>
        <v>Vehicle costs</v>
      </c>
      <c r="AB71" s="13" t="s">
        <v>367</v>
      </c>
      <c r="AC71" s="13" t="str">
        <f t="shared" si="78"/>
        <v>Vehicle costs</v>
      </c>
      <c r="AD71" s="13"/>
      <c r="AF71" s="13" t="s">
        <v>367</v>
      </c>
    </row>
    <row r="72" spans="2:32" ht="12.6">
      <c r="J72" s="10"/>
      <c r="M72" s="10"/>
      <c r="Y72" s="13" t="str">
        <f t="shared" si="76"/>
        <v>Label Space heaters</v>
      </c>
      <c r="Z72" s="13" t="s">
        <v>333</v>
      </c>
      <c r="AA72" s="13" t="str">
        <f t="shared" si="77"/>
        <v>Space heaters</v>
      </c>
      <c r="AB72" s="13" t="s">
        <v>333</v>
      </c>
      <c r="AC72" s="13" t="str">
        <f t="shared" si="78"/>
        <v>Space heaters</v>
      </c>
      <c r="AD72" s="13"/>
      <c r="AF72" s="13" t="s">
        <v>333</v>
      </c>
    </row>
    <row r="73" spans="2:32" ht="12.6">
      <c r="B73" s="42" t="s">
        <v>368</v>
      </c>
      <c r="C73" s="42"/>
      <c r="D73" s="218">
        <f>((Machines!D71*365.25)*$C$6)*($C$7/1)</f>
        <v>4252.9952568456356</v>
      </c>
      <c r="E73" s="76">
        <f>((Machines!E71*365.25)*$C$6)*($C$7/1)</f>
        <v>4252.9952568456356</v>
      </c>
      <c r="F73" s="174">
        <f>((Machines!I71*365.25)*$C$6)*($C$7/1)</f>
        <v>972.11320156471675</v>
      </c>
      <c r="G73" s="174">
        <f>((Machines!J71*365.25)*$C$6)*($C$7/1)</f>
        <v>972.11320156471675</v>
      </c>
      <c r="J73" s="10"/>
      <c r="M73" s="10"/>
      <c r="Y73" s="13" t="str">
        <f t="shared" si="76"/>
        <v>Label water heater</v>
      </c>
      <c r="Z73" s="13" t="s">
        <v>335</v>
      </c>
      <c r="AA73" s="13" t="str">
        <f t="shared" si="77"/>
        <v>Water heater</v>
      </c>
      <c r="AB73" s="13" t="s">
        <v>335</v>
      </c>
      <c r="AC73" s="13" t="str">
        <f t="shared" si="78"/>
        <v>Water heater</v>
      </c>
      <c r="AD73" s="13"/>
      <c r="AF73" s="13" t="s">
        <v>335</v>
      </c>
    </row>
    <row r="74" spans="2:32" ht="12.6">
      <c r="B74" s="42" t="s">
        <v>369</v>
      </c>
      <c r="C74" s="42"/>
      <c r="D74" s="218">
        <f>(Machines!E137*365.25)*($C$7/1)</f>
        <v>2512.1606746590851</v>
      </c>
      <c r="E74" s="76">
        <f>(Machines!D137*365.25)*($C$7/1)</f>
        <v>2512.1606746590851</v>
      </c>
      <c r="F74" s="174">
        <f>(Machines!I137*365.25)*($C$7/1)</f>
        <v>757.63575902416846</v>
      </c>
      <c r="G74" s="174">
        <f>(Machines!J137*365.25)*($C$7/1)</f>
        <v>757.63575902416846</v>
      </c>
      <c r="J74" s="10"/>
      <c r="M74" s="10"/>
      <c r="Y74" s="13" t="str">
        <f t="shared" si="76"/>
        <v>Label cooktop</v>
      </c>
      <c r="Z74" s="13" t="s">
        <v>337</v>
      </c>
      <c r="AA74" s="13" t="str">
        <f t="shared" si="77"/>
        <v>Cooktop</v>
      </c>
      <c r="AB74" s="13" t="s">
        <v>337</v>
      </c>
      <c r="AC74" s="13" t="str">
        <f t="shared" si="78"/>
        <v>Cooktop</v>
      </c>
      <c r="AD74" s="13"/>
      <c r="AF74" s="13" t="s">
        <v>337</v>
      </c>
    </row>
    <row r="75" spans="2:32" ht="12.6">
      <c r="B75" s="42" t="s">
        <v>370</v>
      </c>
      <c r="C75" s="42"/>
      <c r="D75" s="218">
        <f>(Machines!E192*365.25)*($C$7/1)</f>
        <v>760.32252899231105</v>
      </c>
      <c r="E75" s="76">
        <f>(Machines!D192*365.25)*($C$7/1)</f>
        <v>760.32252899231105</v>
      </c>
      <c r="F75" s="174">
        <f>(Machines!F192*365.25)*($C$7/1)</f>
        <v>325.08867624987704</v>
      </c>
      <c r="G75" s="174">
        <f>(Machines!F192*365.25)*($C$7/1)</f>
        <v>325.08867624987704</v>
      </c>
      <c r="Y75" s="13" t="str">
        <f t="shared" si="76"/>
        <v>Label solar</v>
      </c>
      <c r="Z75" s="13"/>
      <c r="AA75" s="13">
        <f t="shared" si="77"/>
        <v>0</v>
      </c>
      <c r="AC75" s="13" t="str">
        <f>"Solar "&amp;TEXT(C12,"(0")&amp;"kW)"</f>
        <v>Solar (7kW)</v>
      </c>
      <c r="AD75" s="13"/>
      <c r="AF75" s="13"/>
    </row>
    <row r="76" spans="2:32" ht="12.6">
      <c r="B76" s="42" t="s">
        <v>371</v>
      </c>
      <c r="C76" s="42"/>
      <c r="D76" s="174">
        <f>(SUM(Machines!D113,Machines!C220:C223,Machines!C240:C243)*365.25)*($C$7/1)</f>
        <v>2878.1078427480265</v>
      </c>
      <c r="E76" s="174">
        <f>(SUM(Machines!D113,Machines!C220:C223,Machines!C240:C243)*365.25)*($C$7/1)</f>
        <v>2878.1078427480265</v>
      </c>
      <c r="F76" s="174">
        <f>(SUM(Machines!D113,Machines!C220:C223,Machines!C240:C243)*365.25)*($C$7/1)</f>
        <v>2878.1078427480265</v>
      </c>
      <c r="G76" s="174">
        <f>(SUM(Machines!D113,Machines!C220:C223,Machines!C240:C243)*365.25)*($C$7/1)</f>
        <v>2878.1078427480265</v>
      </c>
      <c r="Y76" s="13" t="str">
        <f t="shared" si="76"/>
        <v>Label battery</v>
      </c>
      <c r="Z76" s="13"/>
      <c r="AA76" s="13">
        <f t="shared" si="77"/>
        <v>0</v>
      </c>
      <c r="AC76" s="13" t="str">
        <f>"Battery "&amp;TEXT(C16,"(0")&amp;"kWh)"</f>
        <v>Battery (7kWh)</v>
      </c>
      <c r="AD76" s="13"/>
      <c r="AF76" s="13"/>
    </row>
    <row r="77" spans="2:32" ht="12.6">
      <c r="B77" s="42" t="s">
        <v>372</v>
      </c>
      <c r="C77" s="42"/>
      <c r="D77" s="219">
        <f ca="1">((SUM(Machines!G12)*365.25))*(C8/1.8)*C9</f>
        <v>21054.152502932204</v>
      </c>
      <c r="E77" s="219">
        <f ca="1">((SUM(Machines!G12)*365.25))*(C8/1.8)*C9</f>
        <v>21054.152502932204</v>
      </c>
      <c r="F77" s="174">
        <f ca="1">Machines!F255*365.25*(C8/1.8)*C9</f>
        <v>5277.0242890975978</v>
      </c>
      <c r="G77" s="174">
        <f ca="1">Machines!F255*365.25*(C8/1.8)*C9</f>
        <v>5277.0242890975978</v>
      </c>
      <c r="Y77" s="13" t="str">
        <f t="shared" si="76"/>
        <v>Label Finance</v>
      </c>
      <c r="Z77" s="13" t="str">
        <f>"Finance at "&amp;TEXT(C18,"0.0%")</f>
        <v>Finance at 5.5%</v>
      </c>
      <c r="AA77" s="13" t="str">
        <f>"Finance at "&amp;TEXT(C18,"0.0%")</f>
        <v>Finance at 5.5%</v>
      </c>
      <c r="AB77" s="10" t="str">
        <f>"Finance at "&amp;TEXT(C18,"0.0%")</f>
        <v>Finance at 5.5%</v>
      </c>
      <c r="AC77" s="13" t="str">
        <f>"Finance at "&amp;TEXT(C18,"0.0%")</f>
        <v>Finance at 5.5%</v>
      </c>
      <c r="AD77" s="13"/>
      <c r="AF77" s="13" t="str">
        <f>"Finance at "&amp;TEXT(C18,"0.0%")</f>
        <v>Finance at 5.5%</v>
      </c>
    </row>
    <row r="78" spans="2:32" ht="12.6">
      <c r="Y78" s="13" t="str">
        <f t="shared" si="76"/>
        <v>Label Savings</v>
      </c>
      <c r="Z78" s="13"/>
      <c r="AA78" s="13">
        <f t="shared" ref="AA78:AA82" si="80">K88</f>
        <v>0</v>
      </c>
      <c r="AC78" s="13"/>
      <c r="AD78" s="13" t="s">
        <v>75</v>
      </c>
      <c r="AE78" s="13" t="s">
        <v>75</v>
      </c>
      <c r="AF78" s="13"/>
    </row>
    <row r="79" spans="2:32" ht="12.6">
      <c r="B79" s="7" t="s">
        <v>373</v>
      </c>
      <c r="C79" s="7"/>
      <c r="D79" s="219">
        <f ca="1">(D66*Misc!$B$143)+(D69*Misc!$C$143)+(D70*Misc!$D$143)+(D71*Misc!$F$143)</f>
        <v>7017.7137786872527</v>
      </c>
      <c r="E79" s="219">
        <f ca="1">(E66*Misc!$B$143)+(E69*Misc!$C$143)+(E70*Misc!$D$143)+(E71*Misc!$F$143)</f>
        <v>7010.1883002267559</v>
      </c>
      <c r="F79" s="219">
        <f ca="1">(F66*Misc!$B$143)+(F69*Misc!$C$143)+(F70*Misc!$D$143)+(F71*Misc!$F$143)</f>
        <v>1000.57703733107</v>
      </c>
      <c r="G79" s="219">
        <f ca="1">(G66*D30*Misc!$B$143)</f>
        <v>297.43114424886829</v>
      </c>
      <c r="H79" s="91"/>
      <c r="J79" s="9" t="s">
        <v>133</v>
      </c>
      <c r="K79" s="9"/>
      <c r="L79" s="9"/>
      <c r="M79" s="9"/>
      <c r="N79" s="9"/>
      <c r="O79" s="9"/>
      <c r="Y79" s="13" t="str">
        <f t="shared" si="76"/>
        <v>Label emissions</v>
      </c>
      <c r="Z79" s="13" t="s">
        <v>15</v>
      </c>
      <c r="AA79" s="13" t="str">
        <f t="shared" si="80"/>
        <v>Emissions</v>
      </c>
      <c r="AB79" s="13" t="str">
        <f t="shared" ref="AB79:AC79" si="81">L89</f>
        <v>Emissions</v>
      </c>
      <c r="AC79" s="13" t="str">
        <f t="shared" si="81"/>
        <v>Emissions</v>
      </c>
      <c r="AD79" s="13"/>
      <c r="AF79" s="13" t="s">
        <v>15</v>
      </c>
    </row>
    <row r="80" spans="2:32" ht="12.6">
      <c r="B80" s="7" t="s">
        <v>374</v>
      </c>
      <c r="C80" s="7"/>
      <c r="D80" s="219">
        <f t="shared" ref="D80:G80" ca="1" si="82">D79*$C$21</f>
        <v>105265.70668030879</v>
      </c>
      <c r="E80" s="219">
        <f t="shared" ca="1" si="82"/>
        <v>105152.82450340134</v>
      </c>
      <c r="F80" s="219">
        <f t="shared" ca="1" si="82"/>
        <v>15008.65555996605</v>
      </c>
      <c r="G80" s="219">
        <f t="shared" ca="1" si="82"/>
        <v>4461.4671637330248</v>
      </c>
      <c r="H80" s="91"/>
      <c r="J80" s="9" t="s">
        <v>375</v>
      </c>
      <c r="K80" s="9" t="s">
        <v>365</v>
      </c>
      <c r="L80" s="9" t="s">
        <v>365</v>
      </c>
      <c r="M80" s="9" t="s">
        <v>366</v>
      </c>
      <c r="N80" s="9" t="s">
        <v>366</v>
      </c>
      <c r="O80" s="9"/>
      <c r="Y80" s="13" t="str">
        <f t="shared" si="76"/>
        <v>Label forecast</v>
      </c>
      <c r="Z80" s="13"/>
      <c r="AA80" s="13">
        <f t="shared" si="80"/>
        <v>0</v>
      </c>
      <c r="AC80" s="13">
        <f t="shared" ref="AC80:AC81" si="83">M90</f>
        <v>0</v>
      </c>
      <c r="AD80" s="13"/>
      <c r="AF80" s="13"/>
    </row>
    <row r="81" spans="2:32" ht="12.6">
      <c r="J81" s="9" t="s">
        <v>376</v>
      </c>
      <c r="K81" s="9" t="s">
        <v>367</v>
      </c>
      <c r="L81" s="9" t="s">
        <v>367</v>
      </c>
      <c r="M81" s="9" t="s">
        <v>367</v>
      </c>
      <c r="N81" s="9" t="s">
        <v>367</v>
      </c>
      <c r="O81" s="9"/>
      <c r="Y81" s="13" t="str">
        <f t="shared" si="76"/>
        <v>Label finance GreenLoan</v>
      </c>
      <c r="Z81" s="13"/>
      <c r="AA81" s="13">
        <f t="shared" si="80"/>
        <v>0</v>
      </c>
      <c r="AB81" s="10" t="str">
        <f>M91</f>
        <v>Green loan at 1%</v>
      </c>
      <c r="AC81" s="13" t="str">
        <f t="shared" si="83"/>
        <v>Green loan at 1%</v>
      </c>
      <c r="AD81" s="13"/>
      <c r="AF81" s="13"/>
    </row>
    <row r="82" spans="2:32" ht="12.6">
      <c r="J82" s="9" t="s">
        <v>377</v>
      </c>
      <c r="K82" s="9" t="s">
        <v>333</v>
      </c>
      <c r="L82" s="9" t="s">
        <v>333</v>
      </c>
      <c r="M82" s="9" t="s">
        <v>333</v>
      </c>
      <c r="N82" s="9" t="s">
        <v>333</v>
      </c>
      <c r="O82" s="9"/>
      <c r="Y82" s="13" t="s">
        <v>378</v>
      </c>
      <c r="Z82" s="13"/>
      <c r="AA82" s="13">
        <f t="shared" si="80"/>
        <v>0</v>
      </c>
      <c r="AB82" s="13" t="s">
        <v>268</v>
      </c>
      <c r="AC82" s="13" t="s">
        <v>268</v>
      </c>
      <c r="AD82" s="13"/>
      <c r="AF82" s="13"/>
    </row>
    <row r="83" spans="2:32" ht="12.95">
      <c r="B83" s="57" t="s">
        <v>379</v>
      </c>
      <c r="C83" s="51" t="s">
        <v>380</v>
      </c>
      <c r="D83" s="51" t="s">
        <v>381</v>
      </c>
      <c r="E83" s="51" t="s">
        <v>382</v>
      </c>
      <c r="J83" s="9" t="s">
        <v>383</v>
      </c>
      <c r="K83" s="9" t="s">
        <v>335</v>
      </c>
      <c r="L83" s="9" t="s">
        <v>335</v>
      </c>
      <c r="M83" s="9" t="s">
        <v>335</v>
      </c>
      <c r="N83" s="9" t="s">
        <v>335</v>
      </c>
      <c r="O83" s="9"/>
      <c r="Y83" s="13" t="s">
        <v>384</v>
      </c>
      <c r="Z83" s="13" t="s">
        <v>267</v>
      </c>
      <c r="AA83" s="13" t="s">
        <v>267</v>
      </c>
      <c r="AB83" s="13" t="s">
        <v>267</v>
      </c>
      <c r="AC83" s="13" t="s">
        <v>267</v>
      </c>
      <c r="AD83" s="13"/>
      <c r="AF83" s="13" t="s">
        <v>267</v>
      </c>
    </row>
    <row r="84" spans="2:32" ht="12.6">
      <c r="B84" s="51" t="s">
        <v>286</v>
      </c>
      <c r="C84" s="53">
        <v>1</v>
      </c>
      <c r="D84" s="51">
        <v>2</v>
      </c>
      <c r="E84" s="220">
        <v>0.15</v>
      </c>
      <c r="J84" s="9" t="s">
        <v>385</v>
      </c>
      <c r="K84" s="9" t="s">
        <v>337</v>
      </c>
      <c r="L84" s="9" t="s">
        <v>337</v>
      </c>
      <c r="M84" s="9" t="s">
        <v>337</v>
      </c>
      <c r="N84" s="9" t="s">
        <v>337</v>
      </c>
      <c r="O84" s="9"/>
    </row>
    <row r="85" spans="2:32" ht="12.6">
      <c r="B85" s="51" t="s">
        <v>386</v>
      </c>
      <c r="C85" s="53">
        <v>0.74</v>
      </c>
      <c r="D85" s="51">
        <v>1</v>
      </c>
      <c r="E85" s="220">
        <v>0.155</v>
      </c>
      <c r="J85" s="9" t="s">
        <v>387</v>
      </c>
      <c r="K85" s="9"/>
      <c r="L85" s="9"/>
      <c r="M85" s="9"/>
      <c r="N85" s="9" t="str">
        <f>"Solar "&amp;TEXT(C12,"(0")&amp;"kW)"</f>
        <v>Solar (7kW)</v>
      </c>
      <c r="O85" s="9"/>
    </row>
    <row r="86" spans="2:32" ht="12.6">
      <c r="B86" s="51" t="s">
        <v>388</v>
      </c>
      <c r="C86" s="53">
        <v>1.73</v>
      </c>
      <c r="D86" s="51">
        <v>3</v>
      </c>
      <c r="E86" s="220">
        <v>0.14899999999999999</v>
      </c>
      <c r="F86" s="91"/>
      <c r="J86" s="9" t="s">
        <v>389</v>
      </c>
      <c r="K86" s="9"/>
      <c r="L86" s="9"/>
      <c r="M86" s="9"/>
      <c r="N86" s="9" t="str">
        <f>"Battery "&amp;TEXT(C16,"(0")&amp;"kWh)"</f>
        <v>Battery (7kWh)</v>
      </c>
      <c r="O86" s="9"/>
    </row>
    <row r="87" spans="2:32" ht="12.6">
      <c r="B87" s="51" t="s">
        <v>390</v>
      </c>
      <c r="C87" s="53">
        <v>1.24</v>
      </c>
      <c r="D87" s="51">
        <v>2</v>
      </c>
      <c r="E87" s="220">
        <v>0.14299999999999999</v>
      </c>
      <c r="F87" s="91"/>
      <c r="J87" s="9" t="s">
        <v>391</v>
      </c>
      <c r="K87" s="9" t="str">
        <f>"Finance at "&amp;TEXT(C18,"0.0%")</f>
        <v>Finance at 5.5%</v>
      </c>
      <c r="L87" s="9" t="str">
        <f>"Finance at "&amp;TEXT(C18,"0.0%")</f>
        <v>Finance at 5.5%</v>
      </c>
      <c r="M87" s="9" t="str">
        <f>"Finance at "&amp;TEXT(C18,"0.0%")</f>
        <v>Finance at 5.5%</v>
      </c>
      <c r="N87" s="9" t="str">
        <f>"Finance at "&amp;TEXT(C18,"0.0%")</f>
        <v>Finance at 5.5%</v>
      </c>
      <c r="O87" s="9"/>
    </row>
    <row r="88" spans="2:32" ht="12.6">
      <c r="B88" s="51" t="s">
        <v>392</v>
      </c>
      <c r="C88" s="53">
        <v>1.98</v>
      </c>
      <c r="D88" s="51">
        <v>3</v>
      </c>
      <c r="E88" s="220">
        <v>0.125</v>
      </c>
      <c r="F88" s="91"/>
      <c r="J88" s="9" t="s">
        <v>393</v>
      </c>
      <c r="K88" s="9"/>
      <c r="L88" s="9"/>
      <c r="M88" s="9"/>
      <c r="N88" s="9"/>
      <c r="O88" s="9"/>
    </row>
    <row r="89" spans="2:32" ht="12.6">
      <c r="F89" s="91"/>
      <c r="J89" s="9" t="s">
        <v>394</v>
      </c>
      <c r="K89" s="9" t="s">
        <v>15</v>
      </c>
      <c r="L89" s="9" t="s">
        <v>15</v>
      </c>
      <c r="M89" s="9" t="s">
        <v>15</v>
      </c>
      <c r="N89" s="9" t="s">
        <v>15</v>
      </c>
      <c r="O89" s="9"/>
    </row>
    <row r="90" spans="2:32" ht="12.6">
      <c r="F90" s="91"/>
      <c r="G90" s="91"/>
      <c r="J90" s="9" t="s">
        <v>341</v>
      </c>
      <c r="K90" s="9"/>
      <c r="L90" s="9"/>
      <c r="M90" s="9"/>
      <c r="N90" s="9"/>
      <c r="O90" s="9"/>
      <c r="P90" s="10" t="s">
        <v>338</v>
      </c>
    </row>
    <row r="91" spans="2:32" ht="12.6">
      <c r="J91" s="9" t="s">
        <v>395</v>
      </c>
      <c r="K91" s="9"/>
      <c r="L91" s="9"/>
      <c r="M91" s="9" t="str">
        <f>"Green loan at " &amp; TEXT(C19,"0%") &amp; ""</f>
        <v>Green loan at 1%</v>
      </c>
      <c r="N91" s="9" t="str">
        <f>"Green loan at " &amp; TEXT(C19,"0%") &amp; ""</f>
        <v>Green loan at 1%</v>
      </c>
      <c r="O91" s="9"/>
    </row>
    <row r="92" spans="2:32" ht="12.6">
      <c r="J92" s="9" t="s">
        <v>378</v>
      </c>
      <c r="K92" s="9"/>
      <c r="L92" s="9"/>
      <c r="M92" s="9" t="s">
        <v>268</v>
      </c>
      <c r="N92" s="9" t="s">
        <v>268</v>
      </c>
      <c r="O92" s="9"/>
    </row>
    <row r="93" spans="2:32" ht="12.6">
      <c r="C93" s="221"/>
      <c r="J93" s="9" t="s">
        <v>384</v>
      </c>
      <c r="K93" s="9" t="s">
        <v>267</v>
      </c>
      <c r="L93" s="9" t="s">
        <v>267</v>
      </c>
      <c r="M93" s="9" t="s">
        <v>267</v>
      </c>
      <c r="N93" s="9" t="s">
        <v>267</v>
      </c>
      <c r="O93" s="9"/>
    </row>
  </sheetData>
  <dataValidations count="8">
    <dataValidation type="list" allowBlank="1" showErrorMessage="1" sqref="C12" xr:uid="{00000000-0002-0000-0100-000000000000}">
      <formula1>"0,3,5,7,9,15"</formula1>
    </dataValidation>
    <dataValidation type="list" allowBlank="1" showErrorMessage="1" sqref="C5" xr:uid="{00000000-0002-0000-0100-000001000000}">
      <formula1>"Average,Auckland,Wellington,Christchurch,Dunedin"</formula1>
    </dataValidation>
    <dataValidation type="list" allowBlank="1" showErrorMessage="1" sqref="C8" xr:uid="{00000000-0002-0000-0100-000002000000}">
      <formula1>"0,1,1.8,2,3"</formula1>
    </dataValidation>
    <dataValidation type="list" allowBlank="1" showErrorMessage="1" sqref="C13" xr:uid="{00000000-0002-0000-0100-000003000000}">
      <formula1>"-$0.05,-$0.10,-$0.12,-$0.15"</formula1>
    </dataValidation>
    <dataValidation type="list" allowBlank="1" sqref="C18" xr:uid="{00000000-0002-0000-0100-000004000000}">
      <formula1>"0.0001%,1%,2%,3%,4%,5%,5.5%,6%,7%,10%"</formula1>
    </dataValidation>
    <dataValidation type="list" allowBlank="1" sqref="C19" xr:uid="{00000000-0002-0000-0100-000005000000}">
      <formula1>"0.0001%,1%,2%,3%,4%,5%,6%,7%,10%"</formula1>
    </dataValidation>
    <dataValidation type="list" allowBlank="1" showErrorMessage="1" sqref="C7 C9" xr:uid="{00000000-0002-0000-0100-000006000000}">
      <formula1>"50%,100%,150%,200%"</formula1>
    </dataValidation>
    <dataValidation type="list" allowBlank="1" showErrorMessage="1" sqref="C16" xr:uid="{00000000-0002-0000-0100-000007000000}">
      <formula1>"0,3,5,7,10,15,20"</formula1>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0000"/>
    <outlinePr summaryBelow="0" summaryRight="0"/>
  </sheetPr>
  <dimension ref="B2:HN115"/>
  <sheetViews>
    <sheetView workbookViewId="0"/>
  </sheetViews>
  <sheetFormatPr defaultColWidth="12.5703125" defaultRowHeight="15.75" customHeight="1"/>
  <cols>
    <col min="1" max="1" width="6.28515625" customWidth="1"/>
    <col min="2" max="2" width="31" customWidth="1"/>
    <col min="3" max="3" width="15.5703125" customWidth="1"/>
  </cols>
  <sheetData>
    <row r="2" spans="2:13" ht="12.6">
      <c r="B2" s="524" t="s">
        <v>1934</v>
      </c>
    </row>
    <row r="3" spans="2:13" ht="65.099999999999994">
      <c r="B3" s="433" t="s">
        <v>1935</v>
      </c>
      <c r="C3" s="434" t="s">
        <v>14</v>
      </c>
      <c r="D3" s="434" t="str">
        <f t="shared" ref="D3:M3" si="0">D48</f>
        <v>No usual residents</v>
      </c>
      <c r="E3" s="434" t="str">
        <f t="shared" si="0"/>
        <v>One usual resident</v>
      </c>
      <c r="F3" s="434" t="str">
        <f t="shared" si="0"/>
        <v>Two usual residents</v>
      </c>
      <c r="G3" s="434" t="str">
        <f t="shared" si="0"/>
        <v>Three usual residents</v>
      </c>
      <c r="H3" s="434" t="str">
        <f t="shared" si="0"/>
        <v>Four usual residents</v>
      </c>
      <c r="I3" s="434" t="str">
        <f t="shared" si="0"/>
        <v>Five usual residents</v>
      </c>
      <c r="J3" s="434" t="str">
        <f t="shared" si="0"/>
        <v>Six usual residents</v>
      </c>
      <c r="K3" s="434" t="str">
        <f t="shared" si="0"/>
        <v>Seven usual residents</v>
      </c>
      <c r="L3" s="434" t="str">
        <f t="shared" si="0"/>
        <v>Eight or more usual residents</v>
      </c>
      <c r="M3" s="434" t="str">
        <f t="shared" si="0"/>
        <v>Number of usual residents unidentifiable</v>
      </c>
    </row>
    <row r="4" spans="2:13" ht="25.5">
      <c r="B4" s="434" t="str">
        <f t="shared" ref="B4:L4" si="1">B50</f>
        <v>#</v>
      </c>
      <c r="C4" s="100">
        <f t="shared" si="1"/>
        <v>0</v>
      </c>
      <c r="D4" s="100">
        <f t="shared" si="1"/>
        <v>0</v>
      </c>
      <c r="E4" s="100">
        <f t="shared" si="1"/>
        <v>1</v>
      </c>
      <c r="F4" s="100">
        <f t="shared" si="1"/>
        <v>2</v>
      </c>
      <c r="G4" s="100">
        <f t="shared" si="1"/>
        <v>3</v>
      </c>
      <c r="H4" s="100">
        <f t="shared" si="1"/>
        <v>4</v>
      </c>
      <c r="I4" s="100">
        <f t="shared" si="1"/>
        <v>5</v>
      </c>
      <c r="J4" s="100">
        <f t="shared" si="1"/>
        <v>6</v>
      </c>
      <c r="K4" s="100">
        <f t="shared" si="1"/>
        <v>7</v>
      </c>
      <c r="L4" s="100">
        <f t="shared" si="1"/>
        <v>8</v>
      </c>
      <c r="M4" s="100" t="s">
        <v>1936</v>
      </c>
    </row>
    <row r="5" spans="2:13" ht="26.1">
      <c r="B5" s="434" t="str">
        <f t="shared" ref="B5:B23" si="2">B51</f>
        <v>Total - New Zealand by Regional Council/SA2</v>
      </c>
      <c r="C5" s="435">
        <f t="shared" ref="C5:C23" si="3">C51/$C51</f>
        <v>1</v>
      </c>
      <c r="D5" s="435">
        <f t="shared" ref="D5:L5" si="4">D51/($C51-$M51)</f>
        <v>0</v>
      </c>
      <c r="E5" s="435">
        <f t="shared" si="4"/>
        <v>0.22675574329666359</v>
      </c>
      <c r="F5" s="435">
        <f t="shared" si="4"/>
        <v>0.33245800296671107</v>
      </c>
      <c r="G5" s="435">
        <f t="shared" si="4"/>
        <v>0.16447175224197519</v>
      </c>
      <c r="H5" s="435">
        <f t="shared" si="4"/>
        <v>0.15645636148696981</v>
      </c>
      <c r="I5" s="435">
        <f t="shared" si="4"/>
        <v>7.0790696273539802E-2</v>
      </c>
      <c r="J5" s="435">
        <f t="shared" si="4"/>
        <v>2.8652480667434699E-2</v>
      </c>
      <c r="K5" s="435">
        <f t="shared" si="4"/>
        <v>1.1034809912128126E-2</v>
      </c>
      <c r="L5" s="435">
        <f t="shared" si="4"/>
        <v>9.3782707236817336E-3</v>
      </c>
      <c r="M5" s="435">
        <f t="shared" ref="M5:M23" si="5">M51/$C51</f>
        <v>3.634556219887386E-2</v>
      </c>
    </row>
    <row r="6" spans="2:13" ht="12.95">
      <c r="B6" s="434" t="str">
        <f t="shared" si="2"/>
        <v>Northland Region</v>
      </c>
      <c r="C6" s="435">
        <f t="shared" si="3"/>
        <v>1</v>
      </c>
      <c r="D6" s="435">
        <f t="shared" ref="D6:L6" si="6">D52/($C52-$M52)</f>
        <v>0</v>
      </c>
      <c r="E6" s="435">
        <f t="shared" si="6"/>
        <v>0.25255820851253152</v>
      </c>
      <c r="F6" s="435">
        <f t="shared" si="6"/>
        <v>0.36887636561372289</v>
      </c>
      <c r="G6" s="435">
        <f t="shared" si="6"/>
        <v>0.14449552622472689</v>
      </c>
      <c r="H6" s="435">
        <f t="shared" si="6"/>
        <v>0.12318948044886055</v>
      </c>
      <c r="I6" s="435">
        <f t="shared" si="6"/>
        <v>6.1199268377082408E-2</v>
      </c>
      <c r="J6" s="435">
        <f t="shared" si="6"/>
        <v>2.7831331257106136E-2</v>
      </c>
      <c r="K6" s="435">
        <f t="shared" si="6"/>
        <v>1.1468683573088142E-2</v>
      </c>
      <c r="L6" s="435">
        <f t="shared" si="6"/>
        <v>1.0282268031044541E-2</v>
      </c>
      <c r="M6" s="435">
        <f t="shared" si="5"/>
        <v>5.555814930669032E-2</v>
      </c>
    </row>
    <row r="7" spans="2:13" ht="12.95">
      <c r="B7" s="434" t="str">
        <f t="shared" si="2"/>
        <v>Auckland Region</v>
      </c>
      <c r="C7" s="435">
        <f t="shared" si="3"/>
        <v>1</v>
      </c>
      <c r="D7" s="435">
        <f t="shared" ref="D7:L7" si="7">D53/($C53-$M53)</f>
        <v>0</v>
      </c>
      <c r="E7" s="435">
        <f t="shared" si="7"/>
        <v>0.17956744092306143</v>
      </c>
      <c r="F7" s="435">
        <f t="shared" si="7"/>
        <v>0.2853390940696327</v>
      </c>
      <c r="G7" s="435">
        <f t="shared" si="7"/>
        <v>0.18461858215347407</v>
      </c>
      <c r="H7" s="435">
        <f t="shared" si="7"/>
        <v>0.18805109084496396</v>
      </c>
      <c r="I7" s="435">
        <f t="shared" si="7"/>
        <v>8.7613997077643974E-2</v>
      </c>
      <c r="J7" s="435">
        <f t="shared" si="7"/>
        <v>4.0428024386557161E-2</v>
      </c>
      <c r="K7" s="435">
        <f t="shared" si="7"/>
        <v>1.750894341714113E-2</v>
      </c>
      <c r="L7" s="435">
        <f t="shared" si="7"/>
        <v>1.6885423489696176E-2</v>
      </c>
      <c r="M7" s="435">
        <f t="shared" si="5"/>
        <v>4.0547236624246162E-2</v>
      </c>
    </row>
    <row r="8" spans="2:13" ht="12.95">
      <c r="B8" s="434" t="str">
        <f t="shared" si="2"/>
        <v>Waikato Region</v>
      </c>
      <c r="C8" s="435">
        <f t="shared" si="3"/>
        <v>1</v>
      </c>
      <c r="D8" s="435">
        <f t="shared" ref="D8:L8" si="8">D54/($C54-$M54)</f>
        <v>0</v>
      </c>
      <c r="E8" s="435">
        <f t="shared" si="8"/>
        <v>0.23083256740196079</v>
      </c>
      <c r="F8" s="435">
        <f t="shared" si="8"/>
        <v>0.34470741421568629</v>
      </c>
      <c r="G8" s="435">
        <f t="shared" si="8"/>
        <v>0.15826056985294118</v>
      </c>
      <c r="H8" s="435">
        <f t="shared" si="8"/>
        <v>0.14772901348039216</v>
      </c>
      <c r="I8" s="435">
        <f t="shared" si="8"/>
        <v>7.1442248774509803E-2</v>
      </c>
      <c r="J8" s="435">
        <f t="shared" si="8"/>
        <v>2.877987132352941E-2</v>
      </c>
      <c r="K8" s="435">
        <f t="shared" si="8"/>
        <v>1.0091145833333334E-2</v>
      </c>
      <c r="L8" s="435">
        <f t="shared" si="8"/>
        <v>8.1763174019607848E-3</v>
      </c>
      <c r="M8" s="435">
        <f t="shared" si="5"/>
        <v>3.8391426835331158E-2</v>
      </c>
    </row>
    <row r="9" spans="2:13" ht="12.95">
      <c r="B9" s="434" t="str">
        <f t="shared" si="2"/>
        <v>Bay of Plenty Region</v>
      </c>
      <c r="C9" s="435">
        <f t="shared" si="3"/>
        <v>1</v>
      </c>
      <c r="D9" s="435">
        <f t="shared" ref="D9:L9" si="9">D55/($C55-$M55)</f>
        <v>0</v>
      </c>
      <c r="E9" s="435">
        <f t="shared" si="9"/>
        <v>0.23294759887407238</v>
      </c>
      <c r="F9" s="435">
        <f t="shared" si="9"/>
        <v>0.36089391828495065</v>
      </c>
      <c r="G9" s="435">
        <f t="shared" si="9"/>
        <v>0.1543032612095192</v>
      </c>
      <c r="H9" s="435">
        <f t="shared" si="9"/>
        <v>0.14187825196895168</v>
      </c>
      <c r="I9" s="435">
        <f t="shared" si="9"/>
        <v>6.4627107560205857E-2</v>
      </c>
      <c r="J9" s="435">
        <f t="shared" si="9"/>
        <v>2.6300076767791645E-2</v>
      </c>
      <c r="K9" s="435">
        <f t="shared" si="9"/>
        <v>1.0548463222541299E-2</v>
      </c>
      <c r="L9" s="435">
        <f t="shared" si="9"/>
        <v>8.5297546273918855E-3</v>
      </c>
      <c r="M9" s="435">
        <f t="shared" si="5"/>
        <v>4.8738268466178021E-2</v>
      </c>
    </row>
    <row r="10" spans="2:13" ht="12.95">
      <c r="B10" s="434" t="str">
        <f t="shared" si="2"/>
        <v>Gisborne Region</v>
      </c>
      <c r="C10" s="435">
        <f t="shared" si="3"/>
        <v>1</v>
      </c>
      <c r="D10" s="435">
        <f t="shared" ref="D10:L10" si="10">D56/($C56-$M56)</f>
        <v>0</v>
      </c>
      <c r="E10" s="435">
        <f t="shared" si="10"/>
        <v>0.25489443378119003</v>
      </c>
      <c r="F10" s="435">
        <f t="shared" si="10"/>
        <v>0.32380038387715931</v>
      </c>
      <c r="G10" s="435">
        <f t="shared" si="10"/>
        <v>0.15335892514395394</v>
      </c>
      <c r="H10" s="435">
        <f t="shared" si="10"/>
        <v>0.13570057581573897</v>
      </c>
      <c r="I10" s="435">
        <f t="shared" si="10"/>
        <v>7.2360844529750473E-2</v>
      </c>
      <c r="J10" s="435">
        <f t="shared" si="10"/>
        <v>3.4165067178502879E-2</v>
      </c>
      <c r="K10" s="435">
        <f t="shared" si="10"/>
        <v>1.4587332053742802E-2</v>
      </c>
      <c r="L10" s="435">
        <f t="shared" si="10"/>
        <v>1.1132437619961612E-2</v>
      </c>
      <c r="M10" s="435">
        <f t="shared" si="5"/>
        <v>4.7531992687385741E-2</v>
      </c>
    </row>
    <row r="11" spans="2:13" ht="12.95">
      <c r="B11" s="434" t="str">
        <f t="shared" si="2"/>
        <v>Hawke's Bay Region</v>
      </c>
      <c r="C11" s="435">
        <f t="shared" si="3"/>
        <v>1</v>
      </c>
      <c r="D11" s="435">
        <f t="shared" ref="D11:L11" si="11">D57/($C57-$M57)</f>
        <v>0</v>
      </c>
      <c r="E11" s="435">
        <f t="shared" si="11"/>
        <v>0.25394036483902643</v>
      </c>
      <c r="F11" s="435">
        <f t="shared" si="11"/>
        <v>0.35600227378430055</v>
      </c>
      <c r="G11" s="435">
        <f t="shared" si="11"/>
        <v>0.14862281019068782</v>
      </c>
      <c r="H11" s="435">
        <f t="shared" si="11"/>
        <v>0.13342979690972043</v>
      </c>
      <c r="I11" s="435">
        <f t="shared" si="11"/>
        <v>6.3510929667717431E-2</v>
      </c>
      <c r="J11" s="435">
        <f t="shared" si="11"/>
        <v>2.6406904035967134E-2</v>
      </c>
      <c r="K11" s="435">
        <f t="shared" si="11"/>
        <v>1.0232029352488244E-2</v>
      </c>
      <c r="L11" s="435">
        <f t="shared" si="11"/>
        <v>7.8548912200919856E-3</v>
      </c>
      <c r="M11" s="435">
        <f t="shared" si="5"/>
        <v>3.6256785696498831E-2</v>
      </c>
    </row>
    <row r="12" spans="2:13" ht="12.95">
      <c r="B12" s="434" t="str">
        <f t="shared" si="2"/>
        <v>Taranaki Region</v>
      </c>
      <c r="C12" s="435">
        <f t="shared" si="3"/>
        <v>1</v>
      </c>
      <c r="D12" s="435">
        <f t="shared" ref="D12:L12" si="12">D58/($C58-$M58)</f>
        <v>0</v>
      </c>
      <c r="E12" s="435">
        <f t="shared" si="12"/>
        <v>0.26563780387872166</v>
      </c>
      <c r="F12" s="435">
        <f t="shared" si="12"/>
        <v>0.35550396066648454</v>
      </c>
      <c r="G12" s="435">
        <f t="shared" si="12"/>
        <v>0.15043703906036601</v>
      </c>
      <c r="H12" s="435">
        <f t="shared" si="12"/>
        <v>0.13445779841573341</v>
      </c>
      <c r="I12" s="435">
        <f t="shared" si="12"/>
        <v>6.2482928161704455E-2</v>
      </c>
      <c r="J12" s="435">
        <f t="shared" si="12"/>
        <v>2.1647090958754438E-2</v>
      </c>
      <c r="K12" s="435">
        <f t="shared" si="12"/>
        <v>5.872712373668397E-3</v>
      </c>
      <c r="L12" s="435">
        <f t="shared" si="12"/>
        <v>4.0972411909314397E-3</v>
      </c>
      <c r="M12" s="435">
        <f t="shared" si="5"/>
        <v>2.9105615593714777E-2</v>
      </c>
    </row>
    <row r="13" spans="2:13" ht="12.95">
      <c r="B13" s="434" t="str">
        <f t="shared" si="2"/>
        <v>Manawatu-Wanganui Region</v>
      </c>
      <c r="C13" s="435">
        <f t="shared" si="3"/>
        <v>1</v>
      </c>
      <c r="D13" s="435">
        <f t="shared" ref="D13:L13" si="13">D59/($C59-$M59)</f>
        <v>0</v>
      </c>
      <c r="E13" s="435">
        <f t="shared" si="13"/>
        <v>0.27762720005489416</v>
      </c>
      <c r="F13" s="435">
        <f t="shared" si="13"/>
        <v>0.35266065118193984</v>
      </c>
      <c r="G13" s="435">
        <f t="shared" si="13"/>
        <v>0.14584691391909974</v>
      </c>
      <c r="H13" s="435">
        <f t="shared" si="13"/>
        <v>0.12701135622877141</v>
      </c>
      <c r="I13" s="435">
        <f t="shared" si="13"/>
        <v>5.8805365903866605E-2</v>
      </c>
      <c r="J13" s="435">
        <f t="shared" si="13"/>
        <v>2.2575222149792431E-2</v>
      </c>
      <c r="K13" s="435">
        <f t="shared" si="13"/>
        <v>9.0918447867705081E-3</v>
      </c>
      <c r="L13" s="435">
        <f t="shared" si="13"/>
        <v>6.3471369266133735E-3</v>
      </c>
      <c r="M13" s="435">
        <f t="shared" si="5"/>
        <v>3.2817892221927263E-2</v>
      </c>
    </row>
    <row r="14" spans="2:13" ht="12.95">
      <c r="B14" s="434" t="str">
        <f t="shared" si="2"/>
        <v>Wellington Region</v>
      </c>
      <c r="C14" s="435">
        <f t="shared" si="3"/>
        <v>1</v>
      </c>
      <c r="D14" s="435">
        <f t="shared" ref="D14:L14" si="14">D60/($C60-$M60)</f>
        <v>0</v>
      </c>
      <c r="E14" s="435">
        <f t="shared" si="14"/>
        <v>0.23682458301428239</v>
      </c>
      <c r="F14" s="435">
        <f t="shared" si="14"/>
        <v>0.32699670406498654</v>
      </c>
      <c r="G14" s="435">
        <f t="shared" si="14"/>
        <v>0.17033991410593602</v>
      </c>
      <c r="H14" s="435">
        <f t="shared" si="14"/>
        <v>0.15945334087958185</v>
      </c>
      <c r="I14" s="435">
        <f t="shared" si="14"/>
        <v>6.8415620734427543E-2</v>
      </c>
      <c r="J14" s="435">
        <f t="shared" si="14"/>
        <v>2.3820621233811633E-2</v>
      </c>
      <c r="K14" s="435">
        <f t="shared" si="14"/>
        <v>8.1233145786862877E-3</v>
      </c>
      <c r="L14" s="435">
        <f t="shared" si="14"/>
        <v>6.0425475247195123E-3</v>
      </c>
      <c r="M14" s="435">
        <f t="shared" si="5"/>
        <v>2.7834417580994919E-2</v>
      </c>
    </row>
    <row r="15" spans="2:13" ht="12.95">
      <c r="B15" s="434" t="str">
        <f t="shared" si="2"/>
        <v>Tasman Region</v>
      </c>
      <c r="C15" s="435">
        <f t="shared" si="3"/>
        <v>1</v>
      </c>
      <c r="D15" s="435">
        <f t="shared" ref="D15:L15" si="15">D61/($C61-$M61)</f>
        <v>0</v>
      </c>
      <c r="E15" s="435">
        <f t="shared" si="15"/>
        <v>0.21783277804220214</v>
      </c>
      <c r="F15" s="435">
        <f t="shared" si="15"/>
        <v>0.40092019673171508</v>
      </c>
      <c r="G15" s="435">
        <f t="shared" si="15"/>
        <v>0.14596224020307791</v>
      </c>
      <c r="H15" s="435">
        <f t="shared" si="15"/>
        <v>0.14612089481199428</v>
      </c>
      <c r="I15" s="435">
        <f t="shared" si="15"/>
        <v>5.7908932254481994E-2</v>
      </c>
      <c r="J15" s="435">
        <f t="shared" si="15"/>
        <v>1.9990480723465015E-2</v>
      </c>
      <c r="K15" s="435">
        <f t="shared" si="15"/>
        <v>6.8221481834047281E-3</v>
      </c>
      <c r="L15" s="435">
        <f t="shared" si="15"/>
        <v>4.6009836585752814E-3</v>
      </c>
      <c r="M15" s="435">
        <f t="shared" si="5"/>
        <v>3.2540291634689182E-2</v>
      </c>
    </row>
    <row r="16" spans="2:13" ht="12.95">
      <c r="B16" s="434" t="str">
        <f t="shared" si="2"/>
        <v>Nelson Region</v>
      </c>
      <c r="C16" s="435">
        <f t="shared" si="3"/>
        <v>1</v>
      </c>
      <c r="D16" s="435">
        <f t="shared" ref="D16:L16" si="16">D62/($C62-$M62)</f>
        <v>0</v>
      </c>
      <c r="E16" s="435">
        <f t="shared" si="16"/>
        <v>0.262641979150459</v>
      </c>
      <c r="F16" s="435">
        <f t="shared" si="16"/>
        <v>0.37109071106270419</v>
      </c>
      <c r="G16" s="435">
        <f t="shared" si="16"/>
        <v>0.15497121518593435</v>
      </c>
      <c r="H16" s="435">
        <f t="shared" si="16"/>
        <v>0.13085420880659718</v>
      </c>
      <c r="I16" s="435">
        <f t="shared" si="16"/>
        <v>5.3213007624085887E-2</v>
      </c>
      <c r="J16" s="435">
        <f t="shared" si="16"/>
        <v>1.7270888439396295E-2</v>
      </c>
      <c r="K16" s="435">
        <f t="shared" si="16"/>
        <v>6.0681499922203208E-3</v>
      </c>
      <c r="L16" s="435">
        <f t="shared" si="16"/>
        <v>3.8898397386027696E-3</v>
      </c>
      <c r="M16" s="435">
        <f t="shared" si="5"/>
        <v>2.7243832299076738E-2</v>
      </c>
    </row>
    <row r="17" spans="2:13" ht="12.95">
      <c r="B17" s="436" t="str">
        <f t="shared" si="2"/>
        <v>Marlborough Region</v>
      </c>
      <c r="C17" s="435">
        <f t="shared" si="3"/>
        <v>1</v>
      </c>
      <c r="D17" s="435">
        <f t="shared" ref="D17:L17" si="17">D63/($C63-$M63)</f>
        <v>0</v>
      </c>
      <c r="E17" s="435">
        <f t="shared" si="17"/>
        <v>0.25087339876892362</v>
      </c>
      <c r="F17" s="435">
        <f t="shared" si="17"/>
        <v>0.41573781400765264</v>
      </c>
      <c r="G17" s="435">
        <f t="shared" si="17"/>
        <v>0.13541839960073199</v>
      </c>
      <c r="H17" s="435">
        <f t="shared" si="17"/>
        <v>0.11961404092497088</v>
      </c>
      <c r="I17" s="435">
        <f t="shared" si="17"/>
        <v>5.0407586092164364E-2</v>
      </c>
      <c r="J17" s="435">
        <f t="shared" si="17"/>
        <v>1.8299783729828649E-2</v>
      </c>
      <c r="K17" s="435">
        <f t="shared" si="17"/>
        <v>5.8226584594909337E-3</v>
      </c>
      <c r="L17" s="435">
        <f t="shared" si="17"/>
        <v>3.8263184162368991E-3</v>
      </c>
      <c r="M17" s="435">
        <f t="shared" si="5"/>
        <v>3.4377510040160646E-2</v>
      </c>
    </row>
    <row r="18" spans="2:13" ht="12.95">
      <c r="B18" s="434" t="str">
        <f t="shared" si="2"/>
        <v>West Coast Region</v>
      </c>
      <c r="C18" s="435">
        <f t="shared" si="3"/>
        <v>1</v>
      </c>
      <c r="D18" s="435">
        <f t="shared" ref="D18:L18" si="18">D64/($C64-$M64)</f>
        <v>0</v>
      </c>
      <c r="E18" s="435">
        <f t="shared" si="18"/>
        <v>0.32917059377945335</v>
      </c>
      <c r="F18" s="435">
        <f t="shared" si="18"/>
        <v>0.38218661639962298</v>
      </c>
      <c r="G18" s="435">
        <f t="shared" si="18"/>
        <v>0.12935909519321395</v>
      </c>
      <c r="H18" s="435">
        <f t="shared" si="18"/>
        <v>0.10014137606032045</v>
      </c>
      <c r="I18" s="435">
        <f t="shared" si="18"/>
        <v>3.9585296889726673E-2</v>
      </c>
      <c r="J18" s="435">
        <f t="shared" si="18"/>
        <v>1.3195098963242224E-2</v>
      </c>
      <c r="K18" s="435">
        <f t="shared" si="18"/>
        <v>4.2412818096135719E-3</v>
      </c>
      <c r="L18" s="435">
        <f t="shared" si="18"/>
        <v>2.3562676720075399E-3</v>
      </c>
      <c r="M18" s="435">
        <f t="shared" si="5"/>
        <v>5.7098422572761612E-2</v>
      </c>
    </row>
    <row r="19" spans="2:13" ht="12.95">
      <c r="B19" s="434" t="str">
        <f t="shared" si="2"/>
        <v>Canterbury Region</v>
      </c>
      <c r="C19" s="435">
        <f t="shared" si="3"/>
        <v>1</v>
      </c>
      <c r="D19" s="435">
        <f t="shared" ref="D19:L19" si="19">D65/($C65-$M65)</f>
        <v>0</v>
      </c>
      <c r="E19" s="435">
        <f t="shared" si="19"/>
        <v>0.23933097916837753</v>
      </c>
      <c r="F19" s="435">
        <f t="shared" si="19"/>
        <v>0.35263201116859655</v>
      </c>
      <c r="G19" s="435">
        <f t="shared" si="19"/>
        <v>0.16206783279954012</v>
      </c>
      <c r="H19" s="435">
        <f t="shared" si="19"/>
        <v>0.1521173797596562</v>
      </c>
      <c r="I19" s="435">
        <f t="shared" si="19"/>
        <v>6.209794421176535E-2</v>
      </c>
      <c r="J19" s="435">
        <f t="shared" si="19"/>
        <v>2.0749500424297171E-2</v>
      </c>
      <c r="K19" s="435">
        <f t="shared" si="19"/>
        <v>6.5150146450959458E-3</v>
      </c>
      <c r="L19" s="435">
        <f t="shared" si="19"/>
        <v>4.4893378226711564E-3</v>
      </c>
      <c r="M19" s="435">
        <f t="shared" si="5"/>
        <v>2.7603279386712094E-2</v>
      </c>
    </row>
    <row r="20" spans="2:13" ht="12.95">
      <c r="B20" s="434" t="str">
        <f t="shared" si="2"/>
        <v>Otago Region</v>
      </c>
      <c r="C20" s="435">
        <f t="shared" si="3"/>
        <v>1</v>
      </c>
      <c r="D20" s="435">
        <f t="shared" ref="D20:L20" si="20">D66/($C66-$M66)</f>
        <v>0</v>
      </c>
      <c r="E20" s="435">
        <f t="shared" si="20"/>
        <v>0.25781644884107158</v>
      </c>
      <c r="F20" s="435">
        <f t="shared" si="20"/>
        <v>0.36309480828940716</v>
      </c>
      <c r="G20" s="435">
        <f t="shared" si="20"/>
        <v>0.14961369051917106</v>
      </c>
      <c r="H20" s="435">
        <f t="shared" si="20"/>
        <v>0.13903530940862155</v>
      </c>
      <c r="I20" s="435">
        <f t="shared" si="20"/>
        <v>5.9787710303993068E-2</v>
      </c>
      <c r="J20" s="435">
        <f t="shared" si="20"/>
        <v>2.1156762221098996E-2</v>
      </c>
      <c r="K20" s="435">
        <f t="shared" si="20"/>
        <v>5.9210051267239508E-3</v>
      </c>
      <c r="L20" s="435">
        <f t="shared" si="20"/>
        <v>3.6103689797097262E-3</v>
      </c>
      <c r="M20" s="435">
        <f t="shared" si="5"/>
        <v>3.0012257047802485E-2</v>
      </c>
    </row>
    <row r="21" spans="2:13" ht="12.95">
      <c r="B21" s="434" t="str">
        <f t="shared" si="2"/>
        <v>Southland Region</v>
      </c>
      <c r="C21" s="435">
        <f t="shared" si="3"/>
        <v>1</v>
      </c>
      <c r="D21" s="435">
        <f t="shared" ref="D21:L21" si="21">D67/($C67-$M67)</f>
        <v>0</v>
      </c>
      <c r="E21" s="435">
        <f t="shared" si="21"/>
        <v>0.28020361091227231</v>
      </c>
      <c r="F21" s="435">
        <f t="shared" si="21"/>
        <v>0.36323868607333176</v>
      </c>
      <c r="G21" s="435">
        <f t="shared" si="21"/>
        <v>0.14340252922930088</v>
      </c>
      <c r="H21" s="435">
        <f t="shared" si="21"/>
        <v>0.13067684721228029</v>
      </c>
      <c r="I21" s="435">
        <f t="shared" si="21"/>
        <v>5.8140459715262868E-2</v>
      </c>
      <c r="J21" s="435">
        <f t="shared" si="21"/>
        <v>1.6781993159945916E-2</v>
      </c>
      <c r="K21" s="435">
        <f t="shared" si="21"/>
        <v>5.0902728068082399E-3</v>
      </c>
      <c r="L21" s="435">
        <f t="shared" si="21"/>
        <v>2.5451364034041199E-3</v>
      </c>
      <c r="M21" s="435">
        <f t="shared" si="5"/>
        <v>2.3986958546809503E-2</v>
      </c>
    </row>
    <row r="22" spans="2:13" ht="12.95">
      <c r="B22" s="434" t="str">
        <f t="shared" si="2"/>
        <v>Total - Regional Council Areas</v>
      </c>
      <c r="C22" s="435">
        <f t="shared" si="3"/>
        <v>1</v>
      </c>
      <c r="D22" s="435">
        <f t="shared" ref="D22:L22" si="22">D68/($C68-$M68)</f>
        <v>0</v>
      </c>
      <c r="E22" s="435">
        <f t="shared" si="22"/>
        <v>0.22674453632160016</v>
      </c>
      <c r="F22" s="435">
        <f t="shared" si="22"/>
        <v>0.33246162999111351</v>
      </c>
      <c r="G22" s="435">
        <f t="shared" si="22"/>
        <v>0.16446952238940851</v>
      </c>
      <c r="H22" s="435">
        <f t="shared" si="22"/>
        <v>0.15646416037835315</v>
      </c>
      <c r="I22" s="435">
        <f t="shared" si="22"/>
        <v>7.0786829936890935E-2</v>
      </c>
      <c r="J22" s="435">
        <f t="shared" si="22"/>
        <v>2.865512930580031E-2</v>
      </c>
      <c r="K22" s="435">
        <f t="shared" si="22"/>
        <v>1.1036555058515205E-2</v>
      </c>
      <c r="L22" s="435">
        <f t="shared" si="22"/>
        <v>9.3797538897172888E-3</v>
      </c>
      <c r="M22" s="435">
        <f t="shared" si="5"/>
        <v>3.6335365975350663E-2</v>
      </c>
    </row>
    <row r="23" spans="2:13" ht="12.95">
      <c r="B23" s="434" t="str">
        <f t="shared" si="2"/>
        <v>Area Outside Region</v>
      </c>
      <c r="C23" s="435">
        <f t="shared" si="3"/>
        <v>1</v>
      </c>
      <c r="D23" s="435">
        <f t="shared" ref="D23:L23" si="23">D69/($C69-$M69)</f>
        <v>0</v>
      </c>
      <c r="E23" s="435">
        <f t="shared" si="23"/>
        <v>0.28915662650602408</v>
      </c>
      <c r="F23" s="435">
        <f t="shared" si="23"/>
        <v>0.31325301204819278</v>
      </c>
      <c r="G23" s="435">
        <f t="shared" si="23"/>
        <v>0.19277108433734941</v>
      </c>
      <c r="H23" s="435">
        <f t="shared" si="23"/>
        <v>0.12048192771084337</v>
      </c>
      <c r="I23" s="435">
        <f t="shared" si="23"/>
        <v>8.4337349397590355E-2</v>
      </c>
      <c r="J23" s="435">
        <f t="shared" si="23"/>
        <v>1.2048192771084338E-2</v>
      </c>
      <c r="K23" s="435">
        <f t="shared" si="23"/>
        <v>0</v>
      </c>
      <c r="L23" s="435">
        <f t="shared" si="23"/>
        <v>0</v>
      </c>
      <c r="M23" s="435">
        <f t="shared" si="5"/>
        <v>9.7826086956521743E-2</v>
      </c>
    </row>
    <row r="24" spans="2:13" ht="12.6">
      <c r="B24" s="28"/>
    </row>
    <row r="25" spans="2:13" ht="26.1">
      <c r="B25" s="434" t="s">
        <v>1937</v>
      </c>
      <c r="C25" s="434" t="s">
        <v>1938</v>
      </c>
      <c r="D25" s="434" t="s">
        <v>1939</v>
      </c>
      <c r="E25" s="434" t="s">
        <v>1940</v>
      </c>
      <c r="F25" s="28"/>
      <c r="G25" s="28"/>
      <c r="H25" s="28"/>
      <c r="I25" s="28"/>
      <c r="J25" s="28"/>
      <c r="K25" s="28"/>
      <c r="L25" s="28"/>
      <c r="M25" s="28"/>
    </row>
    <row r="26" spans="2:13" ht="12.95">
      <c r="B26" s="434" t="s">
        <v>14</v>
      </c>
      <c r="C26" s="135">
        <f t="shared" ref="C26:C44" si="24">E5</f>
        <v>0.22675574329666359</v>
      </c>
      <c r="D26" s="135">
        <f t="shared" ref="D26:D44" si="25">SUM(F5:G5)</f>
        <v>0.49692975520868626</v>
      </c>
      <c r="E26" s="135">
        <f t="shared" ref="E26:E44" si="26">SUM(H5:L5)</f>
        <v>0.27631261906375421</v>
      </c>
    </row>
    <row r="27" spans="2:13" ht="12.95">
      <c r="B27" s="434" t="s">
        <v>1941</v>
      </c>
      <c r="C27" s="135">
        <f t="shared" si="24"/>
        <v>0.25255820851253152</v>
      </c>
      <c r="D27" s="135">
        <f t="shared" si="25"/>
        <v>0.51337189183844978</v>
      </c>
      <c r="E27" s="135">
        <f t="shared" si="26"/>
        <v>0.23397103168718178</v>
      </c>
    </row>
    <row r="28" spans="2:13" ht="12.95">
      <c r="B28" s="434" t="s">
        <v>1942</v>
      </c>
      <c r="C28" s="135">
        <f t="shared" si="24"/>
        <v>0.17956744092306143</v>
      </c>
      <c r="D28" s="135">
        <f t="shared" si="25"/>
        <v>0.4699576762231068</v>
      </c>
      <c r="E28" s="135">
        <f t="shared" si="26"/>
        <v>0.35048747921600243</v>
      </c>
    </row>
    <row r="29" spans="2:13" ht="12.95">
      <c r="B29" s="434" t="s">
        <v>1943</v>
      </c>
      <c r="C29" s="135">
        <f t="shared" si="24"/>
        <v>0.23083256740196079</v>
      </c>
      <c r="D29" s="135">
        <f t="shared" si="25"/>
        <v>0.50296798406862742</v>
      </c>
      <c r="E29" s="135">
        <f t="shared" si="26"/>
        <v>0.26621859681372551</v>
      </c>
    </row>
    <row r="30" spans="2:13" ht="12.95">
      <c r="B30" s="434" t="s">
        <v>1944</v>
      </c>
      <c r="C30" s="135">
        <f t="shared" si="24"/>
        <v>0.23294759887407238</v>
      </c>
      <c r="D30" s="135">
        <f t="shared" si="25"/>
        <v>0.51519717949446986</v>
      </c>
      <c r="E30" s="135">
        <f t="shared" si="26"/>
        <v>0.25188365414688235</v>
      </c>
    </row>
    <row r="31" spans="2:13" ht="12.95">
      <c r="B31" s="331" t="s">
        <v>1945</v>
      </c>
      <c r="C31" s="135">
        <f t="shared" si="24"/>
        <v>0.25489443378119003</v>
      </c>
      <c r="D31" s="135">
        <f t="shared" si="25"/>
        <v>0.47715930902111325</v>
      </c>
      <c r="E31" s="135">
        <f t="shared" si="26"/>
        <v>0.26794625719769677</v>
      </c>
    </row>
    <row r="32" spans="2:13" ht="12.95">
      <c r="B32" s="331" t="s">
        <v>1946</v>
      </c>
      <c r="C32" s="135">
        <f t="shared" si="24"/>
        <v>0.25394036483902643</v>
      </c>
      <c r="D32" s="135">
        <f t="shared" si="25"/>
        <v>0.5046250839749884</v>
      </c>
      <c r="E32" s="135">
        <f t="shared" si="26"/>
        <v>0.2414345511859852</v>
      </c>
    </row>
    <row r="33" spans="2:222" ht="12.95">
      <c r="B33" s="331" t="s">
        <v>1947</v>
      </c>
      <c r="C33" s="135">
        <f t="shared" si="24"/>
        <v>0.26563780387872166</v>
      </c>
      <c r="D33" s="135">
        <f t="shared" si="25"/>
        <v>0.50594099972685058</v>
      </c>
      <c r="E33" s="135">
        <f t="shared" si="26"/>
        <v>0.22855777110079215</v>
      </c>
    </row>
    <row r="34" spans="2:222" ht="12.95">
      <c r="B34" s="331" t="s">
        <v>1948</v>
      </c>
      <c r="C34" s="135">
        <f t="shared" si="24"/>
        <v>0.27762720005489416</v>
      </c>
      <c r="D34" s="135">
        <f t="shared" si="25"/>
        <v>0.49850756510103955</v>
      </c>
      <c r="E34" s="135">
        <f t="shared" si="26"/>
        <v>0.22383092599581431</v>
      </c>
    </row>
    <row r="35" spans="2:222" ht="12.95">
      <c r="B35" s="331" t="s">
        <v>1949</v>
      </c>
      <c r="C35" s="135">
        <f t="shared" si="24"/>
        <v>0.23682458301428239</v>
      </c>
      <c r="D35" s="135">
        <f t="shared" si="25"/>
        <v>0.49733661817092256</v>
      </c>
      <c r="E35" s="135">
        <f t="shared" si="26"/>
        <v>0.26585544495122682</v>
      </c>
    </row>
    <row r="36" spans="2:222" ht="12.95">
      <c r="B36" s="331" t="s">
        <v>1950</v>
      </c>
      <c r="C36" s="135">
        <f t="shared" si="24"/>
        <v>0.21783277804220214</v>
      </c>
      <c r="D36" s="135">
        <f t="shared" si="25"/>
        <v>0.54688243693479299</v>
      </c>
      <c r="E36" s="135">
        <f t="shared" si="26"/>
        <v>0.2354434396319213</v>
      </c>
    </row>
    <row r="37" spans="2:222" ht="12.95">
      <c r="B37" s="331" t="s">
        <v>1951</v>
      </c>
      <c r="C37" s="135">
        <f t="shared" si="24"/>
        <v>0.262641979150459</v>
      </c>
      <c r="D37" s="135">
        <f t="shared" si="25"/>
        <v>0.52606192624863857</v>
      </c>
      <c r="E37" s="135">
        <f t="shared" si="26"/>
        <v>0.21129609460090246</v>
      </c>
    </row>
    <row r="38" spans="2:222" ht="12.95">
      <c r="B38" s="331" t="s">
        <v>1952</v>
      </c>
      <c r="C38" s="135">
        <f t="shared" si="24"/>
        <v>0.25087339876892362</v>
      </c>
      <c r="D38" s="135">
        <f t="shared" si="25"/>
        <v>0.55115621360838463</v>
      </c>
      <c r="E38" s="135">
        <f t="shared" si="26"/>
        <v>0.19797038762269173</v>
      </c>
    </row>
    <row r="39" spans="2:222" ht="12.95">
      <c r="B39" s="331" t="s">
        <v>1953</v>
      </c>
      <c r="C39" s="135">
        <f t="shared" si="24"/>
        <v>0.32917059377945335</v>
      </c>
      <c r="D39" s="135">
        <f t="shared" si="25"/>
        <v>0.5115457115928369</v>
      </c>
      <c r="E39" s="135">
        <f t="shared" si="26"/>
        <v>0.15951932139491046</v>
      </c>
    </row>
    <row r="40" spans="2:222" ht="12.95">
      <c r="B40" s="331" t="s">
        <v>1954</v>
      </c>
      <c r="C40" s="135">
        <f t="shared" si="24"/>
        <v>0.23933097916837753</v>
      </c>
      <c r="D40" s="135">
        <f t="shared" si="25"/>
        <v>0.51469984396813673</v>
      </c>
      <c r="E40" s="135">
        <f t="shared" si="26"/>
        <v>0.24596917686348579</v>
      </c>
    </row>
    <row r="41" spans="2:222" ht="12.95">
      <c r="B41" s="331" t="s">
        <v>1955</v>
      </c>
      <c r="C41" s="135">
        <f t="shared" si="24"/>
        <v>0.25781644884107158</v>
      </c>
      <c r="D41" s="135">
        <f t="shared" si="25"/>
        <v>0.51270849880857816</v>
      </c>
      <c r="E41" s="135">
        <f t="shared" si="26"/>
        <v>0.2295111560401473</v>
      </c>
    </row>
    <row r="42" spans="2:222" ht="12.95">
      <c r="B42" s="331" t="s">
        <v>1956</v>
      </c>
      <c r="C42" s="135">
        <f t="shared" si="24"/>
        <v>0.28020361091227231</v>
      </c>
      <c r="D42" s="135">
        <f t="shared" si="25"/>
        <v>0.50664121530263262</v>
      </c>
      <c r="E42" s="135">
        <f t="shared" si="26"/>
        <v>0.21323470929770144</v>
      </c>
    </row>
    <row r="43" spans="2:222" ht="12.95">
      <c r="B43" s="331" t="s">
        <v>1957</v>
      </c>
      <c r="C43" s="135">
        <f t="shared" si="24"/>
        <v>0.22674453632160016</v>
      </c>
      <c r="D43" s="135">
        <f t="shared" si="25"/>
        <v>0.49693115238052199</v>
      </c>
      <c r="E43" s="135">
        <f t="shared" si="26"/>
        <v>0.27632242856927691</v>
      </c>
    </row>
    <row r="44" spans="2:222" ht="12.95">
      <c r="B44" s="331" t="s">
        <v>1958</v>
      </c>
      <c r="C44" s="135">
        <f t="shared" si="24"/>
        <v>0.28915662650602408</v>
      </c>
      <c r="D44" s="135">
        <f t="shared" si="25"/>
        <v>0.50602409638554224</v>
      </c>
      <c r="E44" s="135">
        <f t="shared" si="26"/>
        <v>0.21686746987951808</v>
      </c>
    </row>
    <row r="47" spans="2:222" ht="12.6">
      <c r="B47" s="524" t="s">
        <v>1934</v>
      </c>
      <c r="C47" s="369"/>
      <c r="D47" s="369"/>
      <c r="E47" s="369"/>
      <c r="F47" s="369"/>
      <c r="G47" s="369"/>
      <c r="H47" s="369"/>
      <c r="I47" s="369"/>
      <c r="J47" s="369"/>
      <c r="K47" s="369"/>
      <c r="L47" s="369"/>
      <c r="M47" s="369"/>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604" t="s">
        <v>1941</v>
      </c>
      <c r="AN47" s="621"/>
      <c r="AO47" s="621"/>
      <c r="AP47" s="621"/>
      <c r="AQ47" s="621"/>
      <c r="AR47" s="621"/>
      <c r="AS47" s="621"/>
      <c r="AT47" s="621"/>
      <c r="AU47" s="621"/>
      <c r="AV47" s="621"/>
      <c r="AW47" s="621"/>
      <c r="AX47" s="621"/>
      <c r="AY47" s="621"/>
      <c r="AZ47" s="621"/>
      <c r="BA47" s="621"/>
      <c r="BB47" s="621"/>
      <c r="BC47" s="621"/>
      <c r="BD47" s="621"/>
      <c r="BE47" s="621"/>
      <c r="BF47" s="621"/>
      <c r="BG47" s="621"/>
      <c r="BH47" s="621"/>
      <c r="BI47" s="621"/>
      <c r="BJ47" s="621"/>
      <c r="BK47" s="621"/>
      <c r="BL47" s="621"/>
      <c r="BM47" s="621"/>
      <c r="BN47" s="621"/>
      <c r="BO47" s="621"/>
      <c r="BP47" s="621"/>
      <c r="BQ47" s="621"/>
      <c r="BR47" s="621"/>
      <c r="BS47" s="621"/>
      <c r="BT47" s="621"/>
      <c r="BU47" s="621"/>
      <c r="BV47" s="622"/>
      <c r="BW47" s="604" t="s">
        <v>1942</v>
      </c>
      <c r="BX47" s="621"/>
      <c r="BY47" s="621"/>
      <c r="BZ47" s="621"/>
      <c r="CA47" s="621"/>
      <c r="CB47" s="621"/>
      <c r="CC47" s="621"/>
      <c r="CD47" s="621"/>
      <c r="CE47" s="621"/>
      <c r="CF47" s="621"/>
      <c r="CG47" s="621"/>
      <c r="CH47" s="621"/>
      <c r="CI47" s="621"/>
      <c r="CJ47" s="621"/>
      <c r="CK47" s="621"/>
      <c r="CL47" s="621"/>
      <c r="CM47" s="621"/>
      <c r="CN47" s="621"/>
      <c r="CO47" s="621"/>
      <c r="CP47" s="621"/>
      <c r="CQ47" s="621"/>
      <c r="CR47" s="621"/>
      <c r="CS47" s="621"/>
      <c r="CT47" s="621"/>
      <c r="CU47" s="621"/>
      <c r="CV47" s="621"/>
      <c r="CW47" s="621"/>
      <c r="CX47" s="621"/>
      <c r="CY47" s="621"/>
      <c r="CZ47" s="621"/>
      <c r="DA47" s="621"/>
      <c r="DB47" s="621"/>
      <c r="DC47" s="621"/>
      <c r="DD47" s="621"/>
      <c r="DE47" s="621"/>
      <c r="DF47" s="622"/>
      <c r="DG47" s="604" t="s">
        <v>1943</v>
      </c>
      <c r="DH47" s="621"/>
      <c r="DI47" s="621"/>
      <c r="DJ47" s="621"/>
      <c r="DK47" s="621"/>
      <c r="DL47" s="621"/>
      <c r="DM47" s="621"/>
      <c r="DN47" s="621"/>
      <c r="DO47" s="621"/>
      <c r="DP47" s="621"/>
      <c r="DQ47" s="621"/>
      <c r="DR47" s="621"/>
      <c r="DS47" s="621"/>
      <c r="DT47" s="621"/>
      <c r="DU47" s="621"/>
      <c r="DV47" s="621"/>
      <c r="DW47" s="621"/>
      <c r="DX47" s="621"/>
      <c r="DY47" s="621"/>
      <c r="DZ47" s="621"/>
      <c r="EA47" s="621"/>
      <c r="EB47" s="621"/>
      <c r="EC47" s="621"/>
      <c r="ED47" s="621"/>
      <c r="EE47" s="621"/>
      <c r="EF47" s="621"/>
      <c r="EG47" s="621"/>
      <c r="EH47" s="621"/>
      <c r="EI47" s="621"/>
      <c r="EJ47" s="621"/>
      <c r="EK47" s="621"/>
      <c r="EL47" s="621"/>
      <c r="EM47" s="621"/>
      <c r="EN47" s="621"/>
      <c r="EO47" s="621"/>
      <c r="EP47" s="622"/>
      <c r="EQ47" s="604" t="s">
        <v>1944</v>
      </c>
      <c r="ER47" s="621"/>
      <c r="ES47" s="621"/>
      <c r="ET47" s="621"/>
      <c r="EU47" s="621"/>
      <c r="EV47" s="621"/>
      <c r="EW47" s="621"/>
      <c r="EX47" s="621"/>
      <c r="EY47" s="621"/>
      <c r="EZ47" s="621"/>
      <c r="FA47" s="621"/>
      <c r="FB47" s="621"/>
      <c r="FC47" s="621"/>
      <c r="FD47" s="621"/>
      <c r="FE47" s="621"/>
      <c r="FF47" s="621"/>
      <c r="FG47" s="621"/>
      <c r="FH47" s="621"/>
      <c r="FI47" s="621"/>
      <c r="FJ47" s="621"/>
      <c r="FK47" s="621"/>
      <c r="FL47" s="621"/>
      <c r="FM47" s="621"/>
      <c r="FN47" s="621"/>
      <c r="FO47" s="621"/>
      <c r="FP47" s="621"/>
      <c r="FQ47" s="621"/>
      <c r="FR47" s="621"/>
      <c r="FS47" s="621"/>
      <c r="FT47" s="621"/>
      <c r="FU47" s="621"/>
      <c r="FV47" s="621"/>
      <c r="FW47" s="621"/>
      <c r="FX47" s="621"/>
      <c r="FY47" s="621"/>
      <c r="FZ47" s="622"/>
      <c r="GA47" s="604" t="s">
        <v>1959</v>
      </c>
      <c r="GB47" s="621"/>
      <c r="GC47" s="621"/>
      <c r="GD47" s="621"/>
      <c r="GE47" s="621"/>
      <c r="GF47" s="621"/>
      <c r="GG47" s="621"/>
      <c r="GH47" s="621"/>
      <c r="GI47" s="621"/>
      <c r="GJ47" s="621"/>
      <c r="GK47" s="621"/>
      <c r="GL47" s="621"/>
      <c r="GM47" s="621"/>
      <c r="GN47" s="621"/>
      <c r="GO47" s="621"/>
      <c r="GP47" s="621"/>
      <c r="GQ47" s="621"/>
      <c r="GR47" s="621"/>
      <c r="GS47" s="621"/>
      <c r="GT47" s="621"/>
      <c r="GU47" s="621"/>
      <c r="GV47" s="621"/>
      <c r="GW47" s="621"/>
      <c r="GX47" s="621"/>
      <c r="GY47" s="621"/>
      <c r="GZ47" s="621"/>
      <c r="HA47" s="621"/>
      <c r="HB47" s="621"/>
      <c r="HC47" s="621"/>
      <c r="HD47" s="621"/>
      <c r="HE47" s="621"/>
      <c r="HF47" s="621"/>
      <c r="HG47" s="621"/>
      <c r="HH47" s="621"/>
      <c r="HI47" s="621"/>
      <c r="HJ47" s="622"/>
      <c r="HK47" s="604" t="s">
        <v>1947</v>
      </c>
      <c r="HL47" s="621"/>
      <c r="HM47" s="621"/>
      <c r="HN47" s="622"/>
    </row>
    <row r="48" spans="2:222" ht="39.950000000000003">
      <c r="B48" s="437" t="s">
        <v>1960</v>
      </c>
      <c r="C48" s="438" t="s">
        <v>1961</v>
      </c>
      <c r="D48" s="438" t="s">
        <v>1962</v>
      </c>
      <c r="E48" s="438" t="s">
        <v>1963</v>
      </c>
      <c r="F48" s="438" t="s">
        <v>1964</v>
      </c>
      <c r="G48" s="438" t="s">
        <v>1965</v>
      </c>
      <c r="H48" s="438" t="s">
        <v>1966</v>
      </c>
      <c r="I48" s="438" t="s">
        <v>1967</v>
      </c>
      <c r="J48" s="438" t="s">
        <v>1968</v>
      </c>
      <c r="K48" s="438" t="s">
        <v>1969</v>
      </c>
      <c r="L48" s="438" t="s">
        <v>1970</v>
      </c>
      <c r="M48" s="438" t="s">
        <v>1971</v>
      </c>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603" t="s">
        <v>1972</v>
      </c>
      <c r="AN48" s="621"/>
      <c r="AO48" s="621"/>
      <c r="AP48" s="621"/>
      <c r="AQ48" s="621"/>
      <c r="AR48" s="621"/>
      <c r="AS48" s="621"/>
      <c r="AT48" s="621"/>
      <c r="AU48" s="621"/>
      <c r="AV48" s="621"/>
      <c r="AW48" s="621"/>
      <c r="AX48" s="621"/>
      <c r="AY48" s="621"/>
      <c r="AZ48" s="621"/>
      <c r="BA48" s="621"/>
      <c r="BB48" s="621"/>
      <c r="BC48" s="621"/>
      <c r="BD48" s="622"/>
      <c r="BE48" s="603" t="s">
        <v>1973</v>
      </c>
      <c r="BF48" s="621"/>
      <c r="BG48" s="621"/>
      <c r="BH48" s="621"/>
      <c r="BI48" s="621"/>
      <c r="BJ48" s="621"/>
      <c r="BK48" s="621"/>
      <c r="BL48" s="621"/>
      <c r="BM48" s="621"/>
      <c r="BN48" s="621"/>
      <c r="BO48" s="621"/>
      <c r="BP48" s="621"/>
      <c r="BQ48" s="621"/>
      <c r="BR48" s="621"/>
      <c r="BS48" s="621"/>
      <c r="BT48" s="621"/>
      <c r="BU48" s="621"/>
      <c r="BV48" s="622"/>
      <c r="BW48" s="603" t="s">
        <v>1972</v>
      </c>
      <c r="BX48" s="621"/>
      <c r="BY48" s="621"/>
      <c r="BZ48" s="621"/>
      <c r="CA48" s="621"/>
      <c r="CB48" s="621"/>
      <c r="CC48" s="621"/>
      <c r="CD48" s="621"/>
      <c r="CE48" s="621"/>
      <c r="CF48" s="621"/>
      <c r="CG48" s="621"/>
      <c r="CH48" s="621"/>
      <c r="CI48" s="621"/>
      <c r="CJ48" s="621"/>
      <c r="CK48" s="621"/>
      <c r="CL48" s="621"/>
      <c r="CM48" s="621"/>
      <c r="CN48" s="622"/>
      <c r="CO48" s="603" t="s">
        <v>1973</v>
      </c>
      <c r="CP48" s="621"/>
      <c r="CQ48" s="621"/>
      <c r="CR48" s="621"/>
      <c r="CS48" s="621"/>
      <c r="CT48" s="621"/>
      <c r="CU48" s="621"/>
      <c r="CV48" s="621"/>
      <c r="CW48" s="621"/>
      <c r="CX48" s="621"/>
      <c r="CY48" s="621"/>
      <c r="CZ48" s="621"/>
      <c r="DA48" s="621"/>
      <c r="DB48" s="621"/>
      <c r="DC48" s="621"/>
      <c r="DD48" s="621"/>
      <c r="DE48" s="621"/>
      <c r="DF48" s="622"/>
      <c r="DG48" s="603" t="s">
        <v>1972</v>
      </c>
      <c r="DH48" s="621"/>
      <c r="DI48" s="621"/>
      <c r="DJ48" s="621"/>
      <c r="DK48" s="621"/>
      <c r="DL48" s="621"/>
      <c r="DM48" s="621"/>
      <c r="DN48" s="621"/>
      <c r="DO48" s="621"/>
      <c r="DP48" s="621"/>
      <c r="DQ48" s="621"/>
      <c r="DR48" s="621"/>
      <c r="DS48" s="621"/>
      <c r="DT48" s="621"/>
      <c r="DU48" s="621"/>
      <c r="DV48" s="621"/>
      <c r="DW48" s="621"/>
      <c r="DX48" s="622"/>
      <c r="DY48" s="603" t="s">
        <v>1973</v>
      </c>
      <c r="DZ48" s="621"/>
      <c r="EA48" s="621"/>
      <c r="EB48" s="621"/>
      <c r="EC48" s="621"/>
      <c r="ED48" s="621"/>
      <c r="EE48" s="621"/>
      <c r="EF48" s="621"/>
      <c r="EG48" s="621"/>
      <c r="EH48" s="621"/>
      <c r="EI48" s="621"/>
      <c r="EJ48" s="621"/>
      <c r="EK48" s="621"/>
      <c r="EL48" s="621"/>
      <c r="EM48" s="621"/>
      <c r="EN48" s="621"/>
      <c r="EO48" s="621"/>
      <c r="EP48" s="622"/>
      <c r="EQ48" s="603" t="s">
        <v>1972</v>
      </c>
      <c r="ER48" s="621"/>
      <c r="ES48" s="621"/>
      <c r="ET48" s="621"/>
      <c r="EU48" s="621"/>
      <c r="EV48" s="621"/>
      <c r="EW48" s="621"/>
      <c r="EX48" s="621"/>
      <c r="EY48" s="621"/>
      <c r="EZ48" s="621"/>
      <c r="FA48" s="621"/>
      <c r="FB48" s="621"/>
      <c r="FC48" s="621"/>
      <c r="FD48" s="621"/>
      <c r="FE48" s="621"/>
      <c r="FF48" s="621"/>
      <c r="FG48" s="621"/>
      <c r="FH48" s="622"/>
      <c r="FI48" s="603" t="s">
        <v>1973</v>
      </c>
      <c r="FJ48" s="621"/>
      <c r="FK48" s="621"/>
      <c r="FL48" s="621"/>
      <c r="FM48" s="621"/>
      <c r="FN48" s="621"/>
      <c r="FO48" s="621"/>
      <c r="FP48" s="621"/>
      <c r="FQ48" s="621"/>
      <c r="FR48" s="621"/>
      <c r="FS48" s="621"/>
      <c r="FT48" s="621"/>
      <c r="FU48" s="621"/>
      <c r="FV48" s="621"/>
      <c r="FW48" s="621"/>
      <c r="FX48" s="621"/>
      <c r="FY48" s="621"/>
      <c r="FZ48" s="622"/>
      <c r="GA48" s="603" t="s">
        <v>1972</v>
      </c>
      <c r="GB48" s="621"/>
      <c r="GC48" s="621"/>
      <c r="GD48" s="621"/>
      <c r="GE48" s="621"/>
      <c r="GF48" s="621"/>
      <c r="GG48" s="621"/>
      <c r="GH48" s="621"/>
      <c r="GI48" s="621"/>
      <c r="GJ48" s="621"/>
      <c r="GK48" s="621"/>
      <c r="GL48" s="621"/>
      <c r="GM48" s="621"/>
      <c r="GN48" s="621"/>
      <c r="GO48" s="621"/>
      <c r="GP48" s="621"/>
      <c r="GQ48" s="621"/>
      <c r="GR48" s="622"/>
      <c r="GS48" s="603" t="s">
        <v>1973</v>
      </c>
      <c r="GT48" s="621"/>
      <c r="GU48" s="621"/>
      <c r="GV48" s="621"/>
      <c r="GW48" s="621"/>
      <c r="GX48" s="621"/>
      <c r="GY48" s="621"/>
      <c r="GZ48" s="621"/>
      <c r="HA48" s="621"/>
      <c r="HB48" s="621"/>
      <c r="HC48" s="621"/>
      <c r="HD48" s="621"/>
      <c r="HE48" s="621"/>
      <c r="HF48" s="621"/>
      <c r="HG48" s="621"/>
      <c r="HH48" s="621"/>
      <c r="HI48" s="621"/>
      <c r="HJ48" s="622"/>
      <c r="HK48" s="603" t="s">
        <v>1972</v>
      </c>
      <c r="HL48" s="621"/>
      <c r="HM48" s="621"/>
      <c r="HN48" s="622"/>
    </row>
    <row r="49" spans="2:222" ht="17.25" customHeight="1">
      <c r="B49" s="439" t="s">
        <v>416</v>
      </c>
      <c r="C49" s="604">
        <v>2018</v>
      </c>
      <c r="D49" s="621"/>
      <c r="E49" s="621"/>
      <c r="F49" s="621"/>
      <c r="G49" s="621"/>
      <c r="H49" s="621"/>
      <c r="I49" s="621"/>
      <c r="J49" s="621"/>
      <c r="K49" s="621"/>
      <c r="L49" s="621"/>
      <c r="M49" s="622"/>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440" t="s">
        <v>1974</v>
      </c>
      <c r="AN49" s="440" t="s">
        <v>1975</v>
      </c>
      <c r="AO49" s="440" t="s">
        <v>1976</v>
      </c>
      <c r="AP49" s="440" t="s">
        <v>1977</v>
      </c>
      <c r="AQ49" s="440" t="s">
        <v>1978</v>
      </c>
      <c r="AR49" s="440" t="s">
        <v>1979</v>
      </c>
      <c r="AS49" s="440" t="s">
        <v>1980</v>
      </c>
      <c r="AT49" s="440" t="s">
        <v>1981</v>
      </c>
      <c r="AU49" s="440" t="s">
        <v>1982</v>
      </c>
      <c r="AV49" s="440" t="s">
        <v>1983</v>
      </c>
      <c r="AW49" s="440" t="s">
        <v>1984</v>
      </c>
      <c r="AX49" s="440" t="s">
        <v>1985</v>
      </c>
      <c r="AY49" s="440" t="s">
        <v>1986</v>
      </c>
      <c r="AZ49" s="440" t="s">
        <v>1987</v>
      </c>
      <c r="BA49" s="440" t="s">
        <v>1988</v>
      </c>
      <c r="BB49" s="440" t="s">
        <v>1989</v>
      </c>
      <c r="BC49" s="440" t="s">
        <v>519</v>
      </c>
      <c r="BD49" s="440" t="s">
        <v>1990</v>
      </c>
      <c r="BE49" s="440" t="s">
        <v>1974</v>
      </c>
      <c r="BF49" s="440" t="s">
        <v>1975</v>
      </c>
      <c r="BG49" s="440" t="s">
        <v>1976</v>
      </c>
      <c r="BH49" s="440" t="s">
        <v>1977</v>
      </c>
      <c r="BI49" s="440" t="s">
        <v>1978</v>
      </c>
      <c r="BJ49" s="440" t="s">
        <v>1979</v>
      </c>
      <c r="BK49" s="440" t="s">
        <v>1980</v>
      </c>
      <c r="BL49" s="440" t="s">
        <v>1981</v>
      </c>
      <c r="BM49" s="440" t="s">
        <v>1982</v>
      </c>
      <c r="BN49" s="440" t="s">
        <v>1983</v>
      </c>
      <c r="BO49" s="440" t="s">
        <v>1984</v>
      </c>
      <c r="BP49" s="440" t="s">
        <v>1985</v>
      </c>
      <c r="BQ49" s="440" t="s">
        <v>1986</v>
      </c>
      <c r="BR49" s="440" t="s">
        <v>1987</v>
      </c>
      <c r="BS49" s="440" t="s">
        <v>1988</v>
      </c>
      <c r="BT49" s="440" t="s">
        <v>1989</v>
      </c>
      <c r="BU49" s="440" t="s">
        <v>519</v>
      </c>
      <c r="BV49" s="440" t="s">
        <v>1990</v>
      </c>
      <c r="BW49" s="440" t="s">
        <v>1974</v>
      </c>
      <c r="BX49" s="440" t="s">
        <v>1975</v>
      </c>
      <c r="BY49" s="440" t="s">
        <v>1976</v>
      </c>
      <c r="BZ49" s="440" t="s">
        <v>1977</v>
      </c>
      <c r="CA49" s="440" t="s">
        <v>1978</v>
      </c>
      <c r="CB49" s="440" t="s">
        <v>1979</v>
      </c>
      <c r="CC49" s="440" t="s">
        <v>1980</v>
      </c>
      <c r="CD49" s="440" t="s">
        <v>1981</v>
      </c>
      <c r="CE49" s="440" t="s">
        <v>1982</v>
      </c>
      <c r="CF49" s="440" t="s">
        <v>1983</v>
      </c>
      <c r="CG49" s="440" t="s">
        <v>1984</v>
      </c>
      <c r="CH49" s="440" t="s">
        <v>1985</v>
      </c>
      <c r="CI49" s="440" t="s">
        <v>1986</v>
      </c>
      <c r="CJ49" s="440" t="s">
        <v>1987</v>
      </c>
      <c r="CK49" s="440" t="s">
        <v>1988</v>
      </c>
      <c r="CL49" s="440" t="s">
        <v>1989</v>
      </c>
      <c r="CM49" s="440" t="s">
        <v>519</v>
      </c>
      <c r="CN49" s="440" t="s">
        <v>1990</v>
      </c>
      <c r="CO49" s="440" t="s">
        <v>1974</v>
      </c>
      <c r="CP49" s="440" t="s">
        <v>1975</v>
      </c>
      <c r="CQ49" s="440" t="s">
        <v>1976</v>
      </c>
      <c r="CR49" s="440" t="s">
        <v>1977</v>
      </c>
      <c r="CS49" s="440" t="s">
        <v>1978</v>
      </c>
      <c r="CT49" s="440" t="s">
        <v>1979</v>
      </c>
      <c r="CU49" s="440" t="s">
        <v>1980</v>
      </c>
      <c r="CV49" s="440" t="s">
        <v>1981</v>
      </c>
      <c r="CW49" s="440" t="s">
        <v>1982</v>
      </c>
      <c r="CX49" s="440" t="s">
        <v>1983</v>
      </c>
      <c r="CY49" s="440" t="s">
        <v>1984</v>
      </c>
      <c r="CZ49" s="440" t="s">
        <v>1985</v>
      </c>
      <c r="DA49" s="440" t="s">
        <v>1986</v>
      </c>
      <c r="DB49" s="440" t="s">
        <v>1987</v>
      </c>
      <c r="DC49" s="440" t="s">
        <v>1988</v>
      </c>
      <c r="DD49" s="440" t="s">
        <v>1989</v>
      </c>
      <c r="DE49" s="440" t="s">
        <v>519</v>
      </c>
      <c r="DF49" s="440" t="s">
        <v>1990</v>
      </c>
      <c r="DG49" s="440" t="s">
        <v>1974</v>
      </c>
      <c r="DH49" s="440" t="s">
        <v>1975</v>
      </c>
      <c r="DI49" s="440" t="s">
        <v>1976</v>
      </c>
      <c r="DJ49" s="440" t="s">
        <v>1977</v>
      </c>
      <c r="DK49" s="440" t="s">
        <v>1978</v>
      </c>
      <c r="DL49" s="440" t="s">
        <v>1979</v>
      </c>
      <c r="DM49" s="440" t="s">
        <v>1980</v>
      </c>
      <c r="DN49" s="440" t="s">
        <v>1981</v>
      </c>
      <c r="DO49" s="440" t="s">
        <v>1982</v>
      </c>
      <c r="DP49" s="440" t="s">
        <v>1983</v>
      </c>
      <c r="DQ49" s="440" t="s">
        <v>1984</v>
      </c>
      <c r="DR49" s="440" t="s">
        <v>1985</v>
      </c>
      <c r="DS49" s="440" t="s">
        <v>1986</v>
      </c>
      <c r="DT49" s="440" t="s">
        <v>1987</v>
      </c>
      <c r="DU49" s="440" t="s">
        <v>1988</v>
      </c>
      <c r="DV49" s="440" t="s">
        <v>1989</v>
      </c>
      <c r="DW49" s="440" t="s">
        <v>519</v>
      </c>
      <c r="DX49" s="440" t="s">
        <v>1990</v>
      </c>
      <c r="DY49" s="440" t="s">
        <v>1974</v>
      </c>
      <c r="DZ49" s="440" t="s">
        <v>1975</v>
      </c>
      <c r="EA49" s="440" t="s">
        <v>1976</v>
      </c>
      <c r="EB49" s="440" t="s">
        <v>1977</v>
      </c>
      <c r="EC49" s="440" t="s">
        <v>1978</v>
      </c>
      <c r="ED49" s="440" t="s">
        <v>1979</v>
      </c>
      <c r="EE49" s="440" t="s">
        <v>1980</v>
      </c>
      <c r="EF49" s="440" t="s">
        <v>1981</v>
      </c>
      <c r="EG49" s="440" t="s">
        <v>1982</v>
      </c>
      <c r="EH49" s="440" t="s">
        <v>1983</v>
      </c>
      <c r="EI49" s="440" t="s">
        <v>1984</v>
      </c>
      <c r="EJ49" s="440" t="s">
        <v>1985</v>
      </c>
      <c r="EK49" s="440" t="s">
        <v>1986</v>
      </c>
      <c r="EL49" s="440" t="s">
        <v>1987</v>
      </c>
      <c r="EM49" s="440" t="s">
        <v>1988</v>
      </c>
      <c r="EN49" s="440" t="s">
        <v>1989</v>
      </c>
      <c r="EO49" s="440" t="s">
        <v>519</v>
      </c>
      <c r="EP49" s="440" t="s">
        <v>1990</v>
      </c>
      <c r="EQ49" s="440" t="s">
        <v>1974</v>
      </c>
      <c r="ER49" s="440" t="s">
        <v>1975</v>
      </c>
      <c r="ES49" s="440" t="s">
        <v>1976</v>
      </c>
      <c r="ET49" s="440" t="s">
        <v>1977</v>
      </c>
      <c r="EU49" s="440" t="s">
        <v>1978</v>
      </c>
      <c r="EV49" s="440" t="s">
        <v>1979</v>
      </c>
      <c r="EW49" s="440" t="s">
        <v>1980</v>
      </c>
      <c r="EX49" s="440" t="s">
        <v>1981</v>
      </c>
      <c r="EY49" s="440" t="s">
        <v>1982</v>
      </c>
      <c r="EZ49" s="440" t="s">
        <v>1983</v>
      </c>
      <c r="FA49" s="440" t="s">
        <v>1984</v>
      </c>
      <c r="FB49" s="440" t="s">
        <v>1985</v>
      </c>
      <c r="FC49" s="440" t="s">
        <v>1986</v>
      </c>
      <c r="FD49" s="440" t="s">
        <v>1987</v>
      </c>
      <c r="FE49" s="440" t="s">
        <v>1988</v>
      </c>
      <c r="FF49" s="440" t="s">
        <v>1989</v>
      </c>
      <c r="FG49" s="440" t="s">
        <v>519</v>
      </c>
      <c r="FH49" s="440" t="s">
        <v>1990</v>
      </c>
      <c r="FI49" s="440" t="s">
        <v>1974</v>
      </c>
      <c r="FJ49" s="440" t="s">
        <v>1975</v>
      </c>
      <c r="FK49" s="440" t="s">
        <v>1976</v>
      </c>
      <c r="FL49" s="440" t="s">
        <v>1977</v>
      </c>
      <c r="FM49" s="440" t="s">
        <v>1978</v>
      </c>
      <c r="FN49" s="440" t="s">
        <v>1979</v>
      </c>
      <c r="FO49" s="440" t="s">
        <v>1980</v>
      </c>
      <c r="FP49" s="440" t="s">
        <v>1981</v>
      </c>
      <c r="FQ49" s="440" t="s">
        <v>1982</v>
      </c>
      <c r="FR49" s="440" t="s">
        <v>1983</v>
      </c>
      <c r="FS49" s="440" t="s">
        <v>1984</v>
      </c>
      <c r="FT49" s="440" t="s">
        <v>1985</v>
      </c>
      <c r="FU49" s="440" t="s">
        <v>1986</v>
      </c>
      <c r="FV49" s="440" t="s">
        <v>1987</v>
      </c>
      <c r="FW49" s="440" t="s">
        <v>1988</v>
      </c>
      <c r="FX49" s="440" t="s">
        <v>1989</v>
      </c>
      <c r="FY49" s="440" t="s">
        <v>519</v>
      </c>
      <c r="FZ49" s="440" t="s">
        <v>1990</v>
      </c>
      <c r="GA49" s="440" t="s">
        <v>1974</v>
      </c>
      <c r="GB49" s="440" t="s">
        <v>1975</v>
      </c>
      <c r="GC49" s="440" t="s">
        <v>1976</v>
      </c>
      <c r="GD49" s="440" t="s">
        <v>1977</v>
      </c>
      <c r="GE49" s="440" t="s">
        <v>1978</v>
      </c>
      <c r="GF49" s="440" t="s">
        <v>1979</v>
      </c>
      <c r="GG49" s="440" t="s">
        <v>1980</v>
      </c>
      <c r="GH49" s="440" t="s">
        <v>1981</v>
      </c>
      <c r="GI49" s="440" t="s">
        <v>1982</v>
      </c>
      <c r="GJ49" s="440" t="s">
        <v>1983</v>
      </c>
      <c r="GK49" s="440" t="s">
        <v>1984</v>
      </c>
      <c r="GL49" s="440" t="s">
        <v>1985</v>
      </c>
      <c r="GM49" s="440" t="s">
        <v>1986</v>
      </c>
      <c r="GN49" s="440" t="s">
        <v>1987</v>
      </c>
      <c r="GO49" s="440" t="s">
        <v>1988</v>
      </c>
      <c r="GP49" s="440" t="s">
        <v>1989</v>
      </c>
      <c r="GQ49" s="440" t="s">
        <v>519</v>
      </c>
      <c r="GR49" s="440" t="s">
        <v>1990</v>
      </c>
      <c r="GS49" s="440" t="s">
        <v>1974</v>
      </c>
      <c r="GT49" s="440" t="s">
        <v>1975</v>
      </c>
      <c r="GU49" s="440" t="s">
        <v>1976</v>
      </c>
      <c r="GV49" s="440" t="s">
        <v>1977</v>
      </c>
      <c r="GW49" s="440" t="s">
        <v>1978</v>
      </c>
      <c r="GX49" s="440" t="s">
        <v>1979</v>
      </c>
      <c r="GY49" s="440" t="s">
        <v>1980</v>
      </c>
      <c r="GZ49" s="440" t="s">
        <v>1981</v>
      </c>
      <c r="HA49" s="440" t="s">
        <v>1982</v>
      </c>
      <c r="HB49" s="440" t="s">
        <v>1983</v>
      </c>
      <c r="HC49" s="440" t="s">
        <v>1984</v>
      </c>
      <c r="HD49" s="440" t="s">
        <v>1985</v>
      </c>
      <c r="HE49" s="440" t="s">
        <v>1986</v>
      </c>
      <c r="HF49" s="440" t="s">
        <v>1987</v>
      </c>
      <c r="HG49" s="440" t="s">
        <v>1988</v>
      </c>
      <c r="HH49" s="440" t="s">
        <v>1989</v>
      </c>
      <c r="HI49" s="440" t="s">
        <v>519</v>
      </c>
      <c r="HJ49" s="440" t="s">
        <v>1990</v>
      </c>
      <c r="HK49" s="440" t="s">
        <v>1974</v>
      </c>
      <c r="HL49" s="440" t="s">
        <v>1975</v>
      </c>
      <c r="HM49" s="440" t="s">
        <v>1976</v>
      </c>
      <c r="HN49" s="440" t="s">
        <v>1977</v>
      </c>
    </row>
    <row r="50" spans="2:222" ht="12.6">
      <c r="B50" s="441" t="s">
        <v>81</v>
      </c>
      <c r="C50" s="442"/>
      <c r="D50" s="442">
        <v>0</v>
      </c>
      <c r="E50" s="442">
        <v>1</v>
      </c>
      <c r="F50" s="442">
        <v>2</v>
      </c>
      <c r="G50" s="442">
        <v>3</v>
      </c>
      <c r="H50" s="442">
        <v>4</v>
      </c>
      <c r="I50" s="442">
        <v>5</v>
      </c>
      <c r="J50" s="442">
        <v>6</v>
      </c>
      <c r="K50" s="442">
        <v>7</v>
      </c>
      <c r="L50" s="442">
        <v>8</v>
      </c>
      <c r="M50" s="442" t="s">
        <v>89</v>
      </c>
      <c r="AM50" s="442"/>
      <c r="AN50" s="442"/>
      <c r="AO50" s="442"/>
      <c r="AP50" s="442"/>
      <c r="AQ50" s="442"/>
      <c r="AR50" s="442"/>
      <c r="AS50" s="442"/>
      <c r="AT50" s="442"/>
      <c r="AU50" s="442"/>
      <c r="AV50" s="442"/>
      <c r="AW50" s="442"/>
      <c r="AX50" s="442"/>
      <c r="AY50" s="442"/>
      <c r="AZ50" s="442"/>
      <c r="BA50" s="442"/>
      <c r="BB50" s="442"/>
      <c r="BC50" s="442"/>
      <c r="BD50" s="442"/>
      <c r="BE50" s="442"/>
      <c r="BF50" s="442"/>
      <c r="BG50" s="442"/>
      <c r="BH50" s="442"/>
      <c r="BI50" s="442"/>
      <c r="BJ50" s="442"/>
      <c r="BK50" s="442"/>
      <c r="BL50" s="442"/>
      <c r="BM50" s="442"/>
      <c r="BN50" s="442"/>
      <c r="BO50" s="442"/>
      <c r="BP50" s="442"/>
      <c r="BQ50" s="442"/>
      <c r="BR50" s="442"/>
      <c r="BS50" s="442"/>
      <c r="BT50" s="442"/>
      <c r="BU50" s="442"/>
      <c r="BV50" s="442"/>
      <c r="BW50" s="442"/>
      <c r="BX50" s="442"/>
      <c r="BY50" s="442"/>
      <c r="BZ50" s="442"/>
      <c r="CA50" s="442"/>
      <c r="CB50" s="442"/>
      <c r="CC50" s="442"/>
      <c r="CD50" s="442"/>
      <c r="CE50" s="442"/>
      <c r="CF50" s="442"/>
      <c r="CG50" s="442"/>
      <c r="CH50" s="442"/>
      <c r="CI50" s="442"/>
      <c r="CJ50" s="442"/>
      <c r="CK50" s="442"/>
      <c r="CL50" s="442"/>
      <c r="CM50" s="442"/>
      <c r="CN50" s="442"/>
      <c r="CO50" s="442"/>
      <c r="CP50" s="442"/>
      <c r="CQ50" s="442"/>
      <c r="CR50" s="442"/>
      <c r="CS50" s="442"/>
      <c r="CT50" s="442"/>
      <c r="CU50" s="442"/>
      <c r="CV50" s="442"/>
      <c r="CW50" s="442"/>
      <c r="CX50" s="442"/>
      <c r="CY50" s="442"/>
      <c r="CZ50" s="442"/>
      <c r="DA50" s="442"/>
      <c r="DB50" s="442"/>
      <c r="DC50" s="442"/>
      <c r="DD50" s="442"/>
      <c r="DE50" s="442"/>
      <c r="DF50" s="442"/>
      <c r="DG50" s="442"/>
      <c r="DH50" s="442"/>
      <c r="DI50" s="442"/>
      <c r="DJ50" s="442"/>
      <c r="DK50" s="442"/>
      <c r="DL50" s="442"/>
      <c r="DM50" s="442"/>
      <c r="DN50" s="442"/>
      <c r="DO50" s="442"/>
      <c r="DP50" s="442"/>
      <c r="DQ50" s="442"/>
      <c r="DR50" s="442"/>
      <c r="DS50" s="442"/>
      <c r="DT50" s="442"/>
      <c r="DU50" s="442"/>
      <c r="DV50" s="442"/>
      <c r="DW50" s="442"/>
      <c r="DX50" s="442"/>
      <c r="DY50" s="442"/>
      <c r="DZ50" s="442"/>
      <c r="EA50" s="442"/>
      <c r="EB50" s="442"/>
      <c r="EC50" s="442"/>
      <c r="ED50" s="442"/>
      <c r="EE50" s="442"/>
      <c r="EF50" s="442"/>
      <c r="EG50" s="442"/>
      <c r="EH50" s="442"/>
      <c r="EI50" s="442"/>
      <c r="EJ50" s="442"/>
      <c r="EK50" s="442"/>
      <c r="EL50" s="442"/>
      <c r="EM50" s="442"/>
      <c r="EN50" s="442"/>
      <c r="EO50" s="442"/>
      <c r="EP50" s="442"/>
      <c r="EQ50" s="442"/>
      <c r="ER50" s="442"/>
      <c r="ES50" s="442"/>
      <c r="ET50" s="442"/>
      <c r="EU50" s="442"/>
      <c r="EV50" s="442"/>
      <c r="EW50" s="442"/>
      <c r="EX50" s="442"/>
      <c r="EY50" s="442"/>
      <c r="EZ50" s="442"/>
      <c r="FA50" s="442"/>
      <c r="FB50" s="442"/>
      <c r="FC50" s="442"/>
      <c r="FD50" s="442"/>
      <c r="FE50" s="442"/>
      <c r="FF50" s="442"/>
      <c r="FG50" s="442"/>
      <c r="FH50" s="442"/>
      <c r="FI50" s="442"/>
      <c r="FJ50" s="442"/>
      <c r="FK50" s="442"/>
      <c r="FL50" s="442"/>
      <c r="FM50" s="442"/>
      <c r="FN50" s="442"/>
      <c r="FO50" s="442"/>
      <c r="FP50" s="442"/>
      <c r="FQ50" s="442"/>
      <c r="FR50" s="442"/>
      <c r="FS50" s="442"/>
      <c r="FT50" s="442"/>
      <c r="FU50" s="442"/>
      <c r="FV50" s="442"/>
      <c r="FW50" s="442"/>
      <c r="FX50" s="442"/>
      <c r="FY50" s="442"/>
      <c r="FZ50" s="442"/>
      <c r="GA50" s="442"/>
      <c r="GB50" s="442"/>
      <c r="GC50" s="442"/>
      <c r="GD50" s="442"/>
      <c r="GE50" s="442"/>
      <c r="GF50" s="442"/>
      <c r="GG50" s="442"/>
      <c r="GH50" s="442"/>
      <c r="GI50" s="442"/>
      <c r="GJ50" s="442"/>
      <c r="GK50" s="442"/>
      <c r="GL50" s="442"/>
      <c r="GM50" s="442"/>
      <c r="GN50" s="442"/>
      <c r="GO50" s="442"/>
      <c r="GP50" s="442"/>
      <c r="GQ50" s="442"/>
      <c r="GR50" s="442"/>
      <c r="GS50" s="442"/>
      <c r="GT50" s="442"/>
      <c r="GU50" s="442"/>
      <c r="GV50" s="442"/>
      <c r="GW50" s="442"/>
      <c r="GX50" s="442"/>
      <c r="GY50" s="442"/>
      <c r="GZ50" s="442"/>
      <c r="HA50" s="442"/>
      <c r="HB50" s="442"/>
      <c r="HC50" s="442"/>
      <c r="HD50" s="442"/>
      <c r="HE50" s="442"/>
      <c r="HF50" s="442"/>
      <c r="HG50" s="442"/>
      <c r="HH50" s="442"/>
      <c r="HI50" s="442"/>
      <c r="HJ50" s="442"/>
      <c r="HK50" s="442"/>
      <c r="HL50" s="442"/>
      <c r="HM50" s="442"/>
      <c r="HN50" s="442"/>
    </row>
    <row r="51" spans="2:222" ht="12.6">
      <c r="B51" s="443" t="s">
        <v>1991</v>
      </c>
      <c r="C51" s="444">
        <v>1653792</v>
      </c>
      <c r="D51" s="444">
        <v>0</v>
      </c>
      <c r="E51" s="444">
        <v>361377</v>
      </c>
      <c r="F51" s="444">
        <v>529833</v>
      </c>
      <c r="G51" s="444">
        <v>262116</v>
      </c>
      <c r="H51" s="444">
        <v>249342</v>
      </c>
      <c r="I51" s="444">
        <v>112818</v>
      </c>
      <c r="J51" s="444">
        <v>45663</v>
      </c>
      <c r="K51" s="444">
        <v>17586</v>
      </c>
      <c r="L51" s="444">
        <v>14946</v>
      </c>
      <c r="M51" s="444">
        <v>60108</v>
      </c>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444">
        <v>2023</v>
      </c>
      <c r="AN51" s="444">
        <v>2494</v>
      </c>
      <c r="AO51" s="444">
        <v>2569</v>
      </c>
      <c r="AP51" s="444">
        <v>2345</v>
      </c>
      <c r="AQ51" s="444">
        <v>1966</v>
      </c>
      <c r="AR51" s="444">
        <v>1881</v>
      </c>
      <c r="AS51" s="444">
        <v>2730</v>
      </c>
      <c r="AT51" s="444">
        <v>2987</v>
      </c>
      <c r="AU51" s="444" t="s">
        <v>1827</v>
      </c>
      <c r="AV51" s="444" t="s">
        <v>1827</v>
      </c>
      <c r="AW51" s="444">
        <v>896</v>
      </c>
      <c r="AX51" s="444" t="s">
        <v>1827</v>
      </c>
      <c r="AY51" s="444">
        <v>1481</v>
      </c>
      <c r="AZ51" s="444">
        <v>1067</v>
      </c>
      <c r="BA51" s="444" t="s">
        <v>1827</v>
      </c>
      <c r="BB51" s="444">
        <v>1044</v>
      </c>
      <c r="BC51" s="444">
        <v>2664</v>
      </c>
      <c r="BD51" s="444" t="s">
        <v>1827</v>
      </c>
      <c r="BE51" s="444">
        <v>1704</v>
      </c>
      <c r="BF51" s="444">
        <v>2336</v>
      </c>
      <c r="BG51" s="444">
        <v>2381</v>
      </c>
      <c r="BH51" s="444">
        <v>2256</v>
      </c>
      <c r="BI51" s="444">
        <v>2268</v>
      </c>
      <c r="BJ51" s="444">
        <v>1561</v>
      </c>
      <c r="BK51" s="444">
        <v>3002</v>
      </c>
      <c r="BL51" s="444">
        <v>2749</v>
      </c>
      <c r="BM51" s="444" t="s">
        <v>1827</v>
      </c>
      <c r="BN51" s="444" t="s">
        <v>1827</v>
      </c>
      <c r="BO51" s="444">
        <v>793</v>
      </c>
      <c r="BP51" s="444" t="s">
        <v>1827</v>
      </c>
      <c r="BQ51" s="444">
        <v>1418</v>
      </c>
      <c r="BR51" s="444">
        <v>1567</v>
      </c>
      <c r="BS51" s="444" t="s">
        <v>1827</v>
      </c>
      <c r="BT51" s="444">
        <v>1033</v>
      </c>
      <c r="BU51" s="444">
        <v>2462</v>
      </c>
      <c r="BV51" s="444" t="s">
        <v>1827</v>
      </c>
      <c r="BW51" s="444">
        <v>2852</v>
      </c>
      <c r="BX51" s="444">
        <v>2967</v>
      </c>
      <c r="BY51" s="444">
        <v>3491</v>
      </c>
      <c r="BZ51" s="444">
        <v>3038</v>
      </c>
      <c r="CA51" s="444">
        <v>3299</v>
      </c>
      <c r="CB51" s="444">
        <v>3302</v>
      </c>
      <c r="CC51" s="444">
        <v>3319</v>
      </c>
      <c r="CD51" s="444">
        <v>3737</v>
      </c>
      <c r="CE51" s="444">
        <v>3317</v>
      </c>
      <c r="CF51" s="444">
        <v>5278</v>
      </c>
      <c r="CG51" s="444">
        <v>1388</v>
      </c>
      <c r="CH51" s="444">
        <v>2041</v>
      </c>
      <c r="CI51" s="444">
        <v>2180</v>
      </c>
      <c r="CJ51" s="444">
        <v>1862</v>
      </c>
      <c r="CK51" s="444">
        <v>2474</v>
      </c>
      <c r="CL51" s="444">
        <v>1476</v>
      </c>
      <c r="CM51" s="444">
        <v>3241</v>
      </c>
      <c r="CN51" s="444" t="s">
        <v>1827</v>
      </c>
      <c r="CO51" s="444">
        <v>2493</v>
      </c>
      <c r="CP51" s="444">
        <v>2678</v>
      </c>
      <c r="CQ51" s="444">
        <v>3000</v>
      </c>
      <c r="CR51" s="444">
        <v>2781</v>
      </c>
      <c r="CS51" s="444">
        <v>2969</v>
      </c>
      <c r="CT51" s="444">
        <v>2419</v>
      </c>
      <c r="CU51" s="444">
        <v>3198</v>
      </c>
      <c r="CV51" s="444">
        <v>3538</v>
      </c>
      <c r="CW51" s="444">
        <v>3269</v>
      </c>
      <c r="CX51" s="444">
        <v>4225</v>
      </c>
      <c r="CY51" s="444">
        <v>1188</v>
      </c>
      <c r="CZ51" s="444">
        <v>1627</v>
      </c>
      <c r="DA51" s="444">
        <v>2016</v>
      </c>
      <c r="DB51" s="444">
        <v>1600</v>
      </c>
      <c r="DC51" s="444">
        <v>2372</v>
      </c>
      <c r="DD51" s="444">
        <v>1323</v>
      </c>
      <c r="DE51" s="444">
        <v>2915</v>
      </c>
      <c r="DF51" s="444" t="s">
        <v>1827</v>
      </c>
      <c r="DG51" s="444">
        <v>2383</v>
      </c>
      <c r="DH51" s="444">
        <v>2388</v>
      </c>
      <c r="DI51" s="444">
        <v>2814</v>
      </c>
      <c r="DJ51" s="444">
        <v>2659</v>
      </c>
      <c r="DK51" s="444">
        <v>2881</v>
      </c>
      <c r="DL51" s="444">
        <v>2428</v>
      </c>
      <c r="DM51" s="444">
        <v>4103</v>
      </c>
      <c r="DN51" s="444">
        <v>3838</v>
      </c>
      <c r="DO51" s="444">
        <v>3564</v>
      </c>
      <c r="DP51" s="444" t="s">
        <v>1827</v>
      </c>
      <c r="DQ51" s="444">
        <v>1065</v>
      </c>
      <c r="DR51" s="444">
        <v>1609</v>
      </c>
      <c r="DS51" s="444">
        <v>1807</v>
      </c>
      <c r="DT51" s="444">
        <v>3026</v>
      </c>
      <c r="DU51" s="444">
        <v>2690</v>
      </c>
      <c r="DV51" s="444">
        <v>1270</v>
      </c>
      <c r="DW51" s="444">
        <v>2500</v>
      </c>
      <c r="DX51" s="444" t="s">
        <v>1827</v>
      </c>
      <c r="DY51" s="444">
        <v>2080</v>
      </c>
      <c r="DZ51" s="444">
        <v>2281</v>
      </c>
      <c r="EA51" s="444">
        <v>2162</v>
      </c>
      <c r="EB51" s="444">
        <v>2877</v>
      </c>
      <c r="EC51" s="444">
        <v>2557</v>
      </c>
      <c r="ED51" s="444">
        <v>2255</v>
      </c>
      <c r="EE51" s="444">
        <v>3937</v>
      </c>
      <c r="EF51" s="444">
        <v>2876</v>
      </c>
      <c r="EG51" s="444">
        <v>4065</v>
      </c>
      <c r="EH51" s="444" t="s">
        <v>1827</v>
      </c>
      <c r="EI51" s="444">
        <v>906</v>
      </c>
      <c r="EJ51" s="444">
        <v>1301</v>
      </c>
      <c r="EK51" s="444">
        <v>1511</v>
      </c>
      <c r="EL51" s="444">
        <v>1889</v>
      </c>
      <c r="EM51" s="444">
        <v>2270</v>
      </c>
      <c r="EN51" s="444">
        <v>1175</v>
      </c>
      <c r="EO51" s="444">
        <v>2176</v>
      </c>
      <c r="EP51" s="444" t="s">
        <v>1827</v>
      </c>
      <c r="EQ51" s="444">
        <v>2237</v>
      </c>
      <c r="ER51" s="444">
        <v>2232</v>
      </c>
      <c r="ES51" s="444">
        <v>3200</v>
      </c>
      <c r="ET51" s="444">
        <v>2361</v>
      </c>
      <c r="EU51" s="444">
        <v>2771</v>
      </c>
      <c r="EV51" s="444">
        <v>2446</v>
      </c>
      <c r="EW51" s="444">
        <v>3074</v>
      </c>
      <c r="EX51" s="444">
        <v>3158</v>
      </c>
      <c r="EY51" s="444">
        <v>3325</v>
      </c>
      <c r="EZ51" s="444" t="s">
        <v>1827</v>
      </c>
      <c r="FA51" s="444">
        <v>1076</v>
      </c>
      <c r="FB51" s="444" t="s">
        <v>1827</v>
      </c>
      <c r="FC51" s="444">
        <v>1504</v>
      </c>
      <c r="FD51" s="444">
        <v>1718</v>
      </c>
      <c r="FE51" s="444" t="s">
        <v>1827</v>
      </c>
      <c r="FF51" s="444">
        <v>1403</v>
      </c>
      <c r="FG51" s="444">
        <v>2626</v>
      </c>
      <c r="FH51" s="444" t="s">
        <v>1827</v>
      </c>
      <c r="FI51" s="444">
        <v>2014</v>
      </c>
      <c r="FJ51" s="444">
        <v>2294</v>
      </c>
      <c r="FK51" s="444">
        <v>3042</v>
      </c>
      <c r="FL51" s="444">
        <v>2228</v>
      </c>
      <c r="FM51" s="444">
        <v>2652</v>
      </c>
      <c r="FN51" s="444">
        <v>2719</v>
      </c>
      <c r="FO51" s="444">
        <v>2805</v>
      </c>
      <c r="FP51" s="444">
        <v>2330</v>
      </c>
      <c r="FQ51" s="444">
        <v>2859</v>
      </c>
      <c r="FR51" s="444" t="s">
        <v>1827</v>
      </c>
      <c r="FS51" s="444">
        <v>989</v>
      </c>
      <c r="FT51" s="444" t="s">
        <v>1827</v>
      </c>
      <c r="FU51" s="444">
        <v>1520</v>
      </c>
      <c r="FV51" s="444">
        <v>1476</v>
      </c>
      <c r="FW51" s="444" t="s">
        <v>1827</v>
      </c>
      <c r="FX51" s="444">
        <v>1122</v>
      </c>
      <c r="FY51" s="444">
        <v>1830</v>
      </c>
      <c r="FZ51" s="444" t="s">
        <v>1827</v>
      </c>
      <c r="GA51" s="444">
        <v>2461</v>
      </c>
      <c r="GB51" s="444">
        <v>2322</v>
      </c>
      <c r="GC51" s="444">
        <v>2488</v>
      </c>
      <c r="GD51" s="444">
        <v>2746</v>
      </c>
      <c r="GE51" s="444">
        <v>3612</v>
      </c>
      <c r="GF51" s="444">
        <v>2374</v>
      </c>
      <c r="GG51" s="444">
        <v>3998</v>
      </c>
      <c r="GH51" s="444">
        <v>4068</v>
      </c>
      <c r="GI51" s="444">
        <v>2776</v>
      </c>
      <c r="GJ51" s="444" t="s">
        <v>1827</v>
      </c>
      <c r="GK51" s="444">
        <v>1188</v>
      </c>
      <c r="GL51" s="444">
        <v>1581</v>
      </c>
      <c r="GM51" s="444">
        <v>1589</v>
      </c>
      <c r="GN51" s="444" t="s">
        <v>1827</v>
      </c>
      <c r="GO51" s="444" t="s">
        <v>1827</v>
      </c>
      <c r="GP51" s="444">
        <v>1035</v>
      </c>
      <c r="GQ51" s="444">
        <v>2999</v>
      </c>
      <c r="GR51" s="444" t="s">
        <v>1827</v>
      </c>
      <c r="GS51" s="444">
        <v>2128</v>
      </c>
      <c r="GT51" s="444">
        <v>2196</v>
      </c>
      <c r="GU51" s="444">
        <v>2256</v>
      </c>
      <c r="GV51" s="444">
        <v>2896</v>
      </c>
      <c r="GW51" s="444">
        <v>3232</v>
      </c>
      <c r="GX51" s="444">
        <v>2113</v>
      </c>
      <c r="GY51" s="444">
        <v>3366</v>
      </c>
      <c r="GZ51" s="444">
        <v>3692</v>
      </c>
      <c r="HA51" s="444">
        <v>2790</v>
      </c>
      <c r="HB51" s="444" t="s">
        <v>1827</v>
      </c>
      <c r="HC51" s="444">
        <v>1067</v>
      </c>
      <c r="HD51" s="444">
        <v>1214</v>
      </c>
      <c r="HE51" s="444">
        <v>1517</v>
      </c>
      <c r="HF51" s="444" t="s">
        <v>1827</v>
      </c>
      <c r="HG51" s="444" t="s">
        <v>1827</v>
      </c>
      <c r="HH51" s="444">
        <v>974</v>
      </c>
      <c r="HI51" s="444">
        <v>2480</v>
      </c>
      <c r="HJ51" s="444" t="s">
        <v>1827</v>
      </c>
      <c r="HK51" s="444">
        <v>2296</v>
      </c>
      <c r="HL51" s="444">
        <v>2556</v>
      </c>
      <c r="HM51" s="444" t="s">
        <v>1827</v>
      </c>
      <c r="HN51" s="444">
        <v>2015</v>
      </c>
    </row>
    <row r="52" spans="2:222" ht="12.6">
      <c r="B52" s="443" t="s">
        <v>1941</v>
      </c>
      <c r="C52" s="445">
        <v>64257</v>
      </c>
      <c r="D52" s="445">
        <v>0</v>
      </c>
      <c r="E52" s="446">
        <v>15327</v>
      </c>
      <c r="F52" s="445">
        <v>22386</v>
      </c>
      <c r="G52" s="445">
        <v>8769</v>
      </c>
      <c r="H52" s="445">
        <v>7476</v>
      </c>
      <c r="I52" s="445">
        <v>3714</v>
      </c>
      <c r="J52" s="445">
        <v>1689</v>
      </c>
      <c r="K52" s="445">
        <v>696</v>
      </c>
      <c r="L52" s="445">
        <v>624</v>
      </c>
      <c r="M52" s="445">
        <v>3570</v>
      </c>
      <c r="N52" s="135"/>
      <c r="O52" s="135"/>
      <c r="P52" s="135"/>
      <c r="Q52" s="135"/>
      <c r="R52" s="135"/>
      <c r="S52" s="135"/>
    </row>
    <row r="53" spans="2:222" ht="12.6">
      <c r="B53" s="443" t="s">
        <v>1942</v>
      </c>
      <c r="C53" s="444">
        <v>496458</v>
      </c>
      <c r="D53" s="444">
        <v>0</v>
      </c>
      <c r="E53" s="444">
        <v>85533</v>
      </c>
      <c r="F53" s="444">
        <v>135915</v>
      </c>
      <c r="G53" s="444">
        <v>87939</v>
      </c>
      <c r="H53" s="444">
        <v>89574</v>
      </c>
      <c r="I53" s="444">
        <v>41733</v>
      </c>
      <c r="J53" s="444">
        <v>19257</v>
      </c>
      <c r="K53" s="444">
        <v>8340</v>
      </c>
      <c r="L53" s="444">
        <v>8043</v>
      </c>
      <c r="M53" s="444">
        <v>20130</v>
      </c>
    </row>
    <row r="54" spans="2:222" ht="12.6">
      <c r="B54" s="443" t="s">
        <v>1943</v>
      </c>
      <c r="C54" s="445">
        <v>162927</v>
      </c>
      <c r="D54" s="445">
        <v>0</v>
      </c>
      <c r="E54" s="445">
        <v>36165</v>
      </c>
      <c r="F54" s="445">
        <v>54006</v>
      </c>
      <c r="G54" s="445">
        <v>24795</v>
      </c>
      <c r="H54" s="445">
        <v>23145</v>
      </c>
      <c r="I54" s="445">
        <v>11193</v>
      </c>
      <c r="J54" s="445">
        <v>4509</v>
      </c>
      <c r="K54" s="445">
        <v>1581</v>
      </c>
      <c r="L54" s="445">
        <v>1281</v>
      </c>
      <c r="M54" s="445">
        <v>6255</v>
      </c>
    </row>
    <row r="55" spans="2:222" ht="12.6">
      <c r="B55" s="443" t="s">
        <v>1944</v>
      </c>
      <c r="C55" s="444">
        <v>110919</v>
      </c>
      <c r="D55" s="444">
        <v>0</v>
      </c>
      <c r="E55" s="444">
        <v>24579</v>
      </c>
      <c r="F55" s="444">
        <v>38079</v>
      </c>
      <c r="G55" s="444">
        <v>16281</v>
      </c>
      <c r="H55" s="444">
        <v>14970</v>
      </c>
      <c r="I55" s="444">
        <v>6819</v>
      </c>
      <c r="J55" s="444">
        <v>2775</v>
      </c>
      <c r="K55" s="444">
        <v>1113</v>
      </c>
      <c r="L55" s="444">
        <v>900</v>
      </c>
      <c r="M55" s="444">
        <v>5406</v>
      </c>
    </row>
    <row r="56" spans="2:222" ht="12.6">
      <c r="B56" s="443" t="s">
        <v>1945</v>
      </c>
      <c r="C56" s="445">
        <v>16410</v>
      </c>
      <c r="D56" s="445">
        <v>0</v>
      </c>
      <c r="E56" s="445">
        <v>3984</v>
      </c>
      <c r="F56" s="445">
        <v>5061</v>
      </c>
      <c r="G56" s="445">
        <v>2397</v>
      </c>
      <c r="H56" s="445">
        <v>2121</v>
      </c>
      <c r="I56" s="445">
        <v>1131</v>
      </c>
      <c r="J56" s="445">
        <v>534</v>
      </c>
      <c r="K56" s="445">
        <v>228</v>
      </c>
      <c r="L56" s="445">
        <v>174</v>
      </c>
      <c r="M56" s="445">
        <v>780</v>
      </c>
    </row>
    <row r="57" spans="2:222" ht="12.6">
      <c r="B57" s="443" t="s">
        <v>1946</v>
      </c>
      <c r="C57" s="444">
        <v>60237</v>
      </c>
      <c r="D57" s="444">
        <v>0</v>
      </c>
      <c r="E57" s="444">
        <v>14742</v>
      </c>
      <c r="F57" s="444">
        <v>20667</v>
      </c>
      <c r="G57" s="444">
        <v>8628</v>
      </c>
      <c r="H57" s="444">
        <v>7746</v>
      </c>
      <c r="I57" s="444">
        <v>3687</v>
      </c>
      <c r="J57" s="444">
        <v>1533</v>
      </c>
      <c r="K57" s="444">
        <v>594</v>
      </c>
      <c r="L57" s="444">
        <v>456</v>
      </c>
      <c r="M57" s="444">
        <v>2184</v>
      </c>
    </row>
    <row r="58" spans="2:222" ht="12.6">
      <c r="B58" s="443" t="s">
        <v>1947</v>
      </c>
      <c r="C58" s="445">
        <v>45249</v>
      </c>
      <c r="D58" s="445">
        <v>0</v>
      </c>
      <c r="E58" s="445">
        <v>11670</v>
      </c>
      <c r="F58" s="445">
        <v>15618</v>
      </c>
      <c r="G58" s="445">
        <v>6609</v>
      </c>
      <c r="H58" s="445">
        <v>5907</v>
      </c>
      <c r="I58" s="445">
        <v>2745</v>
      </c>
      <c r="J58" s="445">
        <v>951</v>
      </c>
      <c r="K58" s="445">
        <v>258</v>
      </c>
      <c r="L58" s="445">
        <v>180</v>
      </c>
      <c r="M58" s="445">
        <v>1317</v>
      </c>
    </row>
    <row r="59" spans="2:222" ht="12.6">
      <c r="B59" s="443" t="s">
        <v>1948</v>
      </c>
      <c r="C59" s="444">
        <v>90408</v>
      </c>
      <c r="D59" s="444">
        <v>0</v>
      </c>
      <c r="E59" s="444">
        <v>24276</v>
      </c>
      <c r="F59" s="444">
        <v>30837</v>
      </c>
      <c r="G59" s="444">
        <v>12753</v>
      </c>
      <c r="H59" s="444">
        <v>11106</v>
      </c>
      <c r="I59" s="444">
        <v>5142</v>
      </c>
      <c r="J59" s="444">
        <v>1974</v>
      </c>
      <c r="K59" s="444">
        <v>795</v>
      </c>
      <c r="L59" s="444">
        <v>555</v>
      </c>
      <c r="M59" s="444">
        <v>2967</v>
      </c>
    </row>
    <row r="60" spans="2:222" ht="12.6">
      <c r="B60" s="443" t="s">
        <v>1949</v>
      </c>
      <c r="C60" s="445">
        <v>185382</v>
      </c>
      <c r="D60" s="445">
        <v>0</v>
      </c>
      <c r="E60" s="445">
        <v>42681</v>
      </c>
      <c r="F60" s="445">
        <v>58932</v>
      </c>
      <c r="G60" s="445">
        <v>30699</v>
      </c>
      <c r="H60" s="445">
        <v>28737</v>
      </c>
      <c r="I60" s="445">
        <v>12330</v>
      </c>
      <c r="J60" s="445">
        <v>4293</v>
      </c>
      <c r="K60" s="445">
        <v>1464</v>
      </c>
      <c r="L60" s="445">
        <v>1089</v>
      </c>
      <c r="M60" s="445">
        <v>5160</v>
      </c>
    </row>
    <row r="61" spans="2:222" ht="12.6">
      <c r="B61" s="443" t="s">
        <v>1950</v>
      </c>
      <c r="C61" s="444">
        <v>19545</v>
      </c>
      <c r="D61" s="444">
        <v>0</v>
      </c>
      <c r="E61" s="444">
        <v>4119</v>
      </c>
      <c r="F61" s="444">
        <v>7581</v>
      </c>
      <c r="G61" s="444">
        <v>2760</v>
      </c>
      <c r="H61" s="444">
        <v>2763</v>
      </c>
      <c r="I61" s="444">
        <v>1095</v>
      </c>
      <c r="J61" s="444">
        <v>378</v>
      </c>
      <c r="K61" s="444">
        <v>129</v>
      </c>
      <c r="L61" s="444">
        <v>87</v>
      </c>
      <c r="M61" s="444">
        <v>636</v>
      </c>
    </row>
    <row r="62" spans="2:222" ht="12.6">
      <c r="B62" s="443" t="s">
        <v>1951</v>
      </c>
      <c r="C62" s="445">
        <v>19821</v>
      </c>
      <c r="D62" s="445">
        <v>0</v>
      </c>
      <c r="E62" s="445">
        <v>5064</v>
      </c>
      <c r="F62" s="445">
        <v>7155</v>
      </c>
      <c r="G62" s="445">
        <v>2988</v>
      </c>
      <c r="H62" s="445">
        <v>2523</v>
      </c>
      <c r="I62" s="445">
        <v>1026</v>
      </c>
      <c r="J62" s="445">
        <v>333</v>
      </c>
      <c r="K62" s="445">
        <v>117</v>
      </c>
      <c r="L62" s="445">
        <v>75</v>
      </c>
      <c r="M62" s="445">
        <v>540</v>
      </c>
    </row>
    <row r="63" spans="2:222" ht="12.6">
      <c r="B63" s="447" t="s">
        <v>1952</v>
      </c>
      <c r="C63" s="444">
        <v>18675</v>
      </c>
      <c r="D63" s="444">
        <v>0</v>
      </c>
      <c r="E63" s="444">
        <v>4524</v>
      </c>
      <c r="F63" s="444">
        <v>7497</v>
      </c>
      <c r="G63" s="444">
        <v>2442</v>
      </c>
      <c r="H63" s="444">
        <v>2157</v>
      </c>
      <c r="I63" s="444">
        <v>909</v>
      </c>
      <c r="J63" s="444">
        <v>330</v>
      </c>
      <c r="K63" s="444">
        <v>105</v>
      </c>
      <c r="L63" s="444">
        <v>69</v>
      </c>
      <c r="M63" s="444">
        <v>642</v>
      </c>
    </row>
    <row r="64" spans="2:222" ht="12.6">
      <c r="B64" s="443" t="s">
        <v>1953</v>
      </c>
      <c r="C64" s="445">
        <v>13503</v>
      </c>
      <c r="D64" s="445">
        <v>0</v>
      </c>
      <c r="E64" s="445">
        <v>4191</v>
      </c>
      <c r="F64" s="445">
        <v>4866</v>
      </c>
      <c r="G64" s="445">
        <v>1647</v>
      </c>
      <c r="H64" s="445">
        <v>1275</v>
      </c>
      <c r="I64" s="445">
        <v>504</v>
      </c>
      <c r="J64" s="445">
        <v>168</v>
      </c>
      <c r="K64" s="445">
        <v>54</v>
      </c>
      <c r="L64" s="445">
        <v>30</v>
      </c>
      <c r="M64" s="445">
        <v>771</v>
      </c>
    </row>
    <row r="65" spans="2:13" ht="12.6">
      <c r="B65" s="443" t="s">
        <v>1954</v>
      </c>
      <c r="C65" s="444">
        <v>225408</v>
      </c>
      <c r="D65" s="444">
        <v>0</v>
      </c>
      <c r="E65" s="444">
        <v>52458</v>
      </c>
      <c r="F65" s="444">
        <v>77292</v>
      </c>
      <c r="G65" s="444">
        <v>35523</v>
      </c>
      <c r="H65" s="444">
        <v>33342</v>
      </c>
      <c r="I65" s="444">
        <v>13611</v>
      </c>
      <c r="J65" s="444">
        <v>4548</v>
      </c>
      <c r="K65" s="444">
        <v>1428</v>
      </c>
      <c r="L65" s="444">
        <v>984</v>
      </c>
      <c r="M65" s="444">
        <v>6222</v>
      </c>
    </row>
    <row r="66" spans="2:13" ht="12.6">
      <c r="B66" s="443" t="s">
        <v>1955</v>
      </c>
      <c r="C66" s="445">
        <v>85665</v>
      </c>
      <c r="D66" s="445">
        <v>0</v>
      </c>
      <c r="E66" s="445">
        <v>21423</v>
      </c>
      <c r="F66" s="445">
        <v>30171</v>
      </c>
      <c r="G66" s="445">
        <v>12432</v>
      </c>
      <c r="H66" s="445">
        <v>11553</v>
      </c>
      <c r="I66" s="445">
        <v>4968</v>
      </c>
      <c r="J66" s="445">
        <v>1758</v>
      </c>
      <c r="K66" s="445">
        <v>492</v>
      </c>
      <c r="L66" s="445">
        <v>300</v>
      </c>
      <c r="M66" s="445">
        <v>2571</v>
      </c>
    </row>
    <row r="67" spans="2:13" ht="12.6">
      <c r="B67" s="443" t="s">
        <v>1956</v>
      </c>
      <c r="C67" s="444">
        <v>38646</v>
      </c>
      <c r="D67" s="444">
        <v>0</v>
      </c>
      <c r="E67" s="444">
        <v>10569</v>
      </c>
      <c r="F67" s="444">
        <v>13701</v>
      </c>
      <c r="G67" s="444">
        <v>5409</v>
      </c>
      <c r="H67" s="444">
        <v>4929</v>
      </c>
      <c r="I67" s="444">
        <v>2193</v>
      </c>
      <c r="J67" s="444">
        <v>633</v>
      </c>
      <c r="K67" s="444">
        <v>192</v>
      </c>
      <c r="L67" s="444">
        <v>96</v>
      </c>
      <c r="M67" s="444">
        <v>927</v>
      </c>
    </row>
    <row r="68" spans="2:13" ht="12.6">
      <c r="B68" s="443" t="s">
        <v>1957</v>
      </c>
      <c r="C68" s="445">
        <v>1653513</v>
      </c>
      <c r="D68" s="445">
        <v>0</v>
      </c>
      <c r="E68" s="445">
        <v>361302</v>
      </c>
      <c r="F68" s="445">
        <v>529755</v>
      </c>
      <c r="G68" s="445">
        <v>262071</v>
      </c>
      <c r="H68" s="445">
        <v>249315</v>
      </c>
      <c r="I68" s="445">
        <v>112794</v>
      </c>
      <c r="J68" s="445">
        <v>45660</v>
      </c>
      <c r="K68" s="445">
        <v>17586</v>
      </c>
      <c r="L68" s="445">
        <v>14946</v>
      </c>
      <c r="M68" s="445">
        <v>60081</v>
      </c>
    </row>
    <row r="69" spans="2:13" ht="12.6">
      <c r="B69" s="443" t="s">
        <v>1958</v>
      </c>
      <c r="C69" s="444">
        <v>276</v>
      </c>
      <c r="D69" s="444">
        <v>0</v>
      </c>
      <c r="E69" s="444">
        <v>72</v>
      </c>
      <c r="F69" s="444">
        <v>78</v>
      </c>
      <c r="G69" s="444">
        <v>48</v>
      </c>
      <c r="H69" s="444">
        <v>30</v>
      </c>
      <c r="I69" s="444">
        <v>21</v>
      </c>
      <c r="J69" s="444">
        <v>3</v>
      </c>
      <c r="K69" s="444">
        <v>0</v>
      </c>
      <c r="L69" s="444">
        <v>0</v>
      </c>
      <c r="M69" s="444">
        <v>27</v>
      </c>
    </row>
    <row r="70" spans="2:13" ht="12.6">
      <c r="B70" s="606" t="s">
        <v>1992</v>
      </c>
      <c r="C70" s="615"/>
      <c r="D70" s="615"/>
      <c r="E70" s="615"/>
      <c r="F70" s="369"/>
      <c r="G70" s="369"/>
      <c r="H70" s="369"/>
      <c r="I70" s="369"/>
      <c r="J70" s="369"/>
      <c r="K70" s="369"/>
      <c r="L70" s="369"/>
      <c r="M70" s="369"/>
    </row>
    <row r="74" spans="2:13" ht="39.950000000000003">
      <c r="B74" s="607" t="s">
        <v>1993</v>
      </c>
      <c r="C74" s="622"/>
      <c r="D74" s="438" t="s">
        <v>1994</v>
      </c>
      <c r="E74" s="438" t="s">
        <v>1995</v>
      </c>
      <c r="F74" s="438" t="s">
        <v>1996</v>
      </c>
      <c r="G74" s="438" t="s">
        <v>1997</v>
      </c>
      <c r="H74" s="438" t="s">
        <v>1998</v>
      </c>
      <c r="I74" s="438" t="s">
        <v>1999</v>
      </c>
      <c r="J74" s="438" t="s">
        <v>2000</v>
      </c>
      <c r="K74" s="438" t="s">
        <v>2001</v>
      </c>
      <c r="L74" s="438" t="s">
        <v>2002</v>
      </c>
      <c r="M74" s="28"/>
    </row>
    <row r="75" spans="2:13" ht="12.6">
      <c r="B75" s="608" t="s">
        <v>2003</v>
      </c>
      <c r="C75" s="622"/>
      <c r="D75" s="604" t="s">
        <v>2004</v>
      </c>
      <c r="E75" s="621"/>
      <c r="F75" s="621"/>
      <c r="G75" s="621"/>
      <c r="H75" s="621"/>
      <c r="I75" s="621"/>
      <c r="J75" s="621"/>
      <c r="K75" s="621"/>
      <c r="L75" s="622"/>
    </row>
    <row r="76" spans="2:13" ht="12.6">
      <c r="B76" s="605" t="s">
        <v>416</v>
      </c>
      <c r="C76" s="622"/>
      <c r="D76" s="604">
        <v>2018</v>
      </c>
      <c r="E76" s="621"/>
      <c r="F76" s="621"/>
      <c r="G76" s="621"/>
      <c r="H76" s="621"/>
      <c r="I76" s="621"/>
      <c r="J76" s="621"/>
      <c r="K76" s="621"/>
      <c r="L76" s="622"/>
    </row>
    <row r="77" spans="2:13" ht="12.6">
      <c r="B77" s="448" t="s">
        <v>2005</v>
      </c>
      <c r="C77" s="442"/>
      <c r="D77" s="442"/>
      <c r="E77" s="442"/>
      <c r="F77" s="442"/>
      <c r="G77" s="442"/>
      <c r="H77" s="442"/>
      <c r="I77" s="442"/>
      <c r="J77" s="442"/>
      <c r="K77" s="442"/>
      <c r="L77" s="442"/>
    </row>
    <row r="78" spans="2:13" ht="12.6">
      <c r="B78" s="443" t="s">
        <v>1991</v>
      </c>
      <c r="C78" s="442"/>
      <c r="D78" s="444">
        <v>1653792</v>
      </c>
      <c r="E78" s="444">
        <v>100302</v>
      </c>
      <c r="F78" s="444">
        <v>514992</v>
      </c>
      <c r="G78" s="444">
        <v>598062</v>
      </c>
      <c r="H78" s="444">
        <v>194910</v>
      </c>
      <c r="I78" s="444">
        <v>73143</v>
      </c>
      <c r="J78" s="444">
        <v>35889</v>
      </c>
      <c r="K78" s="444">
        <v>1517298</v>
      </c>
      <c r="L78" s="444">
        <v>136494</v>
      </c>
    </row>
    <row r="79" spans="2:13" ht="12.6">
      <c r="B79" s="443" t="s">
        <v>1941</v>
      </c>
      <c r="C79" s="442"/>
      <c r="D79" s="445">
        <v>64257</v>
      </c>
      <c r="E79" s="445">
        <v>3084</v>
      </c>
      <c r="F79" s="445">
        <v>20304</v>
      </c>
      <c r="G79" s="445">
        <v>23019</v>
      </c>
      <c r="H79" s="445">
        <v>7230</v>
      </c>
      <c r="I79" s="445">
        <v>2520</v>
      </c>
      <c r="J79" s="445">
        <v>1140</v>
      </c>
      <c r="K79" s="445">
        <v>57303</v>
      </c>
      <c r="L79" s="445">
        <v>6954</v>
      </c>
    </row>
    <row r="80" spans="2:13" ht="12.6">
      <c r="B80" s="443" t="s">
        <v>1942</v>
      </c>
      <c r="C80" s="442"/>
      <c r="D80" s="444">
        <v>496458</v>
      </c>
      <c r="E80" s="444">
        <v>29676</v>
      </c>
      <c r="F80" s="444">
        <v>136446</v>
      </c>
      <c r="G80" s="444">
        <v>180138</v>
      </c>
      <c r="H80" s="444">
        <v>63996</v>
      </c>
      <c r="I80" s="444">
        <v>26463</v>
      </c>
      <c r="J80" s="444">
        <v>13323</v>
      </c>
      <c r="K80" s="444">
        <v>450042</v>
      </c>
      <c r="L80" s="444">
        <v>46419</v>
      </c>
    </row>
    <row r="81" spans="2:12" ht="12.6">
      <c r="B81" s="443" t="s">
        <v>1943</v>
      </c>
      <c r="C81" s="442"/>
      <c r="D81" s="445">
        <v>162927</v>
      </c>
      <c r="E81" s="445">
        <v>7797</v>
      </c>
      <c r="F81" s="445">
        <v>49563</v>
      </c>
      <c r="G81" s="445">
        <v>60876</v>
      </c>
      <c r="H81" s="445">
        <v>19941</v>
      </c>
      <c r="I81" s="445">
        <v>7338</v>
      </c>
      <c r="J81" s="445">
        <v>3585</v>
      </c>
      <c r="K81" s="445">
        <v>149103</v>
      </c>
      <c r="L81" s="445">
        <v>13827</v>
      </c>
    </row>
    <row r="82" spans="2:12" ht="12.6">
      <c r="B82" s="443" t="s">
        <v>1944</v>
      </c>
      <c r="C82" s="442"/>
      <c r="D82" s="444">
        <v>110919</v>
      </c>
      <c r="E82" s="444">
        <v>4917</v>
      </c>
      <c r="F82" s="444">
        <v>34326</v>
      </c>
      <c r="G82" s="444">
        <v>41142</v>
      </c>
      <c r="H82" s="444">
        <v>12912</v>
      </c>
      <c r="I82" s="444">
        <v>4464</v>
      </c>
      <c r="J82" s="444">
        <v>1980</v>
      </c>
      <c r="K82" s="444">
        <v>99741</v>
      </c>
      <c r="L82" s="444">
        <v>11178</v>
      </c>
    </row>
    <row r="83" spans="2:12" ht="12.6">
      <c r="B83" s="443" t="s">
        <v>1945</v>
      </c>
      <c r="C83" s="442"/>
      <c r="D83" s="445">
        <v>16410</v>
      </c>
      <c r="E83" s="445">
        <v>1125</v>
      </c>
      <c r="F83" s="445">
        <v>5664</v>
      </c>
      <c r="G83" s="445">
        <v>5499</v>
      </c>
      <c r="H83" s="445">
        <v>1473</v>
      </c>
      <c r="I83" s="445">
        <v>465</v>
      </c>
      <c r="J83" s="445">
        <v>213</v>
      </c>
      <c r="K83" s="445">
        <v>14439</v>
      </c>
      <c r="L83" s="445">
        <v>1968</v>
      </c>
    </row>
    <row r="84" spans="2:12" ht="12.6">
      <c r="B84" s="443" t="s">
        <v>1946</v>
      </c>
      <c r="C84" s="442"/>
      <c r="D84" s="444">
        <v>60237</v>
      </c>
      <c r="E84" s="444">
        <v>3396</v>
      </c>
      <c r="F84" s="444">
        <v>19419</v>
      </c>
      <c r="G84" s="444">
        <v>21912</v>
      </c>
      <c r="H84" s="444">
        <v>6786</v>
      </c>
      <c r="I84" s="444">
        <v>2274</v>
      </c>
      <c r="J84" s="444">
        <v>954</v>
      </c>
      <c r="K84" s="444">
        <v>54741</v>
      </c>
      <c r="L84" s="444">
        <v>5499</v>
      </c>
    </row>
    <row r="85" spans="2:12" ht="12.6">
      <c r="B85" s="443" t="s">
        <v>1947</v>
      </c>
      <c r="C85" s="442"/>
      <c r="D85" s="445">
        <v>45249</v>
      </c>
      <c r="E85" s="445">
        <v>2556</v>
      </c>
      <c r="F85" s="445">
        <v>15111</v>
      </c>
      <c r="G85" s="445">
        <v>17076</v>
      </c>
      <c r="H85" s="445">
        <v>4956</v>
      </c>
      <c r="I85" s="445">
        <v>1587</v>
      </c>
      <c r="J85" s="445">
        <v>729</v>
      </c>
      <c r="K85" s="445">
        <v>42018</v>
      </c>
      <c r="L85" s="445">
        <v>3231</v>
      </c>
    </row>
    <row r="86" spans="2:12" ht="12.6">
      <c r="B86" s="443" t="s">
        <v>1948</v>
      </c>
      <c r="C86" s="442"/>
      <c r="D86" s="444">
        <v>90408</v>
      </c>
      <c r="E86" s="444">
        <v>6057</v>
      </c>
      <c r="F86" s="444">
        <v>31404</v>
      </c>
      <c r="G86" s="444">
        <v>31275</v>
      </c>
      <c r="H86" s="444">
        <v>9420</v>
      </c>
      <c r="I86" s="444">
        <v>3318</v>
      </c>
      <c r="J86" s="444">
        <v>1524</v>
      </c>
      <c r="K86" s="444">
        <v>82995</v>
      </c>
      <c r="L86" s="444">
        <v>7413</v>
      </c>
    </row>
    <row r="87" spans="2:12" ht="12.6">
      <c r="B87" s="443" t="s">
        <v>1949</v>
      </c>
      <c r="C87" s="442"/>
      <c r="D87" s="445">
        <v>185382</v>
      </c>
      <c r="E87" s="445">
        <v>17988</v>
      </c>
      <c r="F87" s="445">
        <v>70809</v>
      </c>
      <c r="G87" s="445">
        <v>60333</v>
      </c>
      <c r="H87" s="445">
        <v>16581</v>
      </c>
      <c r="I87" s="445">
        <v>5256</v>
      </c>
      <c r="J87" s="445">
        <v>2340</v>
      </c>
      <c r="K87" s="445">
        <v>173310</v>
      </c>
      <c r="L87" s="445">
        <v>12069</v>
      </c>
    </row>
    <row r="88" spans="2:12" ht="12.6">
      <c r="B88" s="443" t="s">
        <v>1950</v>
      </c>
      <c r="C88" s="442"/>
      <c r="D88" s="444">
        <v>19545</v>
      </c>
      <c r="E88" s="444">
        <v>633</v>
      </c>
      <c r="F88" s="444">
        <v>5616</v>
      </c>
      <c r="G88" s="444">
        <v>7791</v>
      </c>
      <c r="H88" s="444">
        <v>2718</v>
      </c>
      <c r="I88" s="444">
        <v>1020</v>
      </c>
      <c r="J88" s="444">
        <v>567</v>
      </c>
      <c r="K88" s="444">
        <v>18342</v>
      </c>
      <c r="L88" s="444">
        <v>1203</v>
      </c>
    </row>
    <row r="89" spans="2:12" ht="12.6">
      <c r="B89" s="443" t="s">
        <v>1951</v>
      </c>
      <c r="C89" s="442"/>
      <c r="D89" s="445">
        <v>19821</v>
      </c>
      <c r="E89" s="445">
        <v>1125</v>
      </c>
      <c r="F89" s="445">
        <v>7479</v>
      </c>
      <c r="G89" s="445">
        <v>7056</v>
      </c>
      <c r="H89" s="445">
        <v>1998</v>
      </c>
      <c r="I89" s="445">
        <v>627</v>
      </c>
      <c r="J89" s="445">
        <v>291</v>
      </c>
      <c r="K89" s="445">
        <v>18573</v>
      </c>
      <c r="L89" s="445">
        <v>1245</v>
      </c>
    </row>
    <row r="90" spans="2:12" ht="12.6">
      <c r="B90" s="447" t="s">
        <v>1952</v>
      </c>
      <c r="C90" s="442"/>
      <c r="D90" s="444">
        <v>18675</v>
      </c>
      <c r="E90" s="444">
        <v>789</v>
      </c>
      <c r="F90" s="444">
        <v>5775</v>
      </c>
      <c r="G90" s="444">
        <v>7338</v>
      </c>
      <c r="H90" s="444">
        <v>2298</v>
      </c>
      <c r="I90" s="444">
        <v>777</v>
      </c>
      <c r="J90" s="444">
        <v>360</v>
      </c>
      <c r="K90" s="444">
        <v>17334</v>
      </c>
      <c r="L90" s="444">
        <v>1338</v>
      </c>
    </row>
    <row r="91" spans="2:12" ht="12.6">
      <c r="B91" s="443" t="s">
        <v>1953</v>
      </c>
      <c r="C91" s="442"/>
      <c r="D91" s="445">
        <v>13503</v>
      </c>
      <c r="E91" s="445">
        <v>861</v>
      </c>
      <c r="F91" s="445">
        <v>4860</v>
      </c>
      <c r="G91" s="445">
        <v>4563</v>
      </c>
      <c r="H91" s="445">
        <v>1269</v>
      </c>
      <c r="I91" s="445">
        <v>390</v>
      </c>
      <c r="J91" s="445">
        <v>171</v>
      </c>
      <c r="K91" s="445">
        <v>12108</v>
      </c>
      <c r="L91" s="445">
        <v>1395</v>
      </c>
    </row>
    <row r="92" spans="2:12" ht="12.6">
      <c r="B92" s="443" t="s">
        <v>1954</v>
      </c>
      <c r="C92" s="442"/>
      <c r="D92" s="444">
        <v>225408</v>
      </c>
      <c r="E92" s="444">
        <v>12237</v>
      </c>
      <c r="F92" s="444">
        <v>68373</v>
      </c>
      <c r="G92" s="444">
        <v>84972</v>
      </c>
      <c r="H92" s="444">
        <v>28299</v>
      </c>
      <c r="I92" s="444">
        <v>11055</v>
      </c>
      <c r="J92" s="444">
        <v>5727</v>
      </c>
      <c r="K92" s="444">
        <v>210660</v>
      </c>
      <c r="L92" s="444">
        <v>14748</v>
      </c>
    </row>
    <row r="93" spans="2:12" ht="12.6">
      <c r="B93" s="443" t="s">
        <v>1955</v>
      </c>
      <c r="C93" s="442"/>
      <c r="D93" s="445">
        <v>85665</v>
      </c>
      <c r="E93" s="445">
        <v>5910</v>
      </c>
      <c r="F93" s="445">
        <v>27528</v>
      </c>
      <c r="G93" s="445">
        <v>30762</v>
      </c>
      <c r="H93" s="445">
        <v>10179</v>
      </c>
      <c r="I93" s="445">
        <v>3759</v>
      </c>
      <c r="J93" s="445">
        <v>2013</v>
      </c>
      <c r="K93" s="445">
        <v>80151</v>
      </c>
      <c r="L93" s="445">
        <v>5514</v>
      </c>
    </row>
    <row r="94" spans="2:12" ht="12.6">
      <c r="B94" s="443" t="s">
        <v>1956</v>
      </c>
      <c r="C94" s="442"/>
      <c r="D94" s="444">
        <v>38646</v>
      </c>
      <c r="E94" s="444">
        <v>2133</v>
      </c>
      <c r="F94" s="444">
        <v>12246</v>
      </c>
      <c r="G94" s="444">
        <v>14205</v>
      </c>
      <c r="H94" s="444">
        <v>4836</v>
      </c>
      <c r="I94" s="444">
        <v>1818</v>
      </c>
      <c r="J94" s="444">
        <v>963</v>
      </c>
      <c r="K94" s="444">
        <v>36204</v>
      </c>
      <c r="L94" s="444">
        <v>2442</v>
      </c>
    </row>
    <row r="95" spans="2:12" ht="12.6">
      <c r="B95" s="443" t="s">
        <v>1958</v>
      </c>
      <c r="C95" s="442"/>
      <c r="D95" s="445">
        <v>276</v>
      </c>
      <c r="E95" s="445">
        <v>24</v>
      </c>
      <c r="F95" s="445">
        <v>72</v>
      </c>
      <c r="G95" s="445">
        <v>102</v>
      </c>
      <c r="H95" s="445">
        <v>18</v>
      </c>
      <c r="I95" s="445">
        <v>9</v>
      </c>
      <c r="J95" s="445">
        <v>3</v>
      </c>
      <c r="K95" s="445">
        <v>231</v>
      </c>
      <c r="L95" s="445">
        <v>45</v>
      </c>
    </row>
    <row r="97" spans="2:12" ht="12.95">
      <c r="B97" s="54" t="s">
        <v>2006</v>
      </c>
      <c r="C97" s="449">
        <v>0</v>
      </c>
      <c r="D97" s="449">
        <v>1</v>
      </c>
      <c r="E97" s="449">
        <v>2</v>
      </c>
      <c r="F97" s="449">
        <v>3</v>
      </c>
      <c r="G97" s="449">
        <v>4</v>
      </c>
      <c r="H97" s="449" t="s">
        <v>2007</v>
      </c>
      <c r="K97" s="449" t="s">
        <v>89</v>
      </c>
      <c r="L97" s="449" t="s">
        <v>89</v>
      </c>
    </row>
    <row r="98" spans="2:12" ht="12.95">
      <c r="B98" s="136" t="s">
        <v>2008</v>
      </c>
      <c r="C98" s="135">
        <f t="shared" ref="C98:H98" si="27">(E78)/SUM($E78:$J78)</f>
        <v>6.6105669420245733E-2</v>
      </c>
      <c r="D98" s="135">
        <f t="shared" si="27"/>
        <v>0.33941387914569188</v>
      </c>
      <c r="E98" s="135">
        <f t="shared" si="27"/>
        <v>0.39416251784422046</v>
      </c>
      <c r="F98" s="135">
        <f t="shared" si="27"/>
        <v>0.12845861524894911</v>
      </c>
      <c r="G98" s="135">
        <f t="shared" si="27"/>
        <v>4.8206087400102023E-2</v>
      </c>
      <c r="H98" s="135">
        <f t="shared" si="27"/>
        <v>2.36532309407908E-2</v>
      </c>
    </row>
    <row r="99" spans="2:12" ht="12.95">
      <c r="B99" s="136" t="str">
        <f t="shared" ref="B99:B115" si="28">B79</f>
        <v>Northland Region</v>
      </c>
      <c r="C99" s="135">
        <f t="shared" ref="C99:H99" si="29">(E79)/SUM($E79:$J79)</f>
        <v>5.382480758154877E-2</v>
      </c>
      <c r="D99" s="135">
        <f t="shared" si="29"/>
        <v>0.35436410283260905</v>
      </c>
      <c r="E99" s="135">
        <f t="shared" si="29"/>
        <v>0.40174878265877795</v>
      </c>
      <c r="F99" s="135">
        <f t="shared" si="29"/>
        <v>0.12618461699565423</v>
      </c>
      <c r="G99" s="135">
        <f t="shared" si="29"/>
        <v>4.3981360280642964E-2</v>
      </c>
      <c r="H99" s="135">
        <f t="shared" si="29"/>
        <v>1.9896329650767056E-2</v>
      </c>
    </row>
    <row r="100" spans="2:12" ht="12.95">
      <c r="B100" s="136" t="str">
        <f t="shared" si="28"/>
        <v>Auckland Region</v>
      </c>
      <c r="C100" s="135">
        <f t="shared" ref="C100:H100" si="30">(E80)/SUM($E80:$J80)</f>
        <v>6.5940512218859576E-2</v>
      </c>
      <c r="D100" s="135">
        <f t="shared" si="30"/>
        <v>0.30318503606330077</v>
      </c>
      <c r="E100" s="135">
        <f t="shared" si="30"/>
        <v>0.40026930819790152</v>
      </c>
      <c r="F100" s="135">
        <f t="shared" si="30"/>
        <v>0.14220006132760943</v>
      </c>
      <c r="G100" s="135">
        <f t="shared" si="30"/>
        <v>5.8801178556668048E-2</v>
      </c>
      <c r="H100" s="135">
        <f t="shared" si="30"/>
        <v>2.9603903635660671E-2</v>
      </c>
    </row>
    <row r="101" spans="2:12" ht="12.95">
      <c r="B101" s="136" t="str">
        <f t="shared" si="28"/>
        <v>Waikato Region</v>
      </c>
      <c r="C101" s="135">
        <f t="shared" ref="C101:H101" si="31">(E81)/SUM($E81:$J81)</f>
        <v>5.2293762575452714E-2</v>
      </c>
      <c r="D101" s="135">
        <f t="shared" si="31"/>
        <v>0.3324144869215292</v>
      </c>
      <c r="E101" s="135">
        <f t="shared" si="31"/>
        <v>0.40828973843058353</v>
      </c>
      <c r="F101" s="135">
        <f t="shared" si="31"/>
        <v>0.13374245472837021</v>
      </c>
      <c r="G101" s="135">
        <f t="shared" si="31"/>
        <v>4.9215291750503015E-2</v>
      </c>
      <c r="H101" s="135">
        <f t="shared" si="31"/>
        <v>2.4044265593561369E-2</v>
      </c>
    </row>
    <row r="102" spans="2:12" ht="12.95">
      <c r="B102" s="136" t="str">
        <f t="shared" si="28"/>
        <v>Bay of Plenty Region</v>
      </c>
      <c r="C102" s="135">
        <f t="shared" ref="C102:H102" si="32">(E82)/SUM($E82:$J82)</f>
        <v>4.9297680993773872E-2</v>
      </c>
      <c r="D102" s="135">
        <f t="shared" si="32"/>
        <v>0.34415135200168434</v>
      </c>
      <c r="E102" s="135">
        <f t="shared" si="32"/>
        <v>0.41248834481306584</v>
      </c>
      <c r="F102" s="135">
        <f t="shared" si="32"/>
        <v>0.12945528919902546</v>
      </c>
      <c r="G102" s="135">
        <f t="shared" si="32"/>
        <v>4.4755917827172378E-2</v>
      </c>
      <c r="H102" s="135">
        <f t="shared" si="32"/>
        <v>1.985141516527807E-2</v>
      </c>
    </row>
    <row r="103" spans="2:12" ht="12.95">
      <c r="B103" s="136" t="str">
        <f t="shared" si="28"/>
        <v>Gisborne Region</v>
      </c>
      <c r="C103" s="135">
        <f t="shared" ref="C103:H103" si="33">(E83)/SUM($E83:$J83)</f>
        <v>7.7913982962809061E-2</v>
      </c>
      <c r="D103" s="135">
        <f t="shared" si="33"/>
        <v>0.39227093289008935</v>
      </c>
      <c r="E103" s="135">
        <f t="shared" si="33"/>
        <v>0.38084354872221066</v>
      </c>
      <c r="F103" s="135">
        <f t="shared" si="33"/>
        <v>0.10201537502597133</v>
      </c>
      <c r="G103" s="135">
        <f t="shared" si="33"/>
        <v>3.220444629129441E-2</v>
      </c>
      <c r="H103" s="135">
        <f t="shared" si="33"/>
        <v>1.4751714107625182E-2</v>
      </c>
    </row>
    <row r="104" spans="2:12" ht="12.95">
      <c r="B104" s="136" t="str">
        <f t="shared" si="28"/>
        <v>Hawke's Bay Region</v>
      </c>
      <c r="C104" s="135">
        <f t="shared" ref="C104:H104" si="34">(E84)/SUM($E84:$J84)</f>
        <v>6.2037595221132238E-2</v>
      </c>
      <c r="D104" s="135">
        <f t="shared" si="34"/>
        <v>0.35474324546500796</v>
      </c>
      <c r="E104" s="135">
        <f t="shared" si="34"/>
        <v>0.4002849783526059</v>
      </c>
      <c r="F104" s="135">
        <f t="shared" si="34"/>
        <v>0.1239655833835699</v>
      </c>
      <c r="G104" s="135">
        <f t="shared" si="34"/>
        <v>4.1541075245245793E-2</v>
      </c>
      <c r="H104" s="135">
        <f t="shared" si="34"/>
        <v>1.742752233243821E-2</v>
      </c>
    </row>
    <row r="105" spans="2:12" ht="12.95">
      <c r="B105" s="136" t="str">
        <f t="shared" si="28"/>
        <v>Taranaki Region</v>
      </c>
      <c r="C105" s="135">
        <f t="shared" ref="C105:H105" si="35">(E85)/SUM($E85:$J85)</f>
        <v>6.0835415922884682E-2</v>
      </c>
      <c r="D105" s="135">
        <f t="shared" si="35"/>
        <v>0.35965726526240627</v>
      </c>
      <c r="E105" s="135">
        <f t="shared" si="35"/>
        <v>0.40642627632988221</v>
      </c>
      <c r="F105" s="135">
        <f t="shared" si="35"/>
        <v>0.11795787218850411</v>
      </c>
      <c r="G105" s="135">
        <f t="shared" si="35"/>
        <v>3.7772224205640845E-2</v>
      </c>
      <c r="H105" s="135">
        <f t="shared" si="35"/>
        <v>1.7350946090681899E-2</v>
      </c>
    </row>
    <row r="106" spans="2:12" ht="12.95">
      <c r="B106" s="136" t="str">
        <f t="shared" si="28"/>
        <v>Manawatu-Wanganui Region</v>
      </c>
      <c r="C106" s="135">
        <f t="shared" ref="C106:H106" si="36">(E86)/SUM($E86:$J86)</f>
        <v>7.2977662112340053E-2</v>
      </c>
      <c r="D106" s="135">
        <f t="shared" si="36"/>
        <v>0.3783705631460999</v>
      </c>
      <c r="E106" s="135">
        <f t="shared" si="36"/>
        <v>0.37681630882671874</v>
      </c>
      <c r="F106" s="135">
        <f t="shared" si="36"/>
        <v>0.1134967107641148</v>
      </c>
      <c r="G106" s="135">
        <f t="shared" si="36"/>
        <v>3.9976866912455722E-2</v>
      </c>
      <c r="H106" s="135">
        <f t="shared" si="36"/>
        <v>1.8361888238270802E-2</v>
      </c>
    </row>
    <row r="107" spans="2:12" ht="12.95">
      <c r="B107" s="136" t="str">
        <f t="shared" si="28"/>
        <v>Wellington Region</v>
      </c>
      <c r="C107" s="135">
        <f t="shared" ref="C107:H107" si="37">(E87)/SUM($E87:$J87)</f>
        <v>0.10379269158199034</v>
      </c>
      <c r="D107" s="135">
        <f t="shared" si="37"/>
        <v>0.40857553359068011</v>
      </c>
      <c r="E107" s="135">
        <f t="shared" si="37"/>
        <v>0.34812788866000799</v>
      </c>
      <c r="F107" s="135">
        <f t="shared" si="37"/>
        <v>9.5674150495940732E-2</v>
      </c>
      <c r="G107" s="135">
        <f t="shared" si="37"/>
        <v>3.0327684398206652E-2</v>
      </c>
      <c r="H107" s="135">
        <f t="shared" si="37"/>
        <v>1.3502051273174194E-2</v>
      </c>
    </row>
    <row r="108" spans="2:12" ht="12.95">
      <c r="B108" s="136" t="str">
        <f t="shared" si="28"/>
        <v>Tasman Region</v>
      </c>
      <c r="C108" s="135">
        <f t="shared" ref="C108:H108" si="38">(E88)/SUM($E88:$J88)</f>
        <v>3.4505314799672934E-2</v>
      </c>
      <c r="D108" s="135">
        <f t="shared" si="38"/>
        <v>0.30613246116107934</v>
      </c>
      <c r="E108" s="135">
        <f t="shared" si="38"/>
        <v>0.42469337694194603</v>
      </c>
      <c r="F108" s="135">
        <f t="shared" si="38"/>
        <v>0.1481602616516762</v>
      </c>
      <c r="G108" s="135">
        <f t="shared" si="38"/>
        <v>5.5600981193785773E-2</v>
      </c>
      <c r="H108" s="135">
        <f t="shared" si="38"/>
        <v>3.0907604251839738E-2</v>
      </c>
    </row>
    <row r="109" spans="2:12" ht="12.95">
      <c r="B109" s="136" t="str">
        <f t="shared" si="28"/>
        <v>Nelson Region</v>
      </c>
      <c r="C109" s="135">
        <f t="shared" ref="C109:H109" si="39">(E89)/SUM($E89:$J89)</f>
        <v>6.0562015503875966E-2</v>
      </c>
      <c r="D109" s="135">
        <f t="shared" si="39"/>
        <v>0.40261627906976744</v>
      </c>
      <c r="E109" s="135">
        <f t="shared" si="39"/>
        <v>0.37984496124031009</v>
      </c>
      <c r="F109" s="135">
        <f t="shared" si="39"/>
        <v>0.10755813953488372</v>
      </c>
      <c r="G109" s="135">
        <f t="shared" si="39"/>
        <v>3.3753229974160207E-2</v>
      </c>
      <c r="H109" s="135">
        <f t="shared" si="39"/>
        <v>1.5665374677002585E-2</v>
      </c>
    </row>
    <row r="110" spans="2:12" ht="12.95">
      <c r="B110" s="525" t="str">
        <f t="shared" si="28"/>
        <v>Marlborough Region</v>
      </c>
      <c r="C110" s="135">
        <f t="shared" ref="C110:H110" si="40">(E90)/SUM($E90:$J90)</f>
        <v>4.5509603737670878E-2</v>
      </c>
      <c r="D110" s="135">
        <f t="shared" si="40"/>
        <v>0.33310261290880777</v>
      </c>
      <c r="E110" s="135">
        <f t="shared" si="40"/>
        <v>0.42325661879217857</v>
      </c>
      <c r="F110" s="135">
        <f t="shared" si="40"/>
        <v>0.13254888388994635</v>
      </c>
      <c r="G110" s="135">
        <f t="shared" si="40"/>
        <v>4.4817442464094137E-2</v>
      </c>
      <c r="H110" s="135">
        <f t="shared" si="40"/>
        <v>2.0764838207302301E-2</v>
      </c>
    </row>
    <row r="111" spans="2:12" ht="12.95">
      <c r="B111" s="136" t="str">
        <f t="shared" si="28"/>
        <v>West Coast Region</v>
      </c>
      <c r="C111" s="135">
        <f t="shared" ref="C111:H111" si="41">(E91)/SUM($E91:$J91)</f>
        <v>7.107478949975235E-2</v>
      </c>
      <c r="D111" s="135">
        <f t="shared" si="41"/>
        <v>0.40118870728083211</v>
      </c>
      <c r="E111" s="135">
        <f t="shared" si="41"/>
        <v>0.37667161961367013</v>
      </c>
      <c r="F111" s="135">
        <f t="shared" si="41"/>
        <v>0.10475482912332838</v>
      </c>
      <c r="G111" s="135">
        <f t="shared" si="41"/>
        <v>3.2194155522535906E-2</v>
      </c>
      <c r="H111" s="135">
        <f t="shared" si="41"/>
        <v>1.4115898959881129E-2</v>
      </c>
    </row>
    <row r="112" spans="2:12" ht="12.95">
      <c r="B112" s="136" t="str">
        <f t="shared" si="28"/>
        <v>Canterbury Region</v>
      </c>
      <c r="C112" s="135">
        <f t="shared" ref="C112:H112" si="42">(E92)/SUM($E92:$J92)</f>
        <v>5.8088036342404691E-2</v>
      </c>
      <c r="D112" s="135">
        <f t="shared" si="42"/>
        <v>0.3245610287520827</v>
      </c>
      <c r="E112" s="135">
        <f t="shared" si="42"/>
        <v>0.40335512168724458</v>
      </c>
      <c r="F112" s="135">
        <f t="shared" si="42"/>
        <v>0.13433303427749532</v>
      </c>
      <c r="G112" s="135">
        <f t="shared" si="42"/>
        <v>5.2477179191409977E-2</v>
      </c>
      <c r="H112" s="135">
        <f t="shared" si="42"/>
        <v>2.7185599749362726E-2</v>
      </c>
    </row>
    <row r="113" spans="2:8" ht="12.95">
      <c r="B113" s="136" t="str">
        <f t="shared" si="28"/>
        <v>Otago Region</v>
      </c>
      <c r="C113" s="135">
        <f t="shared" ref="C113:H113" si="43">(E93)/SUM($E93:$J93)</f>
        <v>7.3735823632892911E-2</v>
      </c>
      <c r="D113" s="135">
        <f t="shared" si="43"/>
        <v>0.34345173485046976</v>
      </c>
      <c r="E113" s="135">
        <f t="shared" si="43"/>
        <v>0.38380057641202231</v>
      </c>
      <c r="F113" s="135">
        <f t="shared" si="43"/>
        <v>0.12699779166822622</v>
      </c>
      <c r="G113" s="135">
        <f t="shared" si="43"/>
        <v>4.6898978178687725E-2</v>
      </c>
      <c r="H113" s="135">
        <f t="shared" si="43"/>
        <v>2.511509525770109E-2</v>
      </c>
    </row>
    <row r="114" spans="2:8" ht="12.95">
      <c r="B114" s="136" t="str">
        <f t="shared" si="28"/>
        <v>Southland Region</v>
      </c>
      <c r="C114" s="135">
        <f t="shared" ref="C114:H114" si="44">(E94)/SUM($E94:$J94)</f>
        <v>5.892102428109721E-2</v>
      </c>
      <c r="D114" s="135">
        <f t="shared" si="44"/>
        <v>0.33827794812298001</v>
      </c>
      <c r="E114" s="135">
        <f t="shared" si="44"/>
        <v>0.39239247534598493</v>
      </c>
      <c r="F114" s="135">
        <f t="shared" si="44"/>
        <v>0.13358746995939338</v>
      </c>
      <c r="G114" s="135">
        <f t="shared" si="44"/>
        <v>5.0219607193171457E-2</v>
      </c>
      <c r="H114" s="135">
        <f t="shared" si="44"/>
        <v>2.6601475097373001E-2</v>
      </c>
    </row>
    <row r="115" spans="2:8" ht="12.95">
      <c r="B115" s="136" t="str">
        <f t="shared" si="28"/>
        <v>Area Outside Region</v>
      </c>
      <c r="C115" s="135">
        <f t="shared" ref="C115:H115" si="45">(E95)/SUM($E95:$J95)</f>
        <v>0.10526315789473684</v>
      </c>
      <c r="D115" s="135">
        <f t="shared" si="45"/>
        <v>0.31578947368421051</v>
      </c>
      <c r="E115" s="135">
        <f t="shared" si="45"/>
        <v>0.44736842105263158</v>
      </c>
      <c r="F115" s="135">
        <f t="shared" si="45"/>
        <v>7.8947368421052627E-2</v>
      </c>
      <c r="G115" s="135">
        <f t="shared" si="45"/>
        <v>3.9473684210526314E-2</v>
      </c>
      <c r="H115" s="135">
        <f t="shared" si="45"/>
        <v>1.3157894736842105E-2</v>
      </c>
    </row>
  </sheetData>
  <mergeCells count="24">
    <mergeCell ref="B76:C76"/>
    <mergeCell ref="D76:L76"/>
    <mergeCell ref="BE48:BV48"/>
    <mergeCell ref="BW48:CN48"/>
    <mergeCell ref="C49:M49"/>
    <mergeCell ref="B70:E70"/>
    <mergeCell ref="B74:C74"/>
    <mergeCell ref="B75:C75"/>
    <mergeCell ref="D75:L75"/>
    <mergeCell ref="GA48:GR48"/>
    <mergeCell ref="GS48:HJ48"/>
    <mergeCell ref="HK48:HN48"/>
    <mergeCell ref="AM47:BV47"/>
    <mergeCell ref="BW47:DF47"/>
    <mergeCell ref="DG47:EP47"/>
    <mergeCell ref="EQ47:FZ47"/>
    <mergeCell ref="GA47:HJ47"/>
    <mergeCell ref="HK47:HN47"/>
    <mergeCell ref="AM48:BD48"/>
    <mergeCell ref="CO48:DF48"/>
    <mergeCell ref="DG48:DX48"/>
    <mergeCell ref="DY48:EP48"/>
    <mergeCell ref="EQ48:FH48"/>
    <mergeCell ref="FI48:FZ48"/>
  </mergeCells>
  <conditionalFormatting sqref="C26:E44">
    <cfRule type="colorScale" priority="2">
      <colorScale>
        <cfvo type="min"/>
        <cfvo type="max"/>
        <color rgb="FFFFFFFF"/>
        <color rgb="FFFF0000"/>
      </colorScale>
    </cfRule>
  </conditionalFormatting>
  <conditionalFormatting sqref="C98:J115">
    <cfRule type="colorScale" priority="3">
      <colorScale>
        <cfvo type="min"/>
        <cfvo type="max"/>
        <color rgb="FFF3F3F3"/>
        <color rgb="FFE06666"/>
      </colorScale>
    </cfRule>
  </conditionalFormatting>
  <conditionalFormatting sqref="D5:L23">
    <cfRule type="colorScale" priority="1">
      <colorScale>
        <cfvo type="min"/>
        <cfvo type="max"/>
        <color rgb="FFFFFFFF"/>
        <color rgb="FFFF0000"/>
      </colorScale>
    </cfRule>
  </conditionalFormatting>
  <hyperlinks>
    <hyperlink ref="B2" r:id="rId1" xr:uid="{00000000-0004-0000-1300-000000000000}"/>
    <hyperlink ref="B47" r:id="rId2" xr:uid="{00000000-0004-0000-1300-000001000000}"/>
    <hyperlink ref="B48" r:id="rId3" xr:uid="{00000000-0004-0000-1300-000002000000}"/>
    <hyperlink ref="AM48" r:id="rId4" xr:uid="{00000000-0004-0000-1300-000003000000}"/>
    <hyperlink ref="BE48" r:id="rId5" xr:uid="{00000000-0004-0000-1300-000004000000}"/>
    <hyperlink ref="BW48" r:id="rId6" xr:uid="{00000000-0004-0000-1300-000005000000}"/>
    <hyperlink ref="CO48" r:id="rId7" xr:uid="{00000000-0004-0000-1300-000006000000}"/>
    <hyperlink ref="DG48" r:id="rId8" xr:uid="{00000000-0004-0000-1300-000007000000}"/>
    <hyperlink ref="DY48" r:id="rId9" xr:uid="{00000000-0004-0000-1300-000008000000}"/>
    <hyperlink ref="EQ48" r:id="rId10" xr:uid="{00000000-0004-0000-1300-000009000000}"/>
    <hyperlink ref="FI48" r:id="rId11" xr:uid="{00000000-0004-0000-1300-00000A000000}"/>
    <hyperlink ref="GA48" r:id="rId12" xr:uid="{00000000-0004-0000-1300-00000B000000}"/>
    <hyperlink ref="GS48" r:id="rId13" xr:uid="{00000000-0004-0000-1300-00000C000000}"/>
    <hyperlink ref="HK48" r:id="rId14" xr:uid="{00000000-0004-0000-1300-00000D000000}"/>
    <hyperlink ref="B63" r:id="rId15" xr:uid="{00000000-0004-0000-1300-00000E000000}"/>
    <hyperlink ref="B70" r:id="rId16" xr:uid="{00000000-0004-0000-1300-00000F000000}"/>
    <hyperlink ref="B74" r:id="rId17" xr:uid="{00000000-0004-0000-1300-000010000000}"/>
    <hyperlink ref="B75" r:id="rId18" xr:uid="{00000000-0004-0000-1300-000011000000}"/>
    <hyperlink ref="B77" r:id="rId19" xr:uid="{00000000-0004-0000-1300-000012000000}"/>
    <hyperlink ref="B90" r:id="rId20" xr:uid="{00000000-0004-0000-1300-000013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38761D"/>
    <outlinePr summaryBelow="0" summaryRight="0"/>
  </sheetPr>
  <dimension ref="A1:CD15"/>
  <sheetViews>
    <sheetView workbookViewId="0"/>
  </sheetViews>
  <sheetFormatPr defaultColWidth="12.5703125" defaultRowHeight="15.75" customHeight="1"/>
  <sheetData>
    <row r="1" spans="1:82" ht="15.75" customHeight="1">
      <c r="A1" s="10" t="s">
        <v>2009</v>
      </c>
    </row>
    <row r="2" spans="1:82" ht="15.75" customHeight="1">
      <c r="A2" s="607" t="s">
        <v>2010</v>
      </c>
      <c r="B2" s="622"/>
      <c r="C2" s="526"/>
      <c r="D2" s="526"/>
      <c r="E2" s="526" t="s">
        <v>14</v>
      </c>
      <c r="F2" s="438" t="s">
        <v>2011</v>
      </c>
      <c r="G2" s="438" t="s">
        <v>2012</v>
      </c>
      <c r="H2" s="438" t="s">
        <v>2013</v>
      </c>
      <c r="I2" s="438" t="s">
        <v>2014</v>
      </c>
      <c r="J2" s="438" t="s">
        <v>2015</v>
      </c>
      <c r="K2" s="438" t="s">
        <v>2016</v>
      </c>
      <c r="L2" s="438" t="s">
        <v>2017</v>
      </c>
      <c r="M2" s="438" t="s">
        <v>2018</v>
      </c>
      <c r="N2" s="438" t="s">
        <v>2019</v>
      </c>
      <c r="O2" s="438" t="s">
        <v>2020</v>
      </c>
      <c r="P2" s="438" t="s">
        <v>2021</v>
      </c>
      <c r="Q2" s="438" t="s">
        <v>1844</v>
      </c>
      <c r="R2" s="438" t="s">
        <v>2022</v>
      </c>
      <c r="S2" s="438" t="s">
        <v>2023</v>
      </c>
      <c r="T2" s="438" t="s">
        <v>2024</v>
      </c>
      <c r="U2" s="438" t="s">
        <v>2025</v>
      </c>
      <c r="V2" s="438" t="s">
        <v>2026</v>
      </c>
      <c r="W2" s="438" t="s">
        <v>1854</v>
      </c>
      <c r="X2" s="438" t="s">
        <v>2027</v>
      </c>
      <c r="Y2" s="438" t="s">
        <v>2028</v>
      </c>
      <c r="Z2" s="438" t="s">
        <v>2029</v>
      </c>
      <c r="AA2" s="438" t="s">
        <v>2030</v>
      </c>
      <c r="AB2" s="438" t="s">
        <v>2031</v>
      </c>
      <c r="AC2" s="438" t="s">
        <v>2032</v>
      </c>
      <c r="AD2" s="438" t="s">
        <v>1864</v>
      </c>
      <c r="AE2" s="438" t="s">
        <v>2033</v>
      </c>
      <c r="AF2" s="438" t="s">
        <v>1868</v>
      </c>
      <c r="AG2" s="438" t="s">
        <v>2034</v>
      </c>
      <c r="AH2" s="438" t="s">
        <v>2035</v>
      </c>
      <c r="AI2" s="438" t="s">
        <v>2036</v>
      </c>
      <c r="AJ2" s="438" t="s">
        <v>2037</v>
      </c>
      <c r="AK2" s="438" t="s">
        <v>2038</v>
      </c>
      <c r="AL2" s="438" t="s">
        <v>1879</v>
      </c>
      <c r="AM2" s="438" t="s">
        <v>879</v>
      </c>
      <c r="AN2" s="438" t="s">
        <v>2039</v>
      </c>
      <c r="AO2" s="438" t="s">
        <v>2040</v>
      </c>
      <c r="AP2" s="438" t="s">
        <v>1893</v>
      </c>
      <c r="AQ2" s="438" t="s">
        <v>1894</v>
      </c>
      <c r="AR2" s="438" t="s">
        <v>1895</v>
      </c>
      <c r="AS2" s="438" t="s">
        <v>2041</v>
      </c>
      <c r="AT2" s="438" t="s">
        <v>2042</v>
      </c>
      <c r="AU2" s="438" t="s">
        <v>1899</v>
      </c>
      <c r="AV2" s="438" t="s">
        <v>2043</v>
      </c>
      <c r="AW2" s="438" t="s">
        <v>2044</v>
      </c>
      <c r="AX2" s="438" t="s">
        <v>2045</v>
      </c>
      <c r="AY2" s="438" t="s">
        <v>1910</v>
      </c>
      <c r="AZ2" s="438" t="s">
        <v>2046</v>
      </c>
      <c r="BA2" s="438" t="s">
        <v>2047</v>
      </c>
      <c r="BB2" s="438" t="s">
        <v>2048</v>
      </c>
      <c r="BC2" s="438" t="s">
        <v>2049</v>
      </c>
      <c r="BD2" s="438" t="s">
        <v>1913</v>
      </c>
      <c r="BE2" s="438" t="s">
        <v>2050</v>
      </c>
      <c r="BF2" s="438" t="s">
        <v>1915</v>
      </c>
      <c r="BG2" s="438" t="s">
        <v>1916</v>
      </c>
      <c r="BH2" s="438" t="s">
        <v>2051</v>
      </c>
      <c r="BI2" s="438" t="s">
        <v>2052</v>
      </c>
      <c r="BJ2" s="438" t="s">
        <v>2053</v>
      </c>
      <c r="BK2" s="438" t="s">
        <v>2054</v>
      </c>
      <c r="BL2" s="438" t="s">
        <v>2055</v>
      </c>
      <c r="BM2" s="438" t="s">
        <v>2056</v>
      </c>
      <c r="BN2" s="438" t="s">
        <v>2057</v>
      </c>
      <c r="BO2" s="438" t="s">
        <v>2058</v>
      </c>
      <c r="BP2" s="438" t="s">
        <v>2059</v>
      </c>
      <c r="BQ2" s="438" t="s">
        <v>2060</v>
      </c>
      <c r="BR2" s="438" t="s">
        <v>2061</v>
      </c>
      <c r="BS2" s="438" t="s">
        <v>2062</v>
      </c>
      <c r="BT2" s="438" t="s">
        <v>2063</v>
      </c>
      <c r="BU2" s="438" t="s">
        <v>2064</v>
      </c>
      <c r="BV2" s="438" t="s">
        <v>2065</v>
      </c>
      <c r="BW2" s="438" t="s">
        <v>2066</v>
      </c>
      <c r="BX2" s="438" t="s">
        <v>2067</v>
      </c>
      <c r="BY2" s="438" t="s">
        <v>2068</v>
      </c>
      <c r="BZ2" s="438" t="s">
        <v>2069</v>
      </c>
      <c r="CA2" s="438" t="s">
        <v>2070</v>
      </c>
      <c r="CB2" s="438" t="s">
        <v>2071</v>
      </c>
      <c r="CC2" s="438" t="s">
        <v>2072</v>
      </c>
      <c r="CD2" s="438" t="s">
        <v>2073</v>
      </c>
    </row>
    <row r="3" spans="1:82" ht="15.75" customHeight="1">
      <c r="A3" s="448" t="s">
        <v>2074</v>
      </c>
      <c r="B3" s="442"/>
      <c r="C3" s="442" t="s">
        <v>2075</v>
      </c>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442"/>
      <c r="AW3" s="442"/>
      <c r="AX3" s="442"/>
      <c r="AY3" s="442"/>
      <c r="AZ3" s="442"/>
      <c r="BA3" s="442"/>
      <c r="BB3" s="442"/>
      <c r="BC3" s="442"/>
      <c r="BD3" s="442"/>
      <c r="BE3" s="442"/>
      <c r="BF3" s="442"/>
      <c r="BG3" s="442"/>
      <c r="BH3" s="442"/>
      <c r="BI3" s="442"/>
      <c r="BJ3" s="442"/>
      <c r="BK3" s="442"/>
      <c r="BL3" s="442"/>
      <c r="BM3" s="442"/>
      <c r="BN3" s="442"/>
      <c r="BO3" s="442"/>
      <c r="BP3" s="442"/>
      <c r="BQ3" s="442"/>
      <c r="BR3" s="442"/>
      <c r="BS3" s="442"/>
      <c r="BT3" s="442"/>
      <c r="BU3" s="442"/>
      <c r="BV3" s="442"/>
      <c r="BW3" s="442"/>
      <c r="BX3" s="442"/>
      <c r="BY3" s="442"/>
      <c r="BZ3" s="442"/>
      <c r="CA3" s="442"/>
      <c r="CB3" s="442"/>
      <c r="CC3" s="442"/>
      <c r="CD3" s="442"/>
    </row>
    <row r="4" spans="1:82" ht="15.75" customHeight="1">
      <c r="A4" s="447" t="s">
        <v>2076</v>
      </c>
      <c r="B4" s="442"/>
      <c r="C4" s="450">
        <f t="shared" ref="C4:C13" si="0">F4/E4</f>
        <v>4.4701986754966887E-2</v>
      </c>
      <c r="D4" s="445"/>
      <c r="E4" s="445">
        <v>785.2</v>
      </c>
      <c r="F4" s="445">
        <v>35.1</v>
      </c>
      <c r="G4" s="445">
        <v>38.6</v>
      </c>
      <c r="H4" s="445">
        <v>26.6</v>
      </c>
      <c r="I4" s="445">
        <v>132.80000000000001</v>
      </c>
      <c r="J4" s="445">
        <v>15.8</v>
      </c>
      <c r="K4" s="445">
        <v>19.3</v>
      </c>
      <c r="L4" s="445">
        <v>60.1</v>
      </c>
      <c r="M4" s="445">
        <v>5.6</v>
      </c>
      <c r="N4" s="445">
        <v>32.1</v>
      </c>
      <c r="O4" s="445">
        <v>17.600000000000001</v>
      </c>
      <c r="P4" s="445">
        <v>10</v>
      </c>
      <c r="Q4" s="445">
        <v>7.4</v>
      </c>
      <c r="R4" s="445" t="s">
        <v>1827</v>
      </c>
      <c r="S4" s="445">
        <v>14</v>
      </c>
      <c r="T4" s="445">
        <v>12.4</v>
      </c>
      <c r="U4" s="445">
        <v>1.6</v>
      </c>
      <c r="V4" s="445">
        <v>231.3</v>
      </c>
      <c r="W4" s="445">
        <v>98.6</v>
      </c>
      <c r="X4" s="445">
        <v>50.5</v>
      </c>
      <c r="Y4" s="445">
        <v>12.6</v>
      </c>
      <c r="Z4" s="445">
        <v>28.9</v>
      </c>
      <c r="AA4" s="445">
        <v>5.6</v>
      </c>
      <c r="AB4" s="445">
        <v>37.200000000000003</v>
      </c>
      <c r="AC4" s="445">
        <v>10.4</v>
      </c>
      <c r="AD4" s="445">
        <v>3.4</v>
      </c>
      <c r="AE4" s="445">
        <v>6.7</v>
      </c>
      <c r="AF4" s="445">
        <v>2.7</v>
      </c>
      <c r="AG4" s="445">
        <v>3</v>
      </c>
      <c r="AH4" s="445">
        <v>10.9</v>
      </c>
      <c r="AI4" s="445">
        <v>18</v>
      </c>
      <c r="AJ4" s="445">
        <v>5.7</v>
      </c>
      <c r="AK4" s="445">
        <v>11.3</v>
      </c>
      <c r="AL4" s="445" t="s">
        <v>1827</v>
      </c>
      <c r="AM4" s="445">
        <v>116.8</v>
      </c>
      <c r="AN4" s="445">
        <v>51.6</v>
      </c>
      <c r="AO4" s="445">
        <v>30.9</v>
      </c>
      <c r="AP4" s="445">
        <v>1.8</v>
      </c>
      <c r="AQ4" s="445" t="s">
        <v>1827</v>
      </c>
      <c r="AR4" s="445">
        <v>20.9</v>
      </c>
      <c r="AS4" s="445">
        <v>70.099999999999994</v>
      </c>
      <c r="AT4" s="445">
        <v>4.5</v>
      </c>
      <c r="AU4" s="445">
        <v>0.9</v>
      </c>
      <c r="AV4" s="445">
        <v>13.6</v>
      </c>
      <c r="AW4" s="445">
        <v>22.5</v>
      </c>
      <c r="AX4" s="445">
        <v>4</v>
      </c>
      <c r="AY4" s="445">
        <v>24.4</v>
      </c>
      <c r="AZ4" s="445" t="s">
        <v>1827</v>
      </c>
      <c r="BA4" s="445" t="s">
        <v>1827</v>
      </c>
      <c r="BB4" s="445" t="s">
        <v>1827</v>
      </c>
      <c r="BC4" s="445">
        <v>10.199999999999999</v>
      </c>
      <c r="BD4" s="445">
        <v>1.6</v>
      </c>
      <c r="BE4" s="445">
        <v>2</v>
      </c>
      <c r="BF4" s="445">
        <v>6</v>
      </c>
      <c r="BG4" s="445">
        <v>0.6</v>
      </c>
      <c r="BH4" s="445">
        <v>61.9</v>
      </c>
      <c r="BI4" s="445">
        <v>12.2</v>
      </c>
      <c r="BJ4" s="445" t="s">
        <v>1827</v>
      </c>
      <c r="BK4" s="445">
        <v>6.9</v>
      </c>
      <c r="BL4" s="445">
        <v>39.700000000000003</v>
      </c>
      <c r="BM4" s="445">
        <v>1.3</v>
      </c>
      <c r="BN4" s="445">
        <v>1.8</v>
      </c>
      <c r="BO4" s="445">
        <v>54.4</v>
      </c>
      <c r="BP4" s="445">
        <v>43.8</v>
      </c>
      <c r="BQ4" s="445">
        <v>7.6</v>
      </c>
      <c r="BR4" s="445">
        <v>2.9</v>
      </c>
      <c r="BS4" s="445" t="s">
        <v>1827</v>
      </c>
      <c r="BT4" s="445" t="s">
        <v>1827</v>
      </c>
      <c r="BU4" s="445">
        <v>-9.9</v>
      </c>
      <c r="BV4" s="445" t="s">
        <v>1827</v>
      </c>
      <c r="BW4" s="445" t="s">
        <v>1827</v>
      </c>
      <c r="BX4" s="445" t="s">
        <v>1827</v>
      </c>
      <c r="BY4" s="445" t="s">
        <v>1827</v>
      </c>
      <c r="BZ4" s="445">
        <v>-2.6</v>
      </c>
      <c r="CA4" s="445" t="s">
        <v>1827</v>
      </c>
      <c r="CB4" s="445">
        <v>-5.7</v>
      </c>
      <c r="CC4" s="445" t="s">
        <v>1827</v>
      </c>
      <c r="CD4" s="445">
        <v>-1.5</v>
      </c>
    </row>
    <row r="5" spans="1:82" ht="15.75" customHeight="1">
      <c r="A5" s="447" t="s">
        <v>2077</v>
      </c>
      <c r="B5" s="442"/>
      <c r="C5" s="450">
        <f t="shared" si="0"/>
        <v>5.1598173515981734E-2</v>
      </c>
      <c r="D5" s="444"/>
      <c r="E5" s="444">
        <v>657</v>
      </c>
      <c r="F5" s="444">
        <v>33.9</v>
      </c>
      <c r="G5" s="444">
        <v>37.4</v>
      </c>
      <c r="H5" s="444">
        <v>30.8</v>
      </c>
      <c r="I5" s="444">
        <v>134.5</v>
      </c>
      <c r="J5" s="444">
        <v>15.4</v>
      </c>
      <c r="K5" s="444">
        <v>15</v>
      </c>
      <c r="L5" s="444">
        <v>53.9</v>
      </c>
      <c r="M5" s="444">
        <v>5.5</v>
      </c>
      <c r="N5" s="444">
        <v>44.7</v>
      </c>
      <c r="O5" s="444">
        <v>12.3</v>
      </c>
      <c r="P5" s="444">
        <v>6.9</v>
      </c>
      <c r="Q5" s="444">
        <v>5.4</v>
      </c>
      <c r="R5" s="444" t="s">
        <v>1827</v>
      </c>
      <c r="S5" s="444">
        <v>13.5</v>
      </c>
      <c r="T5" s="444">
        <v>10.199999999999999</v>
      </c>
      <c r="U5" s="444">
        <v>3.4</v>
      </c>
      <c r="V5" s="444">
        <v>197.8</v>
      </c>
      <c r="W5" s="444">
        <v>89.3</v>
      </c>
      <c r="X5" s="444">
        <v>21.1</v>
      </c>
      <c r="Y5" s="444">
        <v>14.2</v>
      </c>
      <c r="Z5" s="444">
        <v>30.7</v>
      </c>
      <c r="AA5" s="444">
        <v>8.6</v>
      </c>
      <c r="AB5" s="444">
        <v>21.2</v>
      </c>
      <c r="AC5" s="444">
        <v>4.3</v>
      </c>
      <c r="AD5" s="444">
        <v>2.6</v>
      </c>
      <c r="AE5" s="444">
        <v>4.3</v>
      </c>
      <c r="AF5" s="444">
        <v>1.7</v>
      </c>
      <c r="AG5" s="444">
        <v>1.6</v>
      </c>
      <c r="AH5" s="444">
        <v>6.6</v>
      </c>
      <c r="AI5" s="444">
        <v>23.6</v>
      </c>
      <c r="AJ5" s="444">
        <v>8.8000000000000007</v>
      </c>
      <c r="AK5" s="444">
        <v>14.8</v>
      </c>
      <c r="AL5" s="444" t="s">
        <v>1827</v>
      </c>
      <c r="AM5" s="444">
        <v>100.4</v>
      </c>
      <c r="AN5" s="444">
        <v>32.200000000000003</v>
      </c>
      <c r="AO5" s="444">
        <v>26.8</v>
      </c>
      <c r="AP5" s="444">
        <v>0.5</v>
      </c>
      <c r="AQ5" s="444">
        <v>3.4</v>
      </c>
      <c r="AR5" s="444">
        <v>23</v>
      </c>
      <c r="AS5" s="444">
        <v>48.5</v>
      </c>
      <c r="AT5" s="444">
        <v>3.6</v>
      </c>
      <c r="AU5" s="444">
        <v>1.3</v>
      </c>
      <c r="AV5" s="444">
        <v>12.5</v>
      </c>
      <c r="AW5" s="444">
        <v>15.5</v>
      </c>
      <c r="AX5" s="444">
        <v>6.5</v>
      </c>
      <c r="AY5" s="444">
        <v>7.8</v>
      </c>
      <c r="AZ5" s="444" t="s">
        <v>1827</v>
      </c>
      <c r="BA5" s="444" t="s">
        <v>1827</v>
      </c>
      <c r="BB5" s="444" t="s">
        <v>1827</v>
      </c>
      <c r="BC5" s="444">
        <v>3.8</v>
      </c>
      <c r="BD5" s="444">
        <v>1.6</v>
      </c>
      <c r="BE5" s="444">
        <v>0.7</v>
      </c>
      <c r="BF5" s="444">
        <v>1.5</v>
      </c>
      <c r="BG5" s="444">
        <v>0.1</v>
      </c>
      <c r="BH5" s="444">
        <v>56.9</v>
      </c>
      <c r="BI5" s="444">
        <v>12.9</v>
      </c>
      <c r="BJ5" s="444" t="s">
        <v>1827</v>
      </c>
      <c r="BK5" s="444">
        <v>10</v>
      </c>
      <c r="BL5" s="444">
        <v>31.2</v>
      </c>
      <c r="BM5" s="444">
        <v>1.1000000000000001</v>
      </c>
      <c r="BN5" s="444">
        <v>1.7</v>
      </c>
      <c r="BO5" s="444">
        <v>28.3</v>
      </c>
      <c r="BP5" s="444">
        <v>21.2</v>
      </c>
      <c r="BQ5" s="444">
        <v>5.4</v>
      </c>
      <c r="BR5" s="444">
        <v>1.5</v>
      </c>
      <c r="BS5" s="444" t="s">
        <v>1827</v>
      </c>
      <c r="BT5" s="444" t="s">
        <v>1827</v>
      </c>
      <c r="BU5" s="444">
        <v>-10.6</v>
      </c>
      <c r="BV5" s="444" t="s">
        <v>1827</v>
      </c>
      <c r="BW5" s="444" t="s">
        <v>1827</v>
      </c>
      <c r="BX5" s="444">
        <v>-0.1</v>
      </c>
      <c r="BY5" s="444" t="s">
        <v>1827</v>
      </c>
      <c r="BZ5" s="444">
        <v>-4.2</v>
      </c>
      <c r="CA5" s="444" t="s">
        <v>1827</v>
      </c>
      <c r="CB5" s="444">
        <v>-1.3</v>
      </c>
      <c r="CC5" s="444" t="s">
        <v>1827</v>
      </c>
      <c r="CD5" s="444">
        <v>-4.9000000000000004</v>
      </c>
    </row>
    <row r="6" spans="1:82" ht="15.75" customHeight="1">
      <c r="A6" s="447" t="s">
        <v>2078</v>
      </c>
      <c r="B6" s="442"/>
      <c r="C6" s="450">
        <f t="shared" si="0"/>
        <v>4.8792569659442724E-2</v>
      </c>
      <c r="D6" s="445"/>
      <c r="E6" s="445">
        <v>807.5</v>
      </c>
      <c r="F6" s="445">
        <v>39.4</v>
      </c>
      <c r="G6" s="445">
        <v>53</v>
      </c>
      <c r="H6" s="445">
        <v>30.4</v>
      </c>
      <c r="I6" s="445">
        <v>149.30000000000001</v>
      </c>
      <c r="J6" s="445">
        <v>18</v>
      </c>
      <c r="K6" s="445">
        <v>22.9</v>
      </c>
      <c r="L6" s="445">
        <v>65.400000000000006</v>
      </c>
      <c r="M6" s="445">
        <v>8.8000000000000007</v>
      </c>
      <c r="N6" s="445">
        <v>34.200000000000003</v>
      </c>
      <c r="O6" s="445">
        <v>17.8</v>
      </c>
      <c r="P6" s="445">
        <v>12.5</v>
      </c>
      <c r="Q6" s="445">
        <v>5.3</v>
      </c>
      <c r="R6" s="445" t="s">
        <v>1827</v>
      </c>
      <c r="S6" s="445">
        <v>15.4</v>
      </c>
      <c r="T6" s="445">
        <v>12.7</v>
      </c>
      <c r="U6" s="445">
        <v>2.8</v>
      </c>
      <c r="V6" s="445">
        <v>224.9</v>
      </c>
      <c r="W6" s="445">
        <v>97.7</v>
      </c>
      <c r="X6" s="445">
        <v>29.9</v>
      </c>
      <c r="Y6" s="445">
        <v>18.2</v>
      </c>
      <c r="Z6" s="445">
        <v>35.1</v>
      </c>
      <c r="AA6" s="445">
        <v>4.5</v>
      </c>
      <c r="AB6" s="445">
        <v>41.9</v>
      </c>
      <c r="AC6" s="445">
        <v>16.2</v>
      </c>
      <c r="AD6" s="445">
        <v>2.2999999999999998</v>
      </c>
      <c r="AE6" s="445">
        <v>9</v>
      </c>
      <c r="AF6" s="445">
        <v>2.2999999999999998</v>
      </c>
      <c r="AG6" s="445">
        <v>3.5</v>
      </c>
      <c r="AH6" s="445">
        <v>8.6</v>
      </c>
      <c r="AI6" s="445">
        <v>44.2</v>
      </c>
      <c r="AJ6" s="445">
        <v>9.8000000000000007</v>
      </c>
      <c r="AK6" s="445">
        <v>29.9</v>
      </c>
      <c r="AL6" s="445" t="s">
        <v>1827</v>
      </c>
      <c r="AM6" s="445">
        <v>119</v>
      </c>
      <c r="AN6" s="445">
        <v>35.6</v>
      </c>
      <c r="AO6" s="445">
        <v>27.8</v>
      </c>
      <c r="AP6" s="445">
        <v>0.5</v>
      </c>
      <c r="AQ6" s="445" t="s">
        <v>1827</v>
      </c>
      <c r="AR6" s="445">
        <v>26.5</v>
      </c>
      <c r="AS6" s="445">
        <v>79.3</v>
      </c>
      <c r="AT6" s="445">
        <v>6.5</v>
      </c>
      <c r="AU6" s="445">
        <v>0.9</v>
      </c>
      <c r="AV6" s="445">
        <v>15.5</v>
      </c>
      <c r="AW6" s="445">
        <v>22.9</v>
      </c>
      <c r="AX6" s="445">
        <v>5.5</v>
      </c>
      <c r="AY6" s="445">
        <v>13.3</v>
      </c>
      <c r="AZ6" s="445" t="s">
        <v>1827</v>
      </c>
      <c r="BA6" s="445" t="s">
        <v>1827</v>
      </c>
      <c r="BB6" s="445" t="s">
        <v>1827</v>
      </c>
      <c r="BC6" s="445">
        <v>15.3</v>
      </c>
      <c r="BD6" s="445">
        <v>0.3</v>
      </c>
      <c r="BE6" s="445">
        <v>0.8</v>
      </c>
      <c r="BF6" s="445">
        <v>13.7</v>
      </c>
      <c r="BG6" s="445" t="s">
        <v>1827</v>
      </c>
      <c r="BH6" s="445">
        <v>69</v>
      </c>
      <c r="BI6" s="445">
        <v>11.6</v>
      </c>
      <c r="BJ6" s="445" t="s">
        <v>1827</v>
      </c>
      <c r="BK6" s="445">
        <v>6.8</v>
      </c>
      <c r="BL6" s="445">
        <v>46.5</v>
      </c>
      <c r="BM6" s="445">
        <v>1.2</v>
      </c>
      <c r="BN6" s="445">
        <v>2.8</v>
      </c>
      <c r="BO6" s="445">
        <v>29.2</v>
      </c>
      <c r="BP6" s="445">
        <v>22.5</v>
      </c>
      <c r="BQ6" s="445">
        <v>5.8</v>
      </c>
      <c r="BR6" s="445">
        <v>0.9</v>
      </c>
      <c r="BS6" s="445" t="s">
        <v>1827</v>
      </c>
      <c r="BT6" s="445" t="s">
        <v>1827</v>
      </c>
      <c r="BU6" s="445">
        <v>-25.6</v>
      </c>
      <c r="BV6" s="445" t="s">
        <v>1827</v>
      </c>
      <c r="BW6" s="445" t="s">
        <v>1827</v>
      </c>
      <c r="BX6" s="445">
        <v>-0.2</v>
      </c>
      <c r="BY6" s="445" t="s">
        <v>1827</v>
      </c>
      <c r="BZ6" s="445">
        <v>-7.9</v>
      </c>
      <c r="CA6" s="445" t="s">
        <v>1827</v>
      </c>
      <c r="CB6" s="445">
        <v>-3.4</v>
      </c>
      <c r="CC6" s="445" t="s">
        <v>1827</v>
      </c>
      <c r="CD6" s="445">
        <v>-14.1</v>
      </c>
    </row>
    <row r="7" spans="1:82" ht="15.75" customHeight="1">
      <c r="A7" s="447" t="s">
        <v>2079</v>
      </c>
      <c r="B7" s="442"/>
      <c r="C7" s="450">
        <f t="shared" si="0"/>
        <v>4.0697674418604654E-2</v>
      </c>
      <c r="D7" s="444"/>
      <c r="E7" s="444">
        <v>980.4</v>
      </c>
      <c r="F7" s="444">
        <v>39.9</v>
      </c>
      <c r="G7" s="444">
        <v>65.900000000000006</v>
      </c>
      <c r="H7" s="444">
        <v>46.9</v>
      </c>
      <c r="I7" s="444">
        <v>183.1</v>
      </c>
      <c r="J7" s="444">
        <v>22.6</v>
      </c>
      <c r="K7" s="444">
        <v>28.5</v>
      </c>
      <c r="L7" s="444">
        <v>81.2</v>
      </c>
      <c r="M7" s="444">
        <v>11.1</v>
      </c>
      <c r="N7" s="444">
        <v>39.6</v>
      </c>
      <c r="O7" s="444">
        <v>21.8</v>
      </c>
      <c r="P7" s="444">
        <v>13</v>
      </c>
      <c r="Q7" s="444">
        <v>8.9</v>
      </c>
      <c r="R7" s="444" t="s">
        <v>1827</v>
      </c>
      <c r="S7" s="444">
        <v>30.3</v>
      </c>
      <c r="T7" s="444">
        <v>24.2</v>
      </c>
      <c r="U7" s="444">
        <v>6.1</v>
      </c>
      <c r="V7" s="444">
        <v>291.60000000000002</v>
      </c>
      <c r="W7" s="444">
        <v>157.30000000000001</v>
      </c>
      <c r="X7" s="444">
        <v>46.1</v>
      </c>
      <c r="Y7" s="444">
        <v>16</v>
      </c>
      <c r="Z7" s="444">
        <v>27</v>
      </c>
      <c r="AA7" s="444">
        <v>5.3</v>
      </c>
      <c r="AB7" s="444">
        <v>40.4</v>
      </c>
      <c r="AC7" s="444">
        <v>13.3</v>
      </c>
      <c r="AD7" s="444">
        <v>3.9</v>
      </c>
      <c r="AE7" s="444">
        <v>7.5</v>
      </c>
      <c r="AF7" s="444">
        <v>2.1</v>
      </c>
      <c r="AG7" s="444">
        <v>4</v>
      </c>
      <c r="AH7" s="444">
        <v>9.5</v>
      </c>
      <c r="AI7" s="444">
        <v>31.1</v>
      </c>
      <c r="AJ7" s="444">
        <v>7.5</v>
      </c>
      <c r="AK7" s="444">
        <v>20.2</v>
      </c>
      <c r="AL7" s="444" t="s">
        <v>1827</v>
      </c>
      <c r="AM7" s="444">
        <v>178.6</v>
      </c>
      <c r="AN7" s="444">
        <v>65.8</v>
      </c>
      <c r="AO7" s="444">
        <v>28.7</v>
      </c>
      <c r="AP7" s="444">
        <v>1.1000000000000001</v>
      </c>
      <c r="AQ7" s="444">
        <v>0.7</v>
      </c>
      <c r="AR7" s="444">
        <v>27</v>
      </c>
      <c r="AS7" s="444">
        <v>113.1</v>
      </c>
      <c r="AT7" s="444">
        <v>6.3</v>
      </c>
      <c r="AU7" s="444">
        <v>4.5999999999999996</v>
      </c>
      <c r="AV7" s="444">
        <v>19.3</v>
      </c>
      <c r="AW7" s="444">
        <v>30.8</v>
      </c>
      <c r="AX7" s="444">
        <v>7.9</v>
      </c>
      <c r="AY7" s="444">
        <v>37.1</v>
      </c>
      <c r="AZ7" s="444" t="s">
        <v>1827</v>
      </c>
      <c r="BA7" s="444" t="s">
        <v>1827</v>
      </c>
      <c r="BB7" s="444">
        <v>7.2</v>
      </c>
      <c r="BC7" s="444">
        <v>13.9</v>
      </c>
      <c r="BD7" s="444">
        <v>3</v>
      </c>
      <c r="BE7" s="444">
        <v>1.2</v>
      </c>
      <c r="BF7" s="444">
        <v>3.4</v>
      </c>
      <c r="BG7" s="444">
        <v>6.3</v>
      </c>
      <c r="BH7" s="444">
        <v>79.400000000000006</v>
      </c>
      <c r="BI7" s="444">
        <v>18.2</v>
      </c>
      <c r="BJ7" s="444" t="s">
        <v>1827</v>
      </c>
      <c r="BK7" s="444">
        <v>10.8</v>
      </c>
      <c r="BL7" s="444">
        <v>44</v>
      </c>
      <c r="BM7" s="444">
        <v>1.7</v>
      </c>
      <c r="BN7" s="444">
        <v>4.7</v>
      </c>
      <c r="BO7" s="444">
        <v>45.6</v>
      </c>
      <c r="BP7" s="444">
        <v>31.8</v>
      </c>
      <c r="BQ7" s="444">
        <v>12.5</v>
      </c>
      <c r="BR7" s="444">
        <v>1.2</v>
      </c>
      <c r="BS7" s="444">
        <v>0.2</v>
      </c>
      <c r="BT7" s="444" t="s">
        <v>1827</v>
      </c>
      <c r="BU7" s="444">
        <v>-77.099999999999994</v>
      </c>
      <c r="BV7" s="444" t="s">
        <v>1827</v>
      </c>
      <c r="BW7" s="444" t="s">
        <v>1827</v>
      </c>
      <c r="BX7" s="444">
        <v>-0.5</v>
      </c>
      <c r="BY7" s="444" t="s">
        <v>1827</v>
      </c>
      <c r="BZ7" s="444">
        <v>-13</v>
      </c>
      <c r="CA7" s="444" t="s">
        <v>1827</v>
      </c>
      <c r="CB7" s="444">
        <v>-1.9</v>
      </c>
      <c r="CC7" s="444" t="s">
        <v>1827</v>
      </c>
      <c r="CD7" s="444">
        <v>-61.5</v>
      </c>
    </row>
    <row r="8" spans="1:82" ht="15.75" customHeight="1">
      <c r="A8" s="447" t="s">
        <v>2080</v>
      </c>
      <c r="B8" s="442"/>
      <c r="C8" s="450">
        <f t="shared" si="0"/>
        <v>3.5594358629952985E-2</v>
      </c>
      <c r="D8" s="445"/>
      <c r="E8" s="445">
        <v>1191.2</v>
      </c>
      <c r="F8" s="445">
        <v>42.4</v>
      </c>
      <c r="G8" s="445">
        <v>72.5</v>
      </c>
      <c r="H8" s="445">
        <v>50</v>
      </c>
      <c r="I8" s="445">
        <v>210.6</v>
      </c>
      <c r="J8" s="445">
        <v>22.7</v>
      </c>
      <c r="K8" s="445">
        <v>25.7</v>
      </c>
      <c r="L8" s="445">
        <v>95.3</v>
      </c>
      <c r="M8" s="445">
        <v>10.8</v>
      </c>
      <c r="N8" s="445">
        <v>56.2</v>
      </c>
      <c r="O8" s="445">
        <v>25.8</v>
      </c>
      <c r="P8" s="445">
        <v>15.9</v>
      </c>
      <c r="Q8" s="445">
        <v>9.9</v>
      </c>
      <c r="R8" s="445" t="s">
        <v>1827</v>
      </c>
      <c r="S8" s="445">
        <v>32.1</v>
      </c>
      <c r="T8" s="445">
        <v>23.4</v>
      </c>
      <c r="U8" s="445">
        <v>8.6999999999999993</v>
      </c>
      <c r="V8" s="445">
        <v>341.3</v>
      </c>
      <c r="W8" s="445">
        <v>158.69999999999999</v>
      </c>
      <c r="X8" s="445">
        <v>65.7</v>
      </c>
      <c r="Y8" s="445">
        <v>37.700000000000003</v>
      </c>
      <c r="Z8" s="445">
        <v>33.9</v>
      </c>
      <c r="AA8" s="445">
        <v>3</v>
      </c>
      <c r="AB8" s="445">
        <v>43.2</v>
      </c>
      <c r="AC8" s="445">
        <v>11.4</v>
      </c>
      <c r="AD8" s="445">
        <v>2.5</v>
      </c>
      <c r="AE8" s="445">
        <v>6.2</v>
      </c>
      <c r="AF8" s="445">
        <v>2.2999999999999998</v>
      </c>
      <c r="AG8" s="445">
        <v>4.7</v>
      </c>
      <c r="AH8" s="445">
        <v>16.2</v>
      </c>
      <c r="AI8" s="445">
        <v>33.799999999999997</v>
      </c>
      <c r="AJ8" s="445">
        <v>8.6999999999999993</v>
      </c>
      <c r="AK8" s="445">
        <v>24.3</v>
      </c>
      <c r="AL8" s="445" t="s">
        <v>1827</v>
      </c>
      <c r="AM8" s="445">
        <v>182.7</v>
      </c>
      <c r="AN8" s="445">
        <v>60.1</v>
      </c>
      <c r="AO8" s="445">
        <v>34.1</v>
      </c>
      <c r="AP8" s="445">
        <v>1</v>
      </c>
      <c r="AQ8" s="445">
        <v>1.6</v>
      </c>
      <c r="AR8" s="445">
        <v>31.6</v>
      </c>
      <c r="AS8" s="445">
        <v>105.1</v>
      </c>
      <c r="AT8" s="445">
        <v>7.2</v>
      </c>
      <c r="AU8" s="445">
        <v>8.1</v>
      </c>
      <c r="AV8" s="445">
        <v>20.8</v>
      </c>
      <c r="AW8" s="445">
        <v>39.700000000000003</v>
      </c>
      <c r="AX8" s="445">
        <v>8.6</v>
      </c>
      <c r="AY8" s="445">
        <v>17.899999999999999</v>
      </c>
      <c r="AZ8" s="445" t="s">
        <v>1827</v>
      </c>
      <c r="BA8" s="445" t="s">
        <v>1827</v>
      </c>
      <c r="BB8" s="445">
        <v>2.8</v>
      </c>
      <c r="BC8" s="445">
        <v>16.8</v>
      </c>
      <c r="BD8" s="445">
        <v>5.2</v>
      </c>
      <c r="BE8" s="445">
        <v>3.6</v>
      </c>
      <c r="BF8" s="445">
        <v>6.9</v>
      </c>
      <c r="BG8" s="445">
        <v>1.2</v>
      </c>
      <c r="BH8" s="445">
        <v>99.2</v>
      </c>
      <c r="BI8" s="445">
        <v>24.1</v>
      </c>
      <c r="BJ8" s="445" t="s">
        <v>1827</v>
      </c>
      <c r="BK8" s="445">
        <v>15.6</v>
      </c>
      <c r="BL8" s="445">
        <v>52.3</v>
      </c>
      <c r="BM8" s="445">
        <v>2.8</v>
      </c>
      <c r="BN8" s="445">
        <v>4.5</v>
      </c>
      <c r="BO8" s="445">
        <v>98.9</v>
      </c>
      <c r="BP8" s="445">
        <v>70.099999999999994</v>
      </c>
      <c r="BQ8" s="445">
        <v>24.1</v>
      </c>
      <c r="BR8" s="445">
        <v>4.5999999999999996</v>
      </c>
      <c r="BS8" s="445">
        <v>0.1</v>
      </c>
      <c r="BT8" s="445" t="s">
        <v>1827</v>
      </c>
      <c r="BU8" s="445">
        <v>-32.5</v>
      </c>
      <c r="BV8" s="445" t="s">
        <v>1827</v>
      </c>
      <c r="BW8" s="445" t="s">
        <v>1827</v>
      </c>
      <c r="BX8" s="445">
        <v>-0.3</v>
      </c>
      <c r="BY8" s="445" t="s">
        <v>1827</v>
      </c>
      <c r="BZ8" s="445">
        <v>-15</v>
      </c>
      <c r="CA8" s="445" t="s">
        <v>1827</v>
      </c>
      <c r="CB8" s="445">
        <v>-3.5</v>
      </c>
      <c r="CC8" s="445" t="s">
        <v>1827</v>
      </c>
      <c r="CD8" s="445">
        <v>-12.9</v>
      </c>
    </row>
    <row r="9" spans="1:82" ht="15.75" customHeight="1">
      <c r="A9" s="447" t="s">
        <v>2081</v>
      </c>
      <c r="B9" s="442"/>
      <c r="C9" s="450">
        <f t="shared" si="0"/>
        <v>3.3933933933933937E-2</v>
      </c>
      <c r="D9" s="444"/>
      <c r="E9" s="444">
        <v>1332</v>
      </c>
      <c r="F9" s="444">
        <v>45.2</v>
      </c>
      <c r="G9" s="444">
        <v>75.7</v>
      </c>
      <c r="H9" s="444">
        <v>52.3</v>
      </c>
      <c r="I9" s="444">
        <v>233.5</v>
      </c>
      <c r="J9" s="444">
        <v>22.5</v>
      </c>
      <c r="K9" s="444">
        <v>27.3</v>
      </c>
      <c r="L9" s="444">
        <v>108.8</v>
      </c>
      <c r="M9" s="444">
        <v>12.4</v>
      </c>
      <c r="N9" s="444">
        <v>62.6</v>
      </c>
      <c r="O9" s="444">
        <v>33.799999999999997</v>
      </c>
      <c r="P9" s="444">
        <v>22</v>
      </c>
      <c r="Q9" s="444">
        <v>11.8</v>
      </c>
      <c r="R9" s="444" t="s">
        <v>1827</v>
      </c>
      <c r="S9" s="444">
        <v>38.1</v>
      </c>
      <c r="T9" s="444">
        <v>28.5</v>
      </c>
      <c r="U9" s="444">
        <v>9.6999999999999993</v>
      </c>
      <c r="V9" s="444">
        <v>350.2</v>
      </c>
      <c r="W9" s="444">
        <v>145.9</v>
      </c>
      <c r="X9" s="444">
        <v>99.3</v>
      </c>
      <c r="Y9" s="444">
        <v>19.3</v>
      </c>
      <c r="Z9" s="444">
        <v>38.200000000000003</v>
      </c>
      <c r="AA9" s="444">
        <v>2.4</v>
      </c>
      <c r="AB9" s="444">
        <v>43.4</v>
      </c>
      <c r="AC9" s="444">
        <v>9.6999999999999993</v>
      </c>
      <c r="AD9" s="444">
        <v>4.5999999999999996</v>
      </c>
      <c r="AE9" s="444">
        <v>7.6</v>
      </c>
      <c r="AF9" s="444">
        <v>3.9</v>
      </c>
      <c r="AG9" s="444">
        <v>7.1</v>
      </c>
      <c r="AH9" s="444">
        <v>10.5</v>
      </c>
      <c r="AI9" s="444">
        <v>30</v>
      </c>
      <c r="AJ9" s="444">
        <v>10.7</v>
      </c>
      <c r="AK9" s="444">
        <v>19.2</v>
      </c>
      <c r="AL9" s="444" t="s">
        <v>1827</v>
      </c>
      <c r="AM9" s="444">
        <v>207.8</v>
      </c>
      <c r="AN9" s="444">
        <v>79.7</v>
      </c>
      <c r="AO9" s="444">
        <v>39.9</v>
      </c>
      <c r="AP9" s="444">
        <v>2.8</v>
      </c>
      <c r="AQ9" s="444">
        <v>1.7</v>
      </c>
      <c r="AR9" s="444">
        <v>35.4</v>
      </c>
      <c r="AS9" s="444">
        <v>115.3</v>
      </c>
      <c r="AT9" s="444">
        <v>12.1</v>
      </c>
      <c r="AU9" s="444">
        <v>7.2</v>
      </c>
      <c r="AV9" s="444">
        <v>28.8</v>
      </c>
      <c r="AW9" s="444">
        <v>40.799999999999997</v>
      </c>
      <c r="AX9" s="444">
        <v>6</v>
      </c>
      <c r="AY9" s="444">
        <v>17.399999999999999</v>
      </c>
      <c r="AZ9" s="444" t="s">
        <v>1827</v>
      </c>
      <c r="BA9" s="444" t="s">
        <v>1827</v>
      </c>
      <c r="BB9" s="444" t="s">
        <v>1827</v>
      </c>
      <c r="BC9" s="444">
        <v>15.3</v>
      </c>
      <c r="BD9" s="444">
        <v>5.8</v>
      </c>
      <c r="BE9" s="444">
        <v>2.1</v>
      </c>
      <c r="BF9" s="444">
        <v>4.5</v>
      </c>
      <c r="BG9" s="444">
        <v>2.8</v>
      </c>
      <c r="BH9" s="444">
        <v>107.3</v>
      </c>
      <c r="BI9" s="444">
        <v>24.4</v>
      </c>
      <c r="BJ9" s="444" t="s">
        <v>1827</v>
      </c>
      <c r="BK9" s="444">
        <v>12.2</v>
      </c>
      <c r="BL9" s="444">
        <v>59.9</v>
      </c>
      <c r="BM9" s="444">
        <v>2.2000000000000002</v>
      </c>
      <c r="BN9" s="444">
        <v>8.6</v>
      </c>
      <c r="BO9" s="444">
        <v>148.5</v>
      </c>
      <c r="BP9" s="444">
        <v>114.7</v>
      </c>
      <c r="BQ9" s="444">
        <v>30.3</v>
      </c>
      <c r="BR9" s="444">
        <v>3.4</v>
      </c>
      <c r="BS9" s="444">
        <v>0.2</v>
      </c>
      <c r="BT9" s="444" t="s">
        <v>1827</v>
      </c>
      <c r="BU9" s="444">
        <v>-31.1</v>
      </c>
      <c r="BV9" s="444" t="s">
        <v>1827</v>
      </c>
      <c r="BW9" s="444" t="s">
        <v>1827</v>
      </c>
      <c r="BX9" s="444">
        <v>-1.1000000000000001</v>
      </c>
      <c r="BY9" s="444" t="s">
        <v>1827</v>
      </c>
      <c r="BZ9" s="444">
        <v>-11.9</v>
      </c>
      <c r="CA9" s="444" t="s">
        <v>1827</v>
      </c>
      <c r="CB9" s="444">
        <v>-5.0999999999999996</v>
      </c>
      <c r="CC9" s="444" t="s">
        <v>1827</v>
      </c>
      <c r="CD9" s="444">
        <v>-13</v>
      </c>
    </row>
    <row r="10" spans="1:82" ht="15.75" customHeight="1">
      <c r="A10" s="447" t="s">
        <v>2082</v>
      </c>
      <c r="B10" s="442"/>
      <c r="C10" s="450">
        <f t="shared" si="0"/>
        <v>3.1712035373773657E-2</v>
      </c>
      <c r="D10" s="445"/>
      <c r="E10" s="445">
        <v>1447.4</v>
      </c>
      <c r="F10" s="445">
        <v>45.9</v>
      </c>
      <c r="G10" s="445">
        <v>78</v>
      </c>
      <c r="H10" s="445">
        <v>60.2</v>
      </c>
      <c r="I10" s="445">
        <v>255.2</v>
      </c>
      <c r="J10" s="445">
        <v>24.2</v>
      </c>
      <c r="K10" s="445">
        <v>31.3</v>
      </c>
      <c r="L10" s="445">
        <v>112.8</v>
      </c>
      <c r="M10" s="445">
        <v>13.5</v>
      </c>
      <c r="N10" s="445">
        <v>73.400000000000006</v>
      </c>
      <c r="O10" s="445">
        <v>32.200000000000003</v>
      </c>
      <c r="P10" s="445">
        <v>24.1</v>
      </c>
      <c r="Q10" s="445">
        <v>8.1</v>
      </c>
      <c r="R10" s="445" t="s">
        <v>1827</v>
      </c>
      <c r="S10" s="445">
        <v>32.299999999999997</v>
      </c>
      <c r="T10" s="445">
        <v>27.6</v>
      </c>
      <c r="U10" s="445">
        <v>4.7</v>
      </c>
      <c r="V10" s="445">
        <v>346.8</v>
      </c>
      <c r="W10" s="445">
        <v>135.5</v>
      </c>
      <c r="X10" s="445">
        <v>106</v>
      </c>
      <c r="Y10" s="445">
        <v>19</v>
      </c>
      <c r="Z10" s="445">
        <v>39.1</v>
      </c>
      <c r="AA10" s="445">
        <v>1.3</v>
      </c>
      <c r="AB10" s="445">
        <v>48.9</v>
      </c>
      <c r="AC10" s="445">
        <v>13.4</v>
      </c>
      <c r="AD10" s="445">
        <v>4.5999999999999996</v>
      </c>
      <c r="AE10" s="445">
        <v>10.1</v>
      </c>
      <c r="AF10" s="445">
        <v>4.5</v>
      </c>
      <c r="AG10" s="445">
        <v>5.8</v>
      </c>
      <c r="AH10" s="445">
        <v>10.4</v>
      </c>
      <c r="AI10" s="445">
        <v>36.799999999999997</v>
      </c>
      <c r="AJ10" s="445">
        <v>14.3</v>
      </c>
      <c r="AK10" s="445">
        <v>22.4</v>
      </c>
      <c r="AL10" s="445" t="s">
        <v>1827</v>
      </c>
      <c r="AM10" s="445">
        <v>234.9</v>
      </c>
      <c r="AN10" s="445">
        <v>96.7</v>
      </c>
      <c r="AO10" s="445">
        <v>47</v>
      </c>
      <c r="AP10" s="445">
        <v>1.2</v>
      </c>
      <c r="AQ10" s="445">
        <v>6.4</v>
      </c>
      <c r="AR10" s="445">
        <v>39.4</v>
      </c>
      <c r="AS10" s="445">
        <v>143.1</v>
      </c>
      <c r="AT10" s="445">
        <v>11.2</v>
      </c>
      <c r="AU10" s="445">
        <v>4.0999999999999996</v>
      </c>
      <c r="AV10" s="445">
        <v>26</v>
      </c>
      <c r="AW10" s="445">
        <v>42.4</v>
      </c>
      <c r="AX10" s="445">
        <v>7.3</v>
      </c>
      <c r="AY10" s="445">
        <v>32.299999999999997</v>
      </c>
      <c r="AZ10" s="445" t="s">
        <v>1827</v>
      </c>
      <c r="BA10" s="445" t="s">
        <v>1827</v>
      </c>
      <c r="BB10" s="445">
        <v>19.8</v>
      </c>
      <c r="BC10" s="445">
        <v>19.600000000000001</v>
      </c>
      <c r="BD10" s="445">
        <v>9.5</v>
      </c>
      <c r="BE10" s="445">
        <v>2.5</v>
      </c>
      <c r="BF10" s="445">
        <v>6.6</v>
      </c>
      <c r="BG10" s="445">
        <v>0.9</v>
      </c>
      <c r="BH10" s="445">
        <v>119.6</v>
      </c>
      <c r="BI10" s="445">
        <v>23.2</v>
      </c>
      <c r="BJ10" s="445" t="s">
        <v>1827</v>
      </c>
      <c r="BK10" s="445">
        <v>15.1</v>
      </c>
      <c r="BL10" s="445">
        <v>73.5</v>
      </c>
      <c r="BM10" s="445">
        <v>2.8</v>
      </c>
      <c r="BN10" s="445">
        <v>5</v>
      </c>
      <c r="BO10" s="445">
        <v>159.80000000000001</v>
      </c>
      <c r="BP10" s="445">
        <v>109</v>
      </c>
      <c r="BQ10" s="445">
        <v>46</v>
      </c>
      <c r="BR10" s="445">
        <v>4.7</v>
      </c>
      <c r="BS10" s="445">
        <v>0</v>
      </c>
      <c r="BT10" s="445" t="s">
        <v>1827</v>
      </c>
      <c r="BU10" s="445">
        <v>-28.6</v>
      </c>
      <c r="BV10" s="445" t="s">
        <v>1827</v>
      </c>
      <c r="BW10" s="445" t="s">
        <v>1827</v>
      </c>
      <c r="BX10" s="445">
        <v>-0.2</v>
      </c>
      <c r="BY10" s="445" t="s">
        <v>1827</v>
      </c>
      <c r="BZ10" s="445">
        <v>-20.6</v>
      </c>
      <c r="CA10" s="445" t="s">
        <v>1827</v>
      </c>
      <c r="CB10" s="445">
        <v>-0.7</v>
      </c>
      <c r="CC10" s="445" t="s">
        <v>1827</v>
      </c>
      <c r="CD10" s="445">
        <v>-6.5</v>
      </c>
    </row>
    <row r="11" spans="1:82" ht="15.75" customHeight="1">
      <c r="A11" s="447" t="s">
        <v>2083</v>
      </c>
      <c r="B11" s="442"/>
      <c r="C11" s="450">
        <f t="shared" si="0"/>
        <v>2.9467907420663325E-2</v>
      </c>
      <c r="D11" s="444"/>
      <c r="E11" s="444">
        <v>1676.4</v>
      </c>
      <c r="F11" s="444">
        <v>49.4</v>
      </c>
      <c r="G11" s="444">
        <v>97.6</v>
      </c>
      <c r="H11" s="444">
        <v>73.900000000000006</v>
      </c>
      <c r="I11" s="444">
        <v>269.89999999999998</v>
      </c>
      <c r="J11" s="444">
        <v>25.7</v>
      </c>
      <c r="K11" s="444">
        <v>31.2</v>
      </c>
      <c r="L11" s="444">
        <v>122</v>
      </c>
      <c r="M11" s="444">
        <v>12.7</v>
      </c>
      <c r="N11" s="444">
        <v>78.3</v>
      </c>
      <c r="O11" s="444">
        <v>33.200000000000003</v>
      </c>
      <c r="P11" s="444">
        <v>22.1</v>
      </c>
      <c r="Q11" s="444">
        <v>11.1</v>
      </c>
      <c r="R11" s="444" t="s">
        <v>1827</v>
      </c>
      <c r="S11" s="444">
        <v>45.6</v>
      </c>
      <c r="T11" s="444">
        <v>39.4</v>
      </c>
      <c r="U11" s="444">
        <v>6.2</v>
      </c>
      <c r="V11" s="444">
        <v>431.5</v>
      </c>
      <c r="W11" s="444">
        <v>113.4</v>
      </c>
      <c r="X11" s="444">
        <v>189</v>
      </c>
      <c r="Y11" s="444">
        <v>33.6</v>
      </c>
      <c r="Z11" s="444">
        <v>44.9</v>
      </c>
      <c r="AA11" s="444">
        <v>1.2</v>
      </c>
      <c r="AB11" s="444">
        <v>58.5</v>
      </c>
      <c r="AC11" s="444">
        <v>15.2</v>
      </c>
      <c r="AD11" s="444">
        <v>5.7</v>
      </c>
      <c r="AE11" s="444">
        <v>13.3</v>
      </c>
      <c r="AF11" s="444">
        <v>4.4000000000000004</v>
      </c>
      <c r="AG11" s="444">
        <v>8</v>
      </c>
      <c r="AH11" s="444">
        <v>11.9</v>
      </c>
      <c r="AI11" s="444">
        <v>48</v>
      </c>
      <c r="AJ11" s="444">
        <v>17.5</v>
      </c>
      <c r="AK11" s="444">
        <v>30.4</v>
      </c>
      <c r="AL11" s="444" t="s">
        <v>1827</v>
      </c>
      <c r="AM11" s="444">
        <v>275.39999999999998</v>
      </c>
      <c r="AN11" s="444">
        <v>103.8</v>
      </c>
      <c r="AO11" s="444">
        <v>39.799999999999997</v>
      </c>
      <c r="AP11" s="444">
        <v>0.6</v>
      </c>
      <c r="AQ11" s="444">
        <v>1.7</v>
      </c>
      <c r="AR11" s="444">
        <v>37.5</v>
      </c>
      <c r="AS11" s="444">
        <v>145.4</v>
      </c>
      <c r="AT11" s="444">
        <v>16.8</v>
      </c>
      <c r="AU11" s="444">
        <v>10</v>
      </c>
      <c r="AV11" s="444">
        <v>30.3</v>
      </c>
      <c r="AW11" s="444">
        <v>48.9</v>
      </c>
      <c r="AX11" s="444">
        <v>7.6</v>
      </c>
      <c r="AY11" s="444">
        <v>26.7</v>
      </c>
      <c r="AZ11" s="444" t="s">
        <v>1827</v>
      </c>
      <c r="BA11" s="444" t="s">
        <v>1827</v>
      </c>
      <c r="BB11" s="444">
        <v>5.0999999999999996</v>
      </c>
      <c r="BC11" s="444">
        <v>28</v>
      </c>
      <c r="BD11" s="444">
        <v>10.3</v>
      </c>
      <c r="BE11" s="444">
        <v>3.9</v>
      </c>
      <c r="BF11" s="444">
        <v>7.4</v>
      </c>
      <c r="BG11" s="444">
        <v>6.4</v>
      </c>
      <c r="BH11" s="444">
        <v>139.19999999999999</v>
      </c>
      <c r="BI11" s="444">
        <v>38.299999999999997</v>
      </c>
      <c r="BJ11" s="444" t="s">
        <v>1827</v>
      </c>
      <c r="BK11" s="444">
        <v>15.2</v>
      </c>
      <c r="BL11" s="444">
        <v>76.7</v>
      </c>
      <c r="BM11" s="444">
        <v>2.8</v>
      </c>
      <c r="BN11" s="444">
        <v>6.3</v>
      </c>
      <c r="BO11" s="444">
        <v>220.8</v>
      </c>
      <c r="BP11" s="444">
        <v>149.9</v>
      </c>
      <c r="BQ11" s="444">
        <v>57.7</v>
      </c>
      <c r="BR11" s="444">
        <v>13.2</v>
      </c>
      <c r="BS11" s="444">
        <v>0.1</v>
      </c>
      <c r="BT11" s="444" t="s">
        <v>1827</v>
      </c>
      <c r="BU11" s="444">
        <v>-58.9</v>
      </c>
      <c r="BV11" s="444" t="s">
        <v>1827</v>
      </c>
      <c r="BW11" s="444" t="s">
        <v>1827</v>
      </c>
      <c r="BX11" s="444">
        <v>-0.1</v>
      </c>
      <c r="BY11" s="444" t="s">
        <v>1827</v>
      </c>
      <c r="BZ11" s="444">
        <v>-22.8</v>
      </c>
      <c r="CA11" s="444" t="s">
        <v>1827</v>
      </c>
      <c r="CB11" s="444">
        <v>-5.0999999999999996</v>
      </c>
      <c r="CC11" s="444" t="s">
        <v>1827</v>
      </c>
      <c r="CD11" s="444">
        <v>-30.5</v>
      </c>
    </row>
    <row r="12" spans="1:82" ht="15.75" customHeight="1">
      <c r="A12" s="447" t="s">
        <v>2084</v>
      </c>
      <c r="B12" s="442"/>
      <c r="C12" s="450">
        <f t="shared" si="0"/>
        <v>2.5750232535369854E-2</v>
      </c>
      <c r="D12" s="445"/>
      <c r="E12" s="445">
        <v>2042.7</v>
      </c>
      <c r="F12" s="445">
        <v>52.6</v>
      </c>
      <c r="G12" s="445">
        <v>110.6</v>
      </c>
      <c r="H12" s="445">
        <v>96.4</v>
      </c>
      <c r="I12" s="445">
        <v>348.9</v>
      </c>
      <c r="J12" s="445">
        <v>31.2</v>
      </c>
      <c r="K12" s="445">
        <v>38.799999999999997</v>
      </c>
      <c r="L12" s="445">
        <v>154.69999999999999</v>
      </c>
      <c r="M12" s="445">
        <v>16</v>
      </c>
      <c r="N12" s="445">
        <v>108.2</v>
      </c>
      <c r="O12" s="445">
        <v>43.4</v>
      </c>
      <c r="P12" s="445">
        <v>33.5</v>
      </c>
      <c r="Q12" s="445">
        <v>9.9</v>
      </c>
      <c r="R12" s="445" t="s">
        <v>1827</v>
      </c>
      <c r="S12" s="445">
        <v>56.5</v>
      </c>
      <c r="T12" s="445">
        <v>43.7</v>
      </c>
      <c r="U12" s="445">
        <v>12.8</v>
      </c>
      <c r="V12" s="445">
        <v>463.3</v>
      </c>
      <c r="W12" s="445">
        <v>127.2</v>
      </c>
      <c r="X12" s="445">
        <v>181.9</v>
      </c>
      <c r="Y12" s="445">
        <v>46</v>
      </c>
      <c r="Z12" s="445">
        <v>53.5</v>
      </c>
      <c r="AA12" s="445">
        <v>2</v>
      </c>
      <c r="AB12" s="445">
        <v>76.3</v>
      </c>
      <c r="AC12" s="445">
        <v>15.7</v>
      </c>
      <c r="AD12" s="445">
        <v>5.7</v>
      </c>
      <c r="AE12" s="445">
        <v>22.9</v>
      </c>
      <c r="AF12" s="445">
        <v>7.4</v>
      </c>
      <c r="AG12" s="445">
        <v>7.5</v>
      </c>
      <c r="AH12" s="445">
        <v>17</v>
      </c>
      <c r="AI12" s="445">
        <v>70.2</v>
      </c>
      <c r="AJ12" s="445">
        <v>20.2</v>
      </c>
      <c r="AK12" s="445">
        <v>50.1</v>
      </c>
      <c r="AL12" s="445" t="s">
        <v>1827</v>
      </c>
      <c r="AM12" s="445">
        <v>312</v>
      </c>
      <c r="AN12" s="445">
        <v>105</v>
      </c>
      <c r="AO12" s="445">
        <v>44.1</v>
      </c>
      <c r="AP12" s="445">
        <v>1.3</v>
      </c>
      <c r="AQ12" s="445">
        <v>3.1</v>
      </c>
      <c r="AR12" s="445">
        <v>39.700000000000003</v>
      </c>
      <c r="AS12" s="445">
        <v>214.4</v>
      </c>
      <c r="AT12" s="445">
        <v>14.4</v>
      </c>
      <c r="AU12" s="445">
        <v>2.2999999999999998</v>
      </c>
      <c r="AV12" s="445">
        <v>70.3</v>
      </c>
      <c r="AW12" s="445">
        <v>67.599999999999994</v>
      </c>
      <c r="AX12" s="445">
        <v>8.4</v>
      </c>
      <c r="AY12" s="445">
        <v>47.5</v>
      </c>
      <c r="AZ12" s="445" t="s">
        <v>1827</v>
      </c>
      <c r="BA12" s="445" t="s">
        <v>1827</v>
      </c>
      <c r="BB12" s="445" t="s">
        <v>1827</v>
      </c>
      <c r="BC12" s="445">
        <v>22.2</v>
      </c>
      <c r="BD12" s="445">
        <v>8.1999999999999993</v>
      </c>
      <c r="BE12" s="445">
        <v>6.4</v>
      </c>
      <c r="BF12" s="445">
        <v>6.5</v>
      </c>
      <c r="BG12" s="445">
        <v>1.1000000000000001</v>
      </c>
      <c r="BH12" s="445">
        <v>181.6</v>
      </c>
      <c r="BI12" s="445">
        <v>36.200000000000003</v>
      </c>
      <c r="BJ12" s="445" t="s">
        <v>1827</v>
      </c>
      <c r="BK12" s="445">
        <v>26.3</v>
      </c>
      <c r="BL12" s="445">
        <v>98.9</v>
      </c>
      <c r="BM12" s="445">
        <v>2.7</v>
      </c>
      <c r="BN12" s="445">
        <v>17.399999999999999</v>
      </c>
      <c r="BO12" s="445">
        <v>245</v>
      </c>
      <c r="BP12" s="445">
        <v>166.3</v>
      </c>
      <c r="BQ12" s="445">
        <v>70.5</v>
      </c>
      <c r="BR12" s="445">
        <v>8.1999999999999993</v>
      </c>
      <c r="BS12" s="445">
        <v>0</v>
      </c>
      <c r="BT12" s="445" t="s">
        <v>1827</v>
      </c>
      <c r="BU12" s="445">
        <v>-35</v>
      </c>
      <c r="BV12" s="445" t="s">
        <v>1827</v>
      </c>
      <c r="BW12" s="445" t="s">
        <v>1827</v>
      </c>
      <c r="BX12" s="445">
        <v>-0.4</v>
      </c>
      <c r="BY12" s="445" t="s">
        <v>1827</v>
      </c>
      <c r="BZ12" s="445">
        <v>-11.8</v>
      </c>
      <c r="CA12" s="445" t="s">
        <v>1827</v>
      </c>
      <c r="CB12" s="445">
        <v>-3.4</v>
      </c>
      <c r="CC12" s="445" t="s">
        <v>1827</v>
      </c>
      <c r="CD12" s="445">
        <v>-19.3</v>
      </c>
    </row>
    <row r="13" spans="1:82" ht="15.75" customHeight="1">
      <c r="A13" s="447" t="s">
        <v>2085</v>
      </c>
      <c r="B13" s="442"/>
      <c r="C13" s="450">
        <f t="shared" si="0"/>
        <v>2.4415887850467291E-2</v>
      </c>
      <c r="D13" s="444"/>
      <c r="E13" s="444">
        <v>2568</v>
      </c>
      <c r="F13" s="444">
        <v>62.7</v>
      </c>
      <c r="G13" s="444">
        <v>116.7</v>
      </c>
      <c r="H13" s="444">
        <v>171.1</v>
      </c>
      <c r="I13" s="444">
        <v>417.8</v>
      </c>
      <c r="J13" s="444">
        <v>37.200000000000003</v>
      </c>
      <c r="K13" s="444">
        <v>40.700000000000003</v>
      </c>
      <c r="L13" s="444">
        <v>174.3</v>
      </c>
      <c r="M13" s="444">
        <v>18.5</v>
      </c>
      <c r="N13" s="444">
        <v>147.1</v>
      </c>
      <c r="O13" s="444">
        <v>55.7</v>
      </c>
      <c r="P13" s="444">
        <v>45.4</v>
      </c>
      <c r="Q13" s="444">
        <v>10</v>
      </c>
      <c r="R13" s="444" t="s">
        <v>1827</v>
      </c>
      <c r="S13" s="444">
        <v>88.9</v>
      </c>
      <c r="T13" s="444">
        <v>67.599999999999994</v>
      </c>
      <c r="U13" s="444">
        <v>21.3</v>
      </c>
      <c r="V13" s="444">
        <v>563.5</v>
      </c>
      <c r="W13" s="444">
        <v>110</v>
      </c>
      <c r="X13" s="444">
        <v>252.6</v>
      </c>
      <c r="Y13" s="444">
        <v>69.3</v>
      </c>
      <c r="Z13" s="444">
        <v>66.3</v>
      </c>
      <c r="AA13" s="444">
        <v>2.7</v>
      </c>
      <c r="AB13" s="444">
        <v>102.3</v>
      </c>
      <c r="AC13" s="444">
        <v>26.3</v>
      </c>
      <c r="AD13" s="444">
        <v>13.1</v>
      </c>
      <c r="AE13" s="444">
        <v>14.9</v>
      </c>
      <c r="AF13" s="444">
        <v>9.9</v>
      </c>
      <c r="AG13" s="444">
        <v>11.9</v>
      </c>
      <c r="AH13" s="444">
        <v>26.2</v>
      </c>
      <c r="AI13" s="444">
        <v>83.1</v>
      </c>
      <c r="AJ13" s="444">
        <v>35.299999999999997</v>
      </c>
      <c r="AK13" s="444">
        <v>47.9</v>
      </c>
      <c r="AL13" s="444" t="s">
        <v>1827</v>
      </c>
      <c r="AM13" s="444">
        <v>430.2</v>
      </c>
      <c r="AN13" s="444">
        <v>142.4</v>
      </c>
      <c r="AO13" s="444">
        <v>70.8</v>
      </c>
      <c r="AP13" s="444">
        <v>1.7</v>
      </c>
      <c r="AQ13" s="444">
        <v>22.5</v>
      </c>
      <c r="AR13" s="444">
        <v>46.5</v>
      </c>
      <c r="AS13" s="444">
        <v>265.60000000000002</v>
      </c>
      <c r="AT13" s="444">
        <v>16</v>
      </c>
      <c r="AU13" s="444">
        <v>9.5</v>
      </c>
      <c r="AV13" s="444">
        <v>48</v>
      </c>
      <c r="AW13" s="444">
        <v>86.1</v>
      </c>
      <c r="AX13" s="444">
        <v>13.3</v>
      </c>
      <c r="AY13" s="444">
        <v>75</v>
      </c>
      <c r="AZ13" s="444" t="s">
        <v>1827</v>
      </c>
      <c r="BA13" s="444" t="s">
        <v>1827</v>
      </c>
      <c r="BB13" s="444">
        <v>17.8</v>
      </c>
      <c r="BC13" s="444">
        <v>49.7</v>
      </c>
      <c r="BD13" s="444">
        <v>20.3</v>
      </c>
      <c r="BE13" s="444">
        <v>18.399999999999999</v>
      </c>
      <c r="BF13" s="444">
        <v>8.1</v>
      </c>
      <c r="BG13" s="444">
        <v>2.9</v>
      </c>
      <c r="BH13" s="444">
        <v>228</v>
      </c>
      <c r="BI13" s="444">
        <v>50.3</v>
      </c>
      <c r="BJ13" s="444" t="s">
        <v>1827</v>
      </c>
      <c r="BK13" s="444">
        <v>29.1</v>
      </c>
      <c r="BL13" s="444">
        <v>130.5</v>
      </c>
      <c r="BM13" s="444">
        <v>3.1</v>
      </c>
      <c r="BN13" s="444">
        <v>15</v>
      </c>
      <c r="BO13" s="444">
        <v>305.89999999999998</v>
      </c>
      <c r="BP13" s="444">
        <v>185.9</v>
      </c>
      <c r="BQ13" s="444">
        <v>108.5</v>
      </c>
      <c r="BR13" s="444">
        <v>11.4</v>
      </c>
      <c r="BS13" s="444" t="s">
        <v>1827</v>
      </c>
      <c r="BT13" s="444" t="s">
        <v>1827</v>
      </c>
      <c r="BU13" s="444">
        <v>-93.6</v>
      </c>
      <c r="BV13" s="444">
        <v>-1.1000000000000001</v>
      </c>
      <c r="BW13" s="444" t="s">
        <v>1827</v>
      </c>
      <c r="BX13" s="444">
        <v>-0.7</v>
      </c>
      <c r="BY13" s="444" t="s">
        <v>1827</v>
      </c>
      <c r="BZ13" s="444">
        <v>-41.7</v>
      </c>
      <c r="CA13" s="444" t="s">
        <v>1827</v>
      </c>
      <c r="CB13" s="444">
        <v>-4.9000000000000004</v>
      </c>
      <c r="CC13" s="444" t="s">
        <v>1827</v>
      </c>
      <c r="CD13" s="444">
        <v>-45.2</v>
      </c>
    </row>
    <row r="15" spans="1:82" ht="15.75" customHeight="1">
      <c r="A15" s="443" t="s">
        <v>2086</v>
      </c>
      <c r="B15" s="442"/>
      <c r="C15" s="450">
        <f>F15/E15</f>
        <v>3.3068881144806113E-2</v>
      </c>
      <c r="D15" s="444"/>
      <c r="E15" s="444">
        <v>1348.7</v>
      </c>
      <c r="F15" s="451">
        <v>44.6</v>
      </c>
      <c r="G15" s="444">
        <v>74.599999999999994</v>
      </c>
      <c r="H15" s="444">
        <v>63.9</v>
      </c>
      <c r="I15" s="444">
        <v>233.6</v>
      </c>
      <c r="J15" s="444">
        <v>23.5</v>
      </c>
      <c r="K15" s="444">
        <v>28.1</v>
      </c>
      <c r="L15" s="444">
        <v>102.8</v>
      </c>
      <c r="M15" s="444">
        <v>11.5</v>
      </c>
      <c r="N15" s="444">
        <v>67.7</v>
      </c>
      <c r="O15" s="444">
        <v>29.4</v>
      </c>
      <c r="P15" s="444">
        <v>20.5</v>
      </c>
      <c r="Q15" s="444">
        <v>8.8000000000000007</v>
      </c>
      <c r="R15" s="444" t="s">
        <v>1827</v>
      </c>
      <c r="S15" s="444">
        <v>36.700000000000003</v>
      </c>
      <c r="T15" s="444">
        <v>29</v>
      </c>
      <c r="U15" s="444">
        <v>7.7</v>
      </c>
      <c r="V15" s="444">
        <v>344.2</v>
      </c>
      <c r="W15" s="444">
        <v>123.4</v>
      </c>
      <c r="X15" s="444">
        <v>104.2</v>
      </c>
      <c r="Y15" s="444">
        <v>28.6</v>
      </c>
      <c r="Z15" s="444">
        <v>39.700000000000003</v>
      </c>
      <c r="AA15" s="444">
        <v>3.7</v>
      </c>
      <c r="AB15" s="444">
        <v>51.3</v>
      </c>
      <c r="AC15" s="444">
        <v>13.6</v>
      </c>
      <c r="AD15" s="444">
        <v>4.8</v>
      </c>
      <c r="AE15" s="444">
        <v>10.199999999999999</v>
      </c>
      <c r="AF15" s="444">
        <v>4.0999999999999996</v>
      </c>
      <c r="AG15" s="444">
        <v>5.7</v>
      </c>
      <c r="AH15" s="444">
        <v>12.8</v>
      </c>
      <c r="AI15" s="444">
        <v>41.9</v>
      </c>
      <c r="AJ15" s="444">
        <v>13.9</v>
      </c>
      <c r="AK15" s="444">
        <v>27</v>
      </c>
      <c r="AL15" s="444">
        <v>1</v>
      </c>
      <c r="AM15" s="444">
        <v>215.8</v>
      </c>
      <c r="AN15" s="444">
        <v>77.3</v>
      </c>
      <c r="AO15" s="444">
        <v>39</v>
      </c>
      <c r="AP15" s="444">
        <v>1.2</v>
      </c>
      <c r="AQ15" s="444">
        <v>5</v>
      </c>
      <c r="AR15" s="444">
        <v>32.700000000000003</v>
      </c>
      <c r="AS15" s="444">
        <v>130</v>
      </c>
      <c r="AT15" s="444">
        <v>9.8000000000000007</v>
      </c>
      <c r="AU15" s="444">
        <v>4.9000000000000004</v>
      </c>
      <c r="AV15" s="444">
        <v>28.5</v>
      </c>
      <c r="AW15" s="444">
        <v>41.7</v>
      </c>
      <c r="AX15" s="444">
        <v>7.5</v>
      </c>
      <c r="AY15" s="444">
        <v>30</v>
      </c>
      <c r="AZ15" s="444" t="s">
        <v>1827</v>
      </c>
      <c r="BA15" s="444" t="s">
        <v>1827</v>
      </c>
      <c r="BB15" s="444">
        <v>7.6</v>
      </c>
      <c r="BC15" s="444">
        <v>19.5</v>
      </c>
      <c r="BD15" s="444">
        <v>6.6</v>
      </c>
      <c r="BE15" s="444">
        <v>4.2</v>
      </c>
      <c r="BF15" s="444">
        <v>6.4</v>
      </c>
      <c r="BG15" s="444">
        <v>2.2999999999999998</v>
      </c>
      <c r="BH15" s="444">
        <v>114.2</v>
      </c>
      <c r="BI15" s="444">
        <v>25.1</v>
      </c>
      <c r="BJ15" s="444" t="s">
        <v>1827</v>
      </c>
      <c r="BK15" s="444">
        <v>14.8</v>
      </c>
      <c r="BL15" s="444">
        <v>65.3</v>
      </c>
      <c r="BM15" s="444">
        <v>2.2000000000000002</v>
      </c>
      <c r="BN15" s="444">
        <v>6.8</v>
      </c>
      <c r="BO15" s="444">
        <v>133.6</v>
      </c>
      <c r="BP15" s="444">
        <v>91.5</v>
      </c>
      <c r="BQ15" s="444">
        <v>36.9</v>
      </c>
      <c r="BR15" s="444">
        <v>5.2</v>
      </c>
      <c r="BS15" s="444">
        <v>0.1</v>
      </c>
      <c r="BT15" s="444" t="s">
        <v>1827</v>
      </c>
      <c r="BU15" s="444">
        <v>-40.4</v>
      </c>
      <c r="BV15" s="444">
        <v>-0.3</v>
      </c>
      <c r="BW15" s="444" t="s">
        <v>1827</v>
      </c>
      <c r="BX15" s="444">
        <v>-0.4</v>
      </c>
      <c r="BY15" s="444" t="s">
        <v>1827</v>
      </c>
      <c r="BZ15" s="444">
        <v>-15.2</v>
      </c>
      <c r="CA15" s="444">
        <v>0</v>
      </c>
      <c r="CB15" s="444">
        <v>-3.5</v>
      </c>
      <c r="CC15" s="444" t="s">
        <v>1827</v>
      </c>
      <c r="CD15" s="444">
        <v>-21</v>
      </c>
    </row>
  </sheetData>
  <mergeCells count="1">
    <mergeCell ref="A2:B2"/>
  </mergeCells>
  <conditionalFormatting sqref="C4:C13">
    <cfRule type="colorScale" priority="1">
      <colorScale>
        <cfvo type="min"/>
        <cfvo type="max"/>
        <color rgb="FF57BB8A"/>
        <color rgb="FFFF0000"/>
      </colorScale>
    </cfRule>
  </conditionalFormatting>
  <hyperlinks>
    <hyperlink ref="A2" r:id="rId1" xr:uid="{00000000-0004-0000-1400-000000000000}"/>
    <hyperlink ref="E2" r:id="rId2" xr:uid="{00000000-0004-0000-1400-000001000000}"/>
    <hyperlink ref="A3" r:id="rId3" xr:uid="{00000000-0004-0000-1400-000002000000}"/>
    <hyperlink ref="A4" r:id="rId4" xr:uid="{00000000-0004-0000-1400-000003000000}"/>
    <hyperlink ref="A5" r:id="rId5" xr:uid="{00000000-0004-0000-1400-000004000000}"/>
    <hyperlink ref="A6" r:id="rId6" xr:uid="{00000000-0004-0000-1400-000005000000}"/>
    <hyperlink ref="A7" r:id="rId7" xr:uid="{00000000-0004-0000-1400-000006000000}"/>
    <hyperlink ref="A8" r:id="rId8" xr:uid="{00000000-0004-0000-1400-000007000000}"/>
    <hyperlink ref="A9" r:id="rId9" xr:uid="{00000000-0004-0000-1400-000008000000}"/>
    <hyperlink ref="A10" r:id="rId10" xr:uid="{00000000-0004-0000-1400-000009000000}"/>
    <hyperlink ref="A11" r:id="rId11" xr:uid="{00000000-0004-0000-1400-00000A000000}"/>
    <hyperlink ref="A12" r:id="rId12" xr:uid="{00000000-0004-0000-1400-00000B000000}"/>
    <hyperlink ref="A13" r:id="rId13" xr:uid="{00000000-0004-0000-1400-00000C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1F497D"/>
  </sheetPr>
  <dimension ref="A1:GS50"/>
  <sheetViews>
    <sheetView workbookViewId="0">
      <pane xSplit="1" ySplit="9" topLeftCell="B10" activePane="bottomRight" state="frozen"/>
      <selection pane="bottomRight" activeCell="B10" sqref="B10"/>
      <selection pane="bottomLeft" activeCell="A10" sqref="A10"/>
      <selection pane="topRight" activeCell="B1" sqref="B1"/>
    </sheetView>
  </sheetViews>
  <sheetFormatPr defaultColWidth="12.5703125" defaultRowHeight="15.75" customHeight="1" outlineLevelRow="1"/>
  <cols>
    <col min="1" max="1" width="73.28515625" customWidth="1"/>
    <col min="2" max="200" width="9.7109375" customWidth="1"/>
    <col min="201" max="201" width="22.85546875" customWidth="1"/>
    <col min="202" max="207" width="9.7109375" customWidth="1"/>
  </cols>
  <sheetData>
    <row r="1" spans="1:201" ht="14.25" customHeight="1">
      <c r="A1" s="527" t="s">
        <v>1594</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c r="CY1" s="529"/>
      <c r="CZ1" s="529"/>
      <c r="DA1" s="529"/>
      <c r="DB1" s="529"/>
      <c r="DC1" s="529"/>
      <c r="DD1" s="529"/>
      <c r="DE1" s="529"/>
      <c r="DF1" s="529"/>
      <c r="DG1" s="529"/>
      <c r="DH1" s="529"/>
      <c r="DI1" s="529"/>
      <c r="DJ1" s="529"/>
      <c r="DK1" s="529"/>
      <c r="DL1" s="529"/>
      <c r="DM1" s="529"/>
      <c r="DN1" s="529"/>
      <c r="DO1" s="529"/>
      <c r="DP1" s="529"/>
      <c r="DQ1" s="529"/>
      <c r="DR1" s="529"/>
      <c r="DS1" s="529"/>
      <c r="DT1" s="529"/>
      <c r="DU1" s="529"/>
      <c r="DV1" s="529"/>
      <c r="DW1" s="529"/>
      <c r="DX1" s="529"/>
      <c r="DY1" s="529"/>
      <c r="DZ1" s="529"/>
      <c r="EA1" s="529"/>
      <c r="EB1" s="529"/>
      <c r="EC1" s="529"/>
      <c r="ED1" s="529"/>
      <c r="EE1" s="529"/>
      <c r="EF1" s="529"/>
      <c r="EG1" s="529"/>
      <c r="EH1" s="529"/>
      <c r="EI1" s="529"/>
      <c r="EJ1" s="529"/>
      <c r="EK1" s="529"/>
      <c r="EL1" s="529"/>
      <c r="EM1" s="529"/>
      <c r="EN1" s="529"/>
      <c r="EO1" s="529"/>
      <c r="EP1" s="529"/>
      <c r="EQ1" s="529"/>
      <c r="ER1" s="529"/>
      <c r="ES1" s="529"/>
      <c r="ET1" s="529"/>
      <c r="EU1" s="529"/>
      <c r="EV1" s="529"/>
      <c r="EW1" s="529"/>
      <c r="EX1" s="529"/>
      <c r="EY1" s="529"/>
      <c r="EZ1" s="529"/>
      <c r="FA1" s="529"/>
      <c r="FB1" s="529"/>
      <c r="FC1" s="529"/>
      <c r="FD1" s="529"/>
      <c r="FE1" s="529"/>
      <c r="FF1" s="529"/>
      <c r="FG1" s="529"/>
      <c r="FH1" s="529"/>
      <c r="FI1" s="529"/>
      <c r="FJ1" s="530"/>
      <c r="FK1" s="529"/>
      <c r="FL1" s="529"/>
      <c r="FM1" s="529"/>
      <c r="FN1" s="529"/>
      <c r="FO1" s="529"/>
      <c r="FP1" s="529"/>
      <c r="FQ1" s="529"/>
      <c r="FR1" s="529"/>
      <c r="FS1" s="529"/>
      <c r="FT1" s="529"/>
      <c r="FU1" s="529"/>
      <c r="FV1" s="529"/>
      <c r="FW1" s="529"/>
      <c r="FX1" s="529"/>
      <c r="FY1" s="529"/>
      <c r="FZ1" s="529"/>
      <c r="GA1" s="529"/>
      <c r="GB1" s="529"/>
      <c r="GC1" s="529"/>
      <c r="GD1" s="529"/>
      <c r="GE1" s="529"/>
      <c r="GF1" s="529"/>
      <c r="GG1" s="529"/>
      <c r="GH1" s="529"/>
      <c r="GI1" s="529"/>
      <c r="GJ1" s="529"/>
      <c r="GK1" s="529"/>
      <c r="GL1" s="529"/>
      <c r="GM1" s="529"/>
      <c r="GN1" s="529"/>
      <c r="GO1" s="529"/>
      <c r="GP1" s="529"/>
      <c r="GQ1" s="529"/>
      <c r="GR1" s="529"/>
      <c r="GS1" s="529"/>
    </row>
    <row r="2" spans="1:201" ht="14.25" customHeight="1">
      <c r="A2" s="531"/>
      <c r="B2" s="532"/>
      <c r="C2" s="532"/>
      <c r="D2" s="532"/>
      <c r="E2" s="532"/>
      <c r="F2" s="532"/>
      <c r="G2" s="532"/>
      <c r="H2" s="532"/>
      <c r="I2" s="532"/>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29"/>
      <c r="BO2" s="529"/>
      <c r="BP2" s="529"/>
      <c r="BQ2" s="529"/>
      <c r="BR2" s="529"/>
      <c r="BS2" s="529"/>
      <c r="BT2" s="529"/>
      <c r="BU2" s="529"/>
      <c r="BV2" s="529"/>
      <c r="BW2" s="529"/>
      <c r="BX2" s="529"/>
      <c r="BY2" s="529"/>
      <c r="BZ2" s="529"/>
      <c r="CA2" s="529"/>
      <c r="CB2" s="529"/>
      <c r="CC2" s="529"/>
      <c r="CD2" s="529"/>
      <c r="CE2" s="529"/>
      <c r="CF2" s="529"/>
      <c r="CG2" s="529"/>
      <c r="CH2" s="529"/>
      <c r="CI2" s="529"/>
      <c r="CJ2" s="529"/>
      <c r="CK2" s="529"/>
      <c r="CL2" s="529"/>
      <c r="CM2" s="529"/>
      <c r="CN2" s="529"/>
      <c r="CO2" s="529"/>
      <c r="CP2" s="529"/>
      <c r="CQ2" s="529"/>
      <c r="CR2" s="529"/>
      <c r="CS2" s="529"/>
      <c r="CT2" s="529"/>
      <c r="CU2" s="529"/>
      <c r="CV2" s="529"/>
      <c r="CW2" s="529"/>
      <c r="CX2" s="529"/>
      <c r="CY2" s="529"/>
      <c r="CZ2" s="529"/>
      <c r="DA2" s="529"/>
      <c r="DB2" s="529"/>
      <c r="DC2" s="529"/>
      <c r="DD2" s="529"/>
      <c r="DE2" s="529"/>
      <c r="DF2" s="529"/>
      <c r="DG2" s="529"/>
      <c r="DH2" s="529"/>
      <c r="DI2" s="529"/>
      <c r="DJ2" s="529"/>
      <c r="DK2" s="529"/>
      <c r="DL2" s="529"/>
      <c r="DM2" s="529"/>
      <c r="DN2" s="529"/>
      <c r="DO2" s="529"/>
      <c r="DP2" s="529"/>
      <c r="DQ2" s="529"/>
      <c r="DR2" s="529"/>
      <c r="DS2" s="529"/>
      <c r="DT2" s="529"/>
      <c r="DU2" s="529"/>
      <c r="DV2" s="529"/>
      <c r="DW2" s="529"/>
      <c r="DX2" s="529"/>
      <c r="DY2" s="529"/>
      <c r="DZ2" s="529"/>
      <c r="EA2" s="529"/>
      <c r="EB2" s="529"/>
      <c r="EC2" s="529"/>
      <c r="ED2" s="529"/>
      <c r="EE2" s="529"/>
      <c r="EF2" s="529"/>
      <c r="EG2" s="529"/>
      <c r="EH2" s="529"/>
      <c r="EI2" s="529"/>
      <c r="EJ2" s="529"/>
      <c r="EK2" s="529"/>
      <c r="EL2" s="529"/>
      <c r="EM2" s="529"/>
      <c r="EN2" s="529"/>
      <c r="EO2" s="529"/>
      <c r="EP2" s="529"/>
      <c r="EQ2" s="529"/>
      <c r="ER2" s="529"/>
      <c r="ES2" s="529"/>
      <c r="ET2" s="529"/>
      <c r="EU2" s="529"/>
      <c r="EV2" s="529"/>
      <c r="EW2" s="529"/>
      <c r="EX2" s="529"/>
      <c r="EY2" s="529"/>
      <c r="EZ2" s="529"/>
      <c r="FA2" s="529"/>
      <c r="FB2" s="529"/>
      <c r="FC2" s="529"/>
      <c r="FD2" s="529"/>
      <c r="FE2" s="529"/>
      <c r="FF2" s="529"/>
      <c r="FG2" s="529"/>
      <c r="FH2" s="529"/>
      <c r="FI2" s="529"/>
      <c r="FJ2" s="533"/>
      <c r="FK2" s="529"/>
      <c r="FL2" s="529"/>
      <c r="FM2" s="529"/>
      <c r="FN2" s="529"/>
      <c r="FO2" s="529"/>
      <c r="FP2" s="529"/>
      <c r="FQ2" s="529"/>
      <c r="FR2" s="529"/>
      <c r="FS2" s="529"/>
      <c r="FT2" s="529"/>
      <c r="FU2" s="529"/>
      <c r="FV2" s="529"/>
      <c r="FW2" s="529"/>
      <c r="FX2" s="529"/>
      <c r="FY2" s="529"/>
      <c r="FZ2" s="529"/>
      <c r="GA2" s="529"/>
      <c r="GB2" s="529"/>
      <c r="GC2" s="529"/>
      <c r="GD2" s="529"/>
      <c r="GE2" s="529"/>
      <c r="GF2" s="529"/>
      <c r="GG2" s="529"/>
      <c r="GH2" s="529"/>
      <c r="GI2" s="529"/>
      <c r="GJ2" s="529"/>
      <c r="GK2" s="529"/>
      <c r="GL2" s="529"/>
      <c r="GM2" s="529"/>
      <c r="GN2" s="529"/>
      <c r="GO2" s="529"/>
      <c r="GP2" s="529"/>
      <c r="GQ2" s="529"/>
      <c r="GR2" s="529"/>
      <c r="GS2" s="529"/>
    </row>
    <row r="3" spans="1:201" ht="14.25" customHeight="1">
      <c r="A3" s="531"/>
      <c r="B3" s="532"/>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c r="AE3" s="532"/>
      <c r="AF3" s="532"/>
      <c r="AG3" s="532"/>
      <c r="AH3" s="532"/>
      <c r="AI3" s="532"/>
      <c r="AJ3" s="532"/>
      <c r="AK3" s="532"/>
      <c r="AL3" s="532"/>
      <c r="AM3" s="532"/>
      <c r="AN3" s="532"/>
      <c r="AO3" s="532"/>
      <c r="AP3" s="532"/>
      <c r="AQ3" s="532"/>
      <c r="AR3" s="532"/>
      <c r="AS3" s="532"/>
      <c r="AT3" s="532"/>
      <c r="AU3" s="532"/>
      <c r="AV3" s="532"/>
      <c r="AW3" s="532"/>
      <c r="AX3" s="532"/>
      <c r="AY3" s="532"/>
      <c r="AZ3" s="532"/>
      <c r="BA3" s="532"/>
      <c r="BB3" s="532"/>
      <c r="BC3" s="532"/>
      <c r="BD3" s="532"/>
      <c r="BE3" s="532"/>
      <c r="BF3" s="532"/>
      <c r="BG3" s="532"/>
      <c r="BH3" s="532"/>
      <c r="BI3" s="532"/>
      <c r="BJ3" s="532"/>
      <c r="BK3" s="532"/>
      <c r="BL3" s="532"/>
      <c r="BM3" s="532"/>
      <c r="BN3" s="529"/>
      <c r="BO3" s="529"/>
      <c r="BP3" s="529"/>
      <c r="BQ3" s="529"/>
      <c r="BR3" s="529"/>
      <c r="BS3" s="529"/>
      <c r="BT3" s="529"/>
      <c r="BU3" s="529"/>
      <c r="BV3" s="529"/>
      <c r="BW3" s="529"/>
      <c r="BX3" s="529"/>
      <c r="BY3" s="529"/>
      <c r="BZ3" s="529"/>
      <c r="CA3" s="529"/>
      <c r="CB3" s="529"/>
      <c r="CC3" s="529"/>
      <c r="CD3" s="529"/>
      <c r="CE3" s="529"/>
      <c r="CF3" s="529"/>
      <c r="CG3" s="529"/>
      <c r="CH3" s="529"/>
      <c r="CI3" s="529"/>
      <c r="CJ3" s="529"/>
      <c r="CK3" s="529"/>
      <c r="CL3" s="529"/>
      <c r="CM3" s="529"/>
      <c r="CN3" s="529"/>
      <c r="CO3" s="529"/>
      <c r="CP3" s="529"/>
      <c r="CQ3" s="529"/>
      <c r="CR3" s="529"/>
      <c r="CS3" s="529"/>
      <c r="CT3" s="529"/>
      <c r="CU3" s="529"/>
      <c r="CV3" s="529"/>
      <c r="CW3" s="529"/>
      <c r="CX3" s="529"/>
      <c r="CY3" s="529"/>
      <c r="CZ3" s="529"/>
      <c r="DA3" s="529"/>
      <c r="DB3" s="529"/>
      <c r="DC3" s="529"/>
      <c r="DD3" s="529"/>
      <c r="DE3" s="529"/>
      <c r="DF3" s="529"/>
      <c r="DG3" s="529"/>
      <c r="DH3" s="529"/>
      <c r="DI3" s="529"/>
      <c r="DJ3" s="529"/>
      <c r="DK3" s="529"/>
      <c r="DL3" s="529"/>
      <c r="DM3" s="529"/>
      <c r="DN3" s="529"/>
      <c r="DO3" s="529"/>
      <c r="DP3" s="529"/>
      <c r="DQ3" s="529"/>
      <c r="DR3" s="529"/>
      <c r="DS3" s="529"/>
      <c r="DT3" s="529"/>
      <c r="DU3" s="529"/>
      <c r="DV3" s="529"/>
      <c r="DW3" s="529"/>
      <c r="DX3" s="529"/>
      <c r="DY3" s="529"/>
      <c r="DZ3" s="529"/>
      <c r="EA3" s="529"/>
      <c r="EB3" s="529"/>
      <c r="EC3" s="529"/>
      <c r="ED3" s="529"/>
      <c r="EE3" s="529"/>
      <c r="EF3" s="529"/>
      <c r="EG3" s="529"/>
      <c r="EH3" s="529"/>
      <c r="EI3" s="529"/>
      <c r="EJ3" s="529"/>
      <c r="EK3" s="529"/>
      <c r="EL3" s="529"/>
      <c r="EM3" s="529"/>
      <c r="EN3" s="529"/>
      <c r="EO3" s="529"/>
      <c r="EP3" s="529"/>
      <c r="EQ3" s="529"/>
      <c r="ER3" s="529"/>
      <c r="ES3" s="529"/>
      <c r="ET3" s="529"/>
      <c r="EU3" s="529"/>
      <c r="EV3" s="529"/>
      <c r="EW3" s="529"/>
      <c r="EX3" s="529"/>
      <c r="EY3" s="529"/>
      <c r="EZ3" s="529"/>
      <c r="FA3" s="529"/>
      <c r="FB3" s="529"/>
      <c r="FC3" s="529"/>
      <c r="FD3" s="529"/>
      <c r="FE3" s="529"/>
      <c r="FF3" s="529"/>
      <c r="FG3" s="529"/>
      <c r="FH3" s="529"/>
      <c r="FI3" s="529"/>
      <c r="FJ3" s="533"/>
      <c r="FK3" s="529"/>
      <c r="FL3" s="529"/>
      <c r="FM3" s="529"/>
      <c r="FN3" s="529"/>
      <c r="FO3" s="529"/>
      <c r="FP3" s="529"/>
      <c r="FQ3" s="529"/>
      <c r="FR3" s="529"/>
      <c r="FS3" s="529"/>
      <c r="FT3" s="529"/>
      <c r="FU3" s="529"/>
      <c r="FV3" s="529"/>
      <c r="FW3" s="529"/>
      <c r="FX3" s="529"/>
      <c r="FY3" s="529"/>
      <c r="FZ3" s="529"/>
      <c r="GA3" s="529"/>
      <c r="GB3" s="529"/>
      <c r="GC3" s="529"/>
      <c r="GD3" s="529"/>
      <c r="GE3" s="529"/>
      <c r="GF3" s="529"/>
      <c r="GG3" s="529"/>
      <c r="GH3" s="529"/>
      <c r="GI3" s="529"/>
      <c r="GJ3" s="529"/>
      <c r="GK3" s="529"/>
      <c r="GL3" s="529"/>
      <c r="GM3" s="529"/>
      <c r="GN3" s="529"/>
      <c r="GO3" s="529"/>
      <c r="GP3" s="529"/>
      <c r="GQ3" s="529"/>
      <c r="GR3" s="529"/>
      <c r="GS3" s="529"/>
    </row>
    <row r="4" spans="1:201" ht="14.25" customHeight="1">
      <c r="A4" s="531"/>
      <c r="B4" s="532"/>
      <c r="C4" s="532"/>
      <c r="D4" s="532"/>
      <c r="E4" s="532"/>
      <c r="F4" s="532"/>
      <c r="G4" s="532"/>
      <c r="H4" s="532"/>
      <c r="I4" s="532"/>
      <c r="J4" s="532"/>
      <c r="K4" s="532"/>
      <c r="L4" s="532"/>
      <c r="M4" s="532"/>
      <c r="N4" s="532"/>
      <c r="O4" s="532"/>
      <c r="P4" s="532"/>
      <c r="Q4" s="532"/>
      <c r="R4" s="532"/>
      <c r="S4" s="532"/>
      <c r="T4" s="532"/>
      <c r="U4" s="532"/>
      <c r="V4" s="532"/>
      <c r="W4" s="532"/>
      <c r="X4" s="532"/>
      <c r="Y4" s="532"/>
      <c r="Z4" s="532"/>
      <c r="AA4" s="532"/>
      <c r="AB4" s="532"/>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29"/>
      <c r="BO4" s="529"/>
      <c r="BP4" s="529"/>
      <c r="BQ4" s="529"/>
      <c r="BR4" s="529"/>
      <c r="BS4" s="529"/>
      <c r="BT4" s="529"/>
      <c r="BU4" s="529"/>
      <c r="BV4" s="529"/>
      <c r="BW4" s="529"/>
      <c r="BX4" s="529"/>
      <c r="BY4" s="529"/>
      <c r="BZ4" s="529"/>
      <c r="CA4" s="529"/>
      <c r="CB4" s="529"/>
      <c r="CC4" s="529"/>
      <c r="CD4" s="529"/>
      <c r="CE4" s="529"/>
      <c r="CF4" s="529"/>
      <c r="CG4" s="529"/>
      <c r="CH4" s="529"/>
      <c r="CI4" s="529"/>
      <c r="CJ4" s="529"/>
      <c r="CK4" s="529"/>
      <c r="CL4" s="529"/>
      <c r="CM4" s="529"/>
      <c r="CN4" s="529"/>
      <c r="CO4" s="529"/>
      <c r="CP4" s="529"/>
      <c r="CQ4" s="529"/>
      <c r="CR4" s="529"/>
      <c r="CS4" s="529"/>
      <c r="CT4" s="529"/>
      <c r="CU4" s="529"/>
      <c r="CV4" s="529"/>
      <c r="CW4" s="529"/>
      <c r="CX4" s="529"/>
      <c r="CY4" s="529"/>
      <c r="CZ4" s="529"/>
      <c r="DA4" s="529"/>
      <c r="DB4" s="529"/>
      <c r="DC4" s="529"/>
      <c r="DD4" s="529"/>
      <c r="DE4" s="529"/>
      <c r="DF4" s="529"/>
      <c r="DG4" s="529"/>
      <c r="DH4" s="529"/>
      <c r="DI4" s="529"/>
      <c r="DJ4" s="529"/>
      <c r="DK4" s="529"/>
      <c r="DL4" s="529"/>
      <c r="DM4" s="529"/>
      <c r="DN4" s="529"/>
      <c r="DO4" s="529"/>
      <c r="DP4" s="529"/>
      <c r="DQ4" s="529"/>
      <c r="DR4" s="529"/>
      <c r="DS4" s="529"/>
      <c r="DT4" s="529"/>
      <c r="DU4" s="529"/>
      <c r="DV4" s="529"/>
      <c r="DW4" s="529"/>
      <c r="DX4" s="529"/>
      <c r="DY4" s="529"/>
      <c r="DZ4" s="529"/>
      <c r="EA4" s="529"/>
      <c r="EB4" s="529"/>
      <c r="EC4" s="529"/>
      <c r="ED4" s="529"/>
      <c r="EE4" s="529"/>
      <c r="EF4" s="529"/>
      <c r="EG4" s="529"/>
      <c r="EH4" s="529"/>
      <c r="EI4" s="529"/>
      <c r="EJ4" s="529"/>
      <c r="EK4" s="529"/>
      <c r="EL4" s="529"/>
      <c r="EM4" s="529"/>
      <c r="EN4" s="529"/>
      <c r="EO4" s="529"/>
      <c r="EP4" s="529"/>
      <c r="EQ4" s="529"/>
      <c r="ER4" s="529"/>
      <c r="ES4" s="529"/>
      <c r="ET4" s="529"/>
      <c r="EU4" s="529"/>
      <c r="EV4" s="529"/>
      <c r="EW4" s="529"/>
      <c r="EX4" s="529"/>
      <c r="EY4" s="529"/>
      <c r="EZ4" s="529"/>
      <c r="FA4" s="529"/>
      <c r="FB4" s="529"/>
      <c r="FC4" s="529"/>
      <c r="FD4" s="529"/>
      <c r="FE4" s="529"/>
      <c r="FF4" s="529"/>
      <c r="FG4" s="529"/>
      <c r="FH4" s="529"/>
      <c r="FI4" s="529"/>
      <c r="FJ4" s="533"/>
      <c r="FK4" s="529"/>
      <c r="FL4" s="529"/>
      <c r="FM4" s="529"/>
      <c r="FN4" s="529"/>
      <c r="FO4" s="529"/>
      <c r="FP4" s="529"/>
      <c r="FQ4" s="529"/>
      <c r="FR4" s="529"/>
      <c r="FS4" s="529"/>
      <c r="FT4" s="529"/>
      <c r="FU4" s="529"/>
      <c r="FV4" s="529"/>
      <c r="FW4" s="529"/>
      <c r="FX4" s="529"/>
      <c r="FY4" s="529"/>
      <c r="FZ4" s="529"/>
      <c r="GA4" s="529"/>
      <c r="GB4" s="529"/>
      <c r="GC4" s="529"/>
      <c r="GD4" s="529"/>
      <c r="GE4" s="529"/>
      <c r="GF4" s="529"/>
      <c r="GG4" s="529"/>
      <c r="GH4" s="529"/>
      <c r="GI4" s="529"/>
      <c r="GJ4" s="529"/>
      <c r="GK4" s="529"/>
      <c r="GL4" s="529"/>
      <c r="GM4" s="529"/>
      <c r="GN4" s="529"/>
      <c r="GO4" s="529"/>
      <c r="GP4" s="529"/>
      <c r="GQ4" s="529"/>
      <c r="GR4" s="529"/>
      <c r="GS4" s="529"/>
    </row>
    <row r="5" spans="1:201" ht="14.25" customHeight="1">
      <c r="A5" s="531"/>
      <c r="B5" s="532"/>
      <c r="C5" s="532"/>
      <c r="D5" s="532"/>
      <c r="E5" s="532"/>
      <c r="F5" s="532"/>
      <c r="G5" s="532"/>
      <c r="H5" s="532"/>
      <c r="I5" s="532"/>
      <c r="J5" s="532"/>
      <c r="K5" s="532"/>
      <c r="L5" s="532"/>
      <c r="M5" s="532"/>
      <c r="N5" s="532"/>
      <c r="O5" s="532"/>
      <c r="P5" s="532"/>
      <c r="Q5" s="532"/>
      <c r="R5" s="532"/>
      <c r="S5" s="532"/>
      <c r="T5" s="532"/>
      <c r="U5" s="532"/>
      <c r="V5" s="532"/>
      <c r="W5" s="532"/>
      <c r="X5" s="532"/>
      <c r="Y5" s="532"/>
      <c r="Z5" s="532"/>
      <c r="AA5" s="532"/>
      <c r="AB5" s="532"/>
      <c r="AC5" s="532"/>
      <c r="AD5" s="532"/>
      <c r="AE5" s="532"/>
      <c r="AF5" s="532"/>
      <c r="AG5" s="532"/>
      <c r="AH5" s="532"/>
      <c r="AI5" s="532"/>
      <c r="AJ5" s="532"/>
      <c r="AK5" s="532"/>
      <c r="AL5" s="532"/>
      <c r="AM5" s="532"/>
      <c r="AN5" s="532"/>
      <c r="AO5" s="532"/>
      <c r="AP5" s="532"/>
      <c r="AQ5" s="532"/>
      <c r="AR5" s="532"/>
      <c r="AS5" s="532"/>
      <c r="AT5" s="532"/>
      <c r="AU5" s="532"/>
      <c r="AV5" s="532"/>
      <c r="AW5" s="532"/>
      <c r="AX5" s="532"/>
      <c r="AY5" s="532"/>
      <c r="AZ5" s="532"/>
      <c r="BA5" s="532"/>
      <c r="BB5" s="532"/>
      <c r="BC5" s="532"/>
      <c r="BD5" s="532"/>
      <c r="BE5" s="532"/>
      <c r="BF5" s="532"/>
      <c r="BG5" s="532"/>
      <c r="BH5" s="532"/>
      <c r="BI5" s="532"/>
      <c r="BJ5" s="532"/>
      <c r="BK5" s="532"/>
      <c r="BL5" s="532"/>
      <c r="BM5" s="532"/>
      <c r="BN5" s="529"/>
      <c r="BO5" s="529"/>
      <c r="BP5" s="529"/>
      <c r="BQ5" s="529"/>
      <c r="BR5" s="529"/>
      <c r="BS5" s="529"/>
      <c r="BT5" s="529"/>
      <c r="BU5" s="529"/>
      <c r="BV5" s="529"/>
      <c r="BW5" s="529"/>
      <c r="BX5" s="529"/>
      <c r="BY5" s="529"/>
      <c r="BZ5" s="529"/>
      <c r="CA5" s="529"/>
      <c r="CB5" s="529"/>
      <c r="CC5" s="529"/>
      <c r="CD5" s="529"/>
      <c r="CE5" s="529"/>
      <c r="CF5" s="529"/>
      <c r="CG5" s="529"/>
      <c r="CH5" s="529"/>
      <c r="CI5" s="529"/>
      <c r="CJ5" s="529"/>
      <c r="CK5" s="529"/>
      <c r="CL5" s="529"/>
      <c r="CM5" s="529"/>
      <c r="CN5" s="529"/>
      <c r="CO5" s="529"/>
      <c r="CP5" s="529"/>
      <c r="CQ5" s="529"/>
      <c r="CR5" s="529"/>
      <c r="CS5" s="529"/>
      <c r="CT5" s="529"/>
      <c r="CU5" s="529"/>
      <c r="CV5" s="529"/>
      <c r="CW5" s="529"/>
      <c r="CX5" s="529"/>
      <c r="CY5" s="529"/>
      <c r="CZ5" s="529"/>
      <c r="DA5" s="529"/>
      <c r="DB5" s="529"/>
      <c r="DC5" s="529"/>
      <c r="DD5" s="529"/>
      <c r="DE5" s="529"/>
      <c r="DF5" s="529"/>
      <c r="DG5" s="529"/>
      <c r="DH5" s="529"/>
      <c r="DI5" s="529"/>
      <c r="DJ5" s="529"/>
      <c r="DK5" s="529"/>
      <c r="DL5" s="529"/>
      <c r="DM5" s="529"/>
      <c r="DN5" s="529"/>
      <c r="DO5" s="529"/>
      <c r="DP5" s="529"/>
      <c r="DQ5" s="529"/>
      <c r="DR5" s="529"/>
      <c r="DS5" s="529"/>
      <c r="DT5" s="529"/>
      <c r="DU5" s="529"/>
      <c r="DV5" s="529"/>
      <c r="DW5" s="529"/>
      <c r="DX5" s="529"/>
      <c r="DY5" s="529"/>
      <c r="DZ5" s="529"/>
      <c r="EA5" s="529"/>
      <c r="EB5" s="529"/>
      <c r="EC5" s="529"/>
      <c r="ED5" s="529"/>
      <c r="EE5" s="529"/>
      <c r="EF5" s="529"/>
      <c r="EG5" s="529"/>
      <c r="EH5" s="529"/>
      <c r="EI5" s="529"/>
      <c r="EJ5" s="529"/>
      <c r="EK5" s="529"/>
      <c r="EL5" s="529"/>
      <c r="EM5" s="529"/>
      <c r="EN5" s="529"/>
      <c r="EO5" s="529"/>
      <c r="EP5" s="529"/>
      <c r="EQ5" s="529"/>
      <c r="ER5" s="529"/>
      <c r="ES5" s="529"/>
      <c r="ET5" s="529"/>
      <c r="EU5" s="529"/>
      <c r="EV5" s="529"/>
      <c r="EW5" s="529"/>
      <c r="EX5" s="529"/>
      <c r="EY5" s="529"/>
      <c r="EZ5" s="529"/>
      <c r="FA5" s="529"/>
      <c r="FB5" s="529"/>
      <c r="FC5" s="529"/>
      <c r="FD5" s="529"/>
      <c r="FE5" s="529"/>
      <c r="FF5" s="529"/>
      <c r="FG5" s="529"/>
      <c r="FH5" s="529"/>
      <c r="FI5" s="529"/>
      <c r="FJ5" s="529"/>
      <c r="FK5" s="529"/>
      <c r="FL5" s="529"/>
      <c r="FM5" s="529"/>
      <c r="FN5" s="529"/>
      <c r="FO5" s="529"/>
      <c r="FP5" s="529"/>
      <c r="FQ5" s="529"/>
      <c r="FR5" s="529"/>
      <c r="FS5" s="529"/>
      <c r="FT5" s="529"/>
      <c r="FU5" s="529"/>
      <c r="FV5" s="529"/>
      <c r="FW5" s="529"/>
      <c r="FX5" s="529"/>
      <c r="FY5" s="529"/>
      <c r="FZ5" s="529"/>
      <c r="GA5" s="529"/>
      <c r="GB5" s="529"/>
      <c r="GC5" s="529"/>
      <c r="GD5" s="529"/>
      <c r="GE5" s="529"/>
      <c r="GF5" s="529"/>
      <c r="GG5" s="529"/>
      <c r="GH5" s="529"/>
      <c r="GI5" s="529"/>
      <c r="GJ5" s="529"/>
      <c r="GK5" s="529"/>
      <c r="GL5" s="529"/>
      <c r="GM5" s="529"/>
      <c r="GN5" s="529"/>
      <c r="GO5" s="529"/>
      <c r="GP5" s="529"/>
      <c r="GQ5" s="529"/>
      <c r="GR5" s="529"/>
      <c r="GS5" s="529"/>
    </row>
    <row r="6" spans="1:201" ht="14.25" customHeight="1">
      <c r="A6" s="531"/>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532"/>
      <c r="AB6" s="532"/>
      <c r="AC6" s="532"/>
      <c r="AD6" s="532"/>
      <c r="AE6" s="532"/>
      <c r="AF6" s="532"/>
      <c r="AG6" s="532"/>
      <c r="AH6" s="532"/>
      <c r="AI6" s="532"/>
      <c r="AJ6" s="532"/>
      <c r="AK6" s="532"/>
      <c r="AL6" s="532"/>
      <c r="AM6" s="532"/>
      <c r="AN6" s="532"/>
      <c r="AO6" s="532"/>
      <c r="AP6" s="532"/>
      <c r="AQ6" s="532"/>
      <c r="AR6" s="532"/>
      <c r="AS6" s="532"/>
      <c r="AT6" s="532"/>
      <c r="AU6" s="532"/>
      <c r="AV6" s="532"/>
      <c r="AW6" s="532"/>
      <c r="AX6" s="532"/>
      <c r="AY6" s="532"/>
      <c r="AZ6" s="532"/>
      <c r="BA6" s="532"/>
      <c r="BB6" s="532"/>
      <c r="BC6" s="532"/>
      <c r="BD6" s="532"/>
      <c r="BE6" s="532"/>
      <c r="BF6" s="532"/>
      <c r="BG6" s="532"/>
      <c r="BH6" s="532"/>
      <c r="BI6" s="532"/>
      <c r="BJ6" s="532"/>
      <c r="BK6" s="532"/>
      <c r="BL6" s="532"/>
      <c r="BM6" s="532"/>
      <c r="BN6" s="529"/>
      <c r="BO6" s="529"/>
      <c r="BP6" s="529"/>
      <c r="BQ6" s="529"/>
      <c r="BR6" s="529"/>
      <c r="BS6" s="529"/>
      <c r="BT6" s="529"/>
      <c r="BU6" s="529"/>
      <c r="BV6" s="529"/>
      <c r="BW6" s="529"/>
      <c r="BX6" s="529"/>
      <c r="BY6" s="529"/>
      <c r="BZ6" s="529"/>
      <c r="CA6" s="529"/>
      <c r="CB6" s="529"/>
      <c r="CC6" s="529"/>
      <c r="CD6" s="529"/>
      <c r="CE6" s="529"/>
      <c r="CF6" s="529"/>
      <c r="CG6" s="529"/>
      <c r="CH6" s="529"/>
      <c r="CI6" s="529"/>
      <c r="CJ6" s="529"/>
      <c r="CK6" s="529"/>
      <c r="CL6" s="529"/>
      <c r="CM6" s="529"/>
      <c r="CN6" s="529"/>
      <c r="CO6" s="529"/>
      <c r="CP6" s="529"/>
      <c r="CQ6" s="529"/>
      <c r="CR6" s="529"/>
      <c r="CS6" s="529"/>
      <c r="CT6" s="529"/>
      <c r="CU6" s="529"/>
      <c r="CV6" s="529"/>
      <c r="CW6" s="529"/>
      <c r="CX6" s="529"/>
      <c r="CY6" s="529"/>
      <c r="CZ6" s="529"/>
      <c r="DA6" s="529"/>
      <c r="DB6" s="529"/>
      <c r="DC6" s="529"/>
      <c r="DD6" s="529"/>
      <c r="DE6" s="529"/>
      <c r="DF6" s="529"/>
      <c r="DG6" s="529"/>
      <c r="DH6" s="529"/>
      <c r="DI6" s="529"/>
      <c r="DJ6" s="529"/>
      <c r="DK6" s="529"/>
      <c r="DL6" s="529"/>
      <c r="DM6" s="529"/>
      <c r="DN6" s="529"/>
      <c r="DO6" s="529"/>
      <c r="DP6" s="529"/>
      <c r="DQ6" s="529"/>
      <c r="DR6" s="529"/>
      <c r="DS6" s="529"/>
      <c r="DT6" s="529"/>
      <c r="DU6" s="529"/>
      <c r="DV6" s="529"/>
      <c r="DW6" s="529"/>
      <c r="DX6" s="529"/>
      <c r="DY6" s="529"/>
      <c r="DZ6" s="529"/>
      <c r="EA6" s="529"/>
      <c r="EB6" s="529"/>
      <c r="EC6" s="529"/>
      <c r="ED6" s="529"/>
      <c r="EE6" s="529"/>
      <c r="EF6" s="529"/>
      <c r="EG6" s="529"/>
      <c r="EH6" s="529"/>
      <c r="EI6" s="529"/>
      <c r="EJ6" s="529"/>
      <c r="EK6" s="529"/>
      <c r="EL6" s="529"/>
      <c r="EM6" s="529"/>
      <c r="EN6" s="529"/>
      <c r="EO6" s="529"/>
      <c r="EP6" s="529"/>
      <c r="EQ6" s="529"/>
      <c r="ER6" s="529"/>
      <c r="ES6" s="529"/>
      <c r="ET6" s="529"/>
      <c r="EU6" s="529"/>
      <c r="EV6" s="529"/>
      <c r="EW6" s="529"/>
      <c r="EX6" s="529"/>
      <c r="EY6" s="529"/>
      <c r="EZ6" s="529"/>
      <c r="FA6" s="529"/>
      <c r="FB6" s="529"/>
      <c r="FC6" s="529"/>
      <c r="FD6" s="529"/>
      <c r="FE6" s="529"/>
      <c r="FF6" s="529"/>
      <c r="FG6" s="529"/>
      <c r="FH6" s="529"/>
      <c r="FI6" s="529"/>
      <c r="FJ6" s="529"/>
      <c r="FK6" s="529"/>
      <c r="FL6" s="529"/>
      <c r="FM6" s="529"/>
      <c r="FN6" s="529"/>
      <c r="FO6" s="529"/>
      <c r="FP6" s="529"/>
      <c r="FQ6" s="529"/>
      <c r="FR6" s="529"/>
      <c r="FS6" s="529"/>
      <c r="FT6" s="529"/>
      <c r="FU6" s="529"/>
      <c r="FV6" s="529"/>
      <c r="FW6" s="529"/>
      <c r="FX6" s="529"/>
      <c r="FY6" s="529"/>
      <c r="FZ6" s="529"/>
      <c r="GA6" s="529"/>
      <c r="GB6" s="529"/>
      <c r="GC6" s="529"/>
      <c r="GD6" s="529"/>
      <c r="GE6" s="529"/>
      <c r="GF6" s="529"/>
      <c r="GG6" s="529"/>
      <c r="GH6" s="529"/>
      <c r="GI6" s="529"/>
      <c r="GJ6" s="529"/>
      <c r="GK6" s="529"/>
      <c r="GL6" s="529"/>
      <c r="GM6" s="529"/>
      <c r="GN6" s="529"/>
      <c r="GO6" s="529"/>
      <c r="GP6" s="529"/>
      <c r="GQ6" s="529"/>
      <c r="GR6" s="529"/>
      <c r="GS6" s="529"/>
    </row>
    <row r="7" spans="1:201" ht="14.25" customHeight="1">
      <c r="A7" s="534" t="s">
        <v>2087</v>
      </c>
      <c r="B7" s="535"/>
      <c r="C7" s="535"/>
      <c r="D7" s="535"/>
      <c r="E7" s="535"/>
      <c r="F7" s="535"/>
      <c r="G7" s="535"/>
      <c r="H7" s="535"/>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535"/>
      <c r="AV7" s="535"/>
      <c r="AW7" s="535"/>
      <c r="AX7" s="535"/>
      <c r="AY7" s="535"/>
      <c r="AZ7" s="535"/>
      <c r="BA7" s="535"/>
      <c r="BB7" s="535"/>
      <c r="BC7" s="535"/>
      <c r="BD7" s="535"/>
      <c r="BE7" s="535"/>
      <c r="BF7" s="535"/>
      <c r="BG7" s="535"/>
      <c r="BH7" s="535"/>
      <c r="BI7" s="535"/>
      <c r="BJ7" s="535"/>
      <c r="BK7" s="535"/>
      <c r="BL7" s="535"/>
      <c r="BM7" s="535"/>
      <c r="BN7" s="529"/>
      <c r="BO7" s="529"/>
      <c r="BP7" s="529"/>
      <c r="BQ7" s="529"/>
      <c r="BR7" s="529"/>
      <c r="BS7" s="529"/>
      <c r="BT7" s="529"/>
      <c r="BU7" s="529"/>
      <c r="BV7" s="529"/>
      <c r="BW7" s="529"/>
      <c r="BX7" s="529"/>
      <c r="BY7" s="529"/>
      <c r="BZ7" s="529"/>
      <c r="CA7" s="529"/>
      <c r="CB7" s="529"/>
      <c r="CC7" s="529"/>
      <c r="CD7" s="529"/>
      <c r="CE7" s="529"/>
      <c r="CF7" s="529"/>
      <c r="CG7" s="529"/>
      <c r="CH7" s="529"/>
      <c r="CI7" s="529"/>
      <c r="CJ7" s="529"/>
      <c r="CK7" s="529"/>
      <c r="CL7" s="529"/>
      <c r="CM7" s="529"/>
      <c r="CN7" s="529"/>
      <c r="CO7" s="529"/>
      <c r="CP7" s="529"/>
      <c r="CQ7" s="529"/>
      <c r="CR7" s="529"/>
      <c r="CS7" s="529"/>
      <c r="CT7" s="529"/>
      <c r="CU7" s="529"/>
      <c r="CV7" s="529"/>
      <c r="CW7" s="529"/>
      <c r="CX7" s="529"/>
      <c r="CY7" s="529"/>
      <c r="CZ7" s="529"/>
      <c r="DA7" s="529"/>
      <c r="DB7" s="529"/>
      <c r="DC7" s="529"/>
      <c r="DD7" s="529"/>
      <c r="DE7" s="529"/>
      <c r="DF7" s="529"/>
      <c r="DG7" s="529"/>
      <c r="DH7" s="529"/>
      <c r="DI7" s="529"/>
      <c r="DJ7" s="529"/>
      <c r="DK7" s="529"/>
      <c r="DL7" s="529"/>
      <c r="DM7" s="529"/>
      <c r="DN7" s="529"/>
      <c r="DO7" s="529"/>
      <c r="DP7" s="529"/>
      <c r="DQ7" s="529"/>
      <c r="DR7" s="529"/>
      <c r="DS7" s="529"/>
      <c r="DT7" s="529"/>
      <c r="DU7" s="529"/>
      <c r="DV7" s="529"/>
      <c r="DW7" s="529"/>
      <c r="DX7" s="529"/>
      <c r="DY7" s="529"/>
      <c r="DZ7" s="529"/>
      <c r="EA7" s="529"/>
      <c r="EB7" s="529"/>
      <c r="EC7" s="529"/>
      <c r="ED7" s="529"/>
      <c r="EE7" s="529"/>
      <c r="EF7" s="529"/>
      <c r="EG7" s="529"/>
      <c r="EH7" s="529"/>
      <c r="EI7" s="529"/>
      <c r="EJ7" s="529"/>
      <c r="EK7" s="529"/>
      <c r="EL7" s="529"/>
      <c r="EM7" s="529"/>
      <c r="EN7" s="529"/>
      <c r="EO7" s="529"/>
      <c r="EP7" s="529"/>
      <c r="EQ7" s="529"/>
      <c r="ER7" s="529"/>
      <c r="ES7" s="529"/>
      <c r="ET7" s="529"/>
      <c r="EU7" s="529"/>
      <c r="EV7" s="529"/>
      <c r="EW7" s="529"/>
      <c r="EX7" s="529"/>
      <c r="EY7" s="529"/>
      <c r="EZ7" s="529"/>
      <c r="FA7" s="529"/>
      <c r="FB7" s="529"/>
      <c r="FC7" s="529"/>
      <c r="FD7" s="529"/>
      <c r="FE7" s="529"/>
      <c r="FF7" s="529"/>
      <c r="FG7" s="529"/>
      <c r="FH7" s="529"/>
      <c r="FI7" s="529"/>
      <c r="FJ7" s="529"/>
      <c r="FK7" s="529"/>
      <c r="FL7" s="529"/>
      <c r="FM7" s="529"/>
      <c r="FN7" s="529"/>
      <c r="FO7" s="529"/>
      <c r="FP7" s="529"/>
      <c r="FQ7" s="529"/>
      <c r="FR7" s="529"/>
      <c r="FS7" s="529"/>
      <c r="FT7" s="529"/>
      <c r="FU7" s="529"/>
      <c r="FV7" s="529"/>
      <c r="FW7" s="529"/>
      <c r="FX7" s="529"/>
      <c r="FY7" s="529"/>
      <c r="FZ7" s="529"/>
      <c r="GA7" s="529"/>
      <c r="GB7" s="529"/>
      <c r="GC7" s="529"/>
      <c r="GD7" s="529"/>
      <c r="GE7" s="529"/>
      <c r="GF7" s="529"/>
      <c r="GG7" s="529"/>
      <c r="GH7" s="529"/>
      <c r="GI7" s="529"/>
      <c r="GJ7" s="529"/>
      <c r="GK7" s="529"/>
      <c r="GL7" s="529"/>
      <c r="GM7" s="529"/>
      <c r="GN7" s="529"/>
      <c r="GO7" s="529"/>
      <c r="GP7" s="529"/>
      <c r="GQ7" s="529"/>
      <c r="GR7" s="529"/>
      <c r="GS7" s="529"/>
    </row>
    <row r="8" spans="1:201" ht="14.25" customHeight="1">
      <c r="A8" s="536" t="s">
        <v>2088</v>
      </c>
      <c r="B8" s="537"/>
      <c r="C8" s="537"/>
      <c r="D8" s="537"/>
      <c r="E8" s="537"/>
      <c r="F8" s="537"/>
      <c r="G8" s="537"/>
      <c r="H8" s="537"/>
      <c r="I8" s="537"/>
      <c r="J8" s="537"/>
      <c r="K8" s="537"/>
      <c r="L8" s="537"/>
      <c r="M8" s="537"/>
      <c r="N8" s="537"/>
      <c r="O8" s="537"/>
      <c r="P8" s="537"/>
      <c r="Q8" s="537"/>
      <c r="R8" s="537"/>
      <c r="S8" s="537"/>
      <c r="T8" s="537"/>
      <c r="U8" s="537"/>
      <c r="V8" s="537"/>
      <c r="W8" s="537"/>
      <c r="X8" s="537"/>
      <c r="Y8" s="537"/>
      <c r="Z8" s="537"/>
      <c r="AA8" s="537"/>
      <c r="AB8" s="537"/>
      <c r="AC8" s="537"/>
      <c r="AD8" s="537"/>
      <c r="AE8" s="537"/>
      <c r="AF8" s="537"/>
      <c r="AG8" s="537"/>
      <c r="AH8" s="537"/>
      <c r="AI8" s="537"/>
      <c r="AJ8" s="537"/>
      <c r="AK8" s="537"/>
      <c r="AL8" s="537"/>
      <c r="AM8" s="537"/>
      <c r="AN8" s="537"/>
      <c r="AO8" s="537"/>
      <c r="AP8" s="537"/>
      <c r="AQ8" s="537"/>
      <c r="AR8" s="537"/>
      <c r="AS8" s="537"/>
      <c r="AT8" s="537"/>
      <c r="AU8" s="537"/>
      <c r="AV8" s="537"/>
      <c r="AW8" s="537"/>
      <c r="AX8" s="537"/>
      <c r="AY8" s="537"/>
      <c r="AZ8" s="537"/>
      <c r="BA8" s="537"/>
      <c r="BB8" s="537"/>
      <c r="BC8" s="537"/>
      <c r="BD8" s="537"/>
      <c r="BE8" s="537"/>
      <c r="BF8" s="537"/>
      <c r="BG8" s="537"/>
      <c r="BH8" s="537"/>
      <c r="BI8" s="537"/>
      <c r="BJ8" s="537"/>
      <c r="BK8" s="537"/>
      <c r="BL8" s="537"/>
      <c r="BM8" s="537"/>
      <c r="BN8" s="537"/>
      <c r="BO8" s="537"/>
      <c r="BP8" s="537"/>
      <c r="BQ8" s="537"/>
      <c r="BR8" s="537"/>
      <c r="BS8" s="537"/>
      <c r="BT8" s="537"/>
      <c r="BU8" s="537"/>
      <c r="BV8" s="537"/>
      <c r="BW8" s="537"/>
      <c r="BX8" s="537"/>
      <c r="BY8" s="537"/>
      <c r="BZ8" s="537"/>
      <c r="CA8" s="537"/>
      <c r="CB8" s="537"/>
      <c r="CC8" s="537"/>
      <c r="CD8" s="537"/>
      <c r="CE8" s="537"/>
      <c r="CF8" s="537"/>
      <c r="CG8" s="537"/>
      <c r="CH8" s="537"/>
      <c r="CI8" s="537"/>
      <c r="CJ8" s="537"/>
      <c r="CK8" s="537"/>
      <c r="CL8" s="537"/>
      <c r="CM8" s="537"/>
      <c r="CN8" s="537"/>
      <c r="CO8" s="537"/>
      <c r="CP8" s="537"/>
      <c r="CQ8" s="537"/>
      <c r="CR8" s="537"/>
      <c r="CS8" s="537"/>
      <c r="CT8" s="537"/>
      <c r="CU8" s="537"/>
      <c r="CV8" s="537"/>
      <c r="CW8" s="537"/>
      <c r="CX8" s="537"/>
      <c r="CY8" s="537"/>
      <c r="CZ8" s="537"/>
      <c r="DA8" s="537"/>
      <c r="DB8" s="537"/>
      <c r="DC8" s="537"/>
      <c r="DD8" s="537"/>
      <c r="DE8" s="537"/>
      <c r="DF8" s="537"/>
      <c r="DG8" s="537"/>
      <c r="DH8" s="537"/>
      <c r="DI8" s="537"/>
      <c r="DJ8" s="537"/>
      <c r="DK8" s="537"/>
      <c r="DL8" s="537"/>
      <c r="DM8" s="537"/>
      <c r="DN8" s="537"/>
      <c r="DO8" s="537"/>
      <c r="DP8" s="537"/>
      <c r="DQ8" s="537"/>
      <c r="DR8" s="537"/>
      <c r="DS8" s="537"/>
      <c r="DT8" s="537"/>
      <c r="DU8" s="537"/>
      <c r="DV8" s="537"/>
      <c r="DW8" s="537"/>
      <c r="DX8" s="537"/>
      <c r="DY8" s="537"/>
      <c r="DZ8" s="537"/>
      <c r="EA8" s="537"/>
      <c r="EB8" s="537"/>
      <c r="EC8" s="537"/>
      <c r="ED8" s="537"/>
      <c r="EE8" s="537"/>
      <c r="EF8" s="537"/>
      <c r="EG8" s="537"/>
      <c r="EH8" s="537"/>
      <c r="EI8" s="537"/>
      <c r="EJ8" s="537"/>
      <c r="EK8" s="537"/>
      <c r="EL8" s="537"/>
      <c r="EM8" s="537"/>
      <c r="EN8" s="537"/>
      <c r="EO8" s="537"/>
      <c r="EP8" s="537"/>
      <c r="EQ8" s="537"/>
      <c r="ER8" s="537"/>
      <c r="ES8" s="537"/>
      <c r="ET8" s="537"/>
      <c r="EU8" s="537"/>
      <c r="EV8" s="537"/>
      <c r="EW8" s="537"/>
      <c r="EX8" s="537"/>
      <c r="EY8" s="537"/>
      <c r="EZ8" s="537"/>
      <c r="FA8" s="537"/>
      <c r="FB8" s="537"/>
      <c r="FC8" s="537"/>
      <c r="FD8" s="537"/>
      <c r="FE8" s="537"/>
      <c r="FF8" s="537"/>
      <c r="FG8" s="537"/>
      <c r="FH8" s="537"/>
      <c r="FI8" s="537"/>
      <c r="FJ8" s="537"/>
      <c r="FK8" s="537"/>
      <c r="FL8" s="537"/>
      <c r="FM8" s="537"/>
      <c r="FN8" s="537"/>
      <c r="FO8" s="537"/>
      <c r="FP8" s="537"/>
      <c r="FQ8" s="537"/>
      <c r="FR8" s="537"/>
      <c r="FS8" s="537"/>
      <c r="FT8" s="537"/>
      <c r="FU8" s="537"/>
      <c r="FV8" s="537"/>
      <c r="FW8" s="537"/>
      <c r="FX8" s="537"/>
      <c r="FY8" s="537"/>
      <c r="FZ8" s="537"/>
      <c r="GA8" s="537"/>
      <c r="GB8" s="537"/>
      <c r="GC8" s="537"/>
      <c r="GD8" s="537"/>
      <c r="GE8" s="537"/>
      <c r="GF8" s="537"/>
      <c r="GG8" s="537"/>
      <c r="GH8" s="537"/>
      <c r="GI8" s="537"/>
      <c r="GJ8" s="537"/>
      <c r="GK8" s="537"/>
      <c r="GL8" s="537"/>
      <c r="GM8" s="537"/>
      <c r="GN8" s="537"/>
      <c r="GO8" s="537"/>
      <c r="GP8" s="537"/>
      <c r="GQ8" s="537"/>
      <c r="GR8" s="537"/>
      <c r="GS8" s="529"/>
    </row>
    <row r="9" spans="1:201" ht="14.25" customHeight="1">
      <c r="A9" s="452" t="s">
        <v>2089</v>
      </c>
      <c r="B9" s="453">
        <v>27089</v>
      </c>
      <c r="C9" s="453">
        <v>27181</v>
      </c>
      <c r="D9" s="453">
        <v>27273</v>
      </c>
      <c r="E9" s="453">
        <v>27364</v>
      </c>
      <c r="F9" s="453">
        <v>27454</v>
      </c>
      <c r="G9" s="453">
        <v>27546</v>
      </c>
      <c r="H9" s="453">
        <v>27638</v>
      </c>
      <c r="I9" s="453">
        <v>27729</v>
      </c>
      <c r="J9" s="453">
        <v>27820</v>
      </c>
      <c r="K9" s="453">
        <v>27912</v>
      </c>
      <c r="L9" s="453">
        <v>28004</v>
      </c>
      <c r="M9" s="453">
        <v>28095</v>
      </c>
      <c r="N9" s="453">
        <v>28185</v>
      </c>
      <c r="O9" s="453">
        <v>28277</v>
      </c>
      <c r="P9" s="453">
        <v>28369</v>
      </c>
      <c r="Q9" s="453">
        <v>28460</v>
      </c>
      <c r="R9" s="453">
        <v>28550</v>
      </c>
      <c r="S9" s="453">
        <v>28642</v>
      </c>
      <c r="T9" s="453">
        <v>28734</v>
      </c>
      <c r="U9" s="453">
        <v>28825</v>
      </c>
      <c r="V9" s="453">
        <v>28915</v>
      </c>
      <c r="W9" s="453">
        <v>29007</v>
      </c>
      <c r="X9" s="453">
        <v>29099</v>
      </c>
      <c r="Y9" s="453">
        <v>29190</v>
      </c>
      <c r="Z9" s="453">
        <v>29281</v>
      </c>
      <c r="AA9" s="453">
        <v>29373</v>
      </c>
      <c r="AB9" s="453">
        <v>29465</v>
      </c>
      <c r="AC9" s="453">
        <v>29556</v>
      </c>
      <c r="AD9" s="453">
        <v>29646</v>
      </c>
      <c r="AE9" s="453">
        <v>29738</v>
      </c>
      <c r="AF9" s="453">
        <v>29830</v>
      </c>
      <c r="AG9" s="453">
        <v>29921</v>
      </c>
      <c r="AH9" s="453">
        <v>30011</v>
      </c>
      <c r="AI9" s="453">
        <v>30103</v>
      </c>
      <c r="AJ9" s="453">
        <v>30195</v>
      </c>
      <c r="AK9" s="453">
        <v>30286</v>
      </c>
      <c r="AL9" s="453">
        <v>30376</v>
      </c>
      <c r="AM9" s="453">
        <v>30468</v>
      </c>
      <c r="AN9" s="453">
        <v>30560</v>
      </c>
      <c r="AO9" s="453">
        <v>30651</v>
      </c>
      <c r="AP9" s="453">
        <v>30742</v>
      </c>
      <c r="AQ9" s="453">
        <v>30834</v>
      </c>
      <c r="AR9" s="453">
        <v>30926</v>
      </c>
      <c r="AS9" s="453">
        <v>31017</v>
      </c>
      <c r="AT9" s="453">
        <v>31107</v>
      </c>
      <c r="AU9" s="453">
        <v>31199</v>
      </c>
      <c r="AV9" s="453">
        <v>31291</v>
      </c>
      <c r="AW9" s="453">
        <v>31382</v>
      </c>
      <c r="AX9" s="453">
        <v>31472</v>
      </c>
      <c r="AY9" s="453">
        <v>31564</v>
      </c>
      <c r="AZ9" s="453">
        <v>31656</v>
      </c>
      <c r="BA9" s="453">
        <v>31747</v>
      </c>
      <c r="BB9" s="453">
        <v>31837</v>
      </c>
      <c r="BC9" s="453">
        <v>31929</v>
      </c>
      <c r="BD9" s="453">
        <v>32021</v>
      </c>
      <c r="BE9" s="453">
        <v>32112</v>
      </c>
      <c r="BF9" s="453">
        <v>32203</v>
      </c>
      <c r="BG9" s="453">
        <v>32295</v>
      </c>
      <c r="BH9" s="453">
        <v>32387</v>
      </c>
      <c r="BI9" s="453">
        <v>32478</v>
      </c>
      <c r="BJ9" s="453">
        <v>32568</v>
      </c>
      <c r="BK9" s="453">
        <v>32660</v>
      </c>
      <c r="BL9" s="453">
        <v>32752</v>
      </c>
      <c r="BM9" s="453">
        <v>32843</v>
      </c>
      <c r="BN9" s="453">
        <v>32933</v>
      </c>
      <c r="BO9" s="453">
        <v>33025</v>
      </c>
      <c r="BP9" s="453">
        <v>33117</v>
      </c>
      <c r="BQ9" s="453">
        <v>33208</v>
      </c>
      <c r="BR9" s="453">
        <v>33298</v>
      </c>
      <c r="BS9" s="453">
        <v>33390</v>
      </c>
      <c r="BT9" s="453">
        <v>33482</v>
      </c>
      <c r="BU9" s="453">
        <v>33573</v>
      </c>
      <c r="BV9" s="453">
        <v>33664</v>
      </c>
      <c r="BW9" s="453">
        <v>33756</v>
      </c>
      <c r="BX9" s="453">
        <v>33848</v>
      </c>
      <c r="BY9" s="453">
        <v>33939</v>
      </c>
      <c r="BZ9" s="453">
        <v>34029</v>
      </c>
      <c r="CA9" s="453">
        <v>34121</v>
      </c>
      <c r="CB9" s="453">
        <v>34213</v>
      </c>
      <c r="CC9" s="453">
        <v>34304</v>
      </c>
      <c r="CD9" s="453">
        <v>34394</v>
      </c>
      <c r="CE9" s="453">
        <v>34486</v>
      </c>
      <c r="CF9" s="453">
        <v>34578</v>
      </c>
      <c r="CG9" s="453">
        <v>34669</v>
      </c>
      <c r="CH9" s="453">
        <v>34759</v>
      </c>
      <c r="CI9" s="453">
        <v>34851</v>
      </c>
      <c r="CJ9" s="453">
        <v>34943</v>
      </c>
      <c r="CK9" s="453">
        <v>35034</v>
      </c>
      <c r="CL9" s="453">
        <v>35125</v>
      </c>
      <c r="CM9" s="453">
        <v>35217</v>
      </c>
      <c r="CN9" s="453">
        <v>35309</v>
      </c>
      <c r="CO9" s="453">
        <v>35400</v>
      </c>
      <c r="CP9" s="453">
        <v>35490</v>
      </c>
      <c r="CQ9" s="453">
        <v>35582</v>
      </c>
      <c r="CR9" s="453">
        <v>35674</v>
      </c>
      <c r="CS9" s="453">
        <v>35765</v>
      </c>
      <c r="CT9" s="453">
        <v>35855</v>
      </c>
      <c r="CU9" s="453">
        <v>35947</v>
      </c>
      <c r="CV9" s="453">
        <v>36039</v>
      </c>
      <c r="CW9" s="453">
        <v>36130</v>
      </c>
      <c r="CX9" s="453">
        <v>36220</v>
      </c>
      <c r="CY9" s="453">
        <v>36312</v>
      </c>
      <c r="CZ9" s="453">
        <v>36404</v>
      </c>
      <c r="DA9" s="453">
        <v>36495</v>
      </c>
      <c r="DB9" s="453">
        <v>36586</v>
      </c>
      <c r="DC9" s="453">
        <v>36678</v>
      </c>
      <c r="DD9" s="453">
        <v>36770</v>
      </c>
      <c r="DE9" s="453">
        <v>36861</v>
      </c>
      <c r="DF9" s="453">
        <v>36951</v>
      </c>
      <c r="DG9" s="453">
        <v>37043</v>
      </c>
      <c r="DH9" s="453">
        <v>37135</v>
      </c>
      <c r="DI9" s="453">
        <v>37226</v>
      </c>
      <c r="DJ9" s="453">
        <v>37316</v>
      </c>
      <c r="DK9" s="453">
        <v>37408</v>
      </c>
      <c r="DL9" s="453">
        <v>37500</v>
      </c>
      <c r="DM9" s="453">
        <v>37591</v>
      </c>
      <c r="DN9" s="453">
        <v>37681</v>
      </c>
      <c r="DO9" s="453">
        <v>37773</v>
      </c>
      <c r="DP9" s="453">
        <v>37865</v>
      </c>
      <c r="DQ9" s="453">
        <v>37956</v>
      </c>
      <c r="DR9" s="453">
        <v>38047</v>
      </c>
      <c r="DS9" s="453">
        <v>38139</v>
      </c>
      <c r="DT9" s="453">
        <v>38231</v>
      </c>
      <c r="DU9" s="453">
        <v>38322</v>
      </c>
      <c r="DV9" s="453">
        <v>38412</v>
      </c>
      <c r="DW9" s="453">
        <v>38504</v>
      </c>
      <c r="DX9" s="453">
        <v>38596</v>
      </c>
      <c r="DY9" s="453">
        <v>38687</v>
      </c>
      <c r="DZ9" s="453">
        <v>38777</v>
      </c>
      <c r="EA9" s="454">
        <v>38869</v>
      </c>
      <c r="EB9" s="453">
        <v>38961</v>
      </c>
      <c r="EC9" s="453">
        <v>39052</v>
      </c>
      <c r="ED9" s="453">
        <v>39142</v>
      </c>
      <c r="EE9" s="453">
        <v>39234</v>
      </c>
      <c r="EF9" s="453">
        <v>39326</v>
      </c>
      <c r="EG9" s="453">
        <v>39417</v>
      </c>
      <c r="EH9" s="453">
        <v>39508</v>
      </c>
      <c r="EI9" s="453">
        <v>39600</v>
      </c>
      <c r="EJ9" s="453">
        <v>39692</v>
      </c>
      <c r="EK9" s="453">
        <v>39783</v>
      </c>
      <c r="EL9" s="453">
        <v>39873</v>
      </c>
      <c r="EM9" s="453">
        <v>39965</v>
      </c>
      <c r="EN9" s="453">
        <v>40057</v>
      </c>
      <c r="EO9" s="453">
        <v>40148</v>
      </c>
      <c r="EP9" s="453">
        <v>40238</v>
      </c>
      <c r="EQ9" s="453">
        <v>40330</v>
      </c>
      <c r="ER9" s="453">
        <v>40422</v>
      </c>
      <c r="ES9" s="453">
        <v>40513</v>
      </c>
      <c r="ET9" s="453">
        <v>40603</v>
      </c>
      <c r="EU9" s="453">
        <v>40695</v>
      </c>
      <c r="EV9" s="453">
        <v>40787</v>
      </c>
      <c r="EW9" s="453">
        <v>40878</v>
      </c>
      <c r="EX9" s="453">
        <v>40969</v>
      </c>
      <c r="EY9" s="453">
        <v>41061</v>
      </c>
      <c r="EZ9" s="453">
        <v>41153</v>
      </c>
      <c r="FA9" s="453">
        <v>41244</v>
      </c>
      <c r="FB9" s="453">
        <v>41334</v>
      </c>
      <c r="FC9" s="453">
        <v>41426</v>
      </c>
      <c r="FD9" s="453">
        <v>41518</v>
      </c>
      <c r="FE9" s="453">
        <v>41609</v>
      </c>
      <c r="FF9" s="453">
        <v>41699</v>
      </c>
      <c r="FG9" s="453">
        <v>41791</v>
      </c>
      <c r="FH9" s="453">
        <v>41883</v>
      </c>
      <c r="FI9" s="453">
        <v>41974</v>
      </c>
      <c r="FJ9" s="453">
        <v>42064</v>
      </c>
      <c r="FK9" s="453">
        <v>42156</v>
      </c>
      <c r="FL9" s="453">
        <v>42248</v>
      </c>
      <c r="FM9" s="453">
        <v>42339</v>
      </c>
      <c r="FN9" s="453">
        <v>42430</v>
      </c>
      <c r="FO9" s="453">
        <v>42522</v>
      </c>
      <c r="FP9" s="453">
        <v>42614</v>
      </c>
      <c r="FQ9" s="453">
        <v>42705</v>
      </c>
      <c r="FR9" s="453">
        <v>42795</v>
      </c>
      <c r="FS9" s="453">
        <v>42887</v>
      </c>
      <c r="FT9" s="453">
        <v>42979</v>
      </c>
      <c r="FU9" s="453">
        <v>43070</v>
      </c>
      <c r="FV9" s="453">
        <v>43160</v>
      </c>
      <c r="FW9" s="453">
        <v>43252</v>
      </c>
      <c r="FX9" s="453">
        <v>43344</v>
      </c>
      <c r="FY9" s="453">
        <v>43435</v>
      </c>
      <c r="FZ9" s="453">
        <v>43525</v>
      </c>
      <c r="GA9" s="453">
        <v>43617</v>
      </c>
      <c r="GB9" s="453">
        <v>43709</v>
      </c>
      <c r="GC9" s="453">
        <v>43800</v>
      </c>
      <c r="GD9" s="453">
        <v>43891</v>
      </c>
      <c r="GE9" s="453">
        <v>43983</v>
      </c>
      <c r="GF9" s="453">
        <v>44075</v>
      </c>
      <c r="GG9" s="453">
        <v>44166</v>
      </c>
      <c r="GH9" s="453">
        <v>44256</v>
      </c>
      <c r="GI9" s="453">
        <v>44348</v>
      </c>
      <c r="GJ9" s="453">
        <v>44440</v>
      </c>
      <c r="GK9" s="453">
        <v>44531</v>
      </c>
      <c r="GL9" s="453">
        <v>44621</v>
      </c>
      <c r="GM9" s="453">
        <v>44713</v>
      </c>
      <c r="GN9" s="453">
        <v>44805</v>
      </c>
      <c r="GO9" s="453">
        <v>44896</v>
      </c>
      <c r="GP9" s="453">
        <v>44986</v>
      </c>
      <c r="GQ9" s="453">
        <v>45078</v>
      </c>
      <c r="GR9" s="453">
        <v>45170</v>
      </c>
      <c r="GS9" s="455" t="s">
        <v>2090</v>
      </c>
    </row>
    <row r="10" spans="1:201" ht="14.25" customHeight="1">
      <c r="A10" s="538"/>
      <c r="B10" s="522"/>
      <c r="C10" s="522"/>
      <c r="D10" s="522"/>
      <c r="E10" s="522"/>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2"/>
      <c r="AZ10" s="522"/>
      <c r="BA10" s="522"/>
      <c r="BB10" s="522"/>
      <c r="BC10" s="522"/>
      <c r="BD10" s="522"/>
      <c r="BE10" s="522"/>
      <c r="BF10" s="522"/>
      <c r="BG10" s="522"/>
      <c r="BH10" s="522"/>
      <c r="BI10" s="522"/>
      <c r="BJ10" s="522"/>
      <c r="BK10" s="522"/>
      <c r="BL10" s="522"/>
      <c r="BM10" s="522"/>
      <c r="BN10" s="529"/>
      <c r="BO10" s="529"/>
      <c r="BP10" s="529"/>
      <c r="BQ10" s="529"/>
      <c r="BR10" s="529"/>
      <c r="BS10" s="529"/>
      <c r="BT10" s="529"/>
      <c r="BU10" s="529"/>
      <c r="BV10" s="529"/>
      <c r="BW10" s="529"/>
      <c r="BX10" s="529"/>
      <c r="BY10" s="529"/>
      <c r="BZ10" s="529"/>
      <c r="CA10" s="529"/>
      <c r="CB10" s="529"/>
      <c r="CC10" s="529"/>
      <c r="CD10" s="529"/>
      <c r="CE10" s="529"/>
      <c r="CF10" s="529"/>
      <c r="CG10" s="529"/>
      <c r="CH10" s="529"/>
      <c r="CI10" s="529"/>
      <c r="CJ10" s="529"/>
      <c r="CK10" s="529"/>
      <c r="CL10" s="529"/>
      <c r="CM10" s="529"/>
      <c r="CN10" s="529"/>
      <c r="CO10" s="529"/>
      <c r="CP10" s="529"/>
      <c r="CQ10" s="529"/>
      <c r="CR10" s="529"/>
      <c r="CS10" s="529"/>
      <c r="CT10" s="529"/>
      <c r="CU10" s="529"/>
      <c r="CV10" s="529"/>
      <c r="CW10" s="529"/>
      <c r="CX10" s="529"/>
      <c r="CY10" s="529"/>
      <c r="CZ10" s="529"/>
      <c r="DA10" s="529"/>
      <c r="DB10" s="529"/>
      <c r="DC10" s="529"/>
      <c r="DD10" s="529"/>
      <c r="DE10" s="529"/>
      <c r="DF10" s="529"/>
      <c r="DG10" s="529"/>
      <c r="DH10" s="529"/>
      <c r="DI10" s="529"/>
      <c r="DJ10" s="529"/>
      <c r="DK10" s="529"/>
      <c r="DL10" s="529"/>
      <c r="DM10" s="529"/>
      <c r="DN10" s="529"/>
      <c r="DO10" s="529"/>
      <c r="DP10" s="529"/>
      <c r="DQ10" s="529"/>
      <c r="DR10" s="529"/>
      <c r="DS10" s="529"/>
      <c r="DT10" s="529"/>
      <c r="DU10" s="529"/>
      <c r="DV10" s="529"/>
      <c r="DW10" s="529"/>
      <c r="DX10" s="529"/>
      <c r="DY10" s="529"/>
      <c r="DZ10" s="529"/>
      <c r="EA10" s="529"/>
      <c r="EB10" s="529"/>
      <c r="EC10" s="529"/>
      <c r="ED10" s="529"/>
      <c r="EE10" s="529"/>
      <c r="EF10" s="529"/>
      <c r="EG10" s="529"/>
      <c r="EH10" s="529"/>
      <c r="EI10" s="529"/>
      <c r="EJ10" s="529"/>
      <c r="EK10" s="529"/>
      <c r="EL10" s="529"/>
      <c r="EM10" s="529"/>
      <c r="EN10" s="529"/>
      <c r="EO10" s="529"/>
      <c r="EP10" s="529"/>
      <c r="EQ10" s="529"/>
      <c r="ER10" s="529"/>
      <c r="ES10" s="529"/>
      <c r="ET10" s="529"/>
      <c r="EU10" s="529"/>
      <c r="EV10" s="529"/>
      <c r="EW10" s="529"/>
      <c r="EX10" s="529"/>
      <c r="EY10" s="529"/>
      <c r="EZ10" s="529"/>
      <c r="FA10" s="529"/>
      <c r="FB10" s="529"/>
      <c r="FC10" s="529"/>
      <c r="FD10" s="529"/>
      <c r="FE10" s="529"/>
      <c r="FF10" s="529"/>
      <c r="FG10" s="529"/>
      <c r="FH10" s="529"/>
      <c r="FI10" s="529"/>
      <c r="FJ10" s="529"/>
      <c r="FK10" s="529"/>
      <c r="FL10" s="529"/>
      <c r="FM10" s="529"/>
      <c r="FN10" s="529"/>
      <c r="FO10" s="529"/>
      <c r="FP10" s="529"/>
      <c r="FQ10" s="529"/>
      <c r="FR10" s="529"/>
      <c r="FS10" s="529"/>
      <c r="FT10" s="529"/>
      <c r="FU10" s="529"/>
      <c r="FV10" s="529"/>
      <c r="FW10" s="529"/>
      <c r="FX10" s="529"/>
      <c r="FY10" s="529"/>
      <c r="FZ10" s="517"/>
      <c r="GA10" s="517"/>
      <c r="GB10" s="517"/>
      <c r="GC10" s="517"/>
      <c r="GD10" s="517"/>
      <c r="GE10" s="517"/>
      <c r="GF10" s="517"/>
      <c r="GG10" s="517"/>
      <c r="GH10" s="517"/>
      <c r="GI10" s="517"/>
      <c r="GJ10" s="517"/>
      <c r="GK10" s="517"/>
      <c r="GL10" s="517"/>
      <c r="GM10" s="517"/>
      <c r="GN10" s="517"/>
      <c r="GO10" s="517"/>
      <c r="GP10" s="517"/>
      <c r="GQ10" s="517"/>
      <c r="GR10" s="517"/>
      <c r="GS10" s="456"/>
    </row>
    <row r="11" spans="1:201" ht="14.25" customHeight="1">
      <c r="A11" s="539" t="s">
        <v>2091</v>
      </c>
      <c r="B11" s="540">
        <v>4120.6814700319774</v>
      </c>
      <c r="C11" s="540">
        <v>4883.6129296141626</v>
      </c>
      <c r="D11" s="540">
        <v>5729.0777581238654</v>
      </c>
      <c r="E11" s="540">
        <v>5745.8125608420341</v>
      </c>
      <c r="F11" s="540">
        <v>4205.6814700319774</v>
      </c>
      <c r="G11" s="540">
        <v>5379.7629296141622</v>
      </c>
      <c r="H11" s="540">
        <v>5962.227758123865</v>
      </c>
      <c r="I11" s="540">
        <v>4875.9625608420338</v>
      </c>
      <c r="J11" s="540">
        <v>4625.831470031977</v>
      </c>
      <c r="K11" s="540">
        <v>5646.7629296141622</v>
      </c>
      <c r="L11" s="540">
        <v>6133.227758123865</v>
      </c>
      <c r="M11" s="540">
        <v>5117.9625608420329</v>
      </c>
      <c r="N11" s="540">
        <v>4804.831470031977</v>
      </c>
      <c r="O11" s="540">
        <v>5887.7629296141622</v>
      </c>
      <c r="P11" s="540">
        <v>6269.227758123865</v>
      </c>
      <c r="Q11" s="540">
        <v>5133.9625608420329</v>
      </c>
      <c r="R11" s="540">
        <v>4757.831470031977</v>
      </c>
      <c r="S11" s="540">
        <v>5746.7804296141621</v>
      </c>
      <c r="T11" s="540">
        <v>6301.2452581238649</v>
      </c>
      <c r="U11" s="540">
        <v>5351.9800608420337</v>
      </c>
      <c r="V11" s="540">
        <v>5103.8489700319769</v>
      </c>
      <c r="W11" s="540">
        <v>5815.842429614162</v>
      </c>
      <c r="X11" s="540">
        <v>6248.3072581238648</v>
      </c>
      <c r="Y11" s="540">
        <v>5310.0420608420336</v>
      </c>
      <c r="Z11" s="540">
        <v>5072.9109700319768</v>
      </c>
      <c r="AA11" s="540">
        <v>5997.842429614162</v>
      </c>
      <c r="AB11" s="540">
        <v>6510.3072581238648</v>
      </c>
      <c r="AC11" s="540">
        <v>5435.0420608420336</v>
      </c>
      <c r="AD11" s="540">
        <v>5154.9109700319768</v>
      </c>
      <c r="AE11" s="540">
        <v>6089.092429614162</v>
      </c>
      <c r="AF11" s="540">
        <v>6697.5572581238648</v>
      </c>
      <c r="AG11" s="540">
        <v>5653.2920608420336</v>
      </c>
      <c r="AH11" s="540">
        <v>5413.1609700319768</v>
      </c>
      <c r="AI11" s="540">
        <v>6451.467429614162</v>
      </c>
      <c r="AJ11" s="540">
        <v>6929.9322581238648</v>
      </c>
      <c r="AK11" s="540">
        <v>6084.6670608420336</v>
      </c>
      <c r="AL11" s="540">
        <v>5755.5359700319768</v>
      </c>
      <c r="AM11" s="540">
        <v>6846.484929614162</v>
      </c>
      <c r="AN11" s="540">
        <v>7487.9497581238647</v>
      </c>
      <c r="AO11" s="540">
        <v>6354.6845608420335</v>
      </c>
      <c r="AP11" s="540">
        <v>6187.5534700319768</v>
      </c>
      <c r="AQ11" s="540">
        <v>7106.5374296141617</v>
      </c>
      <c r="AR11" s="540">
        <v>7636.1222581238653</v>
      </c>
      <c r="AS11" s="540">
        <v>6626.7460608420333</v>
      </c>
      <c r="AT11" s="540">
        <v>6329.3714700319779</v>
      </c>
      <c r="AU11" s="540">
        <v>7261.1593427796861</v>
      </c>
      <c r="AV11" s="540">
        <v>7721.0788692508322</v>
      </c>
      <c r="AW11" s="540">
        <v>6680.478715586074</v>
      </c>
      <c r="AX11" s="540">
        <v>6352.9033932663797</v>
      </c>
      <c r="AY11" s="540">
        <v>7527.2535235259784</v>
      </c>
      <c r="AZ11" s="540">
        <v>8159.1523029686323</v>
      </c>
      <c r="BA11" s="540">
        <v>6916.1133767537513</v>
      </c>
      <c r="BB11" s="540">
        <v>6639.2886850041386</v>
      </c>
      <c r="BC11" s="540">
        <v>7548.2335506867466</v>
      </c>
      <c r="BD11" s="540">
        <v>8031.4132944993526</v>
      </c>
      <c r="BE11" s="540">
        <v>7105.2336732506092</v>
      </c>
      <c r="BF11" s="540">
        <v>7011.3717887288349</v>
      </c>
      <c r="BG11" s="540">
        <v>7933.1662816359812</v>
      </c>
      <c r="BH11" s="540">
        <v>8227.3164313497837</v>
      </c>
      <c r="BI11" s="540">
        <v>7454.7944724673825</v>
      </c>
      <c r="BJ11" s="540">
        <v>6922.451486437727</v>
      </c>
      <c r="BK11" s="540">
        <v>8050.8850044368974</v>
      </c>
      <c r="BL11" s="540">
        <v>8527.9376438551462</v>
      </c>
      <c r="BM11" s="540">
        <v>7347.9947998675661</v>
      </c>
      <c r="BN11" s="540">
        <v>7258.298486222845</v>
      </c>
      <c r="BO11" s="540">
        <v>8191.8184174718854</v>
      </c>
      <c r="BP11" s="540">
        <v>8735.096775469272</v>
      </c>
      <c r="BQ11" s="540">
        <v>7601.3916902171595</v>
      </c>
      <c r="BR11" s="540">
        <v>7396.0807751727989</v>
      </c>
      <c r="BS11" s="540">
        <v>8466.8466625323508</v>
      </c>
      <c r="BT11" s="540">
        <v>8812.9867688598806</v>
      </c>
      <c r="BU11" s="540">
        <v>8053.6796448440155</v>
      </c>
      <c r="BV11" s="540">
        <v>7786.0922881367542</v>
      </c>
      <c r="BW11" s="540">
        <v>8690.1652153692521</v>
      </c>
      <c r="BX11" s="540">
        <v>7670.3779340182573</v>
      </c>
      <c r="BY11" s="540">
        <v>8082.5508497384481</v>
      </c>
      <c r="BZ11" s="540">
        <v>7978.2214913750422</v>
      </c>
      <c r="CA11" s="540">
        <v>8398.3837496826472</v>
      </c>
      <c r="CB11" s="540">
        <v>9247.2184391799437</v>
      </c>
      <c r="CC11" s="540">
        <v>8052.4733130114955</v>
      </c>
      <c r="CD11" s="540">
        <v>7986.3729627844205</v>
      </c>
      <c r="CE11" s="540">
        <v>8629.3331684745226</v>
      </c>
      <c r="CF11" s="540">
        <v>9320.20044874831</v>
      </c>
      <c r="CG11" s="540">
        <v>8411.103662973379</v>
      </c>
      <c r="CH11" s="540">
        <v>8221.8532633581581</v>
      </c>
      <c r="CI11" s="540">
        <v>9074.756855962547</v>
      </c>
      <c r="CJ11" s="540">
        <v>9616.057980014557</v>
      </c>
      <c r="CK11" s="540">
        <v>8662.8124037225498</v>
      </c>
      <c r="CL11" s="540">
        <v>8388.6387113353831</v>
      </c>
      <c r="CM11" s="540">
        <v>9172.7862091688457</v>
      </c>
      <c r="CN11" s="540">
        <v>9638.7377812097038</v>
      </c>
      <c r="CO11" s="540">
        <v>8669.5145687643126</v>
      </c>
      <c r="CP11" s="540">
        <v>8182.9710657758314</v>
      </c>
      <c r="CQ11" s="540">
        <v>9280.0616500288052</v>
      </c>
      <c r="CR11" s="540">
        <v>9992.7943378973232</v>
      </c>
      <c r="CS11" s="540">
        <v>8849.8679088439294</v>
      </c>
      <c r="CT11" s="540">
        <v>8702.567052377306</v>
      </c>
      <c r="CU11" s="540">
        <v>9446.0799500947378</v>
      </c>
      <c r="CV11" s="540">
        <v>9757.3470129018187</v>
      </c>
      <c r="CW11" s="540">
        <v>8827.6312682164207</v>
      </c>
      <c r="CX11" s="540">
        <v>8523.2230556775503</v>
      </c>
      <c r="CY11" s="540">
        <v>9393.6010741706687</v>
      </c>
      <c r="CZ11" s="540">
        <v>9860.5346812845273</v>
      </c>
      <c r="DA11" s="540">
        <v>8998.3213825885177</v>
      </c>
      <c r="DB11" s="540">
        <v>8809.945259424223</v>
      </c>
      <c r="DC11" s="540">
        <v>9607.2697451431141</v>
      </c>
      <c r="DD11" s="540">
        <v>10278.697344784216</v>
      </c>
      <c r="DE11" s="540">
        <v>9504.1621377051433</v>
      </c>
      <c r="DF11" s="540">
        <v>9186.4890335405635</v>
      </c>
      <c r="DG11" s="540">
        <v>9997.7719768471634</v>
      </c>
      <c r="DH11" s="540">
        <v>9971.842887912233</v>
      </c>
      <c r="DI11" s="540">
        <v>9187.8262768626155</v>
      </c>
      <c r="DJ11" s="540">
        <v>9016.2087268168016</v>
      </c>
      <c r="DK11" s="540">
        <v>9936.6561176072664</v>
      </c>
      <c r="DL11" s="540">
        <v>10630.188627933998</v>
      </c>
      <c r="DM11" s="540">
        <v>9897.5532638815184</v>
      </c>
      <c r="DN11" s="540">
        <v>9424.7694375577539</v>
      </c>
      <c r="DO11" s="540">
        <v>9484.005214085746</v>
      </c>
      <c r="DP11" s="540">
        <v>10686.20970358575</v>
      </c>
      <c r="DQ11" s="540">
        <v>9931.2677062857456</v>
      </c>
      <c r="DR11" s="540">
        <v>9744.6769015073442</v>
      </c>
      <c r="DS11" s="540">
        <v>10402.623820855357</v>
      </c>
      <c r="DT11" s="540">
        <v>11320.984109855359</v>
      </c>
      <c r="DU11" s="540">
        <v>10059.03267735535</v>
      </c>
      <c r="DV11" s="540">
        <v>9703.72828964576</v>
      </c>
      <c r="DW11" s="540">
        <v>10663.449881020437</v>
      </c>
      <c r="DX11" s="540">
        <v>10998.789134450484</v>
      </c>
      <c r="DY11" s="540">
        <v>10160.008389450497</v>
      </c>
      <c r="DZ11" s="540">
        <v>9786.4689011904866</v>
      </c>
      <c r="EA11" s="540">
        <v>10723.438737461214</v>
      </c>
      <c r="EB11" s="540">
        <v>11316.48115903721</v>
      </c>
      <c r="EC11" s="540">
        <v>10236.205080331622</v>
      </c>
      <c r="ED11" s="540">
        <v>9900.0492869779464</v>
      </c>
      <c r="EE11" s="540">
        <v>10668.726473511568</v>
      </c>
      <c r="EF11" s="540">
        <v>11401.928825453166</v>
      </c>
      <c r="EG11" s="540">
        <v>10449.970283725968</v>
      </c>
      <c r="EH11" s="540">
        <v>10038.012953167163</v>
      </c>
      <c r="EI11" s="540">
        <v>10826.895005363638</v>
      </c>
      <c r="EJ11" s="540">
        <v>11416.664215944449</v>
      </c>
      <c r="EK11" s="540">
        <v>10110.336284426043</v>
      </c>
      <c r="EL11" s="540">
        <v>9608.4546594108069</v>
      </c>
      <c r="EM11" s="540">
        <v>10821.45015605244</v>
      </c>
      <c r="EN11" s="540">
        <v>11230.735448144223</v>
      </c>
      <c r="EO11" s="540">
        <v>10509.565758564175</v>
      </c>
      <c r="EP11" s="540">
        <v>10177.197808194358</v>
      </c>
      <c r="EQ11" s="540">
        <v>10967.629655451625</v>
      </c>
      <c r="ER11" s="540">
        <v>11701.255831785393</v>
      </c>
      <c r="ES11" s="540">
        <v>10722.531648883427</v>
      </c>
      <c r="ET11" s="540">
        <v>10187.759439976118</v>
      </c>
      <c r="EU11" s="540">
        <v>10864.941145140041</v>
      </c>
      <c r="EV11" s="540">
        <v>11762.625409666094</v>
      </c>
      <c r="EW11" s="540">
        <v>10452.972150049432</v>
      </c>
      <c r="EX11" s="540">
        <v>10159.035296384638</v>
      </c>
      <c r="EY11" s="540">
        <v>10975.285921153383</v>
      </c>
      <c r="EZ11" s="540">
        <v>11461.95619635283</v>
      </c>
      <c r="FA11" s="540">
        <v>10552.276571841061</v>
      </c>
      <c r="FB11" s="540">
        <v>10120.178239412226</v>
      </c>
      <c r="FC11" s="540">
        <v>10639.662087086697</v>
      </c>
      <c r="FD11" s="540">
        <v>11230.46454944688</v>
      </c>
      <c r="FE11" s="540">
        <v>10367.422686547994</v>
      </c>
      <c r="FF11" s="540">
        <v>10065.819388328173</v>
      </c>
      <c r="FG11" s="540">
        <v>10559.787833182983</v>
      </c>
      <c r="FH11" s="540">
        <v>11419.490177717696</v>
      </c>
      <c r="FI11" s="540">
        <v>10606.288805546159</v>
      </c>
      <c r="FJ11" s="540">
        <v>10235.541268866291</v>
      </c>
      <c r="FK11" s="540">
        <v>10834.098874391462</v>
      </c>
      <c r="FL11" s="540">
        <v>11592.804023116669</v>
      </c>
      <c r="FM11" s="540">
        <v>10671.131528192811</v>
      </c>
      <c r="FN11" s="540">
        <v>10294.249054373093</v>
      </c>
      <c r="FO11" s="540">
        <v>10679.279403663621</v>
      </c>
      <c r="FP11" s="540">
        <v>11552.784398823564</v>
      </c>
      <c r="FQ11" s="540">
        <v>10392.936718131645</v>
      </c>
      <c r="FR11" s="540">
        <v>10249.703260341837</v>
      </c>
      <c r="FS11" s="540">
        <v>10881.721068483126</v>
      </c>
      <c r="FT11" s="540">
        <v>11555.755984014992</v>
      </c>
      <c r="FU11" s="540">
        <v>10624.128693904458</v>
      </c>
      <c r="FV11" s="540">
        <v>10094.36256334397</v>
      </c>
      <c r="FW11" s="540">
        <v>11163.837270592667</v>
      </c>
      <c r="FX11" s="540">
        <v>11665.026421931776</v>
      </c>
      <c r="FY11" s="540">
        <v>10495.717590491731</v>
      </c>
      <c r="FZ11" s="541">
        <v>10351.943635776293</v>
      </c>
      <c r="GA11" s="541">
        <v>10994.699422259828</v>
      </c>
      <c r="GB11" s="541">
        <v>11753.754566255515</v>
      </c>
      <c r="GC11" s="541">
        <v>10714.355603268377</v>
      </c>
      <c r="GD11" s="541">
        <v>10436.446026024367</v>
      </c>
      <c r="GE11" s="541">
        <v>10407.801784736481</v>
      </c>
      <c r="GF11" s="541">
        <v>11680.795783103664</v>
      </c>
      <c r="GG11" s="541">
        <v>10649.065162118559</v>
      </c>
      <c r="GH11" s="541">
        <v>10212.288073227495</v>
      </c>
      <c r="GI11" s="541">
        <v>10948.273614781256</v>
      </c>
      <c r="GJ11" s="541">
        <v>11598.189527841721</v>
      </c>
      <c r="GK11" s="541">
        <v>10511.896183209632</v>
      </c>
      <c r="GL11" s="541">
        <v>10251.377283977625</v>
      </c>
      <c r="GM11" s="541">
        <v>10816.547386641114</v>
      </c>
      <c r="GN11" s="541">
        <v>11801.468854081881</v>
      </c>
      <c r="GO11" s="541">
        <v>10606.592488550616</v>
      </c>
      <c r="GP11" s="541">
        <v>10125.829708412683</v>
      </c>
      <c r="GQ11" s="541">
        <v>10959.630086737121</v>
      </c>
      <c r="GR11" s="541">
        <v>11791.191901275019</v>
      </c>
      <c r="GS11" s="457">
        <v>-8.7081980505399059E-4</v>
      </c>
    </row>
    <row r="12" spans="1:201" ht="14.25" customHeight="1" outlineLevel="1">
      <c r="A12" s="531" t="s">
        <v>2092</v>
      </c>
      <c r="B12" s="533">
        <v>3201</v>
      </c>
      <c r="C12" s="533">
        <v>3432</v>
      </c>
      <c r="D12" s="533">
        <v>4174</v>
      </c>
      <c r="E12" s="533">
        <v>4230</v>
      </c>
      <c r="F12" s="533">
        <v>3242</v>
      </c>
      <c r="G12" s="533">
        <v>4330</v>
      </c>
      <c r="H12" s="533">
        <v>4842</v>
      </c>
      <c r="I12" s="533">
        <v>4083</v>
      </c>
      <c r="J12" s="533">
        <v>3604</v>
      </c>
      <c r="K12" s="533">
        <v>3747</v>
      </c>
      <c r="L12" s="533">
        <v>4493</v>
      </c>
      <c r="M12" s="533">
        <v>3500</v>
      </c>
      <c r="N12" s="533">
        <v>3184</v>
      </c>
      <c r="O12" s="533">
        <v>3778</v>
      </c>
      <c r="P12" s="533">
        <v>4136</v>
      </c>
      <c r="Q12" s="533">
        <v>3475</v>
      </c>
      <c r="R12" s="533">
        <v>3198</v>
      </c>
      <c r="S12" s="533">
        <v>3907</v>
      </c>
      <c r="T12" s="533">
        <v>4397</v>
      </c>
      <c r="U12" s="533">
        <v>4001</v>
      </c>
      <c r="V12" s="533">
        <v>3904</v>
      </c>
      <c r="W12" s="533">
        <v>4754</v>
      </c>
      <c r="X12" s="533">
        <v>4974</v>
      </c>
      <c r="Y12" s="533">
        <v>4627</v>
      </c>
      <c r="Z12" s="533">
        <v>4351</v>
      </c>
      <c r="AA12" s="533">
        <v>4856</v>
      </c>
      <c r="AB12" s="533">
        <v>5359</v>
      </c>
      <c r="AC12" s="533">
        <v>4605</v>
      </c>
      <c r="AD12" s="533">
        <v>4253</v>
      </c>
      <c r="AE12" s="533">
        <v>4882</v>
      </c>
      <c r="AF12" s="533">
        <v>5496</v>
      </c>
      <c r="AG12" s="533">
        <v>4852</v>
      </c>
      <c r="AH12" s="533">
        <v>4297</v>
      </c>
      <c r="AI12" s="533">
        <v>4785</v>
      </c>
      <c r="AJ12" s="533">
        <v>4557</v>
      </c>
      <c r="AK12" s="533">
        <v>4482</v>
      </c>
      <c r="AL12" s="533">
        <v>4159</v>
      </c>
      <c r="AM12" s="533">
        <v>4991</v>
      </c>
      <c r="AN12" s="533">
        <v>5155</v>
      </c>
      <c r="AO12" s="533">
        <v>5249</v>
      </c>
      <c r="AP12" s="533">
        <v>4800</v>
      </c>
      <c r="AQ12" s="533">
        <v>5046</v>
      </c>
      <c r="AR12" s="533">
        <v>5427</v>
      </c>
      <c r="AS12" s="533">
        <v>4900</v>
      </c>
      <c r="AT12" s="533">
        <v>4726</v>
      </c>
      <c r="AU12" s="533">
        <v>4574.2326717343603</v>
      </c>
      <c r="AV12" s="533">
        <v>5318.2226562411697</v>
      </c>
      <c r="AW12" s="533">
        <v>4892.3314515178899</v>
      </c>
      <c r="AX12" s="533">
        <v>4921.7798975065798</v>
      </c>
      <c r="AY12" s="533">
        <v>5283.3196151872098</v>
      </c>
      <c r="AZ12" s="533">
        <v>6331.5884917983203</v>
      </c>
      <c r="BA12" s="533">
        <v>5340.0278758153299</v>
      </c>
      <c r="BB12" s="533">
        <v>4832.9893101991302</v>
      </c>
      <c r="BC12" s="533">
        <v>5790.1699537409704</v>
      </c>
      <c r="BD12" s="533">
        <v>5839.9820564813799</v>
      </c>
      <c r="BE12" s="533">
        <v>5246.1327422465902</v>
      </c>
      <c r="BF12" s="533">
        <v>5190.4767615310502</v>
      </c>
      <c r="BG12" s="533">
        <v>5138.0434144621904</v>
      </c>
      <c r="BH12" s="533">
        <v>6228.4812784960504</v>
      </c>
      <c r="BI12" s="533">
        <v>6176.0291191496399</v>
      </c>
      <c r="BJ12" s="533">
        <v>5619.7527048921202</v>
      </c>
      <c r="BK12" s="533">
        <v>5828.4786572042603</v>
      </c>
      <c r="BL12" s="533">
        <v>5851.8967824906003</v>
      </c>
      <c r="BM12" s="533">
        <v>5033.1405771668897</v>
      </c>
      <c r="BN12" s="533">
        <v>5230.14555613824</v>
      </c>
      <c r="BO12" s="533">
        <v>5439.2907998032097</v>
      </c>
      <c r="BP12" s="533">
        <v>6541.2502807679302</v>
      </c>
      <c r="BQ12" s="533">
        <v>5742.76297891186</v>
      </c>
      <c r="BR12" s="533">
        <v>5386.11706851699</v>
      </c>
      <c r="BS12" s="533">
        <v>5396.9250819478902</v>
      </c>
      <c r="BT12" s="533">
        <v>5778.0045245184301</v>
      </c>
      <c r="BU12" s="533">
        <v>6104.4725824056404</v>
      </c>
      <c r="BV12" s="533">
        <v>5615.0705581280399</v>
      </c>
      <c r="BW12" s="533">
        <v>4597.2007062113998</v>
      </c>
      <c r="BX12" s="533">
        <v>4522.5174995921197</v>
      </c>
      <c r="BY12" s="533">
        <v>6146.9547157673896</v>
      </c>
      <c r="BZ12" s="533">
        <v>6006.5750784290904</v>
      </c>
      <c r="CA12" s="533">
        <v>5294.0491705709101</v>
      </c>
      <c r="CB12" s="533">
        <v>6692.2181340978896</v>
      </c>
      <c r="CC12" s="533">
        <v>5265.1215368427602</v>
      </c>
      <c r="CD12" s="533">
        <v>6061.6541584884399</v>
      </c>
      <c r="CE12" s="533">
        <v>5421.7465959316996</v>
      </c>
      <c r="CF12" s="533">
        <v>7426.1818936970003</v>
      </c>
      <c r="CG12" s="533">
        <v>6669.1268405225801</v>
      </c>
      <c r="CH12" s="533">
        <v>6087.83766984873</v>
      </c>
      <c r="CI12" s="533">
        <v>6951.8645066003101</v>
      </c>
      <c r="CJ12" s="533">
        <v>7047.2160982713503</v>
      </c>
      <c r="CK12" s="533">
        <v>7172.4934202514396</v>
      </c>
      <c r="CL12" s="533">
        <v>6832.4549748769005</v>
      </c>
      <c r="CM12" s="533">
        <v>6375.2830000000004</v>
      </c>
      <c r="CN12" s="533">
        <v>6120.4859999999999</v>
      </c>
      <c r="CO12" s="533">
        <v>6592.8760000000002</v>
      </c>
      <c r="CP12" s="533">
        <v>5572.6729999999998</v>
      </c>
      <c r="CQ12" s="533">
        <v>5295.6679999999997</v>
      </c>
      <c r="CR12" s="533">
        <v>6040.7579999999998</v>
      </c>
      <c r="CS12" s="533">
        <v>6116.4849999999997</v>
      </c>
      <c r="CT12" s="533">
        <v>6159.7510000000002</v>
      </c>
      <c r="CU12" s="533">
        <v>6224.2550000000001</v>
      </c>
      <c r="CV12" s="533">
        <v>6633.6559999999999</v>
      </c>
      <c r="CW12" s="533">
        <v>6048.4709999999995</v>
      </c>
      <c r="CX12" s="533">
        <v>5370.366</v>
      </c>
      <c r="CY12" s="533">
        <v>6065.5529999999999</v>
      </c>
      <c r="CZ12" s="533">
        <v>5819.9859999999999</v>
      </c>
      <c r="DA12" s="533">
        <v>5434.4269999999997</v>
      </c>
      <c r="DB12" s="533">
        <v>5340.6949999999997</v>
      </c>
      <c r="DC12" s="533">
        <v>5862.01</v>
      </c>
      <c r="DD12" s="533">
        <v>6593.5079999999998</v>
      </c>
      <c r="DE12" s="533">
        <v>6394.4139999999998</v>
      </c>
      <c r="DF12" s="533">
        <v>5713.9139999999998</v>
      </c>
      <c r="DG12" s="533">
        <v>5337.652</v>
      </c>
      <c r="DH12" s="533">
        <v>4783.3</v>
      </c>
      <c r="DI12" s="533">
        <v>5629.491</v>
      </c>
      <c r="DJ12" s="533">
        <v>5761.0330735049502</v>
      </c>
      <c r="DK12" s="533">
        <v>5306.12613054951</v>
      </c>
      <c r="DL12" s="533">
        <v>6890.49896687624</v>
      </c>
      <c r="DM12" s="533">
        <v>6666.63711382376</v>
      </c>
      <c r="DN12" s="533">
        <v>5598.5761544999996</v>
      </c>
      <c r="DO12" s="533">
        <v>5081.4630715000003</v>
      </c>
      <c r="DP12" s="533">
        <v>6045.1484220000002</v>
      </c>
      <c r="DQ12" s="533">
        <v>6661.3811016999998</v>
      </c>
      <c r="DR12" s="533">
        <v>6754.5415670000002</v>
      </c>
      <c r="DS12" s="533">
        <v>6288.0620625000001</v>
      </c>
      <c r="DT12" s="533">
        <v>7676.3097715000004</v>
      </c>
      <c r="DU12" s="533">
        <v>6248.7725375</v>
      </c>
      <c r="DV12" s="533">
        <v>6228.9865360000003</v>
      </c>
      <c r="DW12" s="533">
        <v>5707.8312749999996</v>
      </c>
      <c r="DX12" s="533">
        <v>5681.0628390000002</v>
      </c>
      <c r="DY12" s="533">
        <v>5476.3980330000004</v>
      </c>
      <c r="DZ12" s="533">
        <v>5145.9839739999998</v>
      </c>
      <c r="EA12" s="533">
        <v>5726.9340570000004</v>
      </c>
      <c r="EB12" s="533">
        <v>6204.4279980000001</v>
      </c>
      <c r="EC12" s="533">
        <v>6260.1407849999996</v>
      </c>
      <c r="ED12" s="533">
        <v>6057.9174970000004</v>
      </c>
      <c r="EE12" s="533">
        <v>5331.6364510000003</v>
      </c>
      <c r="EF12" s="533">
        <v>6213.937449</v>
      </c>
      <c r="EG12" s="533">
        <v>5800.602887</v>
      </c>
      <c r="EH12" s="533">
        <v>5269.6112029960004</v>
      </c>
      <c r="EI12" s="533">
        <v>4775.8997632095998</v>
      </c>
      <c r="EJ12" s="533">
        <v>6142.1604448184098</v>
      </c>
      <c r="EK12" s="533">
        <v>5936.1930113500002</v>
      </c>
      <c r="EL12" s="533">
        <v>5486.0911896999996</v>
      </c>
      <c r="EM12" s="533">
        <v>5953.9402886458602</v>
      </c>
      <c r="EN12" s="533">
        <v>6339.07661019225</v>
      </c>
      <c r="EO12" s="533">
        <v>6196.1606557585501</v>
      </c>
      <c r="EP12" s="533">
        <v>5704.4797863177901</v>
      </c>
      <c r="EQ12" s="533">
        <v>5969.3691595230503</v>
      </c>
      <c r="ER12" s="533">
        <v>6642.1842670279302</v>
      </c>
      <c r="ES12" s="533">
        <v>6163.2061538913904</v>
      </c>
      <c r="ET12" s="533">
        <v>6156.51963172256</v>
      </c>
      <c r="EU12" s="533">
        <v>6503.0307379447204</v>
      </c>
      <c r="EV12" s="533">
        <v>6249.4856489218701</v>
      </c>
      <c r="EW12" s="533">
        <v>5950.52478891182</v>
      </c>
      <c r="EX12" s="533">
        <v>5210.2113950531002</v>
      </c>
      <c r="EY12" s="533">
        <v>4880.7451143388798</v>
      </c>
      <c r="EZ12" s="533">
        <v>6277.6061331622896</v>
      </c>
      <c r="FA12" s="533">
        <v>6299.1279668913903</v>
      </c>
      <c r="FB12" s="533">
        <v>5252.8406425717103</v>
      </c>
      <c r="FC12" s="533">
        <v>5083.7520520733597</v>
      </c>
      <c r="FD12" s="533">
        <v>6053.3445277955198</v>
      </c>
      <c r="FE12" s="533">
        <v>6408.8475344239496</v>
      </c>
      <c r="FF12" s="533">
        <v>5648.1222472271302</v>
      </c>
      <c r="FG12" s="533">
        <v>5827.1468651147898</v>
      </c>
      <c r="FH12" s="533">
        <v>6711.58080052481</v>
      </c>
      <c r="FI12" s="533">
        <v>5888.0306554527297</v>
      </c>
      <c r="FJ12" s="533">
        <v>5305.5308580798501</v>
      </c>
      <c r="FK12" s="533">
        <v>6102.2186835742496</v>
      </c>
      <c r="FL12" s="533">
        <v>6809.8892573917301</v>
      </c>
      <c r="FM12" s="533">
        <v>6067.0065997297197</v>
      </c>
      <c r="FN12" s="533">
        <v>5796.0738103290396</v>
      </c>
      <c r="FO12" s="533">
        <v>6195.2060635116104</v>
      </c>
      <c r="FP12" s="533">
        <v>7157.8793158665103</v>
      </c>
      <c r="FQ12" s="533">
        <v>6526.5395882740204</v>
      </c>
      <c r="FR12" s="533">
        <v>6163.2502336419702</v>
      </c>
      <c r="FS12" s="533">
        <v>6050.6280005058898</v>
      </c>
      <c r="FT12" s="533">
        <v>6560.3207589589902</v>
      </c>
      <c r="FU12" s="533">
        <v>6149.8968007211497</v>
      </c>
      <c r="FV12" s="533">
        <v>5767.0975269932096</v>
      </c>
      <c r="FW12" s="533">
        <v>6825.1371969066704</v>
      </c>
      <c r="FX12" s="533">
        <v>7158.5708655626804</v>
      </c>
      <c r="FY12" s="533">
        <v>6241.2279721841096</v>
      </c>
      <c r="FZ12" s="533">
        <v>5733.2512267063203</v>
      </c>
      <c r="GA12" s="533">
        <v>6452.4271590073904</v>
      </c>
      <c r="GB12" s="533">
        <v>6694.3595206120799</v>
      </c>
      <c r="GC12" s="533">
        <v>6462.6278387257198</v>
      </c>
      <c r="GD12" s="533">
        <v>5867.4233810115602</v>
      </c>
      <c r="GE12" s="533">
        <v>5668.8285604703997</v>
      </c>
      <c r="GF12" s="533">
        <v>6227.7436893818904</v>
      </c>
      <c r="GG12" s="533">
        <v>6259.9298420845498</v>
      </c>
      <c r="GH12" s="533">
        <v>5315.47240031</v>
      </c>
      <c r="GI12" s="533">
        <v>5375.6372077041497</v>
      </c>
      <c r="GJ12" s="533">
        <v>6742.9255470600001</v>
      </c>
      <c r="GK12" s="533">
        <v>6558.3505700099004</v>
      </c>
      <c r="GL12" s="533">
        <v>5603.8657210420897</v>
      </c>
      <c r="GM12" s="533">
        <v>5781.8557158254098</v>
      </c>
      <c r="GN12" s="533">
        <v>7466.9332590284803</v>
      </c>
      <c r="GO12" s="533">
        <v>7160.7893232319002</v>
      </c>
      <c r="GP12" s="533">
        <v>6022.1573114884404</v>
      </c>
      <c r="GQ12" s="533">
        <v>7240.4418077471901</v>
      </c>
      <c r="GR12" s="533">
        <v>6677.6393501304401</v>
      </c>
      <c r="GS12" s="458">
        <v>-0.10570523152107758</v>
      </c>
    </row>
    <row r="13" spans="1:201" ht="14.25" customHeight="1" outlineLevel="1">
      <c r="A13" s="531" t="s">
        <v>2093</v>
      </c>
      <c r="B13" s="533">
        <v>299.5</v>
      </c>
      <c r="C13" s="533">
        <v>341.5</v>
      </c>
      <c r="D13" s="533">
        <v>358.5</v>
      </c>
      <c r="E13" s="533">
        <v>358.5</v>
      </c>
      <c r="F13" s="533">
        <v>317.5</v>
      </c>
      <c r="G13" s="533">
        <v>345.5</v>
      </c>
      <c r="H13" s="533">
        <v>348.5</v>
      </c>
      <c r="I13" s="533">
        <v>338.5</v>
      </c>
      <c r="J13" s="533">
        <v>294.5</v>
      </c>
      <c r="K13" s="533">
        <v>332.5</v>
      </c>
      <c r="L13" s="533">
        <v>334.5</v>
      </c>
      <c r="M13" s="533">
        <v>328.5</v>
      </c>
      <c r="N13" s="533">
        <v>293.5</v>
      </c>
      <c r="O13" s="533">
        <v>314.5</v>
      </c>
      <c r="P13" s="533">
        <v>324.5</v>
      </c>
      <c r="Q13" s="533">
        <v>284.5</v>
      </c>
      <c r="R13" s="533">
        <v>288.5</v>
      </c>
      <c r="S13" s="533">
        <v>316.5</v>
      </c>
      <c r="T13" s="533">
        <v>324.5</v>
      </c>
      <c r="U13" s="533">
        <v>309.5</v>
      </c>
      <c r="V13" s="533">
        <v>290.5</v>
      </c>
      <c r="W13" s="533">
        <v>295.5</v>
      </c>
      <c r="X13" s="533">
        <v>315.5</v>
      </c>
      <c r="Y13" s="533">
        <v>216.5</v>
      </c>
      <c r="Z13" s="533">
        <v>287.5</v>
      </c>
      <c r="AA13" s="533">
        <v>293.5</v>
      </c>
      <c r="AB13" s="533">
        <v>317.5</v>
      </c>
      <c r="AC13" s="533">
        <v>307.5</v>
      </c>
      <c r="AD13" s="533">
        <v>291.5</v>
      </c>
      <c r="AE13" s="533">
        <v>295.5</v>
      </c>
      <c r="AF13" s="533">
        <v>314.5</v>
      </c>
      <c r="AG13" s="533">
        <v>239.5</v>
      </c>
      <c r="AH13" s="533">
        <v>283.5</v>
      </c>
      <c r="AI13" s="533">
        <v>295.5</v>
      </c>
      <c r="AJ13" s="533">
        <v>311.5</v>
      </c>
      <c r="AK13" s="533">
        <v>267.5</v>
      </c>
      <c r="AL13" s="533">
        <v>296.5</v>
      </c>
      <c r="AM13" s="533">
        <v>305.5</v>
      </c>
      <c r="AN13" s="533">
        <v>319.5</v>
      </c>
      <c r="AO13" s="533">
        <v>251.5</v>
      </c>
      <c r="AP13" s="533">
        <v>325.5</v>
      </c>
      <c r="AQ13" s="533">
        <v>334.5</v>
      </c>
      <c r="AR13" s="533">
        <v>320.5</v>
      </c>
      <c r="AS13" s="533">
        <v>313.5</v>
      </c>
      <c r="AT13" s="533">
        <v>290.5</v>
      </c>
      <c r="AU13" s="533">
        <v>306.01503006012001</v>
      </c>
      <c r="AV13" s="533">
        <v>314.07865731462903</v>
      </c>
      <c r="AW13" s="533">
        <v>254.01853707414801</v>
      </c>
      <c r="AX13" s="533">
        <v>289.88777555110198</v>
      </c>
      <c r="AY13" s="533">
        <v>309.63</v>
      </c>
      <c r="AZ13" s="533">
        <v>319.82</v>
      </c>
      <c r="BA13" s="533">
        <v>314.45999999999998</v>
      </c>
      <c r="BB13" s="533">
        <v>284.08</v>
      </c>
      <c r="BC13" s="533">
        <v>322.12</v>
      </c>
      <c r="BD13" s="533">
        <v>327.97</v>
      </c>
      <c r="BE13" s="533">
        <v>294.26</v>
      </c>
      <c r="BF13" s="533">
        <v>292.92</v>
      </c>
      <c r="BG13" s="533">
        <v>308.26</v>
      </c>
      <c r="BH13" s="533">
        <v>313.3</v>
      </c>
      <c r="BI13" s="533">
        <v>322.7</v>
      </c>
      <c r="BJ13" s="533">
        <v>347</v>
      </c>
      <c r="BK13" s="533">
        <v>421.5</v>
      </c>
      <c r="BL13" s="533">
        <v>476.5</v>
      </c>
      <c r="BM13" s="533">
        <v>460.5</v>
      </c>
      <c r="BN13" s="533">
        <v>500.4</v>
      </c>
      <c r="BO13" s="533">
        <v>515.5</v>
      </c>
      <c r="BP13" s="533">
        <v>545.5</v>
      </c>
      <c r="BQ13" s="533">
        <v>449.5</v>
      </c>
      <c r="BR13" s="533">
        <v>521.5</v>
      </c>
      <c r="BS13" s="533">
        <v>519.5</v>
      </c>
      <c r="BT13" s="533">
        <v>565.5</v>
      </c>
      <c r="BU13" s="533">
        <v>551.5</v>
      </c>
      <c r="BV13" s="533">
        <v>499.50000000000102</v>
      </c>
      <c r="BW13" s="533">
        <v>543.5</v>
      </c>
      <c r="BX13" s="533">
        <v>561.5</v>
      </c>
      <c r="BY13" s="533">
        <v>526.5</v>
      </c>
      <c r="BZ13" s="533">
        <v>538.5</v>
      </c>
      <c r="CA13" s="533">
        <v>570.5</v>
      </c>
      <c r="CB13" s="533">
        <v>583.5</v>
      </c>
      <c r="CC13" s="533">
        <v>554.49999999999898</v>
      </c>
      <c r="CD13" s="533">
        <v>499.5</v>
      </c>
      <c r="CE13" s="533">
        <v>540.5</v>
      </c>
      <c r="CF13" s="533">
        <v>545.5</v>
      </c>
      <c r="CG13" s="533">
        <v>515.5</v>
      </c>
      <c r="CH13" s="533">
        <v>504.5</v>
      </c>
      <c r="CI13" s="533">
        <v>510.70777631197501</v>
      </c>
      <c r="CJ13" s="533">
        <v>527.15846143809802</v>
      </c>
      <c r="CK13" s="533">
        <v>496.52615120324703</v>
      </c>
      <c r="CL13" s="533">
        <v>476.10461104668002</v>
      </c>
      <c r="CM13" s="533">
        <v>520.97</v>
      </c>
      <c r="CN13" s="533">
        <v>541.44200000000001</v>
      </c>
      <c r="CO13" s="533">
        <v>499.911</v>
      </c>
      <c r="CP13" s="533">
        <v>461.279</v>
      </c>
      <c r="CQ13" s="533">
        <v>554.87400000000002</v>
      </c>
      <c r="CR13" s="533">
        <v>593.74199999999996</v>
      </c>
      <c r="CS13" s="533">
        <v>520.46100000000001</v>
      </c>
      <c r="CT13" s="533">
        <v>507.84199999999998</v>
      </c>
      <c r="CU13" s="533">
        <v>646.58000000000004</v>
      </c>
      <c r="CV13" s="533">
        <v>644.71400000000006</v>
      </c>
      <c r="CW13" s="533">
        <v>586.36500000000001</v>
      </c>
      <c r="CX13" s="533">
        <v>557.25099999999998</v>
      </c>
      <c r="CY13" s="533">
        <v>677.09199999999998</v>
      </c>
      <c r="CZ13" s="533">
        <v>739.99599999999998</v>
      </c>
      <c r="DA13" s="533">
        <v>661.423</v>
      </c>
      <c r="DB13" s="533">
        <v>657.80499999999995</v>
      </c>
      <c r="DC13" s="533">
        <v>685.226</v>
      </c>
      <c r="DD13" s="533">
        <v>734.09699999999998</v>
      </c>
      <c r="DE13" s="533">
        <v>678.90899999999999</v>
      </c>
      <c r="DF13" s="533">
        <v>657.98099999999999</v>
      </c>
      <c r="DG13" s="533">
        <v>692.95799999999997</v>
      </c>
      <c r="DH13" s="533">
        <v>691.20100000000002</v>
      </c>
      <c r="DI13" s="533">
        <v>635.63699999999994</v>
      </c>
      <c r="DJ13" s="533">
        <v>599.79677600000002</v>
      </c>
      <c r="DK13" s="533">
        <v>678.34403699999996</v>
      </c>
      <c r="DL13" s="533">
        <v>697.91597100000001</v>
      </c>
      <c r="DM13" s="533">
        <v>678.63438299999996</v>
      </c>
      <c r="DN13" s="533">
        <v>642.06791599999997</v>
      </c>
      <c r="DO13" s="533">
        <v>635.03181807692295</v>
      </c>
      <c r="DP13" s="533">
        <v>675.44094307692296</v>
      </c>
      <c r="DQ13" s="533">
        <v>642.09134107692296</v>
      </c>
      <c r="DR13" s="533">
        <v>604.25977207692301</v>
      </c>
      <c r="DS13" s="533">
        <v>668.39635799999996</v>
      </c>
      <c r="DT13" s="533">
        <v>689.66288999999995</v>
      </c>
      <c r="DU13" s="533">
        <v>668.82737899999995</v>
      </c>
      <c r="DV13" s="533">
        <v>654.53267200000005</v>
      </c>
      <c r="DW13" s="533">
        <v>764.99202500000001</v>
      </c>
      <c r="DX13" s="533">
        <v>775.94892800000002</v>
      </c>
      <c r="DY13" s="533">
        <v>785.176466</v>
      </c>
      <c r="DZ13" s="533">
        <v>751.41899999999998</v>
      </c>
      <c r="EA13" s="533">
        <v>788.96461999999997</v>
      </c>
      <c r="EB13" s="533">
        <v>854.83033</v>
      </c>
      <c r="EC13" s="533">
        <v>782.064527</v>
      </c>
      <c r="ED13" s="533">
        <v>784.47562000000005</v>
      </c>
      <c r="EE13" s="533">
        <v>798.52736800000002</v>
      </c>
      <c r="EF13" s="533">
        <v>875.63</v>
      </c>
      <c r="EG13" s="533">
        <v>895.08023100000003</v>
      </c>
      <c r="EH13" s="533">
        <v>847.78712700000005</v>
      </c>
      <c r="EI13" s="533">
        <v>883.05373499999996</v>
      </c>
      <c r="EJ13" s="533">
        <v>1127.1123372500001</v>
      </c>
      <c r="EK13" s="533">
        <v>1108.15464365</v>
      </c>
      <c r="EL13" s="533">
        <v>1078.57451335</v>
      </c>
      <c r="EM13" s="533">
        <v>1186.7907944999999</v>
      </c>
      <c r="EN13" s="533">
        <v>1214.8534991700001</v>
      </c>
      <c r="EO13" s="533">
        <v>1109.0367334499999</v>
      </c>
      <c r="EP13" s="533">
        <v>1160.4977328699999</v>
      </c>
      <c r="EQ13" s="533">
        <v>1483.70731</v>
      </c>
      <c r="ER13" s="533">
        <v>1456.8331174</v>
      </c>
      <c r="ES13" s="533">
        <v>1457.5192046499999</v>
      </c>
      <c r="ET13" s="533">
        <v>1410.1355329999999</v>
      </c>
      <c r="EU13" s="533">
        <v>1491.6861944750001</v>
      </c>
      <c r="EV13" s="533">
        <v>1518.7634919249999</v>
      </c>
      <c r="EW13" s="533">
        <v>1463.524011425</v>
      </c>
      <c r="EX13" s="533">
        <v>1490.535946625</v>
      </c>
      <c r="EY13" s="533">
        <v>1531.8191441250001</v>
      </c>
      <c r="EZ13" s="533">
        <v>1530.562002075</v>
      </c>
      <c r="FA13" s="533">
        <v>1530.6424588750001</v>
      </c>
      <c r="FB13" s="533">
        <v>1502.390443125</v>
      </c>
      <c r="FC13" s="533">
        <v>1566.674818</v>
      </c>
      <c r="FD13" s="533">
        <v>1711.654</v>
      </c>
      <c r="FE13" s="533">
        <v>1668.011031</v>
      </c>
      <c r="FF13" s="533">
        <v>1682.6159086099999</v>
      </c>
      <c r="FG13" s="533">
        <v>1823.7668516199999</v>
      </c>
      <c r="FH13" s="533">
        <v>1916.62385756</v>
      </c>
      <c r="FI13" s="533">
        <v>1772.1355446600001</v>
      </c>
      <c r="FJ13" s="533">
        <v>1901.8910180400001</v>
      </c>
      <c r="FK13" s="533">
        <v>1975.8266337</v>
      </c>
      <c r="FL13" s="533">
        <v>1930.41661047</v>
      </c>
      <c r="FM13" s="533">
        <v>1940.4965006899999</v>
      </c>
      <c r="FN13" s="533">
        <v>1978.4241707599999</v>
      </c>
      <c r="FO13" s="533">
        <v>1967.3347222</v>
      </c>
      <c r="FP13" s="533">
        <v>1957.50320962</v>
      </c>
      <c r="FQ13" s="533">
        <v>1834.6781381200001</v>
      </c>
      <c r="FR13" s="533">
        <v>1908.1815160900001</v>
      </c>
      <c r="FS13" s="533">
        <v>1965.9416700700001</v>
      </c>
      <c r="FT13" s="533">
        <v>2028.53041343</v>
      </c>
      <c r="FU13" s="533">
        <v>1876.48577639</v>
      </c>
      <c r="FV13" s="533">
        <v>1798.17973127</v>
      </c>
      <c r="FW13" s="533">
        <v>1954.5483640699999</v>
      </c>
      <c r="FX13" s="533">
        <v>2027.0724460700001</v>
      </c>
      <c r="FY13" s="533">
        <v>1949.4845576299999</v>
      </c>
      <c r="FZ13" s="533">
        <v>1884.2189450799999</v>
      </c>
      <c r="GA13" s="533">
        <v>2014.92609882644</v>
      </c>
      <c r="GB13" s="533">
        <v>2027.3916211564399</v>
      </c>
      <c r="GC13" s="533">
        <v>1866.8282322464399</v>
      </c>
      <c r="GD13" s="533">
        <v>1960.2395311764401</v>
      </c>
      <c r="GE13" s="533">
        <v>2013.9713373300001</v>
      </c>
      <c r="GF13" s="533">
        <v>1983.55241237</v>
      </c>
      <c r="GG13" s="533">
        <v>1875.80715072</v>
      </c>
      <c r="GH13" s="533">
        <v>2003.9692733700001</v>
      </c>
      <c r="GI13" s="533">
        <v>1957.5507756003601</v>
      </c>
      <c r="GJ13" s="533">
        <v>1998.74907890036</v>
      </c>
      <c r="GK13" s="533">
        <v>2008.0240239003599</v>
      </c>
      <c r="GL13" s="533">
        <v>1992.2436541403599</v>
      </c>
      <c r="GM13" s="533">
        <v>2052.5802178270601</v>
      </c>
      <c r="GN13" s="533">
        <v>2094.2276053270598</v>
      </c>
      <c r="GO13" s="533">
        <v>1893.6661413270599</v>
      </c>
      <c r="GP13" s="533">
        <v>1922.5029553270599</v>
      </c>
      <c r="GQ13" s="533">
        <v>1832.76425532706</v>
      </c>
      <c r="GR13" s="533">
        <v>2075.8829843270601</v>
      </c>
      <c r="GS13" s="458">
        <v>-8.7596118747249596E-3</v>
      </c>
    </row>
    <row r="14" spans="1:201" ht="14.25" customHeight="1" outlineLevel="1">
      <c r="A14" s="531" t="s">
        <v>2094</v>
      </c>
      <c r="B14" s="533">
        <v>1.899</v>
      </c>
      <c r="C14" s="533">
        <v>1.899</v>
      </c>
      <c r="D14" s="533">
        <v>1.899</v>
      </c>
      <c r="E14" s="533">
        <v>1.899</v>
      </c>
      <c r="F14" s="533">
        <v>1.899</v>
      </c>
      <c r="G14" s="533">
        <v>13.148999999999999</v>
      </c>
      <c r="H14" s="533">
        <v>13.148999999999999</v>
      </c>
      <c r="I14" s="533">
        <v>13.148999999999999</v>
      </c>
      <c r="J14" s="533">
        <v>13.148999999999999</v>
      </c>
      <c r="K14" s="533">
        <v>13.148999999999999</v>
      </c>
      <c r="L14" s="533">
        <v>13.148999999999999</v>
      </c>
      <c r="M14" s="533">
        <v>13.148999999999999</v>
      </c>
      <c r="N14" s="533">
        <v>13.148999999999999</v>
      </c>
      <c r="O14" s="533">
        <v>13.148999999999999</v>
      </c>
      <c r="P14" s="533">
        <v>13.148999999999999</v>
      </c>
      <c r="Q14" s="533">
        <v>13.148999999999999</v>
      </c>
      <c r="R14" s="533">
        <v>13.148999999999999</v>
      </c>
      <c r="S14" s="533">
        <v>13.148999999999999</v>
      </c>
      <c r="T14" s="533">
        <v>13.148999999999999</v>
      </c>
      <c r="U14" s="533">
        <v>13.148999999999999</v>
      </c>
      <c r="V14" s="533">
        <v>13.148999999999999</v>
      </c>
      <c r="W14" s="533">
        <v>14.349</v>
      </c>
      <c r="X14" s="533">
        <v>14.349</v>
      </c>
      <c r="Y14" s="533">
        <v>14.349</v>
      </c>
      <c r="Z14" s="533">
        <v>14.349</v>
      </c>
      <c r="AA14" s="533">
        <v>14.349</v>
      </c>
      <c r="AB14" s="533">
        <v>14.349</v>
      </c>
      <c r="AC14" s="533">
        <v>14.349</v>
      </c>
      <c r="AD14" s="533">
        <v>14.349</v>
      </c>
      <c r="AE14" s="533">
        <v>25.599</v>
      </c>
      <c r="AF14" s="533">
        <v>25.599</v>
      </c>
      <c r="AG14" s="533">
        <v>25.599</v>
      </c>
      <c r="AH14" s="533">
        <v>25.599</v>
      </c>
      <c r="AI14" s="533">
        <v>25.599</v>
      </c>
      <c r="AJ14" s="533">
        <v>25.599</v>
      </c>
      <c r="AK14" s="533">
        <v>25.599</v>
      </c>
      <c r="AL14" s="533">
        <v>25.599</v>
      </c>
      <c r="AM14" s="533">
        <v>26.318999999999999</v>
      </c>
      <c r="AN14" s="533">
        <v>26.318999999999999</v>
      </c>
      <c r="AO14" s="533">
        <v>26.318999999999999</v>
      </c>
      <c r="AP14" s="533">
        <v>26.318999999999999</v>
      </c>
      <c r="AQ14" s="533">
        <v>26.318999999999999</v>
      </c>
      <c r="AR14" s="533">
        <v>26.318999999999999</v>
      </c>
      <c r="AS14" s="533">
        <v>26.318999999999999</v>
      </c>
      <c r="AT14" s="533">
        <v>26.318999999999999</v>
      </c>
      <c r="AU14" s="533">
        <v>26.318999999999999</v>
      </c>
      <c r="AV14" s="533">
        <v>26.318999999999999</v>
      </c>
      <c r="AW14" s="533">
        <v>26.318999999999999</v>
      </c>
      <c r="AX14" s="533">
        <v>26.318999999999999</v>
      </c>
      <c r="AY14" s="533">
        <v>26.318999999999999</v>
      </c>
      <c r="AZ14" s="533">
        <v>26.318999999999999</v>
      </c>
      <c r="BA14" s="533">
        <v>26.318999999999999</v>
      </c>
      <c r="BB14" s="533">
        <v>26.318999999999999</v>
      </c>
      <c r="BC14" s="533">
        <v>26.482500000000002</v>
      </c>
      <c r="BD14" s="533">
        <v>26.482500000000002</v>
      </c>
      <c r="BE14" s="533">
        <v>26.482500000000002</v>
      </c>
      <c r="BF14" s="533">
        <v>26.482500000000002</v>
      </c>
      <c r="BG14" s="533">
        <v>26.482500000000002</v>
      </c>
      <c r="BH14" s="533">
        <v>26.482500000000002</v>
      </c>
      <c r="BI14" s="533">
        <v>26.482500000000002</v>
      </c>
      <c r="BJ14" s="533">
        <v>26.482500000000002</v>
      </c>
      <c r="BK14" s="533">
        <v>26.482500000000002</v>
      </c>
      <c r="BL14" s="533">
        <v>26.482500000000002</v>
      </c>
      <c r="BM14" s="533">
        <v>26.482500000000002</v>
      </c>
      <c r="BN14" s="533">
        <v>26.482500000000002</v>
      </c>
      <c r="BO14" s="533">
        <v>34.762500000000003</v>
      </c>
      <c r="BP14" s="533">
        <v>34.762500000000003</v>
      </c>
      <c r="BQ14" s="533">
        <v>34.762500000000003</v>
      </c>
      <c r="BR14" s="533">
        <v>34.762500000000003</v>
      </c>
      <c r="BS14" s="533">
        <v>38.902500000000003</v>
      </c>
      <c r="BT14" s="533">
        <v>38.902500000000003</v>
      </c>
      <c r="BU14" s="533">
        <v>38.902500000000003</v>
      </c>
      <c r="BV14" s="533">
        <v>38.902500000000003</v>
      </c>
      <c r="BW14" s="533">
        <v>38.902500000000003</v>
      </c>
      <c r="BX14" s="533">
        <v>38.902500000000003</v>
      </c>
      <c r="BY14" s="533">
        <v>38.902500000000003</v>
      </c>
      <c r="BZ14" s="533">
        <v>38.902500000000003</v>
      </c>
      <c r="CA14" s="533">
        <v>38.902500000000003</v>
      </c>
      <c r="CB14" s="533">
        <v>38.902500000000003</v>
      </c>
      <c r="CC14" s="533">
        <v>38.902500000000003</v>
      </c>
      <c r="CD14" s="533">
        <v>38.902500000000003</v>
      </c>
      <c r="CE14" s="533">
        <v>41.152500000000003</v>
      </c>
      <c r="CF14" s="533">
        <v>41.152500000000003</v>
      </c>
      <c r="CG14" s="533">
        <v>41.152500000000003</v>
      </c>
      <c r="CH14" s="533">
        <v>41.152500000000003</v>
      </c>
      <c r="CI14" s="533">
        <v>43.688000000000002</v>
      </c>
      <c r="CJ14" s="533">
        <v>43.688000000000002</v>
      </c>
      <c r="CK14" s="533">
        <v>43.688000000000002</v>
      </c>
      <c r="CL14" s="533">
        <v>43.688000000000002</v>
      </c>
      <c r="CM14" s="533">
        <v>33.3725567814691</v>
      </c>
      <c r="CN14" s="533">
        <v>35.641416275525799</v>
      </c>
      <c r="CO14" s="533">
        <v>33.128297043584297</v>
      </c>
      <c r="CP14" s="533">
        <v>32.643999999999998</v>
      </c>
      <c r="CQ14" s="533">
        <v>35.487000000000002</v>
      </c>
      <c r="CR14" s="533">
        <v>37.972999999999999</v>
      </c>
      <c r="CS14" s="533">
        <v>33.284999999999997</v>
      </c>
      <c r="CT14" s="533">
        <v>32.477699999999999</v>
      </c>
      <c r="CU14" s="533">
        <v>35.889400000000002</v>
      </c>
      <c r="CV14" s="533">
        <v>35.7864</v>
      </c>
      <c r="CW14" s="533">
        <v>32.547800000000002</v>
      </c>
      <c r="CX14" s="533">
        <v>32.683999999999997</v>
      </c>
      <c r="CY14" s="533">
        <v>27.161000000000001</v>
      </c>
      <c r="CZ14" s="533">
        <v>29.684999999999999</v>
      </c>
      <c r="DA14" s="533">
        <v>26.533000000000001</v>
      </c>
      <c r="DB14" s="533">
        <v>26.388000000000002</v>
      </c>
      <c r="DC14" s="533">
        <v>24.949000000000002</v>
      </c>
      <c r="DD14" s="533">
        <v>26.728999999999999</v>
      </c>
      <c r="DE14" s="533">
        <v>24.719000000000001</v>
      </c>
      <c r="DF14" s="533">
        <v>23.957000000000001</v>
      </c>
      <c r="DG14" s="533">
        <v>26.390999999999998</v>
      </c>
      <c r="DH14" s="533">
        <v>26.324000000000002</v>
      </c>
      <c r="DI14" s="533">
        <v>24.207999999999998</v>
      </c>
      <c r="DJ14" s="533">
        <v>21.578082999999999</v>
      </c>
      <c r="DK14" s="533">
        <v>35.837254000000001</v>
      </c>
      <c r="DL14" s="533">
        <v>38.320799000000001</v>
      </c>
      <c r="DM14" s="533">
        <v>35.180567000000003</v>
      </c>
      <c r="DN14" s="533">
        <v>34.863774999999997</v>
      </c>
      <c r="DO14" s="533">
        <v>43.461497999999999</v>
      </c>
      <c r="DP14" s="533">
        <v>44.828339999999997</v>
      </c>
      <c r="DQ14" s="533">
        <v>44.181438</v>
      </c>
      <c r="DR14" s="533">
        <v>42.800713999999999</v>
      </c>
      <c r="DS14" s="533">
        <v>47.188200000000002</v>
      </c>
      <c r="DT14" s="533">
        <v>48.631498999999998</v>
      </c>
      <c r="DU14" s="533">
        <v>47.240640999999997</v>
      </c>
      <c r="DV14" s="533">
        <v>43.077416999999997</v>
      </c>
      <c r="DW14" s="533">
        <v>47.488160999999998</v>
      </c>
      <c r="DX14" s="533">
        <v>49.868631000000001</v>
      </c>
      <c r="DY14" s="533">
        <v>49.708407000000001</v>
      </c>
      <c r="DZ14" s="533">
        <v>47.134622</v>
      </c>
      <c r="EA14" s="533">
        <v>56.662346999999997</v>
      </c>
      <c r="EB14" s="533">
        <v>56.848909999999997</v>
      </c>
      <c r="EC14" s="533">
        <v>57.440469</v>
      </c>
      <c r="ED14" s="533">
        <v>53.072797000000001</v>
      </c>
      <c r="EE14" s="533">
        <v>52.302889999999998</v>
      </c>
      <c r="EF14" s="533">
        <v>53.117486999999997</v>
      </c>
      <c r="EG14" s="533">
        <v>51.964843000000002</v>
      </c>
      <c r="EH14" s="533">
        <v>47.715291000000001</v>
      </c>
      <c r="EI14" s="533">
        <v>51.889363250000002</v>
      </c>
      <c r="EJ14" s="533">
        <v>51.413583250000002</v>
      </c>
      <c r="EK14" s="533">
        <v>51.591224250000003</v>
      </c>
      <c r="EL14" s="533">
        <v>50.506350249999997</v>
      </c>
      <c r="EM14" s="533">
        <v>53.305084000000001</v>
      </c>
      <c r="EN14" s="533">
        <v>54.555354999999999</v>
      </c>
      <c r="EO14" s="533">
        <v>56.671767000000003</v>
      </c>
      <c r="EP14" s="533">
        <v>56.061031999999997</v>
      </c>
      <c r="EQ14" s="533">
        <v>54.003328175</v>
      </c>
      <c r="ER14" s="533">
        <v>53.735483674999998</v>
      </c>
      <c r="ES14" s="533">
        <v>53.705944674999998</v>
      </c>
      <c r="ET14" s="533">
        <v>53.778289675000003</v>
      </c>
      <c r="EU14" s="533">
        <v>54.847630000000002</v>
      </c>
      <c r="EV14" s="533">
        <v>54.954301000000001</v>
      </c>
      <c r="EW14" s="533">
        <v>54.664194999999999</v>
      </c>
      <c r="EX14" s="533">
        <v>54.834600999999999</v>
      </c>
      <c r="EY14" s="533">
        <v>52.593816018492802</v>
      </c>
      <c r="EZ14" s="533">
        <v>52.023067018492803</v>
      </c>
      <c r="FA14" s="533">
        <v>51.537900018492799</v>
      </c>
      <c r="FB14" s="533">
        <v>51.735131018492801</v>
      </c>
      <c r="FC14" s="533">
        <v>49.942265832251799</v>
      </c>
      <c r="FD14" s="533">
        <v>50.461828832251797</v>
      </c>
      <c r="FE14" s="533">
        <v>50.546465832251798</v>
      </c>
      <c r="FF14" s="533">
        <v>53.5696208322518</v>
      </c>
      <c r="FG14" s="533">
        <v>57.606427847500001</v>
      </c>
      <c r="FH14" s="533">
        <v>57.960291847500002</v>
      </c>
      <c r="FI14" s="533">
        <v>58.664153847500003</v>
      </c>
      <c r="FJ14" s="533">
        <v>57.362516847499997</v>
      </c>
      <c r="FK14" s="533">
        <v>61.685506754999999</v>
      </c>
      <c r="FL14" s="533">
        <v>62.451139435000002</v>
      </c>
      <c r="FM14" s="533">
        <v>62.477738754999997</v>
      </c>
      <c r="FN14" s="533">
        <v>62.758356725600002</v>
      </c>
      <c r="FO14" s="533">
        <v>67.247074922414299</v>
      </c>
      <c r="FP14" s="533">
        <v>67.285358976740397</v>
      </c>
      <c r="FQ14" s="533">
        <v>67.3899445818343</v>
      </c>
      <c r="FR14" s="533">
        <v>67.035247654398304</v>
      </c>
      <c r="FS14" s="533">
        <v>65.820686009856701</v>
      </c>
      <c r="FT14" s="533">
        <v>66.105484364056693</v>
      </c>
      <c r="FU14" s="533">
        <v>65.368239138056694</v>
      </c>
      <c r="FV14" s="533">
        <v>65.931612260756694</v>
      </c>
      <c r="FW14" s="533">
        <v>65.020550817750006</v>
      </c>
      <c r="FX14" s="533">
        <v>64.219898501746997</v>
      </c>
      <c r="FY14" s="533">
        <v>66.338824136650004</v>
      </c>
      <c r="FZ14" s="533">
        <v>65.573408692550004</v>
      </c>
      <c r="GA14" s="533">
        <v>67.410202573749999</v>
      </c>
      <c r="GB14" s="533">
        <v>67.108902387049994</v>
      </c>
      <c r="GC14" s="533">
        <v>66.918696273750001</v>
      </c>
      <c r="GD14" s="533">
        <v>64.899998177149996</v>
      </c>
      <c r="GE14" s="533">
        <v>68.039002890797605</v>
      </c>
      <c r="GF14" s="533">
        <v>69.388104938297602</v>
      </c>
      <c r="GG14" s="533">
        <v>69.055454680897597</v>
      </c>
      <c r="GH14" s="533">
        <v>67.499936030797599</v>
      </c>
      <c r="GI14" s="533">
        <v>66.713741586300003</v>
      </c>
      <c r="GJ14" s="533">
        <v>65.446036454999998</v>
      </c>
      <c r="GK14" s="533">
        <v>65.770877834999993</v>
      </c>
      <c r="GL14" s="533">
        <v>65.695273975000006</v>
      </c>
      <c r="GM14" s="533">
        <v>64.191780644999994</v>
      </c>
      <c r="GN14" s="533">
        <v>67.240701375</v>
      </c>
      <c r="GO14" s="533">
        <v>68.386644114999996</v>
      </c>
      <c r="GP14" s="533">
        <v>64.603839454999999</v>
      </c>
      <c r="GQ14" s="533">
        <v>63.771995265000001</v>
      </c>
      <c r="GR14" s="533">
        <v>63.771995265000001</v>
      </c>
      <c r="GS14" s="458">
        <v>-5.1586405838557448E-2</v>
      </c>
    </row>
    <row r="15" spans="1:201" ht="14.25" customHeight="1" outlineLevel="1">
      <c r="A15" s="531" t="s">
        <v>39</v>
      </c>
      <c r="B15" s="533">
        <v>146.01247003197699</v>
      </c>
      <c r="C15" s="533">
        <v>157.94392961416199</v>
      </c>
      <c r="D15" s="533">
        <v>157.408758123865</v>
      </c>
      <c r="E15" s="533">
        <v>148.143560842033</v>
      </c>
      <c r="F15" s="533">
        <v>146.01247003197699</v>
      </c>
      <c r="G15" s="533">
        <v>157.94392961416199</v>
      </c>
      <c r="H15" s="533">
        <v>157.408758123865</v>
      </c>
      <c r="I15" s="533">
        <v>148.143560842033</v>
      </c>
      <c r="J15" s="533">
        <v>146.01247003197699</v>
      </c>
      <c r="K15" s="533">
        <v>157.94392961416199</v>
      </c>
      <c r="L15" s="533">
        <v>157.408758123865</v>
      </c>
      <c r="M15" s="533">
        <v>148.143560842033</v>
      </c>
      <c r="N15" s="533">
        <v>146.01247003197699</v>
      </c>
      <c r="O15" s="533">
        <v>157.94392961416199</v>
      </c>
      <c r="P15" s="533">
        <v>157.408758123865</v>
      </c>
      <c r="Q15" s="533">
        <v>148.143560842033</v>
      </c>
      <c r="R15" s="533">
        <v>146.01247003197699</v>
      </c>
      <c r="S15" s="533">
        <v>157.94392961416199</v>
      </c>
      <c r="T15" s="533">
        <v>157.408758123865</v>
      </c>
      <c r="U15" s="533">
        <v>148.143560842033</v>
      </c>
      <c r="V15" s="533">
        <v>146.01247003197699</v>
      </c>
      <c r="W15" s="533">
        <v>157.94392961416199</v>
      </c>
      <c r="X15" s="533">
        <v>157.408758123865</v>
      </c>
      <c r="Y15" s="533">
        <v>148.143560842033</v>
      </c>
      <c r="Z15" s="533">
        <v>146.01247003197699</v>
      </c>
      <c r="AA15" s="533">
        <v>157.94392961416199</v>
      </c>
      <c r="AB15" s="533">
        <v>157.408758123865</v>
      </c>
      <c r="AC15" s="533">
        <v>148.143560842033</v>
      </c>
      <c r="AD15" s="533">
        <v>146.01247003197699</v>
      </c>
      <c r="AE15" s="533">
        <v>157.94392961416199</v>
      </c>
      <c r="AF15" s="533">
        <v>157.408758123865</v>
      </c>
      <c r="AG15" s="533">
        <v>148.143560842033</v>
      </c>
      <c r="AH15" s="533">
        <v>146.01247003197699</v>
      </c>
      <c r="AI15" s="533">
        <v>157.94392961416199</v>
      </c>
      <c r="AJ15" s="533">
        <v>157.408758123865</v>
      </c>
      <c r="AK15" s="533">
        <v>148.143560842033</v>
      </c>
      <c r="AL15" s="533">
        <v>146.01247003197699</v>
      </c>
      <c r="AM15" s="533">
        <v>157.94392961416199</v>
      </c>
      <c r="AN15" s="533">
        <v>157.408758123865</v>
      </c>
      <c r="AO15" s="533">
        <v>148.143560842033</v>
      </c>
      <c r="AP15" s="533">
        <v>146.01247003197699</v>
      </c>
      <c r="AQ15" s="533">
        <v>165.518929614162</v>
      </c>
      <c r="AR15" s="533">
        <v>164.98375812386499</v>
      </c>
      <c r="AS15" s="533">
        <v>155.71856084203301</v>
      </c>
      <c r="AT15" s="533">
        <v>153.58747003197701</v>
      </c>
      <c r="AU15" s="533">
        <v>165.518929614162</v>
      </c>
      <c r="AV15" s="533">
        <v>164.98375812386499</v>
      </c>
      <c r="AW15" s="533">
        <v>155.71856084203301</v>
      </c>
      <c r="AX15" s="533">
        <v>153.58747003197701</v>
      </c>
      <c r="AY15" s="533">
        <v>165.518929614162</v>
      </c>
      <c r="AZ15" s="533">
        <v>164.98375812386499</v>
      </c>
      <c r="BA15" s="533">
        <v>155.71856084203301</v>
      </c>
      <c r="BB15" s="533">
        <v>153.58747003197701</v>
      </c>
      <c r="BC15" s="533">
        <v>165.518929614162</v>
      </c>
      <c r="BD15" s="533">
        <v>164.98375812386499</v>
      </c>
      <c r="BE15" s="533">
        <v>155.71856084203301</v>
      </c>
      <c r="BF15" s="533">
        <v>153.58747003197701</v>
      </c>
      <c r="BG15" s="533">
        <v>165.518929614162</v>
      </c>
      <c r="BH15" s="533">
        <v>164.98375812386499</v>
      </c>
      <c r="BI15" s="533">
        <v>155.71856084203301</v>
      </c>
      <c r="BJ15" s="533">
        <v>153.46991817087101</v>
      </c>
      <c r="BK15" s="533">
        <v>164.85834723264199</v>
      </c>
      <c r="BL15" s="533">
        <v>164.32777591328801</v>
      </c>
      <c r="BM15" s="533">
        <v>155.142219442086</v>
      </c>
      <c r="BN15" s="533">
        <v>154.535306708749</v>
      </c>
      <c r="BO15" s="533">
        <v>173.50153307704699</v>
      </c>
      <c r="BP15" s="533">
        <v>172.91049937423301</v>
      </c>
      <c r="BQ15" s="533">
        <v>162.67818327356301</v>
      </c>
      <c r="BR15" s="533">
        <v>160.711494424563</v>
      </c>
      <c r="BS15" s="533">
        <v>168.68259744107399</v>
      </c>
      <c r="BT15" s="533">
        <v>168.13935570170199</v>
      </c>
      <c r="BU15" s="533">
        <v>158.73444161664</v>
      </c>
      <c r="BV15" s="533">
        <v>156.19697952176699</v>
      </c>
      <c r="BW15" s="533">
        <v>160.73601986149899</v>
      </c>
      <c r="BX15" s="533">
        <v>160.26176003200499</v>
      </c>
      <c r="BY15" s="533">
        <v>152.05110052794899</v>
      </c>
      <c r="BZ15" s="533">
        <v>150.82657441600901</v>
      </c>
      <c r="CA15" s="533">
        <v>171.55556023749301</v>
      </c>
      <c r="CB15" s="533">
        <v>170.99000601663101</v>
      </c>
      <c r="CC15" s="533">
        <v>161.19880539239699</v>
      </c>
      <c r="CD15" s="533">
        <v>158.827469901597</v>
      </c>
      <c r="CE15" s="533">
        <v>169.79256862739601</v>
      </c>
      <c r="CF15" s="533">
        <v>169.24085908213101</v>
      </c>
      <c r="CG15" s="533">
        <v>159.689345461107</v>
      </c>
      <c r="CH15" s="533">
        <v>157.76478488779401</v>
      </c>
      <c r="CI15" s="533">
        <v>171.799124745765</v>
      </c>
      <c r="CJ15" s="533">
        <v>171.23280880043399</v>
      </c>
      <c r="CK15" s="533">
        <v>161.42842076319101</v>
      </c>
      <c r="CL15" s="533">
        <v>158.20144843589901</v>
      </c>
      <c r="CM15" s="533">
        <v>156.99118913436499</v>
      </c>
      <c r="CN15" s="533">
        <v>161.72422372936401</v>
      </c>
      <c r="CO15" s="533">
        <v>142.70402369310901</v>
      </c>
      <c r="CP15" s="533">
        <v>139.04160621392799</v>
      </c>
      <c r="CQ15" s="533">
        <v>165.064073877342</v>
      </c>
      <c r="CR15" s="533">
        <v>170.17961982728099</v>
      </c>
      <c r="CS15" s="533">
        <v>150.08071752087901</v>
      </c>
      <c r="CT15" s="533">
        <v>145.574696450603</v>
      </c>
      <c r="CU15" s="533">
        <v>163.18006010569999</v>
      </c>
      <c r="CV15" s="533">
        <v>152.693689251829</v>
      </c>
      <c r="CW15" s="533">
        <v>158.86401657004899</v>
      </c>
      <c r="CX15" s="533">
        <v>103.038073722438</v>
      </c>
      <c r="CY15" s="533">
        <v>173.193997597438</v>
      </c>
      <c r="CZ15" s="533">
        <v>186.003662294121</v>
      </c>
      <c r="DA15" s="533">
        <v>164.34428328470599</v>
      </c>
      <c r="DB15" s="533">
        <v>170.899159792245</v>
      </c>
      <c r="DC15" s="533">
        <v>180.24728475153501</v>
      </c>
      <c r="DD15" s="533">
        <v>167.65011592198701</v>
      </c>
      <c r="DE15" s="533">
        <v>176.222743440252</v>
      </c>
      <c r="DF15" s="533">
        <v>159.14887719399201</v>
      </c>
      <c r="DG15" s="533">
        <v>144.64323430216899</v>
      </c>
      <c r="DH15" s="533">
        <v>136.39753513002199</v>
      </c>
      <c r="DI15" s="533">
        <v>134.421993105772</v>
      </c>
      <c r="DJ15" s="533">
        <v>107.75872405885799</v>
      </c>
      <c r="DK15" s="533">
        <v>108.348346260513</v>
      </c>
      <c r="DL15" s="533">
        <v>94.295041092895104</v>
      </c>
      <c r="DM15" s="533">
        <v>102.640900287579</v>
      </c>
      <c r="DN15" s="533">
        <v>90.303669415054003</v>
      </c>
      <c r="DO15" s="533">
        <v>53.172822582771602</v>
      </c>
      <c r="DP15" s="533">
        <v>110.355409275767</v>
      </c>
      <c r="DQ15" s="533">
        <v>97.003782871108996</v>
      </c>
      <c r="DR15" s="533">
        <v>104.89687130516801</v>
      </c>
      <c r="DS15" s="533">
        <v>97.157693661707896</v>
      </c>
      <c r="DT15" s="533">
        <v>97.429473800367603</v>
      </c>
      <c r="DU15" s="533">
        <v>108.47878431093</v>
      </c>
      <c r="DV15" s="533">
        <v>106.252987783237</v>
      </c>
      <c r="DW15" s="533">
        <v>111.5375299928</v>
      </c>
      <c r="DX15" s="533">
        <v>109.98187866861301</v>
      </c>
      <c r="DY15" s="533">
        <v>118.601236739537</v>
      </c>
      <c r="DZ15" s="533">
        <v>116.805995685555</v>
      </c>
      <c r="EA15" s="533">
        <v>120.280294103183</v>
      </c>
      <c r="EB15" s="533">
        <v>112.488420849379</v>
      </c>
      <c r="EC15" s="533">
        <v>123.040075705199</v>
      </c>
      <c r="ED15" s="533">
        <v>120.36558953310499</v>
      </c>
      <c r="EE15" s="533">
        <v>120.042361267112</v>
      </c>
      <c r="EF15" s="533">
        <v>117.182341280218</v>
      </c>
      <c r="EG15" s="533">
        <v>123.692939074644</v>
      </c>
      <c r="EH15" s="533">
        <v>121.712229060216</v>
      </c>
      <c r="EI15" s="533">
        <v>119.13708194395799</v>
      </c>
      <c r="EJ15" s="533">
        <v>117.535064775533</v>
      </c>
      <c r="EK15" s="533">
        <v>121.25068938755901</v>
      </c>
      <c r="EL15" s="533">
        <v>114.715335899759</v>
      </c>
      <c r="EM15" s="533">
        <v>129.477300505279</v>
      </c>
      <c r="EN15" s="533">
        <v>123.74073451741501</v>
      </c>
      <c r="EO15" s="533">
        <v>131.21445779292</v>
      </c>
      <c r="EP15" s="533">
        <v>132.89532486071201</v>
      </c>
      <c r="EQ15" s="533">
        <v>128.23348610706799</v>
      </c>
      <c r="ER15" s="533">
        <v>123.90772493745401</v>
      </c>
      <c r="ES15" s="533">
        <v>117.208022040822</v>
      </c>
      <c r="ET15" s="533">
        <v>118.013445283221</v>
      </c>
      <c r="EU15" s="533">
        <v>121.41381606800999</v>
      </c>
      <c r="EV15" s="533">
        <v>122.528883483719</v>
      </c>
      <c r="EW15" s="533">
        <v>126.202241403724</v>
      </c>
      <c r="EX15" s="533">
        <v>129.68586749046</v>
      </c>
      <c r="EY15" s="533">
        <v>132.36953793183201</v>
      </c>
      <c r="EZ15" s="533">
        <v>131.51536760577801</v>
      </c>
      <c r="FA15" s="533">
        <v>139.22591167225599</v>
      </c>
      <c r="FB15" s="533">
        <v>137.45104868278599</v>
      </c>
      <c r="FC15" s="533">
        <v>133.906538279561</v>
      </c>
      <c r="FD15" s="533">
        <v>136.272058407152</v>
      </c>
      <c r="FE15" s="533">
        <v>140.31176259697901</v>
      </c>
      <c r="FF15" s="533">
        <v>139.06297011621399</v>
      </c>
      <c r="FG15" s="533">
        <v>124.309986602238</v>
      </c>
      <c r="FH15" s="533">
        <v>124.444555844538</v>
      </c>
      <c r="FI15" s="533">
        <v>134.29216068900601</v>
      </c>
      <c r="FJ15" s="533">
        <v>129.619562050295</v>
      </c>
      <c r="FK15" s="533">
        <v>128.55258238166999</v>
      </c>
      <c r="FL15" s="533">
        <v>125.839941437484</v>
      </c>
      <c r="FM15" s="533">
        <v>134.79666083506501</v>
      </c>
      <c r="FN15" s="533">
        <v>130.26298651186801</v>
      </c>
      <c r="FO15" s="533">
        <v>119.24721567049301</v>
      </c>
      <c r="FP15" s="533">
        <v>127.108598411778</v>
      </c>
      <c r="FQ15" s="533">
        <v>119.431855360952</v>
      </c>
      <c r="FR15" s="533">
        <v>126.10694011619699</v>
      </c>
      <c r="FS15" s="533">
        <v>121.449121141367</v>
      </c>
      <c r="FT15" s="533">
        <v>126.986085537585</v>
      </c>
      <c r="FU15" s="533">
        <v>110.520886072339</v>
      </c>
      <c r="FV15" s="533">
        <v>123.13743332897</v>
      </c>
      <c r="FW15" s="533">
        <v>118.647180500075</v>
      </c>
      <c r="FX15" s="533">
        <v>97.936682758175607</v>
      </c>
      <c r="FY15" s="533">
        <v>123.052105084133</v>
      </c>
      <c r="FZ15" s="533">
        <v>123.25643714857</v>
      </c>
      <c r="GA15" s="533">
        <v>113.069190920477</v>
      </c>
      <c r="GB15" s="533">
        <v>123.42670314918701</v>
      </c>
      <c r="GC15" s="533">
        <v>112.617879419278</v>
      </c>
      <c r="GD15" s="533">
        <v>117.47238040082399</v>
      </c>
      <c r="GE15" s="533">
        <v>118.056474690339</v>
      </c>
      <c r="GF15" s="533">
        <v>117.50493447172801</v>
      </c>
      <c r="GG15" s="533">
        <v>106.518705516338</v>
      </c>
      <c r="GH15" s="533">
        <v>121.262561126159</v>
      </c>
      <c r="GI15" s="533">
        <v>121.08604643254201</v>
      </c>
      <c r="GJ15" s="533">
        <v>126.776647122987</v>
      </c>
      <c r="GK15" s="533">
        <v>114.035252510954</v>
      </c>
      <c r="GL15" s="533">
        <v>122.045291104649</v>
      </c>
      <c r="GM15" s="533">
        <v>100.220791583831</v>
      </c>
      <c r="GN15" s="533">
        <v>114.891460823541</v>
      </c>
      <c r="GO15" s="533">
        <v>101.648070825932</v>
      </c>
      <c r="GP15" s="533">
        <v>104.269380431366</v>
      </c>
      <c r="GQ15" s="533">
        <v>104.87846105047301</v>
      </c>
      <c r="GR15" s="533">
        <v>102.883784988074</v>
      </c>
      <c r="GS15" s="458">
        <v>-0.10451321403171376</v>
      </c>
    </row>
    <row r="16" spans="1:201" ht="14.25" customHeight="1" outlineLevel="1">
      <c r="A16" s="531" t="s">
        <v>2095</v>
      </c>
      <c r="B16" s="533">
        <v>0</v>
      </c>
      <c r="C16" s="533">
        <v>0</v>
      </c>
      <c r="D16" s="533">
        <v>0</v>
      </c>
      <c r="E16" s="533">
        <v>0</v>
      </c>
      <c r="F16" s="533">
        <v>0</v>
      </c>
      <c r="G16" s="533">
        <v>0</v>
      </c>
      <c r="H16" s="533">
        <v>0</v>
      </c>
      <c r="I16" s="533">
        <v>0</v>
      </c>
      <c r="J16" s="533">
        <v>0</v>
      </c>
      <c r="K16" s="533">
        <v>0</v>
      </c>
      <c r="L16" s="533">
        <v>0</v>
      </c>
      <c r="M16" s="533">
        <v>0</v>
      </c>
      <c r="N16" s="533">
        <v>0</v>
      </c>
      <c r="O16" s="533">
        <v>0</v>
      </c>
      <c r="P16" s="533">
        <v>0</v>
      </c>
      <c r="Q16" s="533">
        <v>0</v>
      </c>
      <c r="R16" s="533">
        <v>0</v>
      </c>
      <c r="S16" s="533">
        <v>0</v>
      </c>
      <c r="T16" s="533">
        <v>0</v>
      </c>
      <c r="U16" s="533">
        <v>0</v>
      </c>
      <c r="V16" s="533">
        <v>0</v>
      </c>
      <c r="W16" s="533">
        <v>0</v>
      </c>
      <c r="X16" s="533">
        <v>0</v>
      </c>
      <c r="Y16" s="533">
        <v>0</v>
      </c>
      <c r="Z16" s="533">
        <v>0</v>
      </c>
      <c r="AA16" s="533">
        <v>0</v>
      </c>
      <c r="AB16" s="533">
        <v>0</v>
      </c>
      <c r="AC16" s="533">
        <v>0</v>
      </c>
      <c r="AD16" s="533">
        <v>0</v>
      </c>
      <c r="AE16" s="533">
        <v>0</v>
      </c>
      <c r="AF16" s="533">
        <v>0</v>
      </c>
      <c r="AG16" s="533">
        <v>0</v>
      </c>
      <c r="AH16" s="533">
        <v>0</v>
      </c>
      <c r="AI16" s="533">
        <v>0</v>
      </c>
      <c r="AJ16" s="533">
        <v>0</v>
      </c>
      <c r="AK16" s="533">
        <v>0</v>
      </c>
      <c r="AL16" s="533">
        <v>0</v>
      </c>
      <c r="AM16" s="533">
        <v>0</v>
      </c>
      <c r="AN16" s="533">
        <v>0</v>
      </c>
      <c r="AO16" s="533">
        <v>0</v>
      </c>
      <c r="AP16" s="533">
        <v>0</v>
      </c>
      <c r="AQ16" s="533">
        <v>0</v>
      </c>
      <c r="AR16" s="533">
        <v>0</v>
      </c>
      <c r="AS16" s="533">
        <v>0</v>
      </c>
      <c r="AT16" s="533">
        <v>0</v>
      </c>
      <c r="AU16" s="533">
        <v>0</v>
      </c>
      <c r="AV16" s="533">
        <v>0</v>
      </c>
      <c r="AW16" s="533">
        <v>0</v>
      </c>
      <c r="AX16" s="533">
        <v>0</v>
      </c>
      <c r="AY16" s="533">
        <v>0</v>
      </c>
      <c r="AZ16" s="533">
        <v>0</v>
      </c>
      <c r="BA16" s="533">
        <v>0</v>
      </c>
      <c r="BB16" s="533">
        <v>0</v>
      </c>
      <c r="BC16" s="533">
        <v>0</v>
      </c>
      <c r="BD16" s="533">
        <v>0</v>
      </c>
      <c r="BE16" s="533">
        <v>0</v>
      </c>
      <c r="BF16" s="533">
        <v>0</v>
      </c>
      <c r="BG16" s="533">
        <v>0</v>
      </c>
      <c r="BH16" s="533">
        <v>0</v>
      </c>
      <c r="BI16" s="533">
        <v>0</v>
      </c>
      <c r="BJ16" s="533">
        <v>0</v>
      </c>
      <c r="BK16" s="533">
        <v>0</v>
      </c>
      <c r="BL16" s="533">
        <v>0</v>
      </c>
      <c r="BM16" s="533">
        <v>0</v>
      </c>
      <c r="BN16" s="533">
        <v>0</v>
      </c>
      <c r="BO16" s="533">
        <v>0</v>
      </c>
      <c r="BP16" s="533">
        <v>0</v>
      </c>
      <c r="BQ16" s="533">
        <v>0</v>
      </c>
      <c r="BR16" s="533">
        <v>0</v>
      </c>
      <c r="BS16" s="533">
        <v>0</v>
      </c>
      <c r="BT16" s="533">
        <v>0</v>
      </c>
      <c r="BU16" s="533">
        <v>0</v>
      </c>
      <c r="BV16" s="533">
        <v>0</v>
      </c>
      <c r="BW16" s="533">
        <v>0.189</v>
      </c>
      <c r="BX16" s="533">
        <v>0.26100000000000001</v>
      </c>
      <c r="BY16" s="533">
        <v>0.23400000000000001</v>
      </c>
      <c r="BZ16" s="533">
        <v>0.216</v>
      </c>
      <c r="CA16" s="533">
        <v>0.21</v>
      </c>
      <c r="CB16" s="533">
        <v>0.28999999999999998</v>
      </c>
      <c r="CC16" s="533">
        <v>0.26</v>
      </c>
      <c r="CD16" s="533">
        <v>0.24</v>
      </c>
      <c r="CE16" s="533">
        <v>0.21</v>
      </c>
      <c r="CF16" s="533">
        <v>0.28999999999999998</v>
      </c>
      <c r="CG16" s="533">
        <v>0.26</v>
      </c>
      <c r="CH16" s="533">
        <v>0.24</v>
      </c>
      <c r="CI16" s="533">
        <v>0.21</v>
      </c>
      <c r="CJ16" s="533">
        <v>0.28999999999999998</v>
      </c>
      <c r="CK16" s="533">
        <v>0.26</v>
      </c>
      <c r="CL16" s="533">
        <v>0.24</v>
      </c>
      <c r="CM16" s="533">
        <v>2.702</v>
      </c>
      <c r="CN16" s="533">
        <v>2.806</v>
      </c>
      <c r="CO16" s="533">
        <v>2.4950000000000001</v>
      </c>
      <c r="CP16" s="533">
        <v>2.3906200000000002</v>
      </c>
      <c r="CQ16" s="533">
        <v>3.6789999999999998</v>
      </c>
      <c r="CR16" s="533">
        <v>3.9369999999999998</v>
      </c>
      <c r="CS16" s="533">
        <v>3.4510000000000001</v>
      </c>
      <c r="CT16" s="533">
        <v>3.367</v>
      </c>
      <c r="CU16" s="533">
        <v>6.3639999999999999</v>
      </c>
      <c r="CV16" s="533">
        <v>6.3460000000000001</v>
      </c>
      <c r="CW16" s="533">
        <v>5.7720000000000002</v>
      </c>
      <c r="CX16" s="533">
        <v>5.3049999999999997</v>
      </c>
      <c r="CY16" s="533">
        <v>10.847</v>
      </c>
      <c r="CZ16" s="533">
        <v>11.855</v>
      </c>
      <c r="DA16" s="533">
        <v>10.596</v>
      </c>
      <c r="DB16" s="533">
        <v>10.538</v>
      </c>
      <c r="DC16" s="533">
        <v>35.423000000000002</v>
      </c>
      <c r="DD16" s="533">
        <v>37.948999999999998</v>
      </c>
      <c r="DE16" s="533">
        <v>35.095999999999997</v>
      </c>
      <c r="DF16" s="533">
        <v>34.014000000000003</v>
      </c>
      <c r="DG16" s="533">
        <v>35.537999999999997</v>
      </c>
      <c r="DH16" s="533">
        <v>35.448</v>
      </c>
      <c r="DI16" s="533">
        <v>32.597999999999999</v>
      </c>
      <c r="DJ16" s="533">
        <v>34.198343999999999</v>
      </c>
      <c r="DK16" s="533">
        <v>34.817607000000002</v>
      </c>
      <c r="DL16" s="533">
        <v>40.691513</v>
      </c>
      <c r="DM16" s="533">
        <v>44.220863999999999</v>
      </c>
      <c r="DN16" s="533">
        <v>33.829399000000002</v>
      </c>
      <c r="DO16" s="533">
        <v>35.059297000000001</v>
      </c>
      <c r="DP16" s="533">
        <v>32.819887999999999</v>
      </c>
      <c r="DQ16" s="533">
        <v>43.366948999999998</v>
      </c>
      <c r="DR16" s="533">
        <v>42.331138000000003</v>
      </c>
      <c r="DS16" s="533">
        <v>61.621436999999901</v>
      </c>
      <c r="DT16" s="533">
        <v>86.042640000000006</v>
      </c>
      <c r="DU16" s="533">
        <v>167.92598949999999</v>
      </c>
      <c r="DV16" s="533">
        <v>148.502197</v>
      </c>
      <c r="DW16" s="533">
        <v>151.008635</v>
      </c>
      <c r="DX16" s="533">
        <v>150.593974</v>
      </c>
      <c r="DY16" s="533">
        <v>158.13729599999999</v>
      </c>
      <c r="DZ16" s="533">
        <v>158.3292328</v>
      </c>
      <c r="EA16" s="533">
        <v>104.2043764</v>
      </c>
      <c r="EB16" s="533">
        <v>161.3611956</v>
      </c>
      <c r="EC16" s="533">
        <v>192.09978699999999</v>
      </c>
      <c r="ED16" s="533">
        <v>146.138396</v>
      </c>
      <c r="EE16" s="533">
        <v>200.18513300000001</v>
      </c>
      <c r="EF16" s="533">
        <v>283.202361</v>
      </c>
      <c r="EG16" s="533">
        <v>291.05552699999998</v>
      </c>
      <c r="EH16" s="533">
        <v>257.87030800000002</v>
      </c>
      <c r="EI16" s="533">
        <v>220.74160310249999</v>
      </c>
      <c r="EJ16" s="533">
        <v>264.03963225249998</v>
      </c>
      <c r="EK16" s="533">
        <v>305.22190680249997</v>
      </c>
      <c r="EL16" s="533">
        <v>299.43029812045597</v>
      </c>
      <c r="EM16" s="533">
        <v>274.278409704181</v>
      </c>
      <c r="EN16" s="533">
        <v>377.36580759809499</v>
      </c>
      <c r="EO16" s="533">
        <v>510.62195274706102</v>
      </c>
      <c r="EP16" s="533">
        <v>413.52095720337098</v>
      </c>
      <c r="EQ16" s="533">
        <v>404.99661593845798</v>
      </c>
      <c r="ER16" s="533">
        <v>387.84333196182803</v>
      </c>
      <c r="ES16" s="533">
        <v>413.55617815208302</v>
      </c>
      <c r="ET16" s="533">
        <v>431.83819360598602</v>
      </c>
      <c r="EU16" s="533">
        <v>484.279112142082</v>
      </c>
      <c r="EV16" s="533">
        <v>545.496412411346</v>
      </c>
      <c r="EW16" s="533">
        <v>474.85035221937102</v>
      </c>
      <c r="EX16" s="533">
        <v>497.39181604481303</v>
      </c>
      <c r="EY16" s="533">
        <v>503.78115231427</v>
      </c>
      <c r="EZ16" s="533">
        <v>459.082428085</v>
      </c>
      <c r="FA16" s="533">
        <v>596.96607776150597</v>
      </c>
      <c r="FB16" s="533">
        <v>436.685815660098</v>
      </c>
      <c r="FC16" s="533">
        <v>456.85715727557698</v>
      </c>
      <c r="FD16" s="533">
        <v>587.17495784328798</v>
      </c>
      <c r="FE16" s="533">
        <v>519.75062190133804</v>
      </c>
      <c r="FF16" s="533">
        <v>502.103698527652</v>
      </c>
      <c r="FG16" s="533">
        <v>489.95156552289501</v>
      </c>
      <c r="FH16" s="533">
        <v>541.59217700150703</v>
      </c>
      <c r="FI16" s="533">
        <v>655.16831862073195</v>
      </c>
      <c r="FJ16" s="533">
        <v>459.16781234085198</v>
      </c>
      <c r="FK16" s="533">
        <v>619.15884850088003</v>
      </c>
      <c r="FL16" s="533">
        <v>587.15598687448596</v>
      </c>
      <c r="FM16" s="533">
        <v>675.00598539948601</v>
      </c>
      <c r="FN16" s="533">
        <v>523.86549117049196</v>
      </c>
      <c r="FO16" s="533">
        <v>580.85523521405003</v>
      </c>
      <c r="FP16" s="533">
        <v>583.80445726624396</v>
      </c>
      <c r="FQ16" s="533">
        <v>628.83261993007898</v>
      </c>
      <c r="FR16" s="533">
        <v>593.80264478511697</v>
      </c>
      <c r="FS16" s="533">
        <v>428.40363491739799</v>
      </c>
      <c r="FT16" s="533">
        <v>540.54012687882903</v>
      </c>
      <c r="FU16" s="533">
        <v>507.39213288096897</v>
      </c>
      <c r="FV16" s="533">
        <v>454.45314030213399</v>
      </c>
      <c r="FW16" s="533">
        <v>566.94336200666999</v>
      </c>
      <c r="FX16" s="533">
        <v>543.71368706498799</v>
      </c>
      <c r="FY16" s="533">
        <v>482.17588700840997</v>
      </c>
      <c r="FZ16" s="533">
        <v>489.38277885547598</v>
      </c>
      <c r="GA16" s="533">
        <v>505.23782452665102</v>
      </c>
      <c r="GB16" s="533">
        <v>605.80595277268799</v>
      </c>
      <c r="GC16" s="533">
        <v>632.68422012211795</v>
      </c>
      <c r="GD16" s="533">
        <v>529.43868589560805</v>
      </c>
      <c r="GE16" s="533">
        <v>528.36361081587995</v>
      </c>
      <c r="GF16" s="533">
        <v>607.407998990186</v>
      </c>
      <c r="GG16" s="533">
        <v>617.00270030413503</v>
      </c>
      <c r="GH16" s="533">
        <v>515.49843878580396</v>
      </c>
      <c r="GI16" s="533">
        <v>652.20713468947304</v>
      </c>
      <c r="GJ16" s="533">
        <v>721.12223220999999</v>
      </c>
      <c r="GK16" s="533">
        <v>727.46323017579402</v>
      </c>
      <c r="GL16" s="533">
        <v>624.91980216304501</v>
      </c>
      <c r="GM16" s="533">
        <v>704.22948589290797</v>
      </c>
      <c r="GN16" s="533">
        <v>772.49662101820695</v>
      </c>
      <c r="GO16" s="533">
        <v>735.21113281339296</v>
      </c>
      <c r="GP16" s="533">
        <v>641.33172548658695</v>
      </c>
      <c r="GQ16" s="533">
        <v>657.45274944000005</v>
      </c>
      <c r="GR16" s="533">
        <v>920.35682845999997</v>
      </c>
      <c r="GS16" s="458">
        <v>0.19140563650220566</v>
      </c>
    </row>
    <row r="17" spans="1:201" ht="14.25" customHeight="1" outlineLevel="1">
      <c r="A17" s="531" t="s">
        <v>2096</v>
      </c>
      <c r="B17" s="533">
        <v>0</v>
      </c>
      <c r="C17" s="533">
        <v>0</v>
      </c>
      <c r="D17" s="533">
        <v>0</v>
      </c>
      <c r="E17" s="533">
        <v>0</v>
      </c>
      <c r="F17" s="533">
        <v>0</v>
      </c>
      <c r="G17" s="533">
        <v>0</v>
      </c>
      <c r="H17" s="533">
        <v>0</v>
      </c>
      <c r="I17" s="533">
        <v>0</v>
      </c>
      <c r="J17" s="533">
        <v>0</v>
      </c>
      <c r="K17" s="533">
        <v>0</v>
      </c>
      <c r="L17" s="533">
        <v>0</v>
      </c>
      <c r="M17" s="533">
        <v>0</v>
      </c>
      <c r="N17" s="533">
        <v>0</v>
      </c>
      <c r="O17" s="533">
        <v>0</v>
      </c>
      <c r="P17" s="533">
        <v>0</v>
      </c>
      <c r="Q17" s="533">
        <v>0</v>
      </c>
      <c r="R17" s="533">
        <v>0</v>
      </c>
      <c r="S17" s="533">
        <v>0</v>
      </c>
      <c r="T17" s="533">
        <v>0</v>
      </c>
      <c r="U17" s="533">
        <v>0</v>
      </c>
      <c r="V17" s="533">
        <v>0</v>
      </c>
      <c r="W17" s="533">
        <v>0</v>
      </c>
      <c r="X17" s="533">
        <v>0</v>
      </c>
      <c r="Y17" s="533">
        <v>0</v>
      </c>
      <c r="Z17" s="533">
        <v>0</v>
      </c>
      <c r="AA17" s="533">
        <v>0</v>
      </c>
      <c r="AB17" s="533">
        <v>0</v>
      </c>
      <c r="AC17" s="533">
        <v>0</v>
      </c>
      <c r="AD17" s="533">
        <v>0</v>
      </c>
      <c r="AE17" s="533">
        <v>0</v>
      </c>
      <c r="AF17" s="533">
        <v>0</v>
      </c>
      <c r="AG17" s="533">
        <v>0</v>
      </c>
      <c r="AH17" s="533">
        <v>0</v>
      </c>
      <c r="AI17" s="533">
        <v>0</v>
      </c>
      <c r="AJ17" s="533">
        <v>0</v>
      </c>
      <c r="AK17" s="533">
        <v>0</v>
      </c>
      <c r="AL17" s="533">
        <v>0</v>
      </c>
      <c r="AM17" s="533">
        <v>0</v>
      </c>
      <c r="AN17" s="533">
        <v>0</v>
      </c>
      <c r="AO17" s="533">
        <v>0</v>
      </c>
      <c r="AP17" s="533">
        <v>0</v>
      </c>
      <c r="AQ17" s="533">
        <v>0</v>
      </c>
      <c r="AR17" s="533">
        <v>0</v>
      </c>
      <c r="AS17" s="533">
        <v>0</v>
      </c>
      <c r="AT17" s="533">
        <v>0</v>
      </c>
      <c r="AU17" s="533">
        <v>0</v>
      </c>
      <c r="AV17" s="533">
        <v>0</v>
      </c>
      <c r="AW17" s="533">
        <v>0</v>
      </c>
      <c r="AX17" s="533">
        <v>0</v>
      </c>
      <c r="AY17" s="533">
        <v>0</v>
      </c>
      <c r="AZ17" s="533">
        <v>0</v>
      </c>
      <c r="BA17" s="533">
        <v>0</v>
      </c>
      <c r="BB17" s="533">
        <v>0</v>
      </c>
      <c r="BC17" s="533">
        <v>0</v>
      </c>
      <c r="BD17" s="533">
        <v>0</v>
      </c>
      <c r="BE17" s="533">
        <v>0</v>
      </c>
      <c r="BF17" s="533">
        <v>0</v>
      </c>
      <c r="BG17" s="533">
        <v>0</v>
      </c>
      <c r="BH17" s="533">
        <v>0</v>
      </c>
      <c r="BI17" s="533">
        <v>0</v>
      </c>
      <c r="BJ17" s="533">
        <v>0</v>
      </c>
      <c r="BK17" s="533">
        <v>0</v>
      </c>
      <c r="BL17" s="533">
        <v>0</v>
      </c>
      <c r="BM17" s="533">
        <v>0</v>
      </c>
      <c r="BN17" s="533">
        <v>0</v>
      </c>
      <c r="BO17" s="533">
        <v>0</v>
      </c>
      <c r="BP17" s="533">
        <v>0</v>
      </c>
      <c r="BQ17" s="533">
        <v>0</v>
      </c>
      <c r="BR17" s="533">
        <v>0</v>
      </c>
      <c r="BS17" s="533">
        <v>0</v>
      </c>
      <c r="BT17" s="533">
        <v>0</v>
      </c>
      <c r="BU17" s="533">
        <v>0</v>
      </c>
      <c r="BV17" s="533">
        <v>0</v>
      </c>
      <c r="BW17" s="533">
        <v>0</v>
      </c>
      <c r="BX17" s="533">
        <v>0</v>
      </c>
      <c r="BY17" s="533">
        <v>0</v>
      </c>
      <c r="BZ17" s="533">
        <v>0</v>
      </c>
      <c r="CA17" s="533">
        <v>0</v>
      </c>
      <c r="CB17" s="533">
        <v>0</v>
      </c>
      <c r="CC17" s="533">
        <v>0</v>
      </c>
      <c r="CD17" s="533">
        <v>0</v>
      </c>
      <c r="CE17" s="533">
        <v>0</v>
      </c>
      <c r="CF17" s="533">
        <v>0</v>
      </c>
      <c r="CG17" s="533">
        <v>0</v>
      </c>
      <c r="CH17" s="533">
        <v>0</v>
      </c>
      <c r="CI17" s="533">
        <v>0</v>
      </c>
      <c r="CJ17" s="533">
        <v>0</v>
      </c>
      <c r="CK17" s="533">
        <v>0</v>
      </c>
      <c r="CL17" s="533">
        <v>0</v>
      </c>
      <c r="CM17" s="533">
        <v>0</v>
      </c>
      <c r="CN17" s="533">
        <v>0</v>
      </c>
      <c r="CO17" s="533">
        <v>0</v>
      </c>
      <c r="CP17" s="533">
        <v>0</v>
      </c>
      <c r="CQ17" s="533">
        <v>0</v>
      </c>
      <c r="CR17" s="533">
        <v>0</v>
      </c>
      <c r="CS17" s="533">
        <v>0</v>
      </c>
      <c r="CT17" s="533">
        <v>0</v>
      </c>
      <c r="CU17" s="533">
        <v>0</v>
      </c>
      <c r="CV17" s="533">
        <v>0</v>
      </c>
      <c r="CW17" s="533">
        <v>0</v>
      </c>
      <c r="CX17" s="533">
        <v>0</v>
      </c>
      <c r="CY17" s="533">
        <v>0</v>
      </c>
      <c r="CZ17" s="533">
        <v>0</v>
      </c>
      <c r="DA17" s="533">
        <v>0</v>
      </c>
      <c r="DB17" s="533">
        <v>0</v>
      </c>
      <c r="DC17" s="533">
        <v>0</v>
      </c>
      <c r="DD17" s="533">
        <v>0</v>
      </c>
      <c r="DE17" s="533">
        <v>0</v>
      </c>
      <c r="DF17" s="533">
        <v>0</v>
      </c>
      <c r="DG17" s="533">
        <v>0</v>
      </c>
      <c r="DH17" s="533">
        <v>0</v>
      </c>
      <c r="DI17" s="533">
        <v>0</v>
      </c>
      <c r="DJ17" s="533">
        <v>0</v>
      </c>
      <c r="DK17" s="533">
        <v>0</v>
      </c>
      <c r="DL17" s="533">
        <v>0</v>
      </c>
      <c r="DM17" s="533">
        <v>0</v>
      </c>
      <c r="DN17" s="533">
        <v>0</v>
      </c>
      <c r="DO17" s="533">
        <v>0</v>
      </c>
      <c r="DP17" s="533">
        <v>0</v>
      </c>
      <c r="DQ17" s="533">
        <v>0</v>
      </c>
      <c r="DR17" s="533">
        <v>0</v>
      </c>
      <c r="DS17" s="533">
        <v>0</v>
      </c>
      <c r="DT17" s="533">
        <v>0</v>
      </c>
      <c r="DU17" s="533">
        <v>0</v>
      </c>
      <c r="DV17" s="533">
        <v>0</v>
      </c>
      <c r="DW17" s="533">
        <v>0</v>
      </c>
      <c r="DX17" s="533">
        <v>0</v>
      </c>
      <c r="DY17" s="533">
        <v>0</v>
      </c>
      <c r="DZ17" s="533">
        <v>0</v>
      </c>
      <c r="EA17" s="533">
        <v>0</v>
      </c>
      <c r="EB17" s="533">
        <v>0</v>
      </c>
      <c r="EC17" s="533">
        <v>0</v>
      </c>
      <c r="ED17" s="533">
        <v>0.84295888953633202</v>
      </c>
      <c r="EE17" s="533">
        <v>0.84295888953633202</v>
      </c>
      <c r="EF17" s="533">
        <v>0.84295888953633202</v>
      </c>
      <c r="EG17" s="533">
        <v>0.84295888953633202</v>
      </c>
      <c r="EH17" s="533">
        <v>0.85526485872664404</v>
      </c>
      <c r="EI17" s="533">
        <v>0.85526485872664404</v>
      </c>
      <c r="EJ17" s="533">
        <v>0.85526485872664404</v>
      </c>
      <c r="EK17" s="533">
        <v>0.85526485872664404</v>
      </c>
      <c r="EL17" s="533">
        <v>0.88849097554048495</v>
      </c>
      <c r="EM17" s="533">
        <v>0.88849097554048495</v>
      </c>
      <c r="EN17" s="533">
        <v>0.88849097554048495</v>
      </c>
      <c r="EO17" s="533">
        <v>0.88849097554048495</v>
      </c>
      <c r="EP17" s="533">
        <v>0.94755962765398005</v>
      </c>
      <c r="EQ17" s="533">
        <v>0.94755962765398005</v>
      </c>
      <c r="ER17" s="533">
        <v>0.94755962765398005</v>
      </c>
      <c r="ES17" s="533">
        <v>0.94755962765398005</v>
      </c>
      <c r="ET17" s="533">
        <v>1.02139544279585</v>
      </c>
      <c r="EU17" s="533">
        <v>1.02139544279585</v>
      </c>
      <c r="EV17" s="533">
        <v>1.02139544279585</v>
      </c>
      <c r="EW17" s="533">
        <v>1.02139544279585</v>
      </c>
      <c r="EX17" s="533">
        <v>1.19367901146021</v>
      </c>
      <c r="EY17" s="533">
        <v>1.19367901146021</v>
      </c>
      <c r="EZ17" s="533">
        <v>1.19367901146021</v>
      </c>
      <c r="FA17" s="533">
        <v>1.19367901146021</v>
      </c>
      <c r="FB17" s="533">
        <v>1.4103475857301</v>
      </c>
      <c r="FC17" s="533">
        <v>1.4103475857301</v>
      </c>
      <c r="FD17" s="533">
        <v>1.00456713525371</v>
      </c>
      <c r="FE17" s="533">
        <v>2.8096722226431101</v>
      </c>
      <c r="FF17" s="533">
        <v>3.88285465952774</v>
      </c>
      <c r="FG17" s="533">
        <v>3.0033487593813502</v>
      </c>
      <c r="FH17" s="533">
        <v>4.4510448650183196</v>
      </c>
      <c r="FI17" s="533">
        <v>7.2724895485550203</v>
      </c>
      <c r="FJ17" s="533">
        <v>8.9706495230507404</v>
      </c>
      <c r="FK17" s="533">
        <v>6.21795587235456</v>
      </c>
      <c r="FL17" s="533">
        <v>7.7091157419717202</v>
      </c>
      <c r="FM17" s="533">
        <v>13.541637960973601</v>
      </c>
      <c r="FN17" s="533">
        <v>13.844096593968199</v>
      </c>
      <c r="FO17" s="533">
        <v>11.084344481404999</v>
      </c>
      <c r="FP17" s="533">
        <v>11.7578013855695</v>
      </c>
      <c r="FQ17" s="533">
        <v>19.497633482039401</v>
      </c>
      <c r="FR17" s="533">
        <v>18.295293164726999</v>
      </c>
      <c r="FS17" s="533">
        <v>14.9497109155358</v>
      </c>
      <c r="FT17" s="533">
        <v>15.3741837320707</v>
      </c>
      <c r="FU17" s="533">
        <v>27.769840830789999</v>
      </c>
      <c r="FV17" s="533">
        <v>24.739469068929999</v>
      </c>
      <c r="FW17" s="533">
        <v>19.117699368543999</v>
      </c>
      <c r="FX17" s="533">
        <v>22.929914376763499</v>
      </c>
      <c r="FY17" s="533">
        <v>33.028644034969901</v>
      </c>
      <c r="FZ17" s="533">
        <v>35.132205998100702</v>
      </c>
      <c r="GA17" s="533">
        <v>24.712772923181301</v>
      </c>
      <c r="GB17" s="533">
        <v>26.420720109531398</v>
      </c>
      <c r="GC17" s="533">
        <v>40.503005400931102</v>
      </c>
      <c r="GD17" s="533">
        <v>43.670519078397099</v>
      </c>
      <c r="GE17" s="533">
        <v>30.312779410764801</v>
      </c>
      <c r="GF17" s="533">
        <v>35.4407206247459</v>
      </c>
      <c r="GG17" s="533">
        <v>50.159244129461698</v>
      </c>
      <c r="GH17" s="533">
        <v>57.096976533147199</v>
      </c>
      <c r="GI17" s="533">
        <v>38.7540779857122</v>
      </c>
      <c r="GJ17" s="533">
        <v>46.959387628065997</v>
      </c>
      <c r="GK17" s="533">
        <v>63.529856820626698</v>
      </c>
      <c r="GL17" s="533">
        <v>77.959073443620099</v>
      </c>
      <c r="GM17" s="533">
        <v>55.884215937864198</v>
      </c>
      <c r="GN17" s="533">
        <v>56.510005226488801</v>
      </c>
      <c r="GO17" s="533">
        <v>87.651916080746702</v>
      </c>
      <c r="GP17" s="533">
        <v>103.089634258754</v>
      </c>
      <c r="GQ17" s="533">
        <v>71.522144010491999</v>
      </c>
      <c r="GR17" s="533">
        <v>71.223638133779502</v>
      </c>
      <c r="GS17" s="458">
        <v>0.26037217388884182</v>
      </c>
    </row>
    <row r="18" spans="1:201" ht="14.25" customHeight="1" outlineLevel="1">
      <c r="A18" s="531" t="s">
        <v>2097</v>
      </c>
      <c r="B18" s="533">
        <v>134</v>
      </c>
      <c r="C18" s="533">
        <v>549</v>
      </c>
      <c r="D18" s="533">
        <v>642</v>
      </c>
      <c r="E18" s="533">
        <v>618</v>
      </c>
      <c r="F18" s="533">
        <v>236</v>
      </c>
      <c r="G18" s="533">
        <v>174</v>
      </c>
      <c r="H18" s="533">
        <v>308</v>
      </c>
      <c r="I18" s="533">
        <v>69</v>
      </c>
      <c r="J18" s="533">
        <v>275</v>
      </c>
      <c r="K18" s="533">
        <v>309</v>
      </c>
      <c r="L18" s="533">
        <v>424</v>
      </c>
      <c r="M18" s="533">
        <v>272</v>
      </c>
      <c r="N18" s="533">
        <v>196</v>
      </c>
      <c r="O18" s="533">
        <v>291</v>
      </c>
      <c r="P18" s="533">
        <v>224</v>
      </c>
      <c r="Q18" s="533">
        <v>18</v>
      </c>
      <c r="R18" s="533">
        <v>79</v>
      </c>
      <c r="S18" s="533">
        <v>84</v>
      </c>
      <c r="T18" s="533">
        <v>29</v>
      </c>
      <c r="U18" s="533">
        <v>7</v>
      </c>
      <c r="V18" s="533">
        <v>9</v>
      </c>
      <c r="W18" s="533">
        <v>19</v>
      </c>
      <c r="X18" s="533">
        <v>14</v>
      </c>
      <c r="Y18" s="533">
        <v>6</v>
      </c>
      <c r="Z18" s="533">
        <v>0</v>
      </c>
      <c r="AA18" s="533">
        <v>0</v>
      </c>
      <c r="AB18" s="533">
        <v>0</v>
      </c>
      <c r="AC18" s="533">
        <v>3</v>
      </c>
      <c r="AD18" s="533">
        <v>0</v>
      </c>
      <c r="AE18" s="533">
        <v>0</v>
      </c>
      <c r="AF18" s="533">
        <v>3</v>
      </c>
      <c r="AG18" s="533">
        <v>0</v>
      </c>
      <c r="AH18" s="533">
        <v>11</v>
      </c>
      <c r="AI18" s="533">
        <v>0</v>
      </c>
      <c r="AJ18" s="533">
        <v>4</v>
      </c>
      <c r="AK18" s="533">
        <v>0</v>
      </c>
      <c r="AL18" s="533">
        <v>20</v>
      </c>
      <c r="AM18" s="533">
        <v>109</v>
      </c>
      <c r="AN18" s="533">
        <v>17</v>
      </c>
      <c r="AO18" s="533">
        <v>0</v>
      </c>
      <c r="AP18" s="533">
        <v>0</v>
      </c>
      <c r="AQ18" s="533">
        <v>0</v>
      </c>
      <c r="AR18" s="533">
        <v>3</v>
      </c>
      <c r="AS18" s="533">
        <v>2</v>
      </c>
      <c r="AT18" s="533">
        <v>8</v>
      </c>
      <c r="AU18" s="533">
        <v>22.7848101265823</v>
      </c>
      <c r="AV18" s="533">
        <v>12.246835443038</v>
      </c>
      <c r="AW18" s="533">
        <v>4.5569620253164604</v>
      </c>
      <c r="AX18" s="533">
        <v>5.4113924050632898</v>
      </c>
      <c r="AY18" s="533">
        <v>0.51802546236535796</v>
      </c>
      <c r="AZ18" s="533">
        <v>0.22671443448634099</v>
      </c>
      <c r="BA18" s="533">
        <v>0.183259712298564</v>
      </c>
      <c r="BB18" s="533">
        <v>0.14599986870430801</v>
      </c>
      <c r="BC18" s="533">
        <v>3</v>
      </c>
      <c r="BD18" s="533">
        <v>3</v>
      </c>
      <c r="BE18" s="533">
        <v>3</v>
      </c>
      <c r="BF18" s="533">
        <v>3</v>
      </c>
      <c r="BG18" s="533">
        <v>0.19996550252925599</v>
      </c>
      <c r="BH18" s="533">
        <v>0.299341202498285</v>
      </c>
      <c r="BI18" s="533">
        <v>3.3333333333333299</v>
      </c>
      <c r="BJ18" s="533">
        <v>0.1</v>
      </c>
      <c r="BK18" s="533">
        <v>0</v>
      </c>
      <c r="BL18" s="533">
        <v>0.20008545125888799</v>
      </c>
      <c r="BM18" s="533">
        <v>0.22000325859579001</v>
      </c>
      <c r="BN18" s="533">
        <v>0.16997728099062301</v>
      </c>
      <c r="BO18" s="533">
        <v>3</v>
      </c>
      <c r="BP18" s="533">
        <v>3</v>
      </c>
      <c r="BQ18" s="533">
        <v>3</v>
      </c>
      <c r="BR18" s="533">
        <v>3</v>
      </c>
      <c r="BS18" s="533">
        <v>0.33953971916380499</v>
      </c>
      <c r="BT18" s="533">
        <v>11.228070175438599</v>
      </c>
      <c r="BU18" s="533">
        <v>8.9824561403508696</v>
      </c>
      <c r="BV18" s="533">
        <v>9.0007405090470102E-2</v>
      </c>
      <c r="BW18" s="533">
        <v>103.72881355932201</v>
      </c>
      <c r="BX18" s="533">
        <v>88.271186440677994</v>
      </c>
      <c r="BY18" s="533">
        <v>0</v>
      </c>
      <c r="BZ18" s="533">
        <v>0</v>
      </c>
      <c r="CA18" s="533">
        <v>21</v>
      </c>
      <c r="CB18" s="533">
        <v>19</v>
      </c>
      <c r="CC18" s="533">
        <v>19</v>
      </c>
      <c r="CD18" s="533">
        <v>19</v>
      </c>
      <c r="CE18" s="533">
        <v>1</v>
      </c>
      <c r="CF18" s="533">
        <v>0</v>
      </c>
      <c r="CG18" s="533">
        <v>0</v>
      </c>
      <c r="CH18" s="533">
        <v>1.2</v>
      </c>
      <c r="CI18" s="533">
        <v>17.5</v>
      </c>
      <c r="CJ18" s="533">
        <v>14.610333000000001</v>
      </c>
      <c r="CK18" s="533">
        <v>14.610333000000001</v>
      </c>
      <c r="CL18" s="533">
        <v>14.610333000000001</v>
      </c>
      <c r="CM18" s="533">
        <v>0</v>
      </c>
      <c r="CN18" s="533">
        <v>0</v>
      </c>
      <c r="CO18" s="533">
        <v>0</v>
      </c>
      <c r="CP18" s="533">
        <v>0</v>
      </c>
      <c r="CQ18" s="533">
        <v>0</v>
      </c>
      <c r="CR18" s="533">
        <v>0</v>
      </c>
      <c r="CS18" s="533">
        <v>0</v>
      </c>
      <c r="CT18" s="533">
        <v>0</v>
      </c>
      <c r="CU18" s="533">
        <v>1</v>
      </c>
      <c r="CV18" s="533">
        <v>0</v>
      </c>
      <c r="CW18" s="533">
        <v>0</v>
      </c>
      <c r="CX18" s="533">
        <v>0</v>
      </c>
      <c r="CY18" s="533">
        <v>1.5589E-2</v>
      </c>
      <c r="CZ18" s="533">
        <v>1.7037E-2</v>
      </c>
      <c r="DA18" s="533">
        <v>1.5228E-2</v>
      </c>
      <c r="DB18" s="533">
        <v>1.5145E-2</v>
      </c>
      <c r="DC18" s="533">
        <v>0</v>
      </c>
      <c r="DD18" s="533">
        <v>0</v>
      </c>
      <c r="DE18" s="533">
        <v>0</v>
      </c>
      <c r="DF18" s="533">
        <v>0</v>
      </c>
      <c r="DG18" s="533">
        <v>0</v>
      </c>
      <c r="DH18" s="533">
        <v>0</v>
      </c>
      <c r="DI18" s="533">
        <v>0</v>
      </c>
      <c r="DJ18" s="533">
        <v>5.0000000000000001E-4</v>
      </c>
      <c r="DK18" s="533">
        <v>1.25E-3</v>
      </c>
      <c r="DL18" s="533">
        <v>1.25E-3</v>
      </c>
      <c r="DM18" s="533">
        <v>1.25E-3</v>
      </c>
      <c r="DN18" s="533">
        <v>1.25E-3</v>
      </c>
      <c r="DO18" s="533">
        <v>3.6000000000000002E-4</v>
      </c>
      <c r="DP18" s="533">
        <v>15.51036</v>
      </c>
      <c r="DQ18" s="533">
        <v>3.6003599999999998</v>
      </c>
      <c r="DR18" s="533">
        <v>3.6000000000000002E-4</v>
      </c>
      <c r="DS18" s="533">
        <v>21.963509999999999</v>
      </c>
      <c r="DT18" s="533">
        <v>0.57306000000000001</v>
      </c>
      <c r="DU18" s="533">
        <v>0.11847000000000001</v>
      </c>
      <c r="DV18" s="533">
        <v>0.95077999999999996</v>
      </c>
      <c r="DW18" s="533">
        <v>0.18914039345589001</v>
      </c>
      <c r="DX18" s="533">
        <v>0.17738999999999999</v>
      </c>
      <c r="DY18" s="533">
        <v>2.2711800000000002</v>
      </c>
      <c r="DZ18" s="533">
        <v>20.194443</v>
      </c>
      <c r="EA18" s="533">
        <v>1.4147305170901401</v>
      </c>
      <c r="EB18" s="533">
        <v>0.41631099999999999</v>
      </c>
      <c r="EC18" s="533">
        <v>0.56725599999999998</v>
      </c>
      <c r="ED18" s="533">
        <v>0.57254499999999997</v>
      </c>
      <c r="EE18" s="533">
        <v>0.30335544310797902</v>
      </c>
      <c r="EF18" s="533">
        <v>0.20766000000000001</v>
      </c>
      <c r="EG18" s="533">
        <v>0.16063</v>
      </c>
      <c r="EH18" s="533">
        <v>25.900779</v>
      </c>
      <c r="EI18" s="533">
        <v>96.500323214084503</v>
      </c>
      <c r="EJ18" s="533">
        <v>0.70761675000000002</v>
      </c>
      <c r="EK18" s="533">
        <v>0.73938674999999998</v>
      </c>
      <c r="EL18" s="533">
        <v>0.28630675</v>
      </c>
      <c r="EM18" s="533">
        <v>2.2825467499999998</v>
      </c>
      <c r="EN18" s="533">
        <v>3.4998416212246899</v>
      </c>
      <c r="EO18" s="533">
        <v>2.94905675</v>
      </c>
      <c r="EP18" s="533">
        <v>0.76087674999999999</v>
      </c>
      <c r="EQ18" s="533">
        <v>0.53779693332138401</v>
      </c>
      <c r="ER18" s="533">
        <v>0.31117106346975199</v>
      </c>
      <c r="ES18" s="533">
        <v>0.43234675</v>
      </c>
      <c r="ET18" s="533">
        <v>0.183716389150963</v>
      </c>
      <c r="EU18" s="533">
        <v>0.45236814280458698</v>
      </c>
      <c r="EV18" s="533">
        <v>0.398999503083803</v>
      </c>
      <c r="EW18" s="533">
        <v>1.04724763004252</v>
      </c>
      <c r="EX18" s="533">
        <v>0.16167477661799101</v>
      </c>
      <c r="EY18" s="533">
        <v>0.77047423188759701</v>
      </c>
      <c r="EZ18" s="533">
        <v>0.75371924999999995</v>
      </c>
      <c r="FA18" s="533">
        <v>1.74347515760534</v>
      </c>
      <c r="FB18" s="533">
        <v>1.5363689155170399</v>
      </c>
      <c r="FC18" s="533">
        <v>0.760895428627131</v>
      </c>
      <c r="FD18" s="533">
        <v>0.67801220759028702</v>
      </c>
      <c r="FE18" s="533">
        <v>0.41973628554755898</v>
      </c>
      <c r="FF18" s="533">
        <v>0.68080426717336195</v>
      </c>
      <c r="FG18" s="533">
        <v>0.79908642644917505</v>
      </c>
      <c r="FH18" s="533">
        <v>1.06246635595088</v>
      </c>
      <c r="FI18" s="533">
        <v>0.59811407973767405</v>
      </c>
      <c r="FJ18" s="533">
        <v>0.30606734250578999</v>
      </c>
      <c r="FK18" s="533">
        <v>0.72987836449972598</v>
      </c>
      <c r="FL18" s="533">
        <v>0.36827387252667199</v>
      </c>
      <c r="FM18" s="533">
        <v>4.3051594503380697E-2</v>
      </c>
      <c r="FN18" s="533">
        <v>0.184255566347588</v>
      </c>
      <c r="FO18" s="533">
        <v>1.4148433676693799</v>
      </c>
      <c r="FP18" s="533">
        <v>1.0715187158181601</v>
      </c>
      <c r="FQ18" s="533">
        <v>0.44197715556288297</v>
      </c>
      <c r="FR18" s="533">
        <v>0.44501059242595498</v>
      </c>
      <c r="FS18" s="533">
        <v>1.075471745233</v>
      </c>
      <c r="FT18" s="533">
        <v>3.35247632705576</v>
      </c>
      <c r="FU18" s="533">
        <v>0.63448964989015399</v>
      </c>
      <c r="FV18" s="533">
        <v>0.56635780972239502</v>
      </c>
      <c r="FW18" s="533">
        <v>2.7547871875820702</v>
      </c>
      <c r="FX18" s="533">
        <v>1.2043914900436301</v>
      </c>
      <c r="FY18" s="533">
        <v>6.3772971476512703</v>
      </c>
      <c r="FZ18" s="533">
        <v>1.18939754914826</v>
      </c>
      <c r="GA18" s="533">
        <v>0.74479386226033595</v>
      </c>
      <c r="GB18" s="533">
        <v>1.07670821737911</v>
      </c>
      <c r="GC18" s="533">
        <v>0.91391968629544895</v>
      </c>
      <c r="GD18" s="533">
        <v>0.48485738858502497</v>
      </c>
      <c r="GE18" s="533">
        <v>3.2225836656062898</v>
      </c>
      <c r="GF18" s="533">
        <v>7.9243051449462598</v>
      </c>
      <c r="GG18" s="533">
        <v>1.40630259681257</v>
      </c>
      <c r="GH18" s="533">
        <v>6.4089677405355703</v>
      </c>
      <c r="GI18" s="533">
        <v>15.6502902652699</v>
      </c>
      <c r="GJ18" s="533">
        <v>3.1935712500000002</v>
      </c>
      <c r="GK18" s="533">
        <v>0.40775287103249303</v>
      </c>
      <c r="GL18" s="533">
        <v>2.2277564394654501</v>
      </c>
      <c r="GM18" s="533">
        <v>1.1706959577985601</v>
      </c>
      <c r="GN18" s="533">
        <v>1.5959013906858399</v>
      </c>
      <c r="GO18" s="533">
        <v>1.8040069663098399</v>
      </c>
      <c r="GP18" s="533">
        <v>1.0627410356251199</v>
      </c>
      <c r="GQ18" s="533">
        <v>1.6462565590131</v>
      </c>
      <c r="GR18" s="533">
        <v>0.92955032377791202</v>
      </c>
      <c r="GS18" s="458">
        <v>-0.41753899758277857</v>
      </c>
    </row>
    <row r="19" spans="1:201" ht="14.25" customHeight="1" outlineLevel="1">
      <c r="A19" s="531" t="s">
        <v>2098</v>
      </c>
      <c r="B19" s="533">
        <v>272</v>
      </c>
      <c r="C19" s="533">
        <v>331</v>
      </c>
      <c r="D19" s="533">
        <v>348</v>
      </c>
      <c r="E19" s="533">
        <v>346</v>
      </c>
      <c r="F19" s="533">
        <v>247</v>
      </c>
      <c r="G19" s="533">
        <v>329</v>
      </c>
      <c r="H19" s="533">
        <v>274</v>
      </c>
      <c r="I19" s="533">
        <v>196</v>
      </c>
      <c r="J19" s="533">
        <v>197</v>
      </c>
      <c r="K19" s="533">
        <v>278</v>
      </c>
      <c r="L19" s="533">
        <v>338</v>
      </c>
      <c r="M19" s="533">
        <v>284</v>
      </c>
      <c r="N19" s="533">
        <v>222</v>
      </c>
      <c r="O19" s="533">
        <v>282</v>
      </c>
      <c r="P19" s="533">
        <v>220</v>
      </c>
      <c r="Q19" s="533">
        <v>186</v>
      </c>
      <c r="R19" s="533">
        <v>200</v>
      </c>
      <c r="S19" s="533">
        <v>223.01750000000001</v>
      </c>
      <c r="T19" s="533">
        <v>229.01750000000001</v>
      </c>
      <c r="U19" s="533">
        <v>90.017499999999998</v>
      </c>
      <c r="V19" s="533">
        <v>100.0175</v>
      </c>
      <c r="W19" s="533">
        <v>110.87949999999999</v>
      </c>
      <c r="X19" s="533">
        <v>118.87949999999999</v>
      </c>
      <c r="Y19" s="533">
        <v>61.8795</v>
      </c>
      <c r="Z19" s="533">
        <v>76.879499999999993</v>
      </c>
      <c r="AA19" s="533">
        <v>114.87949999999999</v>
      </c>
      <c r="AB19" s="533">
        <v>153.87950000000001</v>
      </c>
      <c r="AC19" s="533">
        <v>79.879499999999993</v>
      </c>
      <c r="AD19" s="533">
        <v>92.879499999999993</v>
      </c>
      <c r="AE19" s="533">
        <v>105.87949999999999</v>
      </c>
      <c r="AF19" s="533">
        <v>111.87949999999999</v>
      </c>
      <c r="AG19" s="533">
        <v>78.879499999999993</v>
      </c>
      <c r="AH19" s="533">
        <v>14.8795</v>
      </c>
      <c r="AI19" s="533">
        <v>102.87949999999999</v>
      </c>
      <c r="AJ19" s="533">
        <v>210.87950000000001</v>
      </c>
      <c r="AK19" s="533">
        <v>92.879499999999993</v>
      </c>
      <c r="AL19" s="533">
        <v>137.87950000000001</v>
      </c>
      <c r="AM19" s="533">
        <v>160.87950000000001</v>
      </c>
      <c r="AN19" s="533">
        <v>214.87950000000001</v>
      </c>
      <c r="AO19" s="533">
        <v>136.87950000000001</v>
      </c>
      <c r="AP19" s="533">
        <v>75.879499999999993</v>
      </c>
      <c r="AQ19" s="533">
        <v>188.87950000000001</v>
      </c>
      <c r="AR19" s="533">
        <v>231.87950000000001</v>
      </c>
      <c r="AS19" s="533">
        <v>231.87950000000001</v>
      </c>
      <c r="AT19" s="533">
        <v>182</v>
      </c>
      <c r="AU19" s="533">
        <v>204.64722222222201</v>
      </c>
      <c r="AV19" s="533">
        <v>244.99212962963</v>
      </c>
      <c r="AW19" s="533">
        <v>85.838425925925904</v>
      </c>
      <c r="AX19" s="533">
        <v>165.464147493155</v>
      </c>
      <c r="AY19" s="533">
        <v>121.039744852731</v>
      </c>
      <c r="AZ19" s="533">
        <v>151.75931347485101</v>
      </c>
      <c r="BA19" s="533">
        <v>117.370470146429</v>
      </c>
      <c r="BB19" s="533">
        <v>118.510348688606</v>
      </c>
      <c r="BC19" s="533">
        <v>325.29893415853797</v>
      </c>
      <c r="BD19" s="533">
        <v>225.43163854795699</v>
      </c>
      <c r="BE19" s="533">
        <v>175.89743266198599</v>
      </c>
      <c r="BF19" s="533">
        <v>176.79506918503699</v>
      </c>
      <c r="BG19" s="533">
        <v>284.77444615586001</v>
      </c>
      <c r="BH19" s="533">
        <v>154.99047824715001</v>
      </c>
      <c r="BI19" s="533">
        <v>106.21465407461901</v>
      </c>
      <c r="BJ19" s="533">
        <v>93.028000000000006</v>
      </c>
      <c r="BK19" s="533">
        <v>101.752158959185</v>
      </c>
      <c r="BL19" s="533">
        <v>104.736028108849</v>
      </c>
      <c r="BM19" s="533">
        <v>146.72000245238499</v>
      </c>
      <c r="BN19" s="533">
        <v>181.78542428477601</v>
      </c>
      <c r="BO19" s="533">
        <v>123.32259548853</v>
      </c>
      <c r="BP19" s="533">
        <v>219.26990381120001</v>
      </c>
      <c r="BQ19" s="533">
        <v>96.093864578256699</v>
      </c>
      <c r="BR19" s="533">
        <v>99.707264620186095</v>
      </c>
      <c r="BS19" s="533">
        <v>99.769110090891502</v>
      </c>
      <c r="BT19" s="533">
        <v>146.14381846431101</v>
      </c>
      <c r="BU19" s="533">
        <v>105.112164681384</v>
      </c>
      <c r="BV19" s="533">
        <v>622.66518752629997</v>
      </c>
      <c r="BW19" s="533">
        <v>141.30191307200101</v>
      </c>
      <c r="BX19" s="533">
        <v>211.13819701058301</v>
      </c>
      <c r="BY19" s="533">
        <v>195.46827845385999</v>
      </c>
      <c r="BZ19" s="533">
        <v>90.005946911892295</v>
      </c>
      <c r="CA19" s="533">
        <v>128.879332348433</v>
      </c>
      <c r="CB19" s="533">
        <v>377.16563403039299</v>
      </c>
      <c r="CC19" s="533">
        <v>99.783000911429895</v>
      </c>
      <c r="CD19" s="533">
        <v>112.016819326844</v>
      </c>
      <c r="CE19" s="533">
        <v>287.25805069082702</v>
      </c>
      <c r="CF19" s="533">
        <v>126.069517668483</v>
      </c>
      <c r="CG19" s="533">
        <v>121.213268467323</v>
      </c>
      <c r="CH19" s="533">
        <v>357.06436032516598</v>
      </c>
      <c r="CI19" s="533">
        <v>281.05768609129598</v>
      </c>
      <c r="CJ19" s="533">
        <v>101.54904865480501</v>
      </c>
      <c r="CK19" s="533">
        <v>101.982451594666</v>
      </c>
      <c r="CL19" s="533">
        <v>93.954302394879207</v>
      </c>
      <c r="CM19" s="533">
        <v>98.020460311821196</v>
      </c>
      <c r="CN19" s="533">
        <v>251.10238981071501</v>
      </c>
      <c r="CO19" s="533">
        <v>433.191265483037</v>
      </c>
      <c r="CP19" s="533">
        <v>109.624282356273</v>
      </c>
      <c r="CQ19" s="533">
        <v>517.62369051795304</v>
      </c>
      <c r="CR19" s="533">
        <v>503.56783757824201</v>
      </c>
      <c r="CS19" s="533">
        <v>403.93001973000997</v>
      </c>
      <c r="CT19" s="533">
        <v>320.89201393288198</v>
      </c>
      <c r="CU19" s="533">
        <v>595.22114397276698</v>
      </c>
      <c r="CV19" s="533">
        <v>292.734402219451</v>
      </c>
      <c r="CW19" s="533">
        <v>156.414856169562</v>
      </c>
      <c r="CX19" s="533">
        <v>191.91510601477199</v>
      </c>
      <c r="CY19" s="533">
        <v>525.69526006429203</v>
      </c>
      <c r="CZ19" s="533">
        <v>545.76687984891703</v>
      </c>
      <c r="DA19" s="533">
        <v>414.78527505518298</v>
      </c>
      <c r="DB19" s="533">
        <v>417.10863971463698</v>
      </c>
      <c r="DC19" s="533">
        <v>398.50624441123</v>
      </c>
      <c r="DD19" s="533">
        <v>374.25251914589802</v>
      </c>
      <c r="DE19" s="533">
        <v>255.34164962629299</v>
      </c>
      <c r="DF19" s="533">
        <v>343.54387056024001</v>
      </c>
      <c r="DG19" s="533">
        <v>513.29011448296501</v>
      </c>
      <c r="DH19" s="533">
        <v>672.52171715117004</v>
      </c>
      <c r="DI19" s="533">
        <v>450.228610825982</v>
      </c>
      <c r="DJ19" s="533">
        <v>327.38323333333301</v>
      </c>
      <c r="DK19" s="533">
        <v>635.10063333333301</v>
      </c>
      <c r="DL19" s="533">
        <v>397.78983333333298</v>
      </c>
      <c r="DM19" s="533">
        <v>565.65160000000003</v>
      </c>
      <c r="DN19" s="533">
        <v>787.03009999999995</v>
      </c>
      <c r="DO19" s="533">
        <v>1054.5254965131301</v>
      </c>
      <c r="DP19" s="533">
        <v>1033.40806666667</v>
      </c>
      <c r="DQ19" s="533">
        <v>825.67943333333301</v>
      </c>
      <c r="DR19" s="533">
        <v>705.85453333333396</v>
      </c>
      <c r="DS19" s="533">
        <v>1391.6059333333301</v>
      </c>
      <c r="DT19" s="533">
        <v>1227.55373333333</v>
      </c>
      <c r="DU19" s="533">
        <v>1139.4337433333301</v>
      </c>
      <c r="DV19" s="533">
        <v>806.69324333333304</v>
      </c>
      <c r="DW19" s="533">
        <v>1476.0919919032799</v>
      </c>
      <c r="DX19" s="533">
        <v>1718.2040753333299</v>
      </c>
      <c r="DY19" s="533">
        <v>1470.10476666667</v>
      </c>
      <c r="DZ19" s="533">
        <v>1125.6038527952301</v>
      </c>
      <c r="EA19" s="533">
        <v>1403.1783939694801</v>
      </c>
      <c r="EB19" s="533">
        <v>1522.6313553699399</v>
      </c>
      <c r="EC19" s="533">
        <v>1115.3740023876301</v>
      </c>
      <c r="ED19" s="533">
        <v>745.15710775348396</v>
      </c>
      <c r="EE19" s="533">
        <v>993.59776464084098</v>
      </c>
      <c r="EF19" s="533">
        <v>610.11326363321098</v>
      </c>
      <c r="EG19" s="533">
        <v>605.07012666666697</v>
      </c>
      <c r="EH19" s="533">
        <v>1036.38781143146</v>
      </c>
      <c r="EI19" s="533">
        <v>1632.4213294573799</v>
      </c>
      <c r="EJ19" s="533">
        <v>1097.4365854427799</v>
      </c>
      <c r="EK19" s="533">
        <v>749.24922666666703</v>
      </c>
      <c r="EL19" s="533">
        <v>608.95447583333305</v>
      </c>
      <c r="EM19" s="533">
        <v>1032.4525710938699</v>
      </c>
      <c r="EN19" s="533">
        <v>854.60234323072802</v>
      </c>
      <c r="EO19" s="533">
        <v>585.72230873125295</v>
      </c>
      <c r="EP19" s="533">
        <v>636.31724092952197</v>
      </c>
      <c r="EQ19" s="533">
        <v>444.18005958499498</v>
      </c>
      <c r="ER19" s="533">
        <v>354.496194566008</v>
      </c>
      <c r="ES19" s="533">
        <v>493.88687102192802</v>
      </c>
      <c r="ET19" s="533">
        <v>342.34130352573601</v>
      </c>
      <c r="EU19" s="533">
        <v>397.78985231834702</v>
      </c>
      <c r="EV19" s="533">
        <v>670.49357457999702</v>
      </c>
      <c r="EW19" s="533">
        <v>617.28072700814005</v>
      </c>
      <c r="EX19" s="533">
        <v>641.65187802849698</v>
      </c>
      <c r="EY19" s="533">
        <v>1303.4416544759599</v>
      </c>
      <c r="EZ19" s="533">
        <v>822.63939437924103</v>
      </c>
      <c r="FA19" s="533">
        <v>549.75753919603096</v>
      </c>
      <c r="FB19" s="533">
        <v>572.34724115279096</v>
      </c>
      <c r="FC19" s="533">
        <v>936.93629710039102</v>
      </c>
      <c r="FD19" s="533">
        <v>517.71291764780403</v>
      </c>
      <c r="FE19" s="533">
        <v>210.204994582984</v>
      </c>
      <c r="FF19" s="533">
        <v>347.59564407349302</v>
      </c>
      <c r="FG19" s="533">
        <v>508.64680341988202</v>
      </c>
      <c r="FH19" s="533">
        <v>415.94943323841198</v>
      </c>
      <c r="FI19" s="533">
        <v>559.10315605612902</v>
      </c>
      <c r="FJ19" s="533">
        <v>668.58858005217701</v>
      </c>
      <c r="FK19" s="533">
        <v>320.36319815567998</v>
      </c>
      <c r="FL19" s="533">
        <v>301.76266211826101</v>
      </c>
      <c r="FM19" s="533">
        <v>462.30153549315401</v>
      </c>
      <c r="FN19" s="533">
        <v>304.44273291259702</v>
      </c>
      <c r="FO19" s="533">
        <v>324.90229713645601</v>
      </c>
      <c r="FP19" s="533">
        <v>185.157095175233</v>
      </c>
      <c r="FQ19" s="533">
        <v>164.974616666667</v>
      </c>
      <c r="FR19" s="533">
        <v>144.43325203396199</v>
      </c>
      <c r="FS19" s="533">
        <v>302.48652083427203</v>
      </c>
      <c r="FT19" s="533">
        <v>330.71430004863601</v>
      </c>
      <c r="FU19" s="533">
        <v>355.50306547969302</v>
      </c>
      <c r="FV19" s="533">
        <v>284.71185306112397</v>
      </c>
      <c r="FW19" s="533">
        <v>289.01174492219701</v>
      </c>
      <c r="FX19" s="533">
        <v>252.15961109161401</v>
      </c>
      <c r="FY19" s="533">
        <v>653.54258554217597</v>
      </c>
      <c r="FZ19" s="533">
        <v>676.40173295579905</v>
      </c>
      <c r="GA19" s="533">
        <v>455.82334236511701</v>
      </c>
      <c r="GB19" s="533">
        <v>528.21484360862996</v>
      </c>
      <c r="GC19" s="533">
        <v>457.67169104785597</v>
      </c>
      <c r="GD19" s="533">
        <v>523.27766205301202</v>
      </c>
      <c r="GE19" s="533">
        <v>398.82420953057198</v>
      </c>
      <c r="GF19" s="533">
        <v>731.27927454680002</v>
      </c>
      <c r="GG19" s="533">
        <v>505.51824750070301</v>
      </c>
      <c r="GH19" s="533">
        <v>1027.16771495129</v>
      </c>
      <c r="GI19" s="533">
        <v>1347.9433985508399</v>
      </c>
      <c r="GJ19" s="533">
        <v>505.28007326307102</v>
      </c>
      <c r="GK19" s="533">
        <v>139.85057437849099</v>
      </c>
      <c r="GL19" s="533">
        <v>441.25914515966599</v>
      </c>
      <c r="GM19" s="533">
        <v>513.76328907878201</v>
      </c>
      <c r="GN19" s="533">
        <v>182.14563863636101</v>
      </c>
      <c r="GO19" s="533">
        <v>116.753173796472</v>
      </c>
      <c r="GP19" s="533">
        <v>171.63021454915099</v>
      </c>
      <c r="GQ19" s="533">
        <v>145.31558546572299</v>
      </c>
      <c r="GR19" s="533">
        <v>346.02190987047601</v>
      </c>
      <c r="GS19" s="458">
        <v>0.89969912242192462</v>
      </c>
    </row>
    <row r="20" spans="1:201" ht="14.25" customHeight="1" outlineLevel="1">
      <c r="A20" s="531" t="s">
        <v>37</v>
      </c>
      <c r="B20" s="533">
        <v>61.662500000000001</v>
      </c>
      <c r="C20" s="533">
        <v>65.662499999999994</v>
      </c>
      <c r="D20" s="533">
        <v>42.662500000000001</v>
      </c>
      <c r="E20" s="533">
        <v>38.662500000000001</v>
      </c>
      <c r="F20" s="533">
        <v>10.6625</v>
      </c>
      <c r="G20" s="533">
        <v>17.662500000000001</v>
      </c>
      <c r="H20" s="533">
        <v>6.6624999999999996</v>
      </c>
      <c r="I20" s="533">
        <v>15.6625</v>
      </c>
      <c r="J20" s="533">
        <v>83.662499999999994</v>
      </c>
      <c r="K20" s="533">
        <v>796.66250000000002</v>
      </c>
      <c r="L20" s="533">
        <v>360.66250000000002</v>
      </c>
      <c r="M20" s="533">
        <v>559.66250000000002</v>
      </c>
      <c r="N20" s="533">
        <v>737.66250000000002</v>
      </c>
      <c r="O20" s="533">
        <v>1038.6624999999999</v>
      </c>
      <c r="P20" s="533">
        <v>1181.6624999999999</v>
      </c>
      <c r="Q20" s="533">
        <v>996.66250000000002</v>
      </c>
      <c r="R20" s="533">
        <v>820.66250000000002</v>
      </c>
      <c r="S20" s="533">
        <v>1032.6624999999999</v>
      </c>
      <c r="T20" s="533">
        <v>1138.6624999999999</v>
      </c>
      <c r="U20" s="533">
        <v>770.66250000000002</v>
      </c>
      <c r="V20" s="533">
        <v>628.66250000000002</v>
      </c>
      <c r="W20" s="533">
        <v>451.66250000000002</v>
      </c>
      <c r="X20" s="533">
        <v>641.66250000000002</v>
      </c>
      <c r="Y20" s="533">
        <v>223.66249999999999</v>
      </c>
      <c r="Z20" s="533">
        <v>184.66249999999999</v>
      </c>
      <c r="AA20" s="533">
        <v>548.66250000000002</v>
      </c>
      <c r="AB20" s="533">
        <v>495.66250000000002</v>
      </c>
      <c r="AC20" s="533">
        <v>264.66250000000002</v>
      </c>
      <c r="AD20" s="533">
        <v>344.66250000000002</v>
      </c>
      <c r="AE20" s="533">
        <v>604.66250000000002</v>
      </c>
      <c r="AF20" s="533">
        <v>571.66250000000002</v>
      </c>
      <c r="AG20" s="533">
        <v>291.66250000000002</v>
      </c>
      <c r="AH20" s="533">
        <v>617.66250000000002</v>
      </c>
      <c r="AI20" s="533">
        <v>1067.0374999999999</v>
      </c>
      <c r="AJ20" s="533">
        <v>1646.0374999999999</v>
      </c>
      <c r="AK20" s="533">
        <v>1051.0374999999999</v>
      </c>
      <c r="AL20" s="533">
        <v>953.03750000000002</v>
      </c>
      <c r="AM20" s="533">
        <v>1078.335</v>
      </c>
      <c r="AN20" s="533">
        <v>1580.335</v>
      </c>
      <c r="AO20" s="533">
        <v>525.33500000000004</v>
      </c>
      <c r="AP20" s="533">
        <v>796.33500000000004</v>
      </c>
      <c r="AQ20" s="533">
        <v>1329.335</v>
      </c>
      <c r="AR20" s="533">
        <v>1445.335</v>
      </c>
      <c r="AS20" s="533">
        <v>982.33500000000004</v>
      </c>
      <c r="AT20" s="533">
        <v>928.33500000000004</v>
      </c>
      <c r="AU20" s="533">
        <v>1945.65667902224</v>
      </c>
      <c r="AV20" s="533">
        <v>1623.1308324985</v>
      </c>
      <c r="AW20" s="533">
        <v>1246.7117782007599</v>
      </c>
      <c r="AX20" s="533">
        <v>775.84071027850098</v>
      </c>
      <c r="AY20" s="533">
        <v>1604.9232084095099</v>
      </c>
      <c r="AZ20" s="533">
        <v>1147.3500251371099</v>
      </c>
      <c r="BA20" s="533">
        <v>947.04021023765995</v>
      </c>
      <c r="BB20" s="533">
        <v>1209.0265562157199</v>
      </c>
      <c r="BC20" s="533">
        <v>899.65823317307695</v>
      </c>
      <c r="BD20" s="533">
        <v>1426.4633413461499</v>
      </c>
      <c r="BE20" s="533">
        <v>1188.7484374999999</v>
      </c>
      <c r="BF20" s="533">
        <v>1153.4799879807699</v>
      </c>
      <c r="BG20" s="533">
        <v>1993.90202590124</v>
      </c>
      <c r="BH20" s="533">
        <v>1321.6390752802199</v>
      </c>
      <c r="BI20" s="533">
        <v>649.32230506775795</v>
      </c>
      <c r="BJ20" s="533">
        <v>667.98836337473494</v>
      </c>
      <c r="BK20" s="533">
        <v>1491.9133410408101</v>
      </c>
      <c r="BL20" s="533">
        <v>1886.6894718911501</v>
      </c>
      <c r="BM20" s="533">
        <v>1510.79549754761</v>
      </c>
      <c r="BN20" s="533">
        <v>1150.1497218100899</v>
      </c>
      <c r="BO20" s="533">
        <v>1886.4559891030999</v>
      </c>
      <c r="BP20" s="533">
        <v>1201.32359151591</v>
      </c>
      <c r="BQ20" s="533">
        <v>1097.60016345348</v>
      </c>
      <c r="BR20" s="533">
        <v>1175.6524476110601</v>
      </c>
      <c r="BS20" s="533">
        <v>2226.8058333333302</v>
      </c>
      <c r="BT20" s="533">
        <v>2087.9724999999999</v>
      </c>
      <c r="BU20" s="533">
        <v>1070.9725000000001</v>
      </c>
      <c r="BV20" s="533">
        <v>839.02805555555597</v>
      </c>
      <c r="BW20" s="533">
        <v>3088.6212626650299</v>
      </c>
      <c r="BX20" s="533">
        <v>2070.4207909428701</v>
      </c>
      <c r="BY20" s="533">
        <v>1007.44625498925</v>
      </c>
      <c r="BZ20" s="533">
        <v>1138.56139161805</v>
      </c>
      <c r="CA20" s="533">
        <v>2157.3021865258102</v>
      </c>
      <c r="CB20" s="533">
        <v>1348.04716503503</v>
      </c>
      <c r="CC20" s="533">
        <v>1898.7134698649099</v>
      </c>
      <c r="CD20" s="533">
        <v>1081.56201506754</v>
      </c>
      <c r="CE20" s="533">
        <v>2151.6884532245999</v>
      </c>
      <c r="CF20" s="533">
        <v>994.67067830069504</v>
      </c>
      <c r="CG20" s="533">
        <v>889.167708522368</v>
      </c>
      <c r="CH20" s="533">
        <v>1057.4639482964701</v>
      </c>
      <c r="CI20" s="533">
        <v>1081.9447622132</v>
      </c>
      <c r="CJ20" s="533">
        <v>1693.22322984987</v>
      </c>
      <c r="CK20" s="533">
        <v>656.82962691000705</v>
      </c>
      <c r="CL20" s="533">
        <v>753.38504158102501</v>
      </c>
      <c r="CM20" s="533">
        <v>1969.7722529411899</v>
      </c>
      <c r="CN20" s="533">
        <v>2509.8610013941002</v>
      </c>
      <c r="CO20" s="533">
        <v>949.53423254458198</v>
      </c>
      <c r="CP20" s="533">
        <v>1849.6438072056301</v>
      </c>
      <c r="CQ20" s="533">
        <v>2691.9911356335101</v>
      </c>
      <c r="CR20" s="533">
        <v>2626.9621304918001</v>
      </c>
      <c r="CS20" s="533">
        <v>1606.5004215930401</v>
      </c>
      <c r="CT20" s="533">
        <v>1516.9878919938201</v>
      </c>
      <c r="CU20" s="533">
        <v>1757.91559601627</v>
      </c>
      <c r="CV20" s="533">
        <v>1975.74177143054</v>
      </c>
      <c r="CW20" s="533">
        <v>1823.5218454768101</v>
      </c>
      <c r="CX20" s="533">
        <v>2246.9891259403398</v>
      </c>
      <c r="CY20" s="533">
        <v>1898.36847750894</v>
      </c>
      <c r="CZ20" s="533">
        <v>2511.5503521414898</v>
      </c>
      <c r="DA20" s="533">
        <v>2270.5228462486298</v>
      </c>
      <c r="DB20" s="533">
        <v>2170.8215649173399</v>
      </c>
      <c r="DC20" s="533">
        <v>2405.23346598035</v>
      </c>
      <c r="DD20" s="533">
        <v>2328.8369597163301</v>
      </c>
      <c r="DE20" s="533">
        <v>1923.7849946386</v>
      </c>
      <c r="DF20" s="533">
        <v>2242.1222857863299</v>
      </c>
      <c r="DG20" s="533">
        <v>3235.49162806203</v>
      </c>
      <c r="DH20" s="533">
        <v>3614.8426356310401</v>
      </c>
      <c r="DI20" s="533">
        <v>2269.4336729308602</v>
      </c>
      <c r="DJ20" s="533">
        <v>2141.5591429196602</v>
      </c>
      <c r="DK20" s="533">
        <v>3114.6692094639102</v>
      </c>
      <c r="DL20" s="533">
        <v>2447.2636036315298</v>
      </c>
      <c r="DM20" s="533">
        <v>1781.1749357701799</v>
      </c>
      <c r="DN20" s="533">
        <v>2214.6855236427</v>
      </c>
      <c r="DO20" s="533">
        <v>2560.9437504129201</v>
      </c>
      <c r="DP20" s="533">
        <v>2708.35117456639</v>
      </c>
      <c r="DQ20" s="533">
        <v>1593.6162003043801</v>
      </c>
      <c r="DR20" s="533">
        <v>1469.64484579192</v>
      </c>
      <c r="DS20" s="533">
        <v>1805.7608263603199</v>
      </c>
      <c r="DT20" s="533">
        <v>1473.9132422216601</v>
      </c>
      <c r="DU20" s="533">
        <v>1657.3673327110901</v>
      </c>
      <c r="DV20" s="533">
        <v>1693.8646565291899</v>
      </c>
      <c r="DW20" s="533">
        <v>2385.9998727308998</v>
      </c>
      <c r="DX20" s="533">
        <v>2494.64016844854</v>
      </c>
      <c r="DY20" s="533">
        <v>2081.2997540442898</v>
      </c>
      <c r="DZ20" s="533">
        <v>2402.6865309097002</v>
      </c>
      <c r="EA20" s="533">
        <v>2504.1421684714601</v>
      </c>
      <c r="EB20" s="533">
        <v>2385.8188882178902</v>
      </c>
      <c r="EC20" s="533">
        <v>1687.8204282387901</v>
      </c>
      <c r="ED20" s="533">
        <v>1973.8490258018201</v>
      </c>
      <c r="EE20" s="533">
        <v>3159.53451627097</v>
      </c>
      <c r="EF20" s="533">
        <v>3235.9416296502</v>
      </c>
      <c r="EG20" s="533">
        <v>2669.74646609512</v>
      </c>
      <c r="EH20" s="533">
        <v>2418.41926482076</v>
      </c>
      <c r="EI20" s="533">
        <v>3031.6158413273902</v>
      </c>
      <c r="EJ20" s="533">
        <v>2600.6229865465002</v>
      </c>
      <c r="EK20" s="533">
        <v>1822.3002307105901</v>
      </c>
      <c r="EL20" s="533">
        <v>1954.22699853172</v>
      </c>
      <c r="EM20" s="533">
        <v>2175.2090698777101</v>
      </c>
      <c r="EN20" s="533">
        <v>2249.3271658389699</v>
      </c>
      <c r="EO20" s="533">
        <v>1903.47473535885</v>
      </c>
      <c r="EP20" s="533">
        <v>2058.8916976353098</v>
      </c>
      <c r="EQ20" s="533">
        <v>2466.8778145620799</v>
      </c>
      <c r="ER20" s="533">
        <v>2666.2204565260499</v>
      </c>
      <c r="ES20" s="533">
        <v>2007.2928430745501</v>
      </c>
      <c r="ET20" s="533">
        <v>1659.1514063316699</v>
      </c>
      <c r="EU20" s="533">
        <v>1799.9207386062801</v>
      </c>
      <c r="EV20" s="533">
        <v>2588.9834023982798</v>
      </c>
      <c r="EW20" s="533">
        <v>1753.35789100854</v>
      </c>
      <c r="EX20" s="533">
        <v>2122.8691383546902</v>
      </c>
      <c r="EY20" s="533">
        <v>2560.2920602056001</v>
      </c>
      <c r="EZ20" s="533">
        <v>2178.3011172655702</v>
      </c>
      <c r="FA20" s="533">
        <v>1373.80227475732</v>
      </c>
      <c r="FB20" s="533">
        <v>2155.5019122000999</v>
      </c>
      <c r="FC20" s="533">
        <v>2397.4327695112001</v>
      </c>
      <c r="FD20" s="533">
        <v>2160.1727335780201</v>
      </c>
      <c r="FE20" s="533">
        <v>1354.5319217023</v>
      </c>
      <c r="FF20" s="533">
        <v>1676.1966940147299</v>
      </c>
      <c r="FG20" s="533">
        <v>1712.75675211985</v>
      </c>
      <c r="FH20" s="533">
        <v>1634.02540472996</v>
      </c>
      <c r="FI20" s="533">
        <v>1519.2240668417701</v>
      </c>
      <c r="FJ20" s="533">
        <v>1692.30405884006</v>
      </c>
      <c r="FK20" s="533">
        <v>1606.94178708713</v>
      </c>
      <c r="FL20" s="533">
        <v>1754.8072357752101</v>
      </c>
      <c r="FM20" s="533">
        <v>1303.05801773491</v>
      </c>
      <c r="FN20" s="533">
        <v>1471.9893538031799</v>
      </c>
      <c r="FO20" s="533">
        <v>1399.13085715952</v>
      </c>
      <c r="FP20" s="533">
        <v>1448.3602934056701</v>
      </c>
      <c r="FQ20" s="533">
        <v>1018.29359456049</v>
      </c>
      <c r="FR20" s="533">
        <v>1215.29637226304</v>
      </c>
      <c r="FS20" s="533">
        <v>1919.76200234357</v>
      </c>
      <c r="FT20" s="533">
        <v>1872.62790473777</v>
      </c>
      <c r="FU20" s="533">
        <v>1519.3532127415699</v>
      </c>
      <c r="FV20" s="533">
        <v>1564.3411892491199</v>
      </c>
      <c r="FW20" s="533">
        <v>1309.94313481318</v>
      </c>
      <c r="FX20" s="533">
        <v>1484.5056750157601</v>
      </c>
      <c r="FY20" s="533">
        <v>927.77646772363096</v>
      </c>
      <c r="FZ20" s="533">
        <v>1330.8242527903301</v>
      </c>
      <c r="GA20" s="533">
        <v>1349.43828725456</v>
      </c>
      <c r="GB20" s="533">
        <v>1669.0398442425301</v>
      </c>
      <c r="GC20" s="533">
        <v>1062.68037034599</v>
      </c>
      <c r="GD20" s="533">
        <v>1318.62926084279</v>
      </c>
      <c r="GE20" s="533">
        <v>1568.62622593212</v>
      </c>
      <c r="GF20" s="533">
        <v>1890.99734263507</v>
      </c>
      <c r="GG20" s="533">
        <v>1154.11051458566</v>
      </c>
      <c r="GH20" s="533">
        <v>1088.35480437976</v>
      </c>
      <c r="GI20" s="533">
        <v>1361.54330405479</v>
      </c>
      <c r="GJ20" s="533">
        <v>1376.5493160404201</v>
      </c>
      <c r="GK20" s="533">
        <v>823.27640679565297</v>
      </c>
      <c r="GL20" s="533">
        <v>1309.9739285979099</v>
      </c>
      <c r="GM20" s="533">
        <v>1533.14218039246</v>
      </c>
      <c r="GN20" s="533">
        <v>1035.91864775606</v>
      </c>
      <c r="GO20" s="533">
        <v>431.17306589380399</v>
      </c>
      <c r="GP20" s="533">
        <v>1085.6728928806999</v>
      </c>
      <c r="GQ20" s="533">
        <v>832.32781837216703</v>
      </c>
      <c r="GR20" s="533">
        <v>1522.9728462764101</v>
      </c>
      <c r="GS20" s="458">
        <v>0.47016645522828981</v>
      </c>
    </row>
    <row r="21" spans="1:201" ht="14.25" customHeight="1" outlineLevel="1">
      <c r="A21" s="531" t="s">
        <v>2099</v>
      </c>
      <c r="B21" s="533">
        <v>4.6074999999999999</v>
      </c>
      <c r="C21" s="533">
        <v>4.6074999999999999</v>
      </c>
      <c r="D21" s="533">
        <v>4.6074999999999999</v>
      </c>
      <c r="E21" s="533">
        <v>4.6074999999999999</v>
      </c>
      <c r="F21" s="533">
        <v>4.6074999999999999</v>
      </c>
      <c r="G21" s="533">
        <v>12.5075</v>
      </c>
      <c r="H21" s="533">
        <v>12.5075</v>
      </c>
      <c r="I21" s="533">
        <v>12.5075</v>
      </c>
      <c r="J21" s="533">
        <v>12.5075</v>
      </c>
      <c r="K21" s="533">
        <v>12.5075</v>
      </c>
      <c r="L21" s="533">
        <v>12.5075</v>
      </c>
      <c r="M21" s="533">
        <v>12.5075</v>
      </c>
      <c r="N21" s="533">
        <v>12.5075</v>
      </c>
      <c r="O21" s="533">
        <v>12.5075</v>
      </c>
      <c r="P21" s="533">
        <v>12.5075</v>
      </c>
      <c r="Q21" s="533">
        <v>12.5075</v>
      </c>
      <c r="R21" s="533">
        <v>12.5075</v>
      </c>
      <c r="S21" s="533">
        <v>12.5075</v>
      </c>
      <c r="T21" s="533">
        <v>12.5075</v>
      </c>
      <c r="U21" s="533">
        <v>12.5075</v>
      </c>
      <c r="V21" s="533">
        <v>12.5075</v>
      </c>
      <c r="W21" s="533">
        <v>12.5075</v>
      </c>
      <c r="X21" s="533">
        <v>12.5075</v>
      </c>
      <c r="Y21" s="533">
        <v>12.5075</v>
      </c>
      <c r="Z21" s="533">
        <v>12.5075</v>
      </c>
      <c r="AA21" s="533">
        <v>12.5075</v>
      </c>
      <c r="AB21" s="533">
        <v>12.5075</v>
      </c>
      <c r="AC21" s="533">
        <v>12.5075</v>
      </c>
      <c r="AD21" s="533">
        <v>12.5075</v>
      </c>
      <c r="AE21" s="533">
        <v>17.5075</v>
      </c>
      <c r="AF21" s="533">
        <v>17.5075</v>
      </c>
      <c r="AG21" s="533">
        <v>17.5075</v>
      </c>
      <c r="AH21" s="533">
        <v>17.5075</v>
      </c>
      <c r="AI21" s="533">
        <v>17.5075</v>
      </c>
      <c r="AJ21" s="533">
        <v>17.5075</v>
      </c>
      <c r="AK21" s="533">
        <v>17.5075</v>
      </c>
      <c r="AL21" s="533">
        <v>17.5075</v>
      </c>
      <c r="AM21" s="533">
        <v>17.5075</v>
      </c>
      <c r="AN21" s="533">
        <v>17.5075</v>
      </c>
      <c r="AO21" s="533">
        <v>17.5075</v>
      </c>
      <c r="AP21" s="533">
        <v>17.5075</v>
      </c>
      <c r="AQ21" s="533">
        <v>15.984999999999999</v>
      </c>
      <c r="AR21" s="533">
        <v>17.105</v>
      </c>
      <c r="AS21" s="533">
        <v>14.994</v>
      </c>
      <c r="AT21" s="533">
        <v>14.63</v>
      </c>
      <c r="AU21" s="533">
        <v>15.984999999999999</v>
      </c>
      <c r="AV21" s="533">
        <v>17.105</v>
      </c>
      <c r="AW21" s="533">
        <v>14.984</v>
      </c>
      <c r="AX21" s="533">
        <v>14.613</v>
      </c>
      <c r="AY21" s="533">
        <v>15.984999999999999</v>
      </c>
      <c r="AZ21" s="533">
        <v>17.105</v>
      </c>
      <c r="BA21" s="533">
        <v>14.994</v>
      </c>
      <c r="BB21" s="533">
        <v>14.63</v>
      </c>
      <c r="BC21" s="533">
        <v>15.984999999999999</v>
      </c>
      <c r="BD21" s="533">
        <v>17.100000000000001</v>
      </c>
      <c r="BE21" s="533">
        <v>14.994</v>
      </c>
      <c r="BF21" s="533">
        <v>14.63</v>
      </c>
      <c r="BG21" s="533">
        <v>15.984999999999999</v>
      </c>
      <c r="BH21" s="533">
        <v>17.14</v>
      </c>
      <c r="BI21" s="533">
        <v>14.994</v>
      </c>
      <c r="BJ21" s="533">
        <v>14.63</v>
      </c>
      <c r="BK21" s="533">
        <v>15.9</v>
      </c>
      <c r="BL21" s="533">
        <v>17.105</v>
      </c>
      <c r="BM21" s="533">
        <v>14.994</v>
      </c>
      <c r="BN21" s="533">
        <v>14.63</v>
      </c>
      <c r="BO21" s="533">
        <v>15.984999999999999</v>
      </c>
      <c r="BP21" s="533">
        <v>17.079999999999998</v>
      </c>
      <c r="BQ21" s="533">
        <v>14.994</v>
      </c>
      <c r="BR21" s="533">
        <v>14.63</v>
      </c>
      <c r="BS21" s="533">
        <v>15.922000000000001</v>
      </c>
      <c r="BT21" s="533">
        <v>17.096</v>
      </c>
      <c r="BU21" s="533">
        <v>15.003</v>
      </c>
      <c r="BV21" s="533">
        <v>14.638999999999999</v>
      </c>
      <c r="BW21" s="533">
        <v>15.984999999999999</v>
      </c>
      <c r="BX21" s="533">
        <v>17.105</v>
      </c>
      <c r="BY21" s="533">
        <v>14.994</v>
      </c>
      <c r="BZ21" s="533">
        <v>14.634</v>
      </c>
      <c r="CA21" s="533">
        <v>15.984999999999999</v>
      </c>
      <c r="CB21" s="533">
        <v>17.105</v>
      </c>
      <c r="CC21" s="533">
        <v>14.994</v>
      </c>
      <c r="CD21" s="533">
        <v>14.67</v>
      </c>
      <c r="CE21" s="533">
        <v>15.984999999999999</v>
      </c>
      <c r="CF21" s="533">
        <v>17.094999999999999</v>
      </c>
      <c r="CG21" s="533">
        <v>14.994</v>
      </c>
      <c r="CH21" s="533">
        <v>14.63</v>
      </c>
      <c r="CI21" s="533">
        <v>15.984999999999999</v>
      </c>
      <c r="CJ21" s="533">
        <v>17.09</v>
      </c>
      <c r="CK21" s="533">
        <v>14.994</v>
      </c>
      <c r="CL21" s="533">
        <v>16</v>
      </c>
      <c r="CM21" s="533">
        <v>15.67475</v>
      </c>
      <c r="CN21" s="533">
        <v>15.67475</v>
      </c>
      <c r="CO21" s="533">
        <v>15.67475</v>
      </c>
      <c r="CP21" s="533">
        <v>15.67475</v>
      </c>
      <c r="CQ21" s="533">
        <v>15.67475</v>
      </c>
      <c r="CR21" s="533">
        <v>15.67475</v>
      </c>
      <c r="CS21" s="533">
        <v>15.67475</v>
      </c>
      <c r="CT21" s="533">
        <v>15.67475</v>
      </c>
      <c r="CU21" s="533">
        <v>15.67475</v>
      </c>
      <c r="CV21" s="533">
        <v>15.67475</v>
      </c>
      <c r="CW21" s="533">
        <v>15.67475</v>
      </c>
      <c r="CX21" s="533">
        <v>15.67475</v>
      </c>
      <c r="CY21" s="533">
        <v>15.67475</v>
      </c>
      <c r="CZ21" s="533">
        <v>15.67475</v>
      </c>
      <c r="DA21" s="533">
        <v>15.67475</v>
      </c>
      <c r="DB21" s="533">
        <v>15.67475</v>
      </c>
      <c r="DC21" s="533">
        <v>15.67475</v>
      </c>
      <c r="DD21" s="533">
        <v>15.67475</v>
      </c>
      <c r="DE21" s="533">
        <v>15.67475</v>
      </c>
      <c r="DF21" s="533">
        <v>11.808</v>
      </c>
      <c r="DG21" s="533">
        <v>11.808</v>
      </c>
      <c r="DH21" s="533">
        <v>11.808</v>
      </c>
      <c r="DI21" s="533">
        <v>11.808</v>
      </c>
      <c r="DJ21" s="533">
        <v>22.900849999999998</v>
      </c>
      <c r="DK21" s="533">
        <v>23.411650000000002</v>
      </c>
      <c r="DL21" s="533">
        <v>23.411650000000002</v>
      </c>
      <c r="DM21" s="533">
        <v>23.411650000000002</v>
      </c>
      <c r="DN21" s="533">
        <v>23.411650000000002</v>
      </c>
      <c r="DO21" s="533">
        <v>20.347100000000001</v>
      </c>
      <c r="DP21" s="533">
        <v>20.347100000000001</v>
      </c>
      <c r="DQ21" s="533">
        <v>20.347100000000001</v>
      </c>
      <c r="DR21" s="533">
        <v>20.347100000000001</v>
      </c>
      <c r="DS21" s="533">
        <v>20.867799999999999</v>
      </c>
      <c r="DT21" s="533">
        <v>20.867799999999999</v>
      </c>
      <c r="DU21" s="533">
        <v>20.867799999999999</v>
      </c>
      <c r="DV21" s="533">
        <v>20.867799999999999</v>
      </c>
      <c r="DW21" s="533">
        <v>18.311250000000001</v>
      </c>
      <c r="DX21" s="533">
        <v>18.311250000000001</v>
      </c>
      <c r="DY21" s="533">
        <v>18.311250000000001</v>
      </c>
      <c r="DZ21" s="533">
        <v>18.311250000000001</v>
      </c>
      <c r="EA21" s="533">
        <v>17.65775</v>
      </c>
      <c r="EB21" s="533">
        <v>17.65775</v>
      </c>
      <c r="EC21" s="533">
        <v>17.65775</v>
      </c>
      <c r="ED21" s="533">
        <v>17.65775</v>
      </c>
      <c r="EE21" s="533">
        <v>11.753674999999999</v>
      </c>
      <c r="EF21" s="533">
        <v>11.753674999999999</v>
      </c>
      <c r="EG21" s="533">
        <v>11.753674999999999</v>
      </c>
      <c r="EH21" s="533">
        <v>11.753674999999999</v>
      </c>
      <c r="EI21" s="533">
        <v>14.7807</v>
      </c>
      <c r="EJ21" s="533">
        <v>14.7807</v>
      </c>
      <c r="EK21" s="533">
        <v>14.7807</v>
      </c>
      <c r="EL21" s="533">
        <v>14.7807</v>
      </c>
      <c r="EM21" s="533">
        <v>12.8256</v>
      </c>
      <c r="EN21" s="533">
        <v>12.8256</v>
      </c>
      <c r="EO21" s="533">
        <v>12.8256</v>
      </c>
      <c r="EP21" s="533">
        <v>12.8256</v>
      </c>
      <c r="EQ21" s="533">
        <v>14.776524999999999</v>
      </c>
      <c r="ER21" s="533">
        <v>14.776524999999999</v>
      </c>
      <c r="ES21" s="533">
        <v>14.776524999999999</v>
      </c>
      <c r="ET21" s="533">
        <v>14.776524999999999</v>
      </c>
      <c r="EU21" s="533">
        <v>10.4993</v>
      </c>
      <c r="EV21" s="533">
        <v>10.4993</v>
      </c>
      <c r="EW21" s="533">
        <v>10.4993</v>
      </c>
      <c r="EX21" s="533">
        <v>10.4993</v>
      </c>
      <c r="EY21" s="533">
        <v>8.2792884999999998</v>
      </c>
      <c r="EZ21" s="533">
        <v>8.2792884999999998</v>
      </c>
      <c r="FA21" s="533">
        <v>8.2792884999999998</v>
      </c>
      <c r="FB21" s="533">
        <v>8.2792884999999998</v>
      </c>
      <c r="FC21" s="533">
        <v>11.988946</v>
      </c>
      <c r="FD21" s="533">
        <v>11.988946</v>
      </c>
      <c r="FE21" s="533">
        <v>11.988946</v>
      </c>
      <c r="FF21" s="533">
        <v>11.988946</v>
      </c>
      <c r="FG21" s="533">
        <v>11.80014575</v>
      </c>
      <c r="FH21" s="533">
        <v>11.80014575</v>
      </c>
      <c r="FI21" s="533">
        <v>11.80014575</v>
      </c>
      <c r="FJ21" s="533">
        <v>11.80014575</v>
      </c>
      <c r="FK21" s="533">
        <v>12.4038</v>
      </c>
      <c r="FL21" s="533">
        <v>12.4038</v>
      </c>
      <c r="FM21" s="533">
        <v>12.4038</v>
      </c>
      <c r="FN21" s="533">
        <v>12.4038</v>
      </c>
      <c r="FO21" s="533">
        <v>12.85675</v>
      </c>
      <c r="FP21" s="533">
        <v>12.85675</v>
      </c>
      <c r="FQ21" s="533">
        <v>12.85675</v>
      </c>
      <c r="FR21" s="533">
        <v>12.85675</v>
      </c>
      <c r="FS21" s="533">
        <v>11.20425</v>
      </c>
      <c r="FT21" s="533">
        <v>11.20425</v>
      </c>
      <c r="FU21" s="533">
        <v>11.20425</v>
      </c>
      <c r="FV21" s="533">
        <v>11.20425</v>
      </c>
      <c r="FW21" s="533">
        <v>12.71325</v>
      </c>
      <c r="FX21" s="533">
        <v>12.71325</v>
      </c>
      <c r="FY21" s="533">
        <v>12.71325</v>
      </c>
      <c r="FZ21" s="533">
        <v>12.71325</v>
      </c>
      <c r="GA21" s="533">
        <v>10.909750000000001</v>
      </c>
      <c r="GB21" s="533">
        <v>10.909750000000001</v>
      </c>
      <c r="GC21" s="533">
        <v>10.909750000000001</v>
      </c>
      <c r="GD21" s="533">
        <v>10.909750000000001</v>
      </c>
      <c r="GE21" s="533">
        <v>9.5570000000000004</v>
      </c>
      <c r="GF21" s="533">
        <v>9.5570000000000004</v>
      </c>
      <c r="GG21" s="533">
        <v>9.5570000000000004</v>
      </c>
      <c r="GH21" s="533">
        <v>9.5570000000000004</v>
      </c>
      <c r="GI21" s="533">
        <v>11.187637911818101</v>
      </c>
      <c r="GJ21" s="533">
        <v>11.187637911818101</v>
      </c>
      <c r="GK21" s="533">
        <v>11.187637911818101</v>
      </c>
      <c r="GL21" s="533">
        <v>11.187637911818101</v>
      </c>
      <c r="GM21" s="533">
        <v>9.5090135</v>
      </c>
      <c r="GN21" s="533">
        <v>9.5090135</v>
      </c>
      <c r="GO21" s="533">
        <v>9.5090135</v>
      </c>
      <c r="GP21" s="533">
        <v>9.5090135</v>
      </c>
      <c r="GQ21" s="533">
        <v>9.5090135</v>
      </c>
      <c r="GR21" s="533">
        <v>9.5090135</v>
      </c>
      <c r="GS21" s="458">
        <v>0</v>
      </c>
    </row>
    <row r="22" spans="1:201" ht="14.25" customHeight="1">
      <c r="A22" s="543" t="s">
        <v>2100</v>
      </c>
      <c r="B22" s="544">
        <v>0.88539031627787146</v>
      </c>
      <c r="C22" s="544">
        <v>0.80541660166439966</v>
      </c>
      <c r="D22" s="544">
        <v>0.81894642666890927</v>
      </c>
      <c r="E22" s="544">
        <v>0.8246949427371526</v>
      </c>
      <c r="F22" s="544">
        <v>0.88152455112198214</v>
      </c>
      <c r="G22" s="544">
        <v>0.9008934023718701</v>
      </c>
      <c r="H22" s="544">
        <v>0.89917023897973825</v>
      </c>
      <c r="I22" s="544">
        <v>0.93987443579768337</v>
      </c>
      <c r="J22" s="544">
        <v>0.87717451366725374</v>
      </c>
      <c r="K22" s="544">
        <v>0.75274860705097835</v>
      </c>
      <c r="L22" s="544">
        <v>0.8149147488455174</v>
      </c>
      <c r="M22" s="544">
        <v>0.77956657818645947</v>
      </c>
      <c r="N22" s="544">
        <v>0.7568759680155388</v>
      </c>
      <c r="O22" s="544">
        <v>0.72414480348201871</v>
      </c>
      <c r="P22" s="544">
        <v>0.73869668431216151</v>
      </c>
      <c r="Q22" s="544">
        <v>0.76369714706275038</v>
      </c>
      <c r="R22" s="544">
        <v>0.76624434745005265</v>
      </c>
      <c r="S22" s="544">
        <v>0.76470520901895922</v>
      </c>
      <c r="T22" s="544">
        <v>0.77636364841009664</v>
      </c>
      <c r="U22" s="544">
        <v>0.8355398394624215</v>
      </c>
      <c r="V22" s="544">
        <v>0.8530153410877086</v>
      </c>
      <c r="W22" s="544">
        <v>0.89785667215206677</v>
      </c>
      <c r="X22" s="544">
        <v>0.87403796460606165</v>
      </c>
      <c r="Y22" s="544">
        <v>0.94274066071111573</v>
      </c>
      <c r="Z22" s="544">
        <v>0.94597786130706085</v>
      </c>
      <c r="AA22" s="544">
        <v>0.88728455141435081</v>
      </c>
      <c r="AB22" s="544">
        <v>0.89830748784185821</v>
      </c>
      <c r="AC22" s="544">
        <v>0.93375405452810445</v>
      </c>
      <c r="AD22" s="544">
        <v>0.91269500043427354</v>
      </c>
      <c r="AE22" s="544">
        <v>0.88043382352694333</v>
      </c>
      <c r="AF22" s="544">
        <v>0.89487965942418535</v>
      </c>
      <c r="AG22" s="544">
        <v>0.93135866751200502</v>
      </c>
      <c r="AH22" s="544">
        <v>0.87788105625166823</v>
      </c>
      <c r="AI22" s="544">
        <v>0.81594505235361381</v>
      </c>
      <c r="AJ22" s="544">
        <v>0.72894042394167002</v>
      </c>
      <c r="AK22" s="544">
        <v>0.80912275258668387</v>
      </c>
      <c r="AL22" s="544">
        <v>0.80394102202201501</v>
      </c>
      <c r="AM22" s="544">
        <v>0.80052216370291995</v>
      </c>
      <c r="AN22" s="544">
        <v>0.75564446088665482</v>
      </c>
      <c r="AO22" s="544">
        <v>0.89303607543504371</v>
      </c>
      <c r="AP22" s="544">
        <v>0.85620778805239128</v>
      </c>
      <c r="AQ22" s="544">
        <v>0.78411434327965024</v>
      </c>
      <c r="AR22" s="544">
        <v>0.7777249443335893</v>
      </c>
      <c r="AS22" s="544">
        <v>0.81420617469027401</v>
      </c>
      <c r="AT22" s="544">
        <v>0.82099881396370689</v>
      </c>
      <c r="AU22" s="544">
        <v>0.69852283801652093</v>
      </c>
      <c r="AV22" s="544">
        <v>0.75424745301749807</v>
      </c>
      <c r="AW22" s="544">
        <v>0.7976056471825187</v>
      </c>
      <c r="AX22" s="544">
        <v>0.84867875510342883</v>
      </c>
      <c r="AY22" s="544">
        <v>0.76851238326454219</v>
      </c>
      <c r="AZ22" s="544">
        <v>0.83865467830923179</v>
      </c>
      <c r="BA22" s="544">
        <v>0.84390250979327941</v>
      </c>
      <c r="BB22" s="544">
        <v>0.7978227836658387</v>
      </c>
      <c r="BC22" s="544">
        <v>0.83520089051584268</v>
      </c>
      <c r="BD22" s="544">
        <v>0.79181808747916849</v>
      </c>
      <c r="BE22" s="544">
        <v>0.80540543298846434</v>
      </c>
      <c r="BF22" s="544">
        <v>0.80775444552339404</v>
      </c>
      <c r="BG22" s="544">
        <v>0.71072566033667184</v>
      </c>
      <c r="BH22" s="544">
        <v>0.81840143050329361</v>
      </c>
      <c r="BI22" s="544">
        <v>0.89619240405167377</v>
      </c>
      <c r="BJ22" s="544">
        <v>0.88793762370244755</v>
      </c>
      <c r="BK22" s="544">
        <v>0.80007595449283497</v>
      </c>
      <c r="BL22" s="544">
        <v>0.76445294638163075</v>
      </c>
      <c r="BM22" s="544">
        <v>0.7723556495591507</v>
      </c>
      <c r="BN22" s="544">
        <v>0.81445580862620526</v>
      </c>
      <c r="BO22" s="544">
        <v>0.75234270570932216</v>
      </c>
      <c r="BP22" s="544">
        <v>0.83507068869884249</v>
      </c>
      <c r="BQ22" s="544">
        <v>0.84059655423477853</v>
      </c>
      <c r="BR22" s="544">
        <v>0.82517907097884058</v>
      </c>
      <c r="BS22" s="544">
        <v>0.72329291216398772</v>
      </c>
      <c r="BT22" s="544">
        <v>0.74328335580464777</v>
      </c>
      <c r="BU22" s="544">
        <v>0.85099107814773556</v>
      </c>
      <c r="BV22" s="544">
        <v>0.81037699068421132</v>
      </c>
      <c r="BW22" s="544">
        <v>0.61454852626135892</v>
      </c>
      <c r="BX22" s="544">
        <v>0.68881126915428337</v>
      </c>
      <c r="BY22" s="544">
        <v>0.8493163165830846</v>
      </c>
      <c r="BZ22" s="544">
        <v>0.84417562988519168</v>
      </c>
      <c r="CA22" s="544">
        <v>0.72337933248620245</v>
      </c>
      <c r="CB22" s="544">
        <v>0.80952998886640126</v>
      </c>
      <c r="CC22" s="544">
        <v>0.74759426181615996</v>
      </c>
      <c r="CD22" s="544">
        <v>0.84633214099651721</v>
      </c>
      <c r="CE22" s="544">
        <v>0.7153973017419627</v>
      </c>
      <c r="CF22" s="544">
        <v>0.87791730422257308</v>
      </c>
      <c r="CG22" s="544">
        <v>0.87809269531375456</v>
      </c>
      <c r="CH22" s="544">
        <v>0.82602969637074086</v>
      </c>
      <c r="CI22" s="544">
        <v>0.84611296253222057</v>
      </c>
      <c r="CJ22" s="544">
        <v>0.81006014987631036</v>
      </c>
      <c r="CK22" s="544">
        <v>0.90898840067621955</v>
      </c>
      <c r="CL22" s="544">
        <v>0.89534062591233665</v>
      </c>
      <c r="CM22" s="544">
        <v>0.77286427310706995</v>
      </c>
      <c r="CN22" s="544">
        <v>0.71192927909941184</v>
      </c>
      <c r="CO22" s="544">
        <v>0.83869912935310553</v>
      </c>
      <c r="CP22" s="544">
        <v>0.75865210524550986</v>
      </c>
      <c r="CQ22" s="544">
        <v>0.65244955283875161</v>
      </c>
      <c r="CR22" s="544">
        <v>0.68515265983828266</v>
      </c>
      <c r="CS22" s="544">
        <v>0.77105814321835187</v>
      </c>
      <c r="CT22" s="544">
        <v>0.78701058609822938</v>
      </c>
      <c r="CU22" s="544">
        <v>0.74912222821433239</v>
      </c>
      <c r="CV22" s="544">
        <v>0.76590451065953347</v>
      </c>
      <c r="CW22" s="544">
        <v>0.77393579421112635</v>
      </c>
      <c r="CX22" s="544">
        <v>0.71201281886902512</v>
      </c>
      <c r="CY22" s="544">
        <v>0.74027488954350462</v>
      </c>
      <c r="CZ22" s="544">
        <v>0.68835269908608165</v>
      </c>
      <c r="DA22" s="544">
        <v>0.69983311503741541</v>
      </c>
      <c r="DB22" s="544">
        <v>0.70446807296029224</v>
      </c>
      <c r="DC22" s="544">
        <v>0.70653322586087319</v>
      </c>
      <c r="DD22" s="544">
        <v>0.7354952541489288</v>
      </c>
      <c r="DE22" s="544">
        <v>0.76906944952489575</v>
      </c>
      <c r="DF22" s="544">
        <v>0.7172506115379883</v>
      </c>
      <c r="DG22" s="544">
        <v>0.62385722026329782</v>
      </c>
      <c r="DH22" s="544">
        <v>0.56886882383660253</v>
      </c>
      <c r="DI22" s="544">
        <v>0.70270766975259313</v>
      </c>
      <c r="DJ22" s="544">
        <v>0.72362621565741581</v>
      </c>
      <c r="DK22" s="544">
        <v>0.62027640907172488</v>
      </c>
      <c r="DL22" s="544">
        <v>0.73015847250093857</v>
      </c>
      <c r="DM22" s="544">
        <v>0.76052268953987479</v>
      </c>
      <c r="DN22" s="544">
        <v>0.67902360437725429</v>
      </c>
      <c r="DO22" s="544">
        <v>0.61663699830888985</v>
      </c>
      <c r="DP22" s="544">
        <v>0.64649610984468298</v>
      </c>
      <c r="DQ22" s="544">
        <v>0.75398477154217436</v>
      </c>
      <c r="DR22" s="544">
        <v>0.77466191426156039</v>
      </c>
      <c r="DS22" s="544">
        <v>0.68852107646172445</v>
      </c>
      <c r="DT22" s="544">
        <v>0.75948134816437074</v>
      </c>
      <c r="DU22" s="544">
        <v>0.71987491874961751</v>
      </c>
      <c r="DV22" s="544">
        <v>0.7400610976964398</v>
      </c>
      <c r="DW22" s="544">
        <v>0.6360847288329653</v>
      </c>
      <c r="DX22" s="544">
        <v>0.61529102594316853</v>
      </c>
      <c r="DY22" s="544">
        <v>0.6484267715349642</v>
      </c>
      <c r="DZ22" s="544">
        <v>0.63553799509125852</v>
      </c>
      <c r="EA22" s="544">
        <v>0.63384944521186226</v>
      </c>
      <c r="EB22" s="544">
        <v>0.65302603791708214</v>
      </c>
      <c r="EC22" s="544">
        <v>0.72436860980368156</v>
      </c>
      <c r="ED22" s="544">
        <v>0.72351284834957985</v>
      </c>
      <c r="EE22" s="544">
        <v>0.60958889313581166</v>
      </c>
      <c r="EF22" s="544">
        <v>0.66163477361208001</v>
      </c>
      <c r="EG22" s="544">
        <v>0.68547940247444461</v>
      </c>
      <c r="EH22" s="544">
        <v>0.65207640729829008</v>
      </c>
      <c r="EI22" s="544">
        <v>0.55893927191192272</v>
      </c>
      <c r="EJ22" s="544">
        <v>0.67472566254922706</v>
      </c>
      <c r="EK22" s="544">
        <v>0.74411637047994361</v>
      </c>
      <c r="EL22" s="544">
        <v>0.73166876750676668</v>
      </c>
      <c r="EM22" s="544">
        <v>0.70218688426716236</v>
      </c>
      <c r="EN22" s="544">
        <v>0.72216824400342217</v>
      </c>
      <c r="EO22" s="544">
        <v>0.76164841075390599</v>
      </c>
      <c r="EP22" s="544">
        <v>0.73383681182517702</v>
      </c>
      <c r="EQ22" s="544">
        <v>0.73318098002827825</v>
      </c>
      <c r="ER22" s="544">
        <v>0.74055739052307179</v>
      </c>
      <c r="ES22" s="544">
        <v>0.76531768165883496</v>
      </c>
      <c r="ET22" s="544">
        <v>0.80207100853460245</v>
      </c>
      <c r="EU22" s="544">
        <v>0.79671659242669879</v>
      </c>
      <c r="EV22" s="544">
        <v>0.72196893443585419</v>
      </c>
      <c r="EW22" s="544">
        <v>0.77210451425191484</v>
      </c>
      <c r="EX22" s="544">
        <v>0.72682622806247887</v>
      </c>
      <c r="EY22" s="544">
        <v>0.64713598304084452</v>
      </c>
      <c r="EZ22" s="544">
        <v>0.73739443182023523</v>
      </c>
      <c r="FA22" s="544">
        <v>0.81676157135885197</v>
      </c>
      <c r="FB22" s="544">
        <v>0.72948452625994364</v>
      </c>
      <c r="FC22" s="544">
        <v>0.68541116431671278</v>
      </c>
      <c r="FD22" s="544">
        <v>0.76042374760303844</v>
      </c>
      <c r="FE22" s="544">
        <v>0.84787486280295865</v>
      </c>
      <c r="FF22" s="544">
        <v>0.79768541339845833</v>
      </c>
      <c r="FG22" s="544">
        <v>0.78844245518872358</v>
      </c>
      <c r="FH22" s="544">
        <v>0.81935818342403421</v>
      </c>
      <c r="FI22" s="544">
        <v>0.802878695738101</v>
      </c>
      <c r="FJ22" s="544">
        <v>0.76816088278567596</v>
      </c>
      <c r="FK22" s="544">
        <v>0.82089524139437942</v>
      </c>
      <c r="FL22" s="544">
        <v>0.82149771809825989</v>
      </c>
      <c r="FM22" s="544">
        <v>0.83340038494271629</v>
      </c>
      <c r="FN22" s="544">
        <v>0.82621169034936726</v>
      </c>
      <c r="FO22" s="544">
        <v>0.83722640058773024</v>
      </c>
      <c r="FP22" s="544">
        <v>0.85739838982328065</v>
      </c>
      <c r="FQ22" s="544">
        <v>0.88486729296684996</v>
      </c>
      <c r="FR22" s="544">
        <v>0.86604184043044818</v>
      </c>
      <c r="FS22" s="544">
        <v>0.79465304882745336</v>
      </c>
      <c r="FT22" s="544">
        <v>0.80806976763948035</v>
      </c>
      <c r="FU22" s="544">
        <v>0.82241414122236334</v>
      </c>
      <c r="FV22" s="544">
        <v>0.81565714145465262</v>
      </c>
      <c r="FW22" s="544">
        <v>0.85538817184521254</v>
      </c>
      <c r="FX22" s="544">
        <v>0.84992893592541763</v>
      </c>
      <c r="FY22" s="544">
        <v>0.84751784843531797</v>
      </c>
      <c r="FZ22" s="544">
        <v>0.80475853574875922</v>
      </c>
      <c r="GA22" s="544">
        <v>0.83474617143207974</v>
      </c>
      <c r="GB22" s="544">
        <v>0.81203953735675505</v>
      </c>
      <c r="GC22" s="544">
        <v>0.85699786456473803</v>
      </c>
      <c r="GD22" s="544">
        <v>0.82242024481677134</v>
      </c>
      <c r="GE22" s="544">
        <v>0.8097359980440445</v>
      </c>
      <c r="GF22" s="544">
        <v>0.77400872583139912</v>
      </c>
      <c r="GG22" s="544">
        <v>0.84312312496444297</v>
      </c>
      <c r="GH22" s="544">
        <v>0.79128198580105757</v>
      </c>
      <c r="GI22" s="544">
        <v>0.75006793517761472</v>
      </c>
      <c r="GJ22" s="544">
        <v>0.8365080520616246</v>
      </c>
      <c r="GK22" s="544">
        <v>0.90727435326902361</v>
      </c>
      <c r="GL22" s="544">
        <v>0.82786230384214665</v>
      </c>
      <c r="GM22" s="544">
        <v>0.80977431102735753</v>
      </c>
      <c r="GN22" s="544">
        <v>0.89584608352730932</v>
      </c>
      <c r="GO22" s="544">
        <v>0.94727437103289669</v>
      </c>
      <c r="GP22" s="544">
        <v>0.8747880520929453</v>
      </c>
      <c r="GQ22" s="544">
        <v>0.9097780977942399</v>
      </c>
      <c r="GR22" s="544">
        <v>0.84060701108872338</v>
      </c>
      <c r="GS22" s="459">
        <v>-6.1661342784563256E-2</v>
      </c>
    </row>
    <row r="23" spans="1:201" ht="14.25" customHeight="1">
      <c r="A23" s="543" t="s">
        <v>2101</v>
      </c>
      <c r="B23" s="544"/>
      <c r="C23" s="544"/>
      <c r="D23" s="544"/>
      <c r="E23" s="544">
        <v>0.83070224485796906</v>
      </c>
      <c r="F23" s="544">
        <v>0.83013768608883787</v>
      </c>
      <c r="G23" s="544">
        <v>0.8539443916206324</v>
      </c>
      <c r="H23" s="544">
        <v>0.87602404984973847</v>
      </c>
      <c r="I23" s="544">
        <v>0.90570826268034255</v>
      </c>
      <c r="J23" s="544">
        <v>0.90425539186182446</v>
      </c>
      <c r="K23" s="544">
        <v>0.86458674852196826</v>
      </c>
      <c r="L23" s="544">
        <v>0.84058291892066161</v>
      </c>
      <c r="M23" s="544">
        <v>0.80358101257423187</v>
      </c>
      <c r="N23" s="544">
        <v>0.77755481323740694</v>
      </c>
      <c r="O23" s="544">
        <v>0.76960765588846047</v>
      </c>
      <c r="P23" s="544">
        <v>0.74824573378587589</v>
      </c>
      <c r="Q23" s="544">
        <v>0.74458114650048468</v>
      </c>
      <c r="R23" s="544">
        <v>0.74657650880489235</v>
      </c>
      <c r="S23" s="544">
        <v>0.75736053087589095</v>
      </c>
      <c r="T23" s="544">
        <v>0.76815146773130349</v>
      </c>
      <c r="U23" s="544">
        <v>0.78546044665374726</v>
      </c>
      <c r="V23" s="544">
        <v>0.80484454530504235</v>
      </c>
      <c r="W23" s="544">
        <v>0.83902780286235745</v>
      </c>
      <c r="X23" s="544">
        <v>0.866275450895026</v>
      </c>
      <c r="Y23" s="544">
        <v>0.89165710523944708</v>
      </c>
      <c r="Z23" s="544">
        <v>0.91271933734345423</v>
      </c>
      <c r="AA23" s="544">
        <v>0.90979766076534896</v>
      </c>
      <c r="AB23" s="544">
        <v>0.91629070807314095</v>
      </c>
      <c r="AC23" s="544">
        <v>0.91431225242120662</v>
      </c>
      <c r="AD23" s="544">
        <v>0.90699677691410441</v>
      </c>
      <c r="AE23" s="544">
        <v>0.90512033575503359</v>
      </c>
      <c r="AF23" s="544">
        <v>0.90408366746059232</v>
      </c>
      <c r="AG23" s="544">
        <v>0.90378418432723528</v>
      </c>
      <c r="AH23" s="544">
        <v>0.89598007314729811</v>
      </c>
      <c r="AI23" s="544">
        <v>0.8785663849307469</v>
      </c>
      <c r="AJ23" s="544">
        <v>0.83168468628464354</v>
      </c>
      <c r="AK23" s="544">
        <v>0.80351789632348292</v>
      </c>
      <c r="AL23" s="544">
        <v>0.78765433506539917</v>
      </c>
      <c r="AM23" s="544">
        <v>0.78396855429120105</v>
      </c>
      <c r="AN23" s="544">
        <v>0.79043480719889492</v>
      </c>
      <c r="AO23" s="544">
        <v>0.81079010262616591</v>
      </c>
      <c r="AP23" s="544">
        <v>0.8227128763338204</v>
      </c>
      <c r="AQ23" s="544">
        <v>0.8182033587230193</v>
      </c>
      <c r="AR23" s="544">
        <v>0.82404321066136565</v>
      </c>
      <c r="AS23" s="544">
        <v>0.80576777511849174</v>
      </c>
      <c r="AT23" s="544">
        <v>0.79798052253945684</v>
      </c>
      <c r="AU23" s="544">
        <v>0.77559052373468262</v>
      </c>
      <c r="AV23" s="544">
        <v>0.7691087453999329</v>
      </c>
      <c r="AW23" s="544">
        <v>0.76523349806060714</v>
      </c>
      <c r="AX23" s="544">
        <v>0.77155712234933549</v>
      </c>
      <c r="AY23" s="544">
        <v>0.78949786823279278</v>
      </c>
      <c r="AZ23" s="544">
        <v>0.81293986361620196</v>
      </c>
      <c r="BA23" s="544">
        <v>0.82387325879823237</v>
      </c>
      <c r="BB23" s="544">
        <v>0.8125694588520187</v>
      </c>
      <c r="BC23" s="544">
        <v>0.82973993866718265</v>
      </c>
      <c r="BD23" s="544">
        <v>0.8167898049821728</v>
      </c>
      <c r="BE23" s="544">
        <v>0.8076368376192955</v>
      </c>
      <c r="BF23" s="544">
        <v>0.80985876547152502</v>
      </c>
      <c r="BG23" s="544">
        <v>0.77735580109974012</v>
      </c>
      <c r="BH23" s="544">
        <v>0.78467297707287542</v>
      </c>
      <c r="BI23" s="544">
        <v>0.80700795288071847</v>
      </c>
      <c r="BJ23" s="544">
        <v>0.82518211994417467</v>
      </c>
      <c r="BK23" s="544">
        <v>0.84820821596014095</v>
      </c>
      <c r="BL23" s="544">
        <v>0.83305674868222146</v>
      </c>
      <c r="BM23" s="544">
        <v>0.8033414676715166</v>
      </c>
      <c r="BN23" s="544">
        <v>0.78714971828059199</v>
      </c>
      <c r="BO23" s="544">
        <v>0.7747255417236607</v>
      </c>
      <c r="BP23" s="544">
        <v>0.79422006134047329</v>
      </c>
      <c r="BQ23" s="544">
        <v>0.81036476964813808</v>
      </c>
      <c r="BR23" s="544">
        <v>0.81286673736331827</v>
      </c>
      <c r="BS23" s="544">
        <v>0.8047111246489681</v>
      </c>
      <c r="BT23" s="544">
        <v>0.77972279858849913</v>
      </c>
      <c r="BU23" s="544">
        <v>0.78312176017025281</v>
      </c>
      <c r="BV23" s="544">
        <v>0.78013719780233659</v>
      </c>
      <c r="BW23" s="544">
        <v>0.75141442994545982</v>
      </c>
      <c r="BX23" s="544">
        <v>0.73872726047932802</v>
      </c>
      <c r="BY23" s="544">
        <v>0.73840782474385569</v>
      </c>
      <c r="BZ23" s="544">
        <v>0.74715146774148167</v>
      </c>
      <c r="CA23" s="544">
        <v>0.77680312575641652</v>
      </c>
      <c r="CB23" s="544">
        <v>0.8058054513073919</v>
      </c>
      <c r="CC23" s="544">
        <v>0.78144342506774422</v>
      </c>
      <c r="CD23" s="544">
        <v>0.7819699013087329</v>
      </c>
      <c r="CE23" s="544">
        <v>0.77954000027226278</v>
      </c>
      <c r="CF23" s="544">
        <v>0.79835737900343273</v>
      </c>
      <c r="CG23" s="544">
        <v>0.82978458765669461</v>
      </c>
      <c r="CH23" s="544">
        <v>0.82507043621173004</v>
      </c>
      <c r="CI23" s="544">
        <v>0.85754059185566001</v>
      </c>
      <c r="CJ23" s="544">
        <v>0.83923876012923937</v>
      </c>
      <c r="CK23" s="544">
        <v>0.84703692815989506</v>
      </c>
      <c r="CL23" s="544">
        <v>0.86320603861579837</v>
      </c>
      <c r="CM23" s="544">
        <v>0.844412382322688</v>
      </c>
      <c r="CN23" s="544">
        <v>0.81801644526839468</v>
      </c>
      <c r="CO23" s="544">
        <v>0.80104489160445136</v>
      </c>
      <c r="CP23" s="544">
        <v>0.76913844577098311</v>
      </c>
      <c r="CQ23" s="544">
        <v>0.73791070721373542</v>
      </c>
      <c r="CR23" s="544">
        <v>0.73024926702005954</v>
      </c>
      <c r="CS23" s="544">
        <v>0.71429985472507551</v>
      </c>
      <c r="CT23" s="544">
        <v>0.72162734150214203</v>
      </c>
      <c r="CU23" s="544">
        <v>0.74600314922595901</v>
      </c>
      <c r="CV23" s="544">
        <v>0.76782962460564363</v>
      </c>
      <c r="CW23" s="544">
        <v>0.76851921215054619</v>
      </c>
      <c r="CX23" s="544">
        <v>0.75094154428073701</v>
      </c>
      <c r="CY23" s="544">
        <v>0.7486673307105387</v>
      </c>
      <c r="CZ23" s="544">
        <v>0.72782526350729027</v>
      </c>
      <c r="DA23" s="544">
        <v>0.70990774009819768</v>
      </c>
      <c r="DB23" s="544">
        <v>0.70813059610948337</v>
      </c>
      <c r="DC23" s="544">
        <v>0.69961851242960804</v>
      </c>
      <c r="DD23" s="544">
        <v>0.71234865880820397</v>
      </c>
      <c r="DE23" s="544">
        <v>0.72940889980062706</v>
      </c>
      <c r="DF23" s="544">
        <v>0.73220943914975645</v>
      </c>
      <c r="DG23" s="544">
        <v>0.71073999362926843</v>
      </c>
      <c r="DH23" s="544">
        <v>0.66756468685525072</v>
      </c>
      <c r="DI23" s="544">
        <v>0.65082592018427954</v>
      </c>
      <c r="DJ23" s="544">
        <v>0.65203547077327761</v>
      </c>
      <c r="DK23" s="544">
        <v>0.65114707139703121</v>
      </c>
      <c r="DL23" s="544">
        <v>0.6939723017244549</v>
      </c>
      <c r="DM23" s="544">
        <v>0.70862321547794482</v>
      </c>
      <c r="DN23" s="544">
        <v>0.69823844894295617</v>
      </c>
      <c r="DO23" s="544">
        <v>0.69825806013595593</v>
      </c>
      <c r="DP23" s="544">
        <v>0.67566527400422849</v>
      </c>
      <c r="DQ23" s="544">
        <v>0.67409495326317614</v>
      </c>
      <c r="DR23" s="544">
        <v>0.69752358861034947</v>
      </c>
      <c r="DS23" s="544">
        <v>0.71404469157475614</v>
      </c>
      <c r="DT23" s="544">
        <v>0.74390554515894847</v>
      </c>
      <c r="DU23" s="544">
        <v>0.73567423207897287</v>
      </c>
      <c r="DV23" s="544">
        <v>0.72754256322059063</v>
      </c>
      <c r="DW23" s="544">
        <v>0.7139049958077236</v>
      </c>
      <c r="DX23" s="544">
        <v>0.67526640988754694</v>
      </c>
      <c r="DY23" s="544">
        <v>0.65789392466360297</v>
      </c>
      <c r="DZ23" s="544">
        <v>0.63347323541473388</v>
      </c>
      <c r="EA23" s="544">
        <v>0.63290174497904395</v>
      </c>
      <c r="EB23" s="544">
        <v>0.64293910934673471</v>
      </c>
      <c r="EC23" s="544">
        <v>0.66142998926371954</v>
      </c>
      <c r="ED23" s="544">
        <v>0.6820106743480463</v>
      </c>
      <c r="EE23" s="544">
        <v>0.67592840245738883</v>
      </c>
      <c r="EF23" s="544">
        <v>0.67820763206284373</v>
      </c>
      <c r="EG23" s="544">
        <v>0.66886022183491167</v>
      </c>
      <c r="EH23" s="544">
        <v>0.6521881696196522</v>
      </c>
      <c r="EI23" s="544">
        <v>0.63919291004437584</v>
      </c>
      <c r="EJ23" s="544">
        <v>0.64269816551352166</v>
      </c>
      <c r="EK23" s="544">
        <v>0.65634014398663898</v>
      </c>
      <c r="EL23" s="544">
        <v>0.6746086895933211</v>
      </c>
      <c r="EM23" s="544">
        <v>0.71156986887838369</v>
      </c>
      <c r="EN23" s="544">
        <v>0.72448949690172837</v>
      </c>
      <c r="EO23" s="544">
        <v>0.72904460285633577</v>
      </c>
      <c r="EP23" s="544">
        <v>0.7295957884144405</v>
      </c>
      <c r="EQ23" s="544">
        <v>0.737428926715327</v>
      </c>
      <c r="ER23" s="544">
        <v>0.74222635565962281</v>
      </c>
      <c r="ES23" s="544">
        <v>0.74322432423670481</v>
      </c>
      <c r="ET23" s="544">
        <v>0.75917355707713086</v>
      </c>
      <c r="EU23" s="544">
        <v>0.77511274304120914</v>
      </c>
      <c r="EV23" s="544">
        <v>0.7700419907064846</v>
      </c>
      <c r="EW23" s="544">
        <v>0.77171101993938873</v>
      </c>
      <c r="EX23" s="544">
        <v>0.75401226912988906</v>
      </c>
      <c r="EY23" s="544">
        <v>0.71625031239607218</v>
      </c>
      <c r="EZ23" s="544">
        <v>0.72031744396074071</v>
      </c>
      <c r="FA23" s="544">
        <v>0.73135782095010571</v>
      </c>
      <c r="FB23" s="544">
        <v>0.73198595192443416</v>
      </c>
      <c r="FC23" s="544">
        <v>0.74217232501099517</v>
      </c>
      <c r="FD23" s="544">
        <v>0.74827764227245552</v>
      </c>
      <c r="FE23" s="544">
        <v>0.75559401973255003</v>
      </c>
      <c r="FF23" s="544">
        <v>0.77185554015236624</v>
      </c>
      <c r="FG23" s="544">
        <v>0.79778644108510044</v>
      </c>
      <c r="FH23" s="544">
        <v>0.81348790619566302</v>
      </c>
      <c r="FI23" s="544">
        <v>0.80249111322129918</v>
      </c>
      <c r="FJ23" s="544">
        <v>0.79541480909253692</v>
      </c>
      <c r="FK23" s="544">
        <v>0.80352899171171321</v>
      </c>
      <c r="FL23" s="544">
        <v>0.80416563213014336</v>
      </c>
      <c r="FM23" s="544">
        <v>0.81167984036905316</v>
      </c>
      <c r="FN23" s="544">
        <v>0.82539275247044286</v>
      </c>
      <c r="FO23" s="544">
        <v>0.82944251159271776</v>
      </c>
      <c r="FP23" s="544">
        <v>0.8390511973326189</v>
      </c>
      <c r="FQ23" s="544">
        <v>0.85155058514029436</v>
      </c>
      <c r="FR23" s="544">
        <v>0.86109877846253213</v>
      </c>
      <c r="FS23" s="544">
        <v>0.85023213217290983</v>
      </c>
      <c r="FT23" s="544">
        <v>0.83700077940223971</v>
      </c>
      <c r="FU23" s="544">
        <v>0.82193672378740179</v>
      </c>
      <c r="FV23" s="544">
        <v>0.80999277353311616</v>
      </c>
      <c r="FW23" s="544">
        <v>0.8255024225582811</v>
      </c>
      <c r="FX23" s="544">
        <v>0.83667149197201474</v>
      </c>
      <c r="FY23" s="544">
        <v>0.84278200964056704</v>
      </c>
      <c r="FZ23" s="544">
        <v>0.84003892042191664</v>
      </c>
      <c r="GA23" s="544">
        <v>0.83476283411031904</v>
      </c>
      <c r="GB23" s="544">
        <v>0.82457850853036818</v>
      </c>
      <c r="GC23" s="544">
        <v>0.82701119769953846</v>
      </c>
      <c r="GD23" s="544">
        <v>0.83116719232231306</v>
      </c>
      <c r="GE23" s="544">
        <v>0.82510884237682491</v>
      </c>
      <c r="GF23" s="544">
        <v>0.81485715917739987</v>
      </c>
      <c r="GG23" s="544">
        <v>0.81137117195745012</v>
      </c>
      <c r="GH23" s="544">
        <v>0.80390970569900866</v>
      </c>
      <c r="GI23" s="544">
        <v>0.78896128045784342</v>
      </c>
      <c r="GJ23" s="544">
        <v>0.80568900984193148</v>
      </c>
      <c r="GK23" s="544">
        <v>0.82115483466409367</v>
      </c>
      <c r="GL23" s="544">
        <v>0.82978640263436643</v>
      </c>
      <c r="GM23" s="544">
        <v>0.84498668284396927</v>
      </c>
      <c r="GN23" s="544">
        <v>0.86108930230400271</v>
      </c>
      <c r="GO23" s="544">
        <v>0.87094847931068198</v>
      </c>
      <c r="GP23" s="544">
        <v>0.88203421495528611</v>
      </c>
      <c r="GQ23" s="544">
        <v>0.90699575726491044</v>
      </c>
      <c r="GR23" s="544">
        <v>0.89201941566236675</v>
      </c>
      <c r="GS23" s="459">
        <v>3.5919751035815795E-2</v>
      </c>
    </row>
    <row r="24" spans="1:201" ht="14.25" customHeight="1">
      <c r="A24" s="531"/>
      <c r="B24" s="532"/>
      <c r="C24" s="532"/>
      <c r="D24" s="532"/>
      <c r="E24" s="532"/>
      <c r="F24" s="532"/>
      <c r="G24" s="532"/>
      <c r="H24" s="532"/>
      <c r="I24" s="532"/>
      <c r="J24" s="532"/>
      <c r="K24" s="532"/>
      <c r="L24" s="532"/>
      <c r="M24" s="532"/>
      <c r="N24" s="532"/>
      <c r="O24" s="532"/>
      <c r="P24" s="532"/>
      <c r="Q24" s="532"/>
      <c r="R24" s="532"/>
      <c r="S24" s="532"/>
      <c r="T24" s="532"/>
      <c r="U24" s="532"/>
      <c r="V24" s="532"/>
      <c r="W24" s="532"/>
      <c r="X24" s="532"/>
      <c r="Y24" s="532"/>
      <c r="Z24" s="532"/>
      <c r="AA24" s="532"/>
      <c r="AB24" s="532"/>
      <c r="AC24" s="532"/>
      <c r="AD24" s="532"/>
      <c r="AE24" s="532"/>
      <c r="AF24" s="532"/>
      <c r="AG24" s="532"/>
      <c r="AH24" s="532"/>
      <c r="AI24" s="532"/>
      <c r="AJ24" s="532"/>
      <c r="AK24" s="532"/>
      <c r="AL24" s="532"/>
      <c r="AM24" s="532"/>
      <c r="AN24" s="532"/>
      <c r="AO24" s="532"/>
      <c r="AP24" s="532"/>
      <c r="AQ24" s="532"/>
      <c r="AR24" s="532"/>
      <c r="AS24" s="532"/>
      <c r="AT24" s="532"/>
      <c r="AU24" s="532"/>
      <c r="AV24" s="532"/>
      <c r="AW24" s="532"/>
      <c r="AX24" s="532"/>
      <c r="AY24" s="532"/>
      <c r="AZ24" s="532"/>
      <c r="BA24" s="532"/>
      <c r="BB24" s="532"/>
      <c r="BC24" s="532"/>
      <c r="BD24" s="532"/>
      <c r="BE24" s="532"/>
      <c r="BF24" s="532"/>
      <c r="BG24" s="532"/>
      <c r="BH24" s="532"/>
      <c r="BI24" s="532"/>
      <c r="BJ24" s="532"/>
      <c r="BK24" s="532"/>
      <c r="BL24" s="532"/>
      <c r="BM24" s="532"/>
      <c r="BN24" s="546"/>
      <c r="BO24" s="546"/>
      <c r="BP24" s="546"/>
      <c r="BQ24" s="546"/>
      <c r="BR24" s="546"/>
      <c r="BS24" s="546"/>
      <c r="BT24" s="546"/>
      <c r="BU24" s="546"/>
      <c r="BV24" s="546"/>
      <c r="BW24" s="546"/>
      <c r="BX24" s="546"/>
      <c r="BY24" s="546"/>
      <c r="BZ24" s="546"/>
      <c r="CA24" s="546"/>
      <c r="CB24" s="546"/>
      <c r="CC24" s="546"/>
      <c r="CD24" s="546"/>
      <c r="CE24" s="546"/>
      <c r="CF24" s="546"/>
      <c r="CG24" s="546"/>
      <c r="CH24" s="546"/>
      <c r="CI24" s="546"/>
      <c r="CJ24" s="546"/>
      <c r="CK24" s="546"/>
      <c r="CL24" s="546"/>
      <c r="CM24" s="546"/>
      <c r="CN24" s="546"/>
      <c r="CO24" s="546"/>
      <c r="CP24" s="546"/>
      <c r="CQ24" s="546"/>
      <c r="CR24" s="546"/>
      <c r="CS24" s="546"/>
      <c r="CT24" s="546"/>
      <c r="CU24" s="546"/>
      <c r="CV24" s="546"/>
      <c r="CW24" s="546"/>
      <c r="CX24" s="546"/>
      <c r="CY24" s="546"/>
      <c r="CZ24" s="546"/>
      <c r="DA24" s="546"/>
      <c r="DB24" s="546"/>
      <c r="DC24" s="546"/>
      <c r="DD24" s="546"/>
      <c r="DE24" s="546"/>
      <c r="DF24" s="546"/>
      <c r="DG24" s="546"/>
      <c r="DH24" s="546"/>
      <c r="DI24" s="546"/>
      <c r="DJ24" s="546"/>
      <c r="DK24" s="546"/>
      <c r="DL24" s="546"/>
      <c r="DM24" s="546"/>
      <c r="DN24" s="546"/>
      <c r="DO24" s="546"/>
      <c r="DP24" s="546"/>
      <c r="DQ24" s="546"/>
      <c r="DR24" s="546"/>
      <c r="DS24" s="546"/>
      <c r="DT24" s="546"/>
      <c r="DU24" s="546"/>
      <c r="DV24" s="546"/>
      <c r="DW24" s="546"/>
      <c r="DX24" s="546"/>
      <c r="DY24" s="546"/>
      <c r="DZ24" s="546"/>
      <c r="EA24" s="546"/>
      <c r="EB24" s="546"/>
      <c r="EC24" s="546"/>
      <c r="ED24" s="546"/>
      <c r="EE24" s="546"/>
      <c r="EF24" s="546"/>
      <c r="EG24" s="546"/>
      <c r="EH24" s="546"/>
      <c r="EI24" s="546"/>
      <c r="EJ24" s="546"/>
      <c r="EK24" s="546"/>
      <c r="EL24" s="546"/>
      <c r="EM24" s="546"/>
      <c r="EN24" s="546"/>
      <c r="EO24" s="546"/>
      <c r="EP24" s="546"/>
      <c r="EQ24" s="546"/>
      <c r="ER24" s="546"/>
      <c r="ES24" s="546"/>
      <c r="ET24" s="546"/>
      <c r="EU24" s="546"/>
      <c r="EV24" s="546"/>
      <c r="EW24" s="546"/>
      <c r="EX24" s="546"/>
      <c r="EY24" s="546"/>
      <c r="EZ24" s="546"/>
      <c r="FA24" s="546"/>
      <c r="FB24" s="546"/>
      <c r="FC24" s="546"/>
      <c r="FD24" s="546"/>
      <c r="FE24" s="546"/>
      <c r="FF24" s="546"/>
      <c r="FG24" s="546"/>
      <c r="FH24" s="546"/>
      <c r="FI24" s="546"/>
      <c r="FJ24" s="546"/>
      <c r="FK24" s="546"/>
      <c r="FL24" s="546"/>
      <c r="FM24" s="546"/>
      <c r="FN24" s="546"/>
      <c r="FO24" s="546"/>
      <c r="FP24" s="546"/>
      <c r="FQ24" s="546"/>
      <c r="FR24" s="546"/>
      <c r="FS24" s="546"/>
      <c r="FT24" s="546"/>
      <c r="FU24" s="546"/>
      <c r="FV24" s="546"/>
      <c r="FW24" s="546"/>
      <c r="FX24" s="546"/>
      <c r="FY24" s="546"/>
      <c r="FZ24" s="546"/>
      <c r="GA24" s="546"/>
      <c r="GB24" s="546"/>
      <c r="GC24" s="546"/>
      <c r="GD24" s="546"/>
      <c r="GE24" s="546"/>
      <c r="GF24" s="546"/>
      <c r="GG24" s="546"/>
      <c r="GH24" s="546"/>
      <c r="GI24" s="546"/>
      <c r="GJ24" s="546"/>
      <c r="GK24" s="546"/>
      <c r="GL24" s="546"/>
      <c r="GM24" s="546"/>
      <c r="GN24" s="546"/>
      <c r="GO24" s="546"/>
      <c r="GP24" s="546"/>
      <c r="GQ24" s="546"/>
      <c r="GR24" s="546"/>
      <c r="GS24" s="460"/>
    </row>
    <row r="25" spans="1:201" ht="14.25" customHeight="1">
      <c r="A25" s="547" t="s">
        <v>2102</v>
      </c>
      <c r="B25" s="542"/>
      <c r="C25" s="542"/>
      <c r="D25" s="542"/>
      <c r="E25" s="542"/>
      <c r="F25" s="542"/>
      <c r="G25" s="542"/>
      <c r="H25" s="542"/>
      <c r="I25" s="542"/>
      <c r="J25" s="542"/>
      <c r="K25" s="542"/>
      <c r="L25" s="542"/>
      <c r="M25" s="542"/>
      <c r="N25" s="542"/>
      <c r="O25" s="542"/>
      <c r="P25" s="542"/>
      <c r="Q25" s="542"/>
      <c r="R25" s="542"/>
      <c r="S25" s="542"/>
      <c r="T25" s="542"/>
      <c r="U25" s="542"/>
      <c r="V25" s="542"/>
      <c r="W25" s="542"/>
      <c r="X25" s="542"/>
      <c r="Y25" s="542"/>
      <c r="Z25" s="542"/>
      <c r="AA25" s="542"/>
      <c r="AB25" s="542"/>
      <c r="AC25" s="542"/>
      <c r="AD25" s="542"/>
      <c r="AE25" s="542"/>
      <c r="AF25" s="542"/>
      <c r="AG25" s="542"/>
      <c r="AH25" s="542"/>
      <c r="AI25" s="542"/>
      <c r="AJ25" s="542"/>
      <c r="AK25" s="542"/>
      <c r="AL25" s="542"/>
      <c r="AM25" s="542"/>
      <c r="AN25" s="542"/>
      <c r="AO25" s="542"/>
      <c r="AP25" s="542"/>
      <c r="AQ25" s="542"/>
      <c r="AR25" s="542"/>
      <c r="AS25" s="542"/>
      <c r="AT25" s="542"/>
      <c r="AU25" s="542"/>
      <c r="AV25" s="542"/>
      <c r="AW25" s="542"/>
      <c r="AX25" s="542"/>
      <c r="AY25" s="542"/>
      <c r="AZ25" s="542"/>
      <c r="BA25" s="542"/>
      <c r="BB25" s="542"/>
      <c r="BC25" s="542"/>
      <c r="BD25" s="542"/>
      <c r="BE25" s="542"/>
      <c r="BF25" s="542"/>
      <c r="BG25" s="542"/>
      <c r="BH25" s="542"/>
      <c r="BI25" s="542"/>
      <c r="BJ25" s="548"/>
      <c r="BK25" s="548"/>
      <c r="BL25" s="548"/>
      <c r="BM25" s="548"/>
      <c r="BN25" s="548"/>
      <c r="BO25" s="548"/>
      <c r="BP25" s="548"/>
      <c r="BQ25" s="548"/>
      <c r="BR25" s="548"/>
      <c r="BS25" s="548"/>
      <c r="BT25" s="548"/>
      <c r="BU25" s="548"/>
      <c r="BV25" s="548"/>
      <c r="BW25" s="548"/>
      <c r="BX25" s="548"/>
      <c r="BY25" s="548"/>
      <c r="BZ25" s="548"/>
      <c r="CA25" s="548"/>
      <c r="CB25" s="548"/>
      <c r="CC25" s="548"/>
      <c r="CD25" s="548"/>
      <c r="CE25" s="548"/>
      <c r="CF25" s="548"/>
      <c r="CG25" s="548"/>
      <c r="CH25" s="548"/>
      <c r="CI25" s="548"/>
      <c r="CJ25" s="548"/>
      <c r="CK25" s="548"/>
      <c r="CL25" s="548"/>
      <c r="CM25" s="548"/>
      <c r="CN25" s="548"/>
      <c r="CO25" s="548"/>
      <c r="CP25" s="548"/>
      <c r="CQ25" s="548"/>
      <c r="CR25" s="548"/>
      <c r="CS25" s="548"/>
      <c r="CT25" s="548"/>
      <c r="CU25" s="548"/>
      <c r="CV25" s="548"/>
      <c r="CW25" s="548"/>
      <c r="CX25" s="548"/>
      <c r="CY25" s="548"/>
      <c r="CZ25" s="548"/>
      <c r="DA25" s="548"/>
      <c r="DB25" s="548"/>
      <c r="DC25" s="548"/>
      <c r="DD25" s="548"/>
      <c r="DE25" s="548"/>
      <c r="DF25" s="548"/>
      <c r="DG25" s="548"/>
      <c r="DH25" s="548"/>
      <c r="DI25" s="548"/>
      <c r="DJ25" s="548"/>
      <c r="DK25" s="548"/>
      <c r="DL25" s="548"/>
      <c r="DM25" s="548"/>
      <c r="DN25" s="548"/>
      <c r="DO25" s="548"/>
      <c r="DP25" s="548"/>
      <c r="DQ25" s="548"/>
      <c r="DR25" s="548"/>
      <c r="DS25" s="548"/>
      <c r="DT25" s="548"/>
      <c r="DU25" s="548"/>
      <c r="DV25" s="548"/>
      <c r="DW25" s="548"/>
      <c r="DX25" s="548"/>
      <c r="DY25" s="548"/>
      <c r="DZ25" s="548"/>
      <c r="EA25" s="548"/>
      <c r="EB25" s="548"/>
      <c r="EC25" s="548"/>
      <c r="ED25" s="548"/>
      <c r="EE25" s="548"/>
      <c r="EF25" s="548"/>
      <c r="EG25" s="548"/>
      <c r="EH25" s="548"/>
      <c r="EI25" s="548"/>
      <c r="EJ25" s="548"/>
      <c r="EK25" s="548"/>
      <c r="EL25" s="548"/>
      <c r="EM25" s="548"/>
      <c r="EN25" s="548"/>
      <c r="EO25" s="548"/>
      <c r="EP25" s="548"/>
      <c r="EQ25" s="548"/>
      <c r="ER25" s="548"/>
      <c r="ES25" s="548"/>
      <c r="ET25" s="548"/>
      <c r="EU25" s="548"/>
      <c r="EV25" s="548"/>
      <c r="EW25" s="548"/>
      <c r="EX25" s="548"/>
      <c r="EY25" s="548"/>
      <c r="EZ25" s="548"/>
      <c r="FA25" s="548"/>
      <c r="FB25" s="548"/>
      <c r="FC25" s="548">
        <v>9781.0515927471606</v>
      </c>
      <c r="FD25" s="548">
        <v>10697.649702394818</v>
      </c>
      <c r="FE25" s="548">
        <v>9680.3525302418875</v>
      </c>
      <c r="FF25" s="548">
        <v>9522.7323924037719</v>
      </c>
      <c r="FG25" s="548">
        <v>9918.525910769873</v>
      </c>
      <c r="FH25" s="548">
        <v>10778.793263560876</v>
      </c>
      <c r="FI25" s="548">
        <v>10066.629123886032</v>
      </c>
      <c r="FJ25" s="548">
        <v>9582.2820755780067</v>
      </c>
      <c r="FK25" s="548">
        <v>10108.255044185431</v>
      </c>
      <c r="FL25" s="548">
        <v>11104.599949575209</v>
      </c>
      <c r="FM25" s="548">
        <v>10097.796882104569</v>
      </c>
      <c r="FN25" s="548">
        <v>9592.1098865325202</v>
      </c>
      <c r="FO25" s="548">
        <v>10012.922865737894</v>
      </c>
      <c r="FP25" s="548">
        <v>10856.773966776938</v>
      </c>
      <c r="FQ25" s="548">
        <v>9763.4557193050532</v>
      </c>
      <c r="FR25" s="548">
        <v>9360.4443214842177</v>
      </c>
      <c r="FS25" s="548">
        <v>9999.2701627208589</v>
      </c>
      <c r="FT25" s="548">
        <v>10790.616059305821</v>
      </c>
      <c r="FU25" s="548">
        <v>9795.6087724363206</v>
      </c>
      <c r="FV25" s="548">
        <v>9431.511432019277</v>
      </c>
      <c r="FW25" s="548">
        <v>10081.004748735872</v>
      </c>
      <c r="FX25" s="548">
        <v>10841.013474528825</v>
      </c>
      <c r="FY25" s="548">
        <v>9960.2115303103128</v>
      </c>
      <c r="FZ25" s="548">
        <v>9491.4707220306918</v>
      </c>
      <c r="GA25" s="548">
        <v>10045.490930620608</v>
      </c>
      <c r="GB25" s="548">
        <v>11028.100236850589</v>
      </c>
      <c r="GC25" s="548">
        <v>9969.3219763608795</v>
      </c>
      <c r="GD25" s="548">
        <v>9683.9689446080647</v>
      </c>
      <c r="GE25" s="548">
        <v>9515.2588267088104</v>
      </c>
      <c r="GF25" s="548">
        <v>10812.8344100827</v>
      </c>
      <c r="GG25" s="548">
        <v>9950.062450947773</v>
      </c>
      <c r="GH25" s="548">
        <v>9397.8247194357518</v>
      </c>
      <c r="GI25" s="548">
        <v>10056.098552110469</v>
      </c>
      <c r="GJ25" s="548">
        <v>10832.222521926626</v>
      </c>
      <c r="GK25" s="548">
        <v>9636.8279468505061</v>
      </c>
      <c r="GL25" s="548">
        <v>9300.867991682715</v>
      </c>
      <c r="GM25" s="548">
        <v>9749.2177229368353</v>
      </c>
      <c r="GN25" s="548">
        <v>10664.356603934002</v>
      </c>
      <c r="GO25" s="548">
        <v>9715.1885291369417</v>
      </c>
      <c r="GP25" s="548">
        <v>9229.481519320103</v>
      </c>
      <c r="GQ25" s="548">
        <v>9780.4872284844696</v>
      </c>
      <c r="GR25" s="548">
        <v>10786.23983639198</v>
      </c>
      <c r="GS25" s="457">
        <v>1.1429028209073211E-2</v>
      </c>
    </row>
    <row r="26" spans="1:201" ht="14.25" customHeight="1">
      <c r="A26" s="531" t="s">
        <v>2103</v>
      </c>
      <c r="B26" s="529"/>
      <c r="C26" s="529"/>
      <c r="D26" s="529"/>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c r="AH26" s="529"/>
      <c r="AI26" s="529"/>
      <c r="AJ26" s="529"/>
      <c r="AK26" s="529"/>
      <c r="AL26" s="529"/>
      <c r="AM26" s="529"/>
      <c r="AN26" s="529"/>
      <c r="AO26" s="529"/>
      <c r="AP26" s="529"/>
      <c r="AQ26" s="529"/>
      <c r="AR26" s="529"/>
      <c r="AS26" s="529"/>
      <c r="AT26" s="529"/>
      <c r="AU26" s="529"/>
      <c r="AV26" s="529"/>
      <c r="AW26" s="529"/>
      <c r="AX26" s="529"/>
      <c r="AY26" s="529"/>
      <c r="AZ26" s="529"/>
      <c r="BA26" s="529"/>
      <c r="BB26" s="529"/>
      <c r="BC26" s="529"/>
      <c r="BD26" s="529"/>
      <c r="BE26" s="529"/>
      <c r="BF26" s="529"/>
      <c r="BG26" s="529"/>
      <c r="BH26" s="529"/>
      <c r="BI26" s="529"/>
      <c r="BJ26" s="533"/>
      <c r="BK26" s="533"/>
      <c r="BL26" s="533"/>
      <c r="BM26" s="533"/>
      <c r="BN26" s="533"/>
      <c r="BO26" s="533"/>
      <c r="BP26" s="533"/>
      <c r="BQ26" s="533"/>
      <c r="BR26" s="533"/>
      <c r="BS26" s="533"/>
      <c r="BT26" s="533"/>
      <c r="BU26" s="533"/>
      <c r="BV26" s="533"/>
      <c r="BW26" s="533"/>
      <c r="BX26" s="533"/>
      <c r="BY26" s="533"/>
      <c r="BZ26" s="533"/>
      <c r="CA26" s="533"/>
      <c r="CB26" s="533"/>
      <c r="CC26" s="533"/>
      <c r="CD26" s="533"/>
      <c r="CE26" s="533"/>
      <c r="CF26" s="533"/>
      <c r="CG26" s="533"/>
      <c r="CH26" s="533"/>
      <c r="CI26" s="533"/>
      <c r="CJ26" s="533"/>
      <c r="CK26" s="533"/>
      <c r="CL26" s="533"/>
      <c r="CM26" s="533"/>
      <c r="CN26" s="533"/>
      <c r="CO26" s="533"/>
      <c r="CP26" s="533"/>
      <c r="CQ26" s="533"/>
      <c r="CR26" s="533"/>
      <c r="CS26" s="533"/>
      <c r="CT26" s="533"/>
      <c r="CU26" s="533"/>
      <c r="CV26" s="533"/>
      <c r="CW26" s="533"/>
      <c r="CX26" s="533"/>
      <c r="CY26" s="533"/>
      <c r="CZ26" s="533"/>
      <c r="DA26" s="533"/>
      <c r="DB26" s="533"/>
      <c r="DC26" s="533"/>
      <c r="DD26" s="533"/>
      <c r="DE26" s="533"/>
      <c r="DF26" s="533"/>
      <c r="DG26" s="533"/>
      <c r="DH26" s="533"/>
      <c r="DI26" s="533"/>
      <c r="DJ26" s="533"/>
      <c r="DK26" s="533"/>
      <c r="DL26" s="533"/>
      <c r="DM26" s="533"/>
      <c r="DN26" s="533"/>
      <c r="DO26" s="533"/>
      <c r="DP26" s="533"/>
      <c r="DQ26" s="533"/>
      <c r="DR26" s="533"/>
      <c r="DS26" s="533"/>
      <c r="DT26" s="533"/>
      <c r="DU26" s="533"/>
      <c r="DV26" s="533"/>
      <c r="DW26" s="533"/>
      <c r="DX26" s="533"/>
      <c r="DY26" s="533"/>
      <c r="DZ26" s="533"/>
      <c r="EA26" s="533"/>
      <c r="EB26" s="533"/>
      <c r="EC26" s="533"/>
      <c r="ED26" s="533"/>
      <c r="EE26" s="533"/>
      <c r="EF26" s="533"/>
      <c r="EG26" s="533"/>
      <c r="EH26" s="533"/>
      <c r="EI26" s="533"/>
      <c r="EJ26" s="533"/>
      <c r="EK26" s="533"/>
      <c r="EL26" s="533"/>
      <c r="EM26" s="533"/>
      <c r="EN26" s="533"/>
      <c r="EO26" s="533"/>
      <c r="EP26" s="533"/>
      <c r="EQ26" s="533"/>
      <c r="ER26" s="533"/>
      <c r="ES26" s="533"/>
      <c r="ET26" s="533"/>
      <c r="EU26" s="533"/>
      <c r="EV26" s="533"/>
      <c r="EW26" s="533"/>
      <c r="EX26" s="533"/>
      <c r="EY26" s="533"/>
      <c r="EZ26" s="533"/>
      <c r="FA26" s="533"/>
      <c r="FB26" s="533"/>
      <c r="FC26" s="533">
        <v>499.669782840837</v>
      </c>
      <c r="FD26" s="533">
        <v>396.10283434188898</v>
      </c>
      <c r="FE26" s="533">
        <v>657.12591757990299</v>
      </c>
      <c r="FF26" s="533">
        <v>817.38053911818997</v>
      </c>
      <c r="FG26" s="533">
        <v>494.93594331035098</v>
      </c>
      <c r="FH26" s="533">
        <v>465.80815360056198</v>
      </c>
      <c r="FI26" s="533">
        <v>822.29083356807905</v>
      </c>
      <c r="FJ26" s="533">
        <v>988.79857162479595</v>
      </c>
      <c r="FK26" s="533">
        <v>552.35407141482597</v>
      </c>
      <c r="FL26" s="533">
        <v>466.45630899110199</v>
      </c>
      <c r="FM26" s="533">
        <v>836.536567949193</v>
      </c>
      <c r="FN26" s="533">
        <v>906.55806904622204</v>
      </c>
      <c r="FO26" s="533">
        <v>611.267991479888</v>
      </c>
      <c r="FP26" s="533">
        <v>441.67630302384902</v>
      </c>
      <c r="FQ26" s="533">
        <v>613.29346809363994</v>
      </c>
      <c r="FR26" s="533">
        <v>839.62984452691296</v>
      </c>
      <c r="FS26" s="533">
        <v>504.66309865056701</v>
      </c>
      <c r="FT26" s="533">
        <v>456.89468797305</v>
      </c>
      <c r="FU26" s="533">
        <v>727.48195017477894</v>
      </c>
      <c r="FV26" s="533">
        <v>809.75616367955604</v>
      </c>
      <c r="FW26" s="533">
        <v>489.978302122797</v>
      </c>
      <c r="FX26" s="533">
        <v>420.62706503232903</v>
      </c>
      <c r="FY26" s="533">
        <v>613.84289312031399</v>
      </c>
      <c r="FZ26" s="533">
        <v>818.78525943136901</v>
      </c>
      <c r="GA26" s="533">
        <v>539.21138150111801</v>
      </c>
      <c r="GB26" s="533">
        <v>424.079901173216</v>
      </c>
      <c r="GC26" s="533">
        <v>651.74818969135299</v>
      </c>
      <c r="GD26" s="533">
        <v>979.25960320907802</v>
      </c>
      <c r="GE26" s="533">
        <v>560.49682317390295</v>
      </c>
      <c r="GF26" s="533">
        <v>450.70665230773801</v>
      </c>
      <c r="GG26" s="533">
        <v>773.58884391416905</v>
      </c>
      <c r="GH26" s="533">
        <v>884.86054333124503</v>
      </c>
      <c r="GI26" s="533">
        <v>643.91633541900296</v>
      </c>
      <c r="GJ26" s="533">
        <v>459.490441032955</v>
      </c>
      <c r="GK26" s="533">
        <v>673.459277777789</v>
      </c>
      <c r="GL26" s="533">
        <v>734.80805657861197</v>
      </c>
      <c r="GM26" s="533">
        <v>564.04023188685505</v>
      </c>
      <c r="GN26" s="533">
        <v>440.90353889833699</v>
      </c>
      <c r="GO26" s="533">
        <v>682.24065630401799</v>
      </c>
      <c r="GP26" s="533">
        <v>788.83134195452999</v>
      </c>
      <c r="GQ26" s="533">
        <v>522.16093876180003</v>
      </c>
      <c r="GR26" s="533">
        <v>444.730498461774</v>
      </c>
      <c r="GS26" s="458">
        <v>8.6798114004691396E-3</v>
      </c>
    </row>
    <row r="27" spans="1:201" ht="14.25" customHeight="1">
      <c r="A27" s="551" t="s">
        <v>2104</v>
      </c>
      <c r="B27" s="529"/>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c r="AF27" s="529"/>
      <c r="AG27" s="529"/>
      <c r="AH27" s="529"/>
      <c r="AI27" s="529"/>
      <c r="AJ27" s="529"/>
      <c r="AK27" s="529"/>
      <c r="AL27" s="529"/>
      <c r="AM27" s="529"/>
      <c r="AN27" s="529"/>
      <c r="AO27" s="529"/>
      <c r="AP27" s="529"/>
      <c r="AQ27" s="529"/>
      <c r="AR27" s="529"/>
      <c r="AS27" s="529"/>
      <c r="AT27" s="529"/>
      <c r="AU27" s="529"/>
      <c r="AV27" s="529"/>
      <c r="AW27" s="529"/>
      <c r="AX27" s="529"/>
      <c r="AY27" s="529"/>
      <c r="AZ27" s="529"/>
      <c r="BA27" s="529"/>
      <c r="BB27" s="529"/>
      <c r="BC27" s="529"/>
      <c r="BD27" s="529"/>
      <c r="BE27" s="529"/>
      <c r="BF27" s="529"/>
      <c r="BG27" s="529"/>
      <c r="BH27" s="529"/>
      <c r="BI27" s="529"/>
      <c r="BJ27" s="533"/>
      <c r="BK27" s="533"/>
      <c r="BL27" s="533"/>
      <c r="BM27" s="533"/>
      <c r="BN27" s="533"/>
      <c r="BO27" s="533"/>
      <c r="BP27" s="533"/>
      <c r="BQ27" s="533"/>
      <c r="BR27" s="533"/>
      <c r="BS27" s="533"/>
      <c r="BT27" s="533"/>
      <c r="BU27" s="533"/>
      <c r="BV27" s="533"/>
      <c r="BW27" s="533"/>
      <c r="BX27" s="533"/>
      <c r="BY27" s="533"/>
      <c r="BZ27" s="533"/>
      <c r="CA27" s="533"/>
      <c r="CB27" s="533"/>
      <c r="CC27" s="533"/>
      <c r="CD27" s="533"/>
      <c r="CE27" s="533"/>
      <c r="CF27" s="533"/>
      <c r="CG27" s="533"/>
      <c r="CH27" s="533"/>
      <c r="CI27" s="533"/>
      <c r="CJ27" s="533"/>
      <c r="CK27" s="533"/>
      <c r="CL27" s="533"/>
      <c r="CM27" s="533"/>
      <c r="CN27" s="533"/>
      <c r="CO27" s="533"/>
      <c r="CP27" s="533"/>
      <c r="CQ27" s="533"/>
      <c r="CR27" s="533"/>
      <c r="CS27" s="533"/>
      <c r="CT27" s="533"/>
      <c r="CU27" s="533"/>
      <c r="CV27" s="533"/>
      <c r="CW27" s="533"/>
      <c r="CX27" s="533"/>
      <c r="CY27" s="533"/>
      <c r="CZ27" s="533"/>
      <c r="DA27" s="533"/>
      <c r="DB27" s="533"/>
      <c r="DC27" s="533"/>
      <c r="DD27" s="533"/>
      <c r="DE27" s="533"/>
      <c r="DF27" s="533"/>
      <c r="DG27" s="533"/>
      <c r="DH27" s="533"/>
      <c r="DI27" s="533"/>
      <c r="DJ27" s="533"/>
      <c r="DK27" s="533"/>
      <c r="DL27" s="533"/>
      <c r="DM27" s="533"/>
      <c r="DN27" s="533"/>
      <c r="DO27" s="533"/>
      <c r="DP27" s="533"/>
      <c r="DQ27" s="533"/>
      <c r="DR27" s="533"/>
      <c r="DS27" s="533"/>
      <c r="DT27" s="533"/>
      <c r="DU27" s="533"/>
      <c r="DV27" s="533"/>
      <c r="DW27" s="533"/>
      <c r="DX27" s="533"/>
      <c r="DY27" s="533"/>
      <c r="DZ27" s="533"/>
      <c r="EA27" s="533"/>
      <c r="EB27" s="533"/>
      <c r="EC27" s="533"/>
      <c r="ED27" s="533"/>
      <c r="EE27" s="533"/>
      <c r="EF27" s="533"/>
      <c r="EG27" s="533"/>
      <c r="EH27" s="533"/>
      <c r="EI27" s="533"/>
      <c r="EJ27" s="533"/>
      <c r="EK27" s="533"/>
      <c r="EL27" s="533"/>
      <c r="EM27" s="533"/>
      <c r="EN27" s="533"/>
      <c r="EO27" s="533"/>
      <c r="EP27" s="533"/>
      <c r="EQ27" s="533"/>
      <c r="ER27" s="533"/>
      <c r="ES27" s="533"/>
      <c r="ET27" s="533"/>
      <c r="EU27" s="533"/>
      <c r="EV27" s="533"/>
      <c r="EW27" s="533"/>
      <c r="EX27" s="533"/>
      <c r="EY27" s="533"/>
      <c r="EZ27" s="533"/>
      <c r="FA27" s="533"/>
      <c r="FB27" s="533"/>
      <c r="FC27" s="533">
        <v>3539.9150076292699</v>
      </c>
      <c r="FD27" s="533">
        <v>3576.0916486568299</v>
      </c>
      <c r="FE27" s="533">
        <v>3693.5209713880699</v>
      </c>
      <c r="FF27" s="533">
        <v>3701.7903352938301</v>
      </c>
      <c r="FG27" s="533">
        <v>3585.1488860982299</v>
      </c>
      <c r="FH27" s="533">
        <v>3538.8882298896201</v>
      </c>
      <c r="FI27" s="533">
        <v>3670.5276584226499</v>
      </c>
      <c r="FJ27" s="533">
        <v>3607.74648611058</v>
      </c>
      <c r="FK27" s="533">
        <v>3660.0452813834199</v>
      </c>
      <c r="FL27" s="533">
        <v>3611.9329505385899</v>
      </c>
      <c r="FM27" s="533">
        <v>3711.2788069179401</v>
      </c>
      <c r="FN27" s="533">
        <v>3714.1498655926198</v>
      </c>
      <c r="FO27" s="533">
        <v>3667.0252653457501</v>
      </c>
      <c r="FP27" s="533">
        <v>3533.3036004006899</v>
      </c>
      <c r="FQ27" s="533">
        <v>3677.8304632793702</v>
      </c>
      <c r="FR27" s="533">
        <v>3574.4400930531201</v>
      </c>
      <c r="FS27" s="533">
        <v>3658.7994119228902</v>
      </c>
      <c r="FT27" s="533">
        <v>3546.5862241701898</v>
      </c>
      <c r="FU27" s="533">
        <v>3731.2537966609798</v>
      </c>
      <c r="FV27" s="533">
        <v>3662.2492762736401</v>
      </c>
      <c r="FW27" s="533">
        <v>3681.2296482244701</v>
      </c>
      <c r="FX27" s="533">
        <v>3538.2136780793098</v>
      </c>
      <c r="FY27" s="533">
        <v>3781.6270057414199</v>
      </c>
      <c r="FZ27" s="533">
        <v>3726.9812779040899</v>
      </c>
      <c r="GA27" s="533">
        <v>3754.24917068576</v>
      </c>
      <c r="GB27" s="533">
        <v>3577.2120912539199</v>
      </c>
      <c r="GC27" s="533">
        <v>3752.76993269276</v>
      </c>
      <c r="GD27" s="533">
        <v>3683.5503419807301</v>
      </c>
      <c r="GE27" s="533">
        <v>3356.8021802653002</v>
      </c>
      <c r="GF27" s="533">
        <v>3417.6295555166198</v>
      </c>
      <c r="GG27" s="533">
        <v>3638.9687010510402</v>
      </c>
      <c r="GH27" s="533">
        <v>3466.1638195922601</v>
      </c>
      <c r="GI27" s="533">
        <v>3507.31004108757</v>
      </c>
      <c r="GJ27" s="533">
        <v>3241.1892276357999</v>
      </c>
      <c r="GK27" s="533">
        <v>3511.6224761342501</v>
      </c>
      <c r="GL27" s="533">
        <v>3454.6356151127702</v>
      </c>
      <c r="GM27" s="533">
        <v>3402.9498683974002</v>
      </c>
      <c r="GN27" s="533">
        <v>3236.8501989818701</v>
      </c>
      <c r="GO27" s="533">
        <v>3405.7121814316401</v>
      </c>
      <c r="GP27" s="533">
        <v>3313.4691058949102</v>
      </c>
      <c r="GQ27" s="533">
        <v>3167.8400425525601</v>
      </c>
      <c r="GR27" s="533">
        <v>3134.3333423710501</v>
      </c>
      <c r="GS27" s="458">
        <v>-3.1671795204815445E-2</v>
      </c>
    </row>
    <row r="28" spans="1:201" ht="14.25" customHeight="1">
      <c r="A28" s="551" t="s">
        <v>2105</v>
      </c>
      <c r="B28" s="529"/>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529"/>
      <c r="AI28" s="529"/>
      <c r="AJ28" s="529"/>
      <c r="AK28" s="529"/>
      <c r="AL28" s="529"/>
      <c r="AM28" s="529"/>
      <c r="AN28" s="529"/>
      <c r="AO28" s="529"/>
      <c r="AP28" s="529"/>
      <c r="AQ28" s="529"/>
      <c r="AR28" s="529"/>
      <c r="AS28" s="529"/>
      <c r="AT28" s="529"/>
      <c r="AU28" s="529"/>
      <c r="AV28" s="529"/>
      <c r="AW28" s="529"/>
      <c r="AX28" s="529"/>
      <c r="AY28" s="529"/>
      <c r="AZ28" s="529"/>
      <c r="BA28" s="529"/>
      <c r="BB28" s="529"/>
      <c r="BC28" s="529"/>
      <c r="BD28" s="529"/>
      <c r="BE28" s="529"/>
      <c r="BF28" s="529"/>
      <c r="BG28" s="529"/>
      <c r="BH28" s="529"/>
      <c r="BI28" s="529"/>
      <c r="BJ28" s="533"/>
      <c r="BK28" s="533"/>
      <c r="BL28" s="533"/>
      <c r="BM28" s="533"/>
      <c r="BN28" s="533"/>
      <c r="BO28" s="533"/>
      <c r="BP28" s="533"/>
      <c r="BQ28" s="533"/>
      <c r="BR28" s="533"/>
      <c r="BS28" s="533"/>
      <c r="BT28" s="533"/>
      <c r="BU28" s="533"/>
      <c r="BV28" s="533"/>
      <c r="BW28" s="533"/>
      <c r="BX28" s="533"/>
      <c r="BY28" s="533"/>
      <c r="BZ28" s="533"/>
      <c r="CA28" s="533"/>
      <c r="CB28" s="533"/>
      <c r="CC28" s="533"/>
      <c r="CD28" s="533"/>
      <c r="CE28" s="533"/>
      <c r="CF28" s="533"/>
      <c r="CG28" s="533"/>
      <c r="CH28" s="533"/>
      <c r="CI28" s="533"/>
      <c r="CJ28" s="533"/>
      <c r="CK28" s="533"/>
      <c r="CL28" s="533"/>
      <c r="CM28" s="533"/>
      <c r="CN28" s="533"/>
      <c r="CO28" s="533"/>
      <c r="CP28" s="533"/>
      <c r="CQ28" s="533"/>
      <c r="CR28" s="533"/>
      <c r="CS28" s="533"/>
      <c r="CT28" s="533"/>
      <c r="CU28" s="533"/>
      <c r="CV28" s="533"/>
      <c r="CW28" s="533"/>
      <c r="CX28" s="533"/>
      <c r="CY28" s="533"/>
      <c r="CZ28" s="533"/>
      <c r="DA28" s="533"/>
      <c r="DB28" s="533"/>
      <c r="DC28" s="533"/>
      <c r="DD28" s="533"/>
      <c r="DE28" s="533"/>
      <c r="DF28" s="533"/>
      <c r="DG28" s="533"/>
      <c r="DH28" s="533"/>
      <c r="DI28" s="533"/>
      <c r="DJ28" s="533"/>
      <c r="DK28" s="533"/>
      <c r="DL28" s="533"/>
      <c r="DM28" s="533"/>
      <c r="DN28" s="533"/>
      <c r="DO28" s="533"/>
      <c r="DP28" s="533"/>
      <c r="DQ28" s="533"/>
      <c r="DR28" s="533"/>
      <c r="DS28" s="533"/>
      <c r="DT28" s="533"/>
      <c r="DU28" s="533"/>
      <c r="DV28" s="533"/>
      <c r="DW28" s="533"/>
      <c r="DX28" s="533"/>
      <c r="DY28" s="533"/>
      <c r="DZ28" s="533"/>
      <c r="EA28" s="533"/>
      <c r="EB28" s="533"/>
      <c r="EC28" s="533"/>
      <c r="ED28" s="533"/>
      <c r="EE28" s="533"/>
      <c r="EF28" s="533"/>
      <c r="EG28" s="533"/>
      <c r="EH28" s="533"/>
      <c r="EI28" s="533"/>
      <c r="EJ28" s="533"/>
      <c r="EK28" s="533"/>
      <c r="EL28" s="533"/>
      <c r="EM28" s="533"/>
      <c r="EN28" s="533"/>
      <c r="EO28" s="533"/>
      <c r="EP28" s="533"/>
      <c r="EQ28" s="533"/>
      <c r="ER28" s="533"/>
      <c r="ES28" s="533"/>
      <c r="ET28" s="533"/>
      <c r="EU28" s="533"/>
      <c r="EV28" s="533"/>
      <c r="EW28" s="533"/>
      <c r="EX28" s="533"/>
      <c r="EY28" s="533"/>
      <c r="EZ28" s="533"/>
      <c r="FA28" s="533"/>
      <c r="FB28" s="533"/>
      <c r="FC28" s="533">
        <v>2413.3666580535501</v>
      </c>
      <c r="FD28" s="533">
        <v>2509.1734228765499</v>
      </c>
      <c r="FE28" s="533">
        <v>2238.0288724920701</v>
      </c>
      <c r="FF28" s="533">
        <v>2179.0621182340901</v>
      </c>
      <c r="FG28" s="533">
        <v>2338.2441031745102</v>
      </c>
      <c r="FH28" s="533">
        <v>2518.38677553243</v>
      </c>
      <c r="FI28" s="533">
        <v>2276.1667111371798</v>
      </c>
      <c r="FJ28" s="533">
        <v>2233.41332565211</v>
      </c>
      <c r="FK28" s="533">
        <v>2410.1316533383801</v>
      </c>
      <c r="FL28" s="533">
        <v>2546.1585090947101</v>
      </c>
      <c r="FM28" s="533">
        <v>2301.5146903231598</v>
      </c>
      <c r="FN28" s="533">
        <v>2224.6272903409199</v>
      </c>
      <c r="FO28" s="533">
        <v>2398.38856572737</v>
      </c>
      <c r="FP28" s="533">
        <v>2571.0721691264398</v>
      </c>
      <c r="FQ28" s="533">
        <v>2301.5101827107401</v>
      </c>
      <c r="FR28" s="533">
        <v>2194.1813017299301</v>
      </c>
      <c r="FS28" s="533">
        <v>2387.1212329479099</v>
      </c>
      <c r="FT28" s="533">
        <v>2507.8251134510601</v>
      </c>
      <c r="FU28" s="533">
        <v>2279.3325005091301</v>
      </c>
      <c r="FV28" s="533">
        <v>2265.9316254513501</v>
      </c>
      <c r="FW28" s="533">
        <v>2386.8072032334799</v>
      </c>
      <c r="FX28" s="533">
        <v>2529.9876106664101</v>
      </c>
      <c r="FY28" s="533">
        <v>2311.1473584567402</v>
      </c>
      <c r="FZ28" s="533">
        <v>2253.9909665134301</v>
      </c>
      <c r="GA28" s="533">
        <v>2385.4640703120999</v>
      </c>
      <c r="GB28" s="533">
        <v>2586.5628907169998</v>
      </c>
      <c r="GC28" s="533">
        <v>2353.4758924712601</v>
      </c>
      <c r="GD28" s="533">
        <v>2298.9621620477301</v>
      </c>
      <c r="GE28" s="533">
        <v>2007.5010623116</v>
      </c>
      <c r="GF28" s="533">
        <v>2495.6512599071798</v>
      </c>
      <c r="GG28" s="533">
        <v>2332.3101786479901</v>
      </c>
      <c r="GH28" s="533">
        <v>2256.6545628127901</v>
      </c>
      <c r="GI28" s="533">
        <v>2377.9526566848299</v>
      </c>
      <c r="GJ28" s="533">
        <v>2485.83284664557</v>
      </c>
      <c r="GK28" s="533">
        <v>2169.8939114841201</v>
      </c>
      <c r="GL28" s="533">
        <v>2231.4427297135499</v>
      </c>
      <c r="GM28" s="533">
        <v>2325.0616570612001</v>
      </c>
      <c r="GN28" s="533">
        <v>2447.1417589091502</v>
      </c>
      <c r="GO28" s="533">
        <v>2346.1339666546201</v>
      </c>
      <c r="GP28" s="533">
        <v>2222.9957241646698</v>
      </c>
      <c r="GQ28" s="533">
        <v>2472.0100429140298</v>
      </c>
      <c r="GR28" s="533">
        <v>2576.8506455182001</v>
      </c>
      <c r="GS28" s="458">
        <v>5.3004238980773E-2</v>
      </c>
    </row>
    <row r="29" spans="1:201" ht="14.25" customHeight="1">
      <c r="A29" s="551" t="s">
        <v>2106</v>
      </c>
      <c r="B29" s="529"/>
      <c r="C29" s="529"/>
      <c r="D29" s="529"/>
      <c r="E29" s="529"/>
      <c r="F29" s="529"/>
      <c r="G29" s="529"/>
      <c r="H29" s="529"/>
      <c r="I29" s="529"/>
      <c r="J29" s="529"/>
      <c r="K29" s="529"/>
      <c r="L29" s="529"/>
      <c r="M29" s="529"/>
      <c r="N29" s="529"/>
      <c r="O29" s="529"/>
      <c r="P29" s="529"/>
      <c r="Q29" s="529"/>
      <c r="R29" s="529"/>
      <c r="S29" s="529"/>
      <c r="T29" s="529"/>
      <c r="U29" s="529"/>
      <c r="V29" s="529"/>
      <c r="W29" s="529"/>
      <c r="X29" s="529"/>
      <c r="Y29" s="529"/>
      <c r="Z29" s="529"/>
      <c r="AA29" s="529"/>
      <c r="AB29" s="529"/>
      <c r="AC29" s="529"/>
      <c r="AD29" s="529"/>
      <c r="AE29" s="529"/>
      <c r="AF29" s="529"/>
      <c r="AG29" s="529"/>
      <c r="AH29" s="529"/>
      <c r="AI29" s="529"/>
      <c r="AJ29" s="529"/>
      <c r="AK29" s="529"/>
      <c r="AL29" s="529"/>
      <c r="AM29" s="529"/>
      <c r="AN29" s="529"/>
      <c r="AO29" s="529"/>
      <c r="AP29" s="529"/>
      <c r="AQ29" s="529"/>
      <c r="AR29" s="529"/>
      <c r="AS29" s="529"/>
      <c r="AT29" s="529"/>
      <c r="AU29" s="529"/>
      <c r="AV29" s="529"/>
      <c r="AW29" s="529"/>
      <c r="AX29" s="529"/>
      <c r="AY29" s="529"/>
      <c r="AZ29" s="529"/>
      <c r="BA29" s="529"/>
      <c r="BB29" s="529"/>
      <c r="BC29" s="529"/>
      <c r="BD29" s="529"/>
      <c r="BE29" s="529"/>
      <c r="BF29" s="529"/>
      <c r="BG29" s="529"/>
      <c r="BH29" s="529"/>
      <c r="BI29" s="529"/>
      <c r="BJ29" s="533"/>
      <c r="BK29" s="533"/>
      <c r="BL29" s="533"/>
      <c r="BM29" s="533"/>
      <c r="BN29" s="533"/>
      <c r="BO29" s="533"/>
      <c r="BP29" s="533"/>
      <c r="BQ29" s="533"/>
      <c r="BR29" s="533"/>
      <c r="BS29" s="533"/>
      <c r="BT29" s="533"/>
      <c r="BU29" s="533"/>
      <c r="BV29" s="533"/>
      <c r="BW29" s="533"/>
      <c r="BX29" s="533"/>
      <c r="BY29" s="533"/>
      <c r="BZ29" s="533"/>
      <c r="CA29" s="533"/>
      <c r="CB29" s="533"/>
      <c r="CC29" s="533"/>
      <c r="CD29" s="533"/>
      <c r="CE29" s="533"/>
      <c r="CF29" s="533"/>
      <c r="CG29" s="533"/>
      <c r="CH29" s="533"/>
      <c r="CI29" s="533"/>
      <c r="CJ29" s="533"/>
      <c r="CK29" s="533"/>
      <c r="CL29" s="533"/>
      <c r="CM29" s="533"/>
      <c r="CN29" s="533"/>
      <c r="CO29" s="533"/>
      <c r="CP29" s="533"/>
      <c r="CQ29" s="533"/>
      <c r="CR29" s="533"/>
      <c r="CS29" s="533"/>
      <c r="CT29" s="533"/>
      <c r="CU29" s="533"/>
      <c r="CV29" s="533"/>
      <c r="CW29" s="533"/>
      <c r="CX29" s="533"/>
      <c r="CY29" s="533"/>
      <c r="CZ29" s="533"/>
      <c r="DA29" s="533"/>
      <c r="DB29" s="533"/>
      <c r="DC29" s="533"/>
      <c r="DD29" s="533"/>
      <c r="DE29" s="533"/>
      <c r="DF29" s="533"/>
      <c r="DG29" s="533"/>
      <c r="DH29" s="533"/>
      <c r="DI29" s="533"/>
      <c r="DJ29" s="533"/>
      <c r="DK29" s="533"/>
      <c r="DL29" s="533"/>
      <c r="DM29" s="533"/>
      <c r="DN29" s="533"/>
      <c r="DO29" s="533"/>
      <c r="DP29" s="533"/>
      <c r="DQ29" s="533"/>
      <c r="DR29" s="533"/>
      <c r="DS29" s="533"/>
      <c r="DT29" s="533"/>
      <c r="DU29" s="533"/>
      <c r="DV29" s="533"/>
      <c r="DW29" s="533"/>
      <c r="DX29" s="533"/>
      <c r="DY29" s="533"/>
      <c r="DZ29" s="533"/>
      <c r="EA29" s="533"/>
      <c r="EB29" s="533"/>
      <c r="EC29" s="533"/>
      <c r="ED29" s="533"/>
      <c r="EE29" s="533"/>
      <c r="EF29" s="533"/>
      <c r="EG29" s="533"/>
      <c r="EH29" s="533"/>
      <c r="EI29" s="533"/>
      <c r="EJ29" s="533"/>
      <c r="EK29" s="533"/>
      <c r="EL29" s="533"/>
      <c r="EM29" s="533"/>
      <c r="EN29" s="533"/>
      <c r="EO29" s="533"/>
      <c r="EP29" s="533"/>
      <c r="EQ29" s="533"/>
      <c r="ER29" s="533"/>
      <c r="ES29" s="533"/>
      <c r="ET29" s="533"/>
      <c r="EU29" s="533"/>
      <c r="EV29" s="533"/>
      <c r="EW29" s="533"/>
      <c r="EX29" s="533"/>
      <c r="EY29" s="533"/>
      <c r="EZ29" s="533"/>
      <c r="FA29" s="533"/>
      <c r="FB29" s="533"/>
      <c r="FC29" s="533">
        <v>3070.6014931977002</v>
      </c>
      <c r="FD29" s="533">
        <v>3943.3738329232001</v>
      </c>
      <c r="FE29" s="533">
        <v>2840.5597895441902</v>
      </c>
      <c r="FF29" s="533">
        <v>2498.09177198828</v>
      </c>
      <c r="FG29" s="533">
        <v>3150.4071562772001</v>
      </c>
      <c r="FH29" s="533">
        <v>3882.56146143162</v>
      </c>
      <c r="FI29" s="533">
        <v>2947.7268571187301</v>
      </c>
      <c r="FJ29" s="533">
        <v>2428.0804754406499</v>
      </c>
      <c r="FK29" s="533">
        <v>3141.2908206308098</v>
      </c>
      <c r="FL29" s="533">
        <v>4103.3414605071703</v>
      </c>
      <c r="FM29" s="533">
        <v>2901.0739489007801</v>
      </c>
      <c r="FN29" s="533">
        <v>2427.7307650314701</v>
      </c>
      <c r="FO29" s="533">
        <v>3007.6647056008801</v>
      </c>
      <c r="FP29" s="533">
        <v>3955.5171496344901</v>
      </c>
      <c r="FQ29" s="533">
        <v>2849.3254472930698</v>
      </c>
      <c r="FR29" s="533">
        <v>2535.7521010436599</v>
      </c>
      <c r="FS29" s="533">
        <v>3218.7259662105898</v>
      </c>
      <c r="FT29" s="533">
        <v>4037.00837378403</v>
      </c>
      <c r="FU29" s="533">
        <v>2834.0175658134199</v>
      </c>
      <c r="FV29" s="533">
        <v>2491.0087288344898</v>
      </c>
      <c r="FW29" s="533">
        <v>3304.7672273899602</v>
      </c>
      <c r="FX29" s="533">
        <v>4120.5132936096597</v>
      </c>
      <c r="FY29" s="533">
        <v>3042.7761754533599</v>
      </c>
      <c r="FZ29" s="533">
        <v>2509.4338502917699</v>
      </c>
      <c r="GA29" s="533">
        <v>3175.5093189694198</v>
      </c>
      <c r="GB29" s="533">
        <v>4235.65351481792</v>
      </c>
      <c r="GC29" s="533">
        <v>3021.0357959112798</v>
      </c>
      <c r="GD29" s="533">
        <v>2555.0507122307999</v>
      </c>
      <c r="GE29" s="533">
        <v>3431.2857405299201</v>
      </c>
      <c r="GF29" s="533">
        <v>4263.9974302447699</v>
      </c>
      <c r="GG29" s="533">
        <v>3033.6531035837802</v>
      </c>
      <c r="GH29" s="533">
        <v>2624.3670996170199</v>
      </c>
      <c r="GI29" s="533">
        <v>3351.0615589281301</v>
      </c>
      <c r="GJ29" s="533">
        <v>4466.1102056013697</v>
      </c>
      <c r="GK29" s="533">
        <v>3117.8210044136499</v>
      </c>
      <c r="GL29" s="533">
        <v>2702.42949202612</v>
      </c>
      <c r="GM29" s="533">
        <v>3270.90176498866</v>
      </c>
      <c r="GN29" s="533">
        <v>4342.1414130086596</v>
      </c>
      <c r="GO29" s="533">
        <v>3096.2241746120299</v>
      </c>
      <c r="GP29" s="533">
        <v>2726.5578780543301</v>
      </c>
      <c r="GQ29" s="533">
        <v>3429.9715866533602</v>
      </c>
      <c r="GR29" s="533">
        <v>4433.2560489049702</v>
      </c>
      <c r="GS29" s="458">
        <v>2.0983802052908507E-2</v>
      </c>
    </row>
    <row r="30" spans="1:201" ht="14.25" customHeight="1">
      <c r="A30" s="531" t="s">
        <v>879</v>
      </c>
      <c r="B30" s="529"/>
      <c r="C30" s="529"/>
      <c r="D30" s="529"/>
      <c r="E30" s="529"/>
      <c r="F30" s="529"/>
      <c r="G30" s="529"/>
      <c r="H30" s="529"/>
      <c r="I30" s="529"/>
      <c r="J30" s="529"/>
      <c r="K30" s="529"/>
      <c r="L30" s="529"/>
      <c r="M30" s="529"/>
      <c r="N30" s="529"/>
      <c r="O30" s="529"/>
      <c r="P30" s="529"/>
      <c r="Q30" s="529"/>
      <c r="R30" s="529"/>
      <c r="S30" s="529"/>
      <c r="T30" s="529"/>
      <c r="U30" s="529"/>
      <c r="V30" s="529"/>
      <c r="W30" s="529"/>
      <c r="X30" s="529"/>
      <c r="Y30" s="529"/>
      <c r="Z30" s="529"/>
      <c r="AA30" s="529"/>
      <c r="AB30" s="529"/>
      <c r="AC30" s="529"/>
      <c r="AD30" s="529"/>
      <c r="AE30" s="529"/>
      <c r="AF30" s="529"/>
      <c r="AG30" s="529"/>
      <c r="AH30" s="529"/>
      <c r="AI30" s="529"/>
      <c r="AJ30" s="529"/>
      <c r="AK30" s="529"/>
      <c r="AL30" s="529"/>
      <c r="AM30" s="529"/>
      <c r="AN30" s="529"/>
      <c r="AO30" s="529"/>
      <c r="AP30" s="529"/>
      <c r="AQ30" s="529"/>
      <c r="AR30" s="529"/>
      <c r="AS30" s="529"/>
      <c r="AT30" s="529"/>
      <c r="AU30" s="529"/>
      <c r="AV30" s="529"/>
      <c r="AW30" s="529"/>
      <c r="AX30" s="529"/>
      <c r="AY30" s="529"/>
      <c r="AZ30" s="529"/>
      <c r="BA30" s="529"/>
      <c r="BB30" s="529"/>
      <c r="BC30" s="529"/>
      <c r="BD30" s="529"/>
      <c r="BE30" s="529"/>
      <c r="BF30" s="529"/>
      <c r="BG30" s="529"/>
      <c r="BH30" s="529"/>
      <c r="BI30" s="529"/>
      <c r="BJ30" s="533"/>
      <c r="BK30" s="533"/>
      <c r="BL30" s="533"/>
      <c r="BM30" s="533"/>
      <c r="BN30" s="533"/>
      <c r="BO30" s="533"/>
      <c r="BP30" s="533"/>
      <c r="BQ30" s="533"/>
      <c r="BR30" s="533"/>
      <c r="BS30" s="533"/>
      <c r="BT30" s="533"/>
      <c r="BU30" s="533"/>
      <c r="BV30" s="533"/>
      <c r="BW30" s="533"/>
      <c r="BX30" s="533"/>
      <c r="BY30" s="533"/>
      <c r="BZ30" s="533"/>
      <c r="CA30" s="533"/>
      <c r="CB30" s="533"/>
      <c r="CC30" s="533"/>
      <c r="CD30" s="533"/>
      <c r="CE30" s="533"/>
      <c r="CF30" s="533"/>
      <c r="CG30" s="533"/>
      <c r="CH30" s="533"/>
      <c r="CI30" s="533"/>
      <c r="CJ30" s="533"/>
      <c r="CK30" s="533"/>
      <c r="CL30" s="533"/>
      <c r="CM30" s="533"/>
      <c r="CN30" s="533"/>
      <c r="CO30" s="533"/>
      <c r="CP30" s="533"/>
      <c r="CQ30" s="533"/>
      <c r="CR30" s="533"/>
      <c r="CS30" s="533"/>
      <c r="CT30" s="533"/>
      <c r="CU30" s="533"/>
      <c r="CV30" s="533"/>
      <c r="CW30" s="533"/>
      <c r="CX30" s="533"/>
      <c r="CY30" s="533"/>
      <c r="CZ30" s="533"/>
      <c r="DA30" s="533"/>
      <c r="DB30" s="533"/>
      <c r="DC30" s="533"/>
      <c r="DD30" s="533"/>
      <c r="DE30" s="533"/>
      <c r="DF30" s="533"/>
      <c r="DG30" s="533"/>
      <c r="DH30" s="533"/>
      <c r="DI30" s="533"/>
      <c r="DJ30" s="533"/>
      <c r="DK30" s="533"/>
      <c r="DL30" s="533"/>
      <c r="DM30" s="533"/>
      <c r="DN30" s="533"/>
      <c r="DO30" s="533"/>
      <c r="DP30" s="533"/>
      <c r="DQ30" s="533"/>
      <c r="DR30" s="533"/>
      <c r="DS30" s="533"/>
      <c r="DT30" s="533"/>
      <c r="DU30" s="533"/>
      <c r="DV30" s="533"/>
      <c r="DW30" s="533"/>
      <c r="DX30" s="533"/>
      <c r="DY30" s="533"/>
      <c r="DZ30" s="533"/>
      <c r="EA30" s="533"/>
      <c r="EB30" s="533"/>
      <c r="EC30" s="533"/>
      <c r="ED30" s="533"/>
      <c r="EE30" s="533"/>
      <c r="EF30" s="533"/>
      <c r="EG30" s="533"/>
      <c r="EH30" s="533"/>
      <c r="EI30" s="533"/>
      <c r="EJ30" s="533"/>
      <c r="EK30" s="533"/>
      <c r="EL30" s="533"/>
      <c r="EM30" s="533"/>
      <c r="EN30" s="533"/>
      <c r="EO30" s="533"/>
      <c r="EP30" s="533"/>
      <c r="EQ30" s="533"/>
      <c r="ER30" s="533"/>
      <c r="ES30" s="533"/>
      <c r="ET30" s="533"/>
      <c r="EU30" s="533"/>
      <c r="EV30" s="533"/>
      <c r="EW30" s="533"/>
      <c r="EX30" s="533"/>
      <c r="EY30" s="533"/>
      <c r="EZ30" s="533"/>
      <c r="FA30" s="533"/>
      <c r="FB30" s="533"/>
      <c r="FC30" s="533">
        <v>16.1630586258037</v>
      </c>
      <c r="FD30" s="533">
        <v>16.557586596350099</v>
      </c>
      <c r="FE30" s="533">
        <v>16.860206137654998</v>
      </c>
      <c r="FF30" s="533">
        <v>16.065478469379901</v>
      </c>
      <c r="FG30" s="533">
        <v>16.316444109580601</v>
      </c>
      <c r="FH30" s="533">
        <v>17.530903606645101</v>
      </c>
      <c r="FI30" s="533">
        <v>18.857141239394402</v>
      </c>
      <c r="FJ30" s="533">
        <v>19.152360749870599</v>
      </c>
      <c r="FK30" s="533">
        <v>19.2760557179963</v>
      </c>
      <c r="FL30" s="533">
        <v>21.238880243637901</v>
      </c>
      <c r="FM30" s="533">
        <v>23.7729657134952</v>
      </c>
      <c r="FN30" s="533">
        <v>23.180157621289201</v>
      </c>
      <c r="FO30" s="533">
        <v>22.925473284006198</v>
      </c>
      <c r="FP30" s="533">
        <v>22.734102391469602</v>
      </c>
      <c r="FQ30" s="533">
        <v>22.162056128235001</v>
      </c>
      <c r="FR30" s="533">
        <v>23.334415530595098</v>
      </c>
      <c r="FS30" s="533">
        <v>22.853230188902799</v>
      </c>
      <c r="FT30" s="533">
        <v>23.010033027490501</v>
      </c>
      <c r="FU30" s="533">
        <v>21.761316678011699</v>
      </c>
      <c r="FV30" s="533">
        <v>23.5316499802408</v>
      </c>
      <c r="FW30" s="533">
        <v>22.184294565164699</v>
      </c>
      <c r="FX30" s="533">
        <v>23.140950041117499</v>
      </c>
      <c r="FY30" s="533">
        <v>25.018876838477102</v>
      </c>
      <c r="FZ30" s="533">
        <v>28.0996087900322</v>
      </c>
      <c r="GA30" s="533">
        <v>26.498745252208501</v>
      </c>
      <c r="GB30" s="533">
        <v>26.230477888533802</v>
      </c>
      <c r="GC30" s="533">
        <v>27.595279494225402</v>
      </c>
      <c r="GD30" s="533">
        <v>29.705565839726798</v>
      </c>
      <c r="GE30" s="533">
        <v>23.029444328087902</v>
      </c>
      <c r="GF30" s="533">
        <v>28.121826006392901</v>
      </c>
      <c r="GG30" s="533">
        <v>30.668132250792301</v>
      </c>
      <c r="GH30" s="533">
        <v>35.130866882437203</v>
      </c>
      <c r="GI30" s="533">
        <v>35.717365790935702</v>
      </c>
      <c r="GJ30" s="533">
        <v>30.978390910930901</v>
      </c>
      <c r="GK30" s="533">
        <v>30.7557048406962</v>
      </c>
      <c r="GL30" s="533">
        <v>46.904271051662398</v>
      </c>
      <c r="GM30" s="533">
        <v>46.123606402718998</v>
      </c>
      <c r="GN30" s="533">
        <v>48.698284035985203</v>
      </c>
      <c r="GO30" s="533">
        <v>51.601977934633503</v>
      </c>
      <c r="GP30" s="533">
        <v>46.979642051662402</v>
      </c>
      <c r="GQ30" s="533">
        <v>48.364023402718999</v>
      </c>
      <c r="GR30" s="533">
        <v>48.447891035985201</v>
      </c>
      <c r="GS30" s="458">
        <v>-5.1417212116751099E-3</v>
      </c>
    </row>
    <row r="31" spans="1:201" ht="14.25" customHeight="1">
      <c r="A31" s="551" t="s">
        <v>2107</v>
      </c>
      <c r="B31" s="529"/>
      <c r="C31" s="529"/>
      <c r="D31" s="529"/>
      <c r="E31" s="529"/>
      <c r="F31" s="529"/>
      <c r="G31" s="529"/>
      <c r="H31" s="529"/>
      <c r="I31" s="529"/>
      <c r="J31" s="529"/>
      <c r="K31" s="529"/>
      <c r="L31" s="529"/>
      <c r="M31" s="529"/>
      <c r="N31" s="529"/>
      <c r="O31" s="529"/>
      <c r="P31" s="529"/>
      <c r="Q31" s="529"/>
      <c r="R31" s="529"/>
      <c r="S31" s="529"/>
      <c r="T31" s="529"/>
      <c r="U31" s="529"/>
      <c r="V31" s="529"/>
      <c r="W31" s="529"/>
      <c r="X31" s="529"/>
      <c r="Y31" s="529"/>
      <c r="Z31" s="529"/>
      <c r="AA31" s="529"/>
      <c r="AB31" s="529"/>
      <c r="AC31" s="529"/>
      <c r="AD31" s="529"/>
      <c r="AE31" s="529"/>
      <c r="AF31" s="529"/>
      <c r="AG31" s="529"/>
      <c r="AH31" s="529"/>
      <c r="AI31" s="529"/>
      <c r="AJ31" s="529"/>
      <c r="AK31" s="529"/>
      <c r="AL31" s="529"/>
      <c r="AM31" s="529"/>
      <c r="AN31" s="529"/>
      <c r="AO31" s="529"/>
      <c r="AP31" s="529"/>
      <c r="AQ31" s="529"/>
      <c r="AR31" s="529"/>
      <c r="AS31" s="529"/>
      <c r="AT31" s="529"/>
      <c r="AU31" s="529"/>
      <c r="AV31" s="529"/>
      <c r="AW31" s="529"/>
      <c r="AX31" s="529"/>
      <c r="AY31" s="529"/>
      <c r="AZ31" s="529"/>
      <c r="BA31" s="529"/>
      <c r="BB31" s="529"/>
      <c r="BC31" s="529"/>
      <c r="BD31" s="529"/>
      <c r="BE31" s="529"/>
      <c r="BF31" s="529"/>
      <c r="BG31" s="529"/>
      <c r="BH31" s="529"/>
      <c r="BI31" s="529"/>
      <c r="BJ31" s="533"/>
      <c r="BK31" s="533"/>
      <c r="BL31" s="533"/>
      <c r="BM31" s="533"/>
      <c r="BN31" s="533"/>
      <c r="BO31" s="533"/>
      <c r="BP31" s="533"/>
      <c r="BQ31" s="533"/>
      <c r="BR31" s="533"/>
      <c r="BS31" s="533"/>
      <c r="BT31" s="533"/>
      <c r="BU31" s="533"/>
      <c r="BV31" s="533"/>
      <c r="BW31" s="533"/>
      <c r="BX31" s="533"/>
      <c r="BY31" s="533"/>
      <c r="BZ31" s="533"/>
      <c r="CA31" s="533"/>
      <c r="CB31" s="533"/>
      <c r="CC31" s="533"/>
      <c r="CD31" s="533"/>
      <c r="CE31" s="533"/>
      <c r="CF31" s="533"/>
      <c r="CG31" s="533"/>
      <c r="CH31" s="533"/>
      <c r="CI31" s="533"/>
      <c r="CJ31" s="533"/>
      <c r="CK31" s="533"/>
      <c r="CL31" s="533"/>
      <c r="CM31" s="533"/>
      <c r="CN31" s="533"/>
      <c r="CO31" s="533"/>
      <c r="CP31" s="533"/>
      <c r="CQ31" s="533"/>
      <c r="CR31" s="533"/>
      <c r="CS31" s="533"/>
      <c r="CT31" s="533"/>
      <c r="CU31" s="533"/>
      <c r="CV31" s="533"/>
      <c r="CW31" s="533"/>
      <c r="CX31" s="533"/>
      <c r="CY31" s="533"/>
      <c r="CZ31" s="533"/>
      <c r="DA31" s="533"/>
      <c r="DB31" s="533"/>
      <c r="DC31" s="533"/>
      <c r="DD31" s="533"/>
      <c r="DE31" s="533"/>
      <c r="DF31" s="533"/>
      <c r="DG31" s="533"/>
      <c r="DH31" s="533"/>
      <c r="DI31" s="533"/>
      <c r="DJ31" s="533"/>
      <c r="DK31" s="533"/>
      <c r="DL31" s="533"/>
      <c r="DM31" s="533"/>
      <c r="DN31" s="533"/>
      <c r="DO31" s="533"/>
      <c r="DP31" s="533"/>
      <c r="DQ31" s="533"/>
      <c r="DR31" s="533"/>
      <c r="DS31" s="533"/>
      <c r="DT31" s="533"/>
      <c r="DU31" s="533"/>
      <c r="DV31" s="533"/>
      <c r="DW31" s="533"/>
      <c r="DX31" s="533"/>
      <c r="DY31" s="533"/>
      <c r="DZ31" s="533"/>
      <c r="EA31" s="533"/>
      <c r="EB31" s="533"/>
      <c r="EC31" s="533"/>
      <c r="ED31" s="533"/>
      <c r="EE31" s="533"/>
      <c r="EF31" s="533"/>
      <c r="EG31" s="533"/>
      <c r="EH31" s="533"/>
      <c r="EI31" s="533"/>
      <c r="EJ31" s="533"/>
      <c r="EK31" s="533"/>
      <c r="EL31" s="533"/>
      <c r="EM31" s="533"/>
      <c r="EN31" s="533"/>
      <c r="EO31" s="533"/>
      <c r="EP31" s="533"/>
      <c r="EQ31" s="533"/>
      <c r="ER31" s="533"/>
      <c r="ES31" s="533"/>
      <c r="ET31" s="533"/>
      <c r="EU31" s="533"/>
      <c r="EV31" s="533"/>
      <c r="EW31" s="533"/>
      <c r="EX31" s="533"/>
      <c r="EY31" s="533"/>
      <c r="EZ31" s="533"/>
      <c r="FA31" s="533"/>
      <c r="FB31" s="533"/>
      <c r="FC31" s="533">
        <v>241.3355924</v>
      </c>
      <c r="FD31" s="533">
        <v>256.35037699999998</v>
      </c>
      <c r="FE31" s="533">
        <v>234.2567731</v>
      </c>
      <c r="FF31" s="533">
        <v>310.34214930000002</v>
      </c>
      <c r="FG31" s="533">
        <v>333.47337779999998</v>
      </c>
      <c r="FH31" s="533">
        <v>355.61773950000003</v>
      </c>
      <c r="FI31" s="533">
        <v>331.0599224</v>
      </c>
      <c r="FJ31" s="533">
        <v>305.09085599999997</v>
      </c>
      <c r="FK31" s="533">
        <v>325.15716170000002</v>
      </c>
      <c r="FL31" s="533">
        <v>355.47184019999997</v>
      </c>
      <c r="FM31" s="533">
        <v>323.61990229999998</v>
      </c>
      <c r="FN31" s="533">
        <v>295.86373889999999</v>
      </c>
      <c r="FO31" s="533">
        <v>305.65086430000002</v>
      </c>
      <c r="FP31" s="533">
        <v>332.47064219999999</v>
      </c>
      <c r="FQ31" s="533">
        <v>299.33410179999998</v>
      </c>
      <c r="FR31" s="533">
        <v>193.10656560000001</v>
      </c>
      <c r="FS31" s="533">
        <v>207.10722279999999</v>
      </c>
      <c r="FT31" s="533">
        <v>219.29162690000001</v>
      </c>
      <c r="FU31" s="533">
        <v>201.76164259999999</v>
      </c>
      <c r="FV31" s="533">
        <v>179.03398780000001</v>
      </c>
      <c r="FW31" s="533">
        <v>196.03807320000001</v>
      </c>
      <c r="FX31" s="533">
        <v>208.5308771</v>
      </c>
      <c r="FY31" s="533">
        <v>185.79922070000001</v>
      </c>
      <c r="FZ31" s="533">
        <v>154.17975910000001</v>
      </c>
      <c r="GA31" s="533">
        <v>164.55824390000001</v>
      </c>
      <c r="GB31" s="533">
        <v>178.36136099999999</v>
      </c>
      <c r="GC31" s="533">
        <v>162.6968861</v>
      </c>
      <c r="GD31" s="533">
        <v>137.44055929999999</v>
      </c>
      <c r="GE31" s="533">
        <v>136.14357609999999</v>
      </c>
      <c r="GF31" s="533">
        <v>156.7276861</v>
      </c>
      <c r="GG31" s="533">
        <v>140.8734915</v>
      </c>
      <c r="GH31" s="533">
        <v>130.64782719999999</v>
      </c>
      <c r="GI31" s="533">
        <v>140.14059420000001</v>
      </c>
      <c r="GJ31" s="533">
        <v>148.62141009999999</v>
      </c>
      <c r="GK31" s="533">
        <v>133.2755722</v>
      </c>
      <c r="GL31" s="533">
        <v>130.64782719999999</v>
      </c>
      <c r="GM31" s="533">
        <v>140.14059420000001</v>
      </c>
      <c r="GN31" s="533">
        <v>148.62141009999999</v>
      </c>
      <c r="GO31" s="533">
        <v>133.2755722</v>
      </c>
      <c r="GP31" s="533">
        <v>130.64782719999999</v>
      </c>
      <c r="GQ31" s="533">
        <v>140.14059420000001</v>
      </c>
      <c r="GR31" s="533">
        <v>148.62141009999999</v>
      </c>
      <c r="GS31" s="458">
        <v>0</v>
      </c>
    </row>
    <row r="33" spans="1:201" ht="14.25" customHeight="1">
      <c r="A33" s="547" t="s">
        <v>2108</v>
      </c>
      <c r="B33" s="542"/>
      <c r="C33" s="542"/>
      <c r="D33" s="542"/>
      <c r="E33" s="542"/>
      <c r="F33" s="542"/>
      <c r="G33" s="542"/>
      <c r="H33" s="542"/>
      <c r="I33" s="542"/>
      <c r="J33" s="542"/>
      <c r="K33" s="542"/>
      <c r="L33" s="542"/>
      <c r="M33" s="542"/>
      <c r="N33" s="542"/>
      <c r="O33" s="542"/>
      <c r="P33" s="542"/>
      <c r="Q33" s="542"/>
      <c r="R33" s="542"/>
      <c r="S33" s="542"/>
      <c r="T33" s="542"/>
      <c r="U33" s="542"/>
      <c r="V33" s="542"/>
      <c r="W33" s="542"/>
      <c r="X33" s="542"/>
      <c r="Y33" s="542"/>
      <c r="Z33" s="542"/>
      <c r="AA33" s="542"/>
      <c r="AB33" s="542"/>
      <c r="AC33" s="542"/>
      <c r="AD33" s="542"/>
      <c r="AE33" s="542"/>
      <c r="AF33" s="542"/>
      <c r="AG33" s="542"/>
      <c r="AH33" s="542"/>
      <c r="AI33" s="542"/>
      <c r="AJ33" s="542"/>
      <c r="AK33" s="542"/>
      <c r="AL33" s="542"/>
      <c r="AM33" s="542"/>
      <c r="AN33" s="542"/>
      <c r="AO33" s="542"/>
      <c r="AP33" s="542"/>
      <c r="AQ33" s="542"/>
      <c r="AR33" s="542"/>
      <c r="AS33" s="542"/>
      <c r="AT33" s="542"/>
      <c r="AU33" s="542"/>
      <c r="AV33" s="542"/>
      <c r="AW33" s="542"/>
      <c r="AX33" s="542"/>
      <c r="AY33" s="542"/>
      <c r="AZ33" s="542"/>
      <c r="BA33" s="542"/>
      <c r="BB33" s="542"/>
      <c r="BC33" s="542"/>
      <c r="BD33" s="542"/>
      <c r="BE33" s="542"/>
      <c r="BF33" s="542"/>
      <c r="BG33" s="542"/>
      <c r="BH33" s="542"/>
      <c r="BI33" s="542"/>
      <c r="BJ33" s="548"/>
      <c r="BK33" s="548"/>
      <c r="BL33" s="548"/>
      <c r="BM33" s="548"/>
      <c r="BN33" s="548"/>
      <c r="BO33" s="548"/>
      <c r="BP33" s="548"/>
      <c r="BQ33" s="548"/>
      <c r="BR33" s="548"/>
      <c r="BS33" s="548"/>
      <c r="BT33" s="548"/>
      <c r="BU33" s="548"/>
      <c r="BV33" s="548"/>
      <c r="BW33" s="548"/>
      <c r="BX33" s="548"/>
      <c r="BY33" s="548"/>
      <c r="BZ33" s="548"/>
      <c r="CA33" s="548"/>
      <c r="CB33" s="548"/>
      <c r="CC33" s="548"/>
      <c r="CD33" s="548"/>
      <c r="CE33" s="548"/>
      <c r="CF33" s="548"/>
      <c r="CG33" s="548"/>
      <c r="CH33" s="548"/>
      <c r="CI33" s="548"/>
      <c r="CJ33" s="548"/>
      <c r="CK33" s="548"/>
      <c r="CL33" s="548"/>
      <c r="CM33" s="548"/>
      <c r="CN33" s="548"/>
      <c r="CO33" s="548"/>
      <c r="CP33" s="548"/>
      <c r="CQ33" s="548"/>
      <c r="CR33" s="548"/>
      <c r="CS33" s="548"/>
      <c r="CT33" s="548"/>
      <c r="CU33" s="548"/>
      <c r="CV33" s="548"/>
      <c r="CW33" s="548"/>
      <c r="CX33" s="548"/>
      <c r="CY33" s="548"/>
      <c r="CZ33" s="548"/>
      <c r="DA33" s="548"/>
      <c r="DB33" s="548"/>
      <c r="DC33" s="548"/>
      <c r="DD33" s="548"/>
      <c r="DE33" s="548"/>
      <c r="DF33" s="548"/>
      <c r="DG33" s="548"/>
      <c r="DH33" s="548"/>
      <c r="DI33" s="548"/>
      <c r="DJ33" s="548"/>
      <c r="DK33" s="548"/>
      <c r="DL33" s="548"/>
      <c r="DM33" s="548"/>
      <c r="DN33" s="548"/>
      <c r="DO33" s="548"/>
      <c r="DP33" s="548"/>
      <c r="DQ33" s="548"/>
      <c r="DR33" s="548"/>
      <c r="DS33" s="548"/>
      <c r="DT33" s="548"/>
      <c r="DU33" s="548"/>
      <c r="DV33" s="548"/>
      <c r="DW33" s="548"/>
      <c r="DX33" s="548"/>
      <c r="DY33" s="548"/>
      <c r="DZ33" s="548"/>
      <c r="EA33" s="548"/>
      <c r="EB33" s="548"/>
      <c r="EC33" s="548"/>
      <c r="ED33" s="548"/>
      <c r="EE33" s="548"/>
      <c r="EF33" s="548"/>
      <c r="EG33" s="548"/>
      <c r="EH33" s="548"/>
      <c r="EI33" s="548"/>
      <c r="EJ33" s="548"/>
      <c r="EK33" s="548"/>
      <c r="EL33" s="548"/>
      <c r="EM33" s="548"/>
      <c r="EN33" s="548"/>
      <c r="EO33" s="548"/>
      <c r="EP33" s="548"/>
      <c r="EQ33" s="548"/>
      <c r="ER33" s="548"/>
      <c r="ES33" s="548"/>
      <c r="ET33" s="548"/>
      <c r="EU33" s="548"/>
      <c r="EV33" s="548"/>
      <c r="EW33" s="548"/>
      <c r="EX33" s="548"/>
      <c r="EY33" s="548"/>
      <c r="EZ33" s="548"/>
      <c r="FA33" s="548"/>
      <c r="FB33" s="548"/>
      <c r="FC33" s="548">
        <v>1964884.3994375046</v>
      </c>
      <c r="FD33" s="548">
        <v>1946566.8316589477</v>
      </c>
      <c r="FE33" s="548">
        <v>1954781.2936816034</v>
      </c>
      <c r="FF33" s="548">
        <v>1954411.3964019578</v>
      </c>
      <c r="FG33" s="548">
        <v>1982607.9999999977</v>
      </c>
      <c r="FH33" s="548">
        <v>1981057</v>
      </c>
      <c r="FI33" s="548">
        <v>1987359.000000003</v>
      </c>
      <c r="FJ33" s="548">
        <v>1985624.0000000028</v>
      </c>
      <c r="FK33" s="548">
        <v>2003338.2066666682</v>
      </c>
      <c r="FL33" s="548">
        <v>2014251.6866666707</v>
      </c>
      <c r="FM33" s="548">
        <v>2024744.9999999972</v>
      </c>
      <c r="FN33" s="548">
        <v>2020975.9999999967</v>
      </c>
      <c r="FO33" s="548">
        <v>2024738.9999999958</v>
      </c>
      <c r="FP33" s="548">
        <v>2040119.0000000002</v>
      </c>
      <c r="FQ33" s="548">
        <v>2040819</v>
      </c>
      <c r="FR33" s="548">
        <v>2039826.000000004</v>
      </c>
      <c r="FS33" s="548">
        <v>2040929.0000000049</v>
      </c>
      <c r="FT33" s="548">
        <v>2063770.9999999984</v>
      </c>
      <c r="FU33" s="548">
        <v>2063161.0000000002</v>
      </c>
      <c r="FV33" s="548">
        <v>2061473.9999999981</v>
      </c>
      <c r="FW33" s="548">
        <v>2063691</v>
      </c>
      <c r="FX33" s="548">
        <v>2064823.9999999993</v>
      </c>
      <c r="FY33" s="548">
        <v>2067999.0000000023</v>
      </c>
      <c r="FZ33" s="548">
        <v>2072399</v>
      </c>
      <c r="GA33" s="548">
        <v>2064952.0000000051</v>
      </c>
      <c r="GB33" s="548">
        <v>2086765.0000000019</v>
      </c>
      <c r="GC33" s="548">
        <v>2082497.0000000014</v>
      </c>
      <c r="GD33" s="548">
        <v>2080807.9999999988</v>
      </c>
      <c r="GE33" s="548">
        <v>2091066.999999997</v>
      </c>
      <c r="GF33" s="548">
        <v>2121525.0000000042</v>
      </c>
      <c r="GG33" s="548">
        <v>2117377.8582375501</v>
      </c>
      <c r="GH33" s="548">
        <v>2115203</v>
      </c>
      <c r="GI33" s="548">
        <v>2120820</v>
      </c>
      <c r="GJ33" s="548">
        <v>2141204</v>
      </c>
      <c r="GK33" s="548">
        <v>2143724</v>
      </c>
      <c r="GL33" s="548">
        <v>2148568</v>
      </c>
      <c r="GM33" s="548">
        <v>2142370</v>
      </c>
      <c r="GN33" s="548">
        <v>2155669</v>
      </c>
      <c r="GO33" s="548">
        <v>2160562</v>
      </c>
      <c r="GP33" s="548">
        <v>2156077.3333333335</v>
      </c>
      <c r="GQ33" s="548">
        <v>2159245.9999999995</v>
      </c>
      <c r="GR33" s="548">
        <v>2178416.6666666665</v>
      </c>
      <c r="GS33" s="457">
        <v>1.0552485871748729E-2</v>
      </c>
    </row>
    <row r="34" spans="1:201" ht="14.25" customHeight="1">
      <c r="A34" s="531" t="s">
        <v>2103</v>
      </c>
      <c r="B34" s="529"/>
      <c r="C34" s="529"/>
      <c r="D34" s="529"/>
      <c r="E34" s="529"/>
      <c r="F34" s="529"/>
      <c r="G34" s="529"/>
      <c r="H34" s="529"/>
      <c r="I34" s="529"/>
      <c r="J34" s="529"/>
      <c r="K34" s="529"/>
      <c r="L34" s="529"/>
      <c r="M34" s="529"/>
      <c r="N34" s="529"/>
      <c r="O34" s="529"/>
      <c r="P34" s="529"/>
      <c r="Q34" s="529"/>
      <c r="R34" s="529"/>
      <c r="S34" s="529"/>
      <c r="T34" s="529"/>
      <c r="U34" s="529"/>
      <c r="V34" s="529"/>
      <c r="W34" s="529"/>
      <c r="X34" s="529"/>
      <c r="Y34" s="529"/>
      <c r="Z34" s="529"/>
      <c r="AA34" s="529"/>
      <c r="AB34" s="529"/>
      <c r="AC34" s="529"/>
      <c r="AD34" s="529"/>
      <c r="AE34" s="529"/>
      <c r="AF34" s="529"/>
      <c r="AG34" s="529"/>
      <c r="AH34" s="529"/>
      <c r="AI34" s="529"/>
      <c r="AJ34" s="529"/>
      <c r="AK34" s="529"/>
      <c r="AL34" s="529"/>
      <c r="AM34" s="529"/>
      <c r="AN34" s="529"/>
      <c r="AO34" s="529"/>
      <c r="AP34" s="529"/>
      <c r="AQ34" s="529"/>
      <c r="AR34" s="529"/>
      <c r="AS34" s="529"/>
      <c r="AT34" s="529"/>
      <c r="AU34" s="529"/>
      <c r="AV34" s="529"/>
      <c r="AW34" s="529"/>
      <c r="AX34" s="529"/>
      <c r="AY34" s="529"/>
      <c r="AZ34" s="529"/>
      <c r="BA34" s="529"/>
      <c r="BB34" s="529"/>
      <c r="BC34" s="529"/>
      <c r="BD34" s="529"/>
      <c r="BE34" s="529"/>
      <c r="BF34" s="529"/>
      <c r="BG34" s="529"/>
      <c r="BH34" s="529"/>
      <c r="BI34" s="529"/>
      <c r="BJ34" s="533"/>
      <c r="BK34" s="533"/>
      <c r="BL34" s="533"/>
      <c r="BM34" s="533"/>
      <c r="BN34" s="533"/>
      <c r="BO34" s="533"/>
      <c r="BP34" s="533"/>
      <c r="BQ34" s="533"/>
      <c r="BR34" s="533"/>
      <c r="BS34" s="533"/>
      <c r="BT34" s="533"/>
      <c r="BU34" s="533"/>
      <c r="BV34" s="533"/>
      <c r="BW34" s="533"/>
      <c r="BX34" s="533"/>
      <c r="BY34" s="533"/>
      <c r="BZ34" s="533"/>
      <c r="CA34" s="533"/>
      <c r="CB34" s="533"/>
      <c r="CC34" s="533"/>
      <c r="CD34" s="533"/>
      <c r="CE34" s="533"/>
      <c r="CF34" s="533"/>
      <c r="CG34" s="533"/>
      <c r="CH34" s="533"/>
      <c r="CI34" s="533"/>
      <c r="CJ34" s="533"/>
      <c r="CK34" s="533"/>
      <c r="CL34" s="533"/>
      <c r="CM34" s="533"/>
      <c r="CN34" s="533"/>
      <c r="CO34" s="533"/>
      <c r="CP34" s="533"/>
      <c r="CQ34" s="533"/>
      <c r="CR34" s="533"/>
      <c r="CS34" s="533"/>
      <c r="CT34" s="533"/>
      <c r="CU34" s="533"/>
      <c r="CV34" s="533"/>
      <c r="CW34" s="533"/>
      <c r="CX34" s="533"/>
      <c r="CY34" s="533"/>
      <c r="CZ34" s="533"/>
      <c r="DA34" s="533"/>
      <c r="DB34" s="533"/>
      <c r="DC34" s="533"/>
      <c r="DD34" s="533"/>
      <c r="DE34" s="533"/>
      <c r="DF34" s="533"/>
      <c r="DG34" s="533"/>
      <c r="DH34" s="533"/>
      <c r="DI34" s="533"/>
      <c r="DJ34" s="533"/>
      <c r="DK34" s="533"/>
      <c r="DL34" s="533"/>
      <c r="DM34" s="533"/>
      <c r="DN34" s="533"/>
      <c r="DO34" s="533"/>
      <c r="DP34" s="533"/>
      <c r="DQ34" s="533"/>
      <c r="DR34" s="533"/>
      <c r="DS34" s="533"/>
      <c r="DT34" s="533"/>
      <c r="DU34" s="533"/>
      <c r="DV34" s="533"/>
      <c r="DW34" s="533"/>
      <c r="DX34" s="533"/>
      <c r="DY34" s="533"/>
      <c r="DZ34" s="533"/>
      <c r="EA34" s="533"/>
      <c r="EB34" s="533"/>
      <c r="EC34" s="533"/>
      <c r="ED34" s="533"/>
      <c r="EE34" s="533"/>
      <c r="EF34" s="533"/>
      <c r="EG34" s="533"/>
      <c r="EH34" s="533"/>
      <c r="EI34" s="533"/>
      <c r="EJ34" s="533"/>
      <c r="EK34" s="533"/>
      <c r="EL34" s="533"/>
      <c r="EM34" s="533"/>
      <c r="EN34" s="533"/>
      <c r="EO34" s="533"/>
      <c r="EP34" s="533"/>
      <c r="EQ34" s="533"/>
      <c r="ER34" s="533"/>
      <c r="ES34" s="533"/>
      <c r="ET34" s="533"/>
      <c r="EU34" s="533"/>
      <c r="EV34" s="533"/>
      <c r="EW34" s="533"/>
      <c r="EX34" s="533"/>
      <c r="EY34" s="533"/>
      <c r="EZ34" s="533"/>
      <c r="FA34" s="533"/>
      <c r="FB34" s="533"/>
      <c r="FC34" s="533">
        <v>77476.940177285898</v>
      </c>
      <c r="FD34" s="533">
        <v>76924.347876582397</v>
      </c>
      <c r="FE34" s="533">
        <v>76897.653439630201</v>
      </c>
      <c r="FF34" s="533">
        <v>78079.668651949207</v>
      </c>
      <c r="FG34" s="533">
        <v>78636.438250997104</v>
      </c>
      <c r="FH34" s="533">
        <v>78240.5823526803</v>
      </c>
      <c r="FI34" s="533">
        <v>77191.150995207907</v>
      </c>
      <c r="FJ34" s="533">
        <v>78700.651246679598</v>
      </c>
      <c r="FK34" s="533">
        <v>78573.5198849882</v>
      </c>
      <c r="FL34" s="533">
        <v>78093.679588188301</v>
      </c>
      <c r="FM34" s="533">
        <v>78749.637811073306</v>
      </c>
      <c r="FN34" s="533">
        <v>79027.177036373396</v>
      </c>
      <c r="FO34" s="533">
        <v>77878.497936643005</v>
      </c>
      <c r="FP34" s="533">
        <v>78224.133031998994</v>
      </c>
      <c r="FQ34" s="533">
        <v>78234.167392172807</v>
      </c>
      <c r="FR34" s="533">
        <v>78694.342265428801</v>
      </c>
      <c r="FS34" s="533">
        <v>78337.219238694903</v>
      </c>
      <c r="FT34" s="533">
        <v>80106.224103515604</v>
      </c>
      <c r="FU34" s="533">
        <v>80470.494715802197</v>
      </c>
      <c r="FV34" s="533">
        <v>79114.295329472705</v>
      </c>
      <c r="FW34" s="533">
        <v>78951</v>
      </c>
      <c r="FX34" s="533">
        <v>78253.271556420805</v>
      </c>
      <c r="FY34" s="533">
        <v>77975.008069513802</v>
      </c>
      <c r="FZ34" s="533">
        <v>77922</v>
      </c>
      <c r="GA34" s="533">
        <v>77751</v>
      </c>
      <c r="GB34" s="533">
        <v>80144</v>
      </c>
      <c r="GC34" s="533">
        <v>75854.000507132296</v>
      </c>
      <c r="GD34" s="533">
        <v>87687</v>
      </c>
      <c r="GE34" s="533">
        <v>87636</v>
      </c>
      <c r="GF34" s="533">
        <v>88348</v>
      </c>
      <c r="GG34" s="533">
        <v>87631</v>
      </c>
      <c r="GH34" s="533">
        <v>86629</v>
      </c>
      <c r="GI34" s="533">
        <v>82964</v>
      </c>
      <c r="GJ34" s="533">
        <v>86591</v>
      </c>
      <c r="GK34" s="533">
        <v>87231</v>
      </c>
      <c r="GL34" s="533">
        <v>86930</v>
      </c>
      <c r="GM34" s="533">
        <v>86330</v>
      </c>
      <c r="GN34" s="533">
        <v>86437</v>
      </c>
      <c r="GO34" s="533">
        <v>86722</v>
      </c>
      <c r="GP34" s="533">
        <v>86541.666666666701</v>
      </c>
      <c r="GQ34" s="533">
        <v>85838.333333333299</v>
      </c>
      <c r="GR34" s="533">
        <v>86105.333333333299</v>
      </c>
      <c r="GS34" s="458">
        <v>-3.8370913690514152E-3</v>
      </c>
    </row>
    <row r="35" spans="1:201" ht="14.25" customHeight="1">
      <c r="A35" s="551" t="s">
        <v>2104</v>
      </c>
      <c r="B35" s="529"/>
      <c r="C35" s="529"/>
      <c r="D35" s="529"/>
      <c r="E35" s="529"/>
      <c r="F35" s="529"/>
      <c r="G35" s="529"/>
      <c r="H35" s="529"/>
      <c r="I35" s="529"/>
      <c r="J35" s="529"/>
      <c r="K35" s="529"/>
      <c r="L35" s="529"/>
      <c r="M35" s="529"/>
      <c r="N35" s="529"/>
      <c r="O35" s="529"/>
      <c r="P35" s="529"/>
      <c r="Q35" s="529"/>
      <c r="R35" s="529"/>
      <c r="S35" s="529"/>
      <c r="T35" s="529"/>
      <c r="U35" s="529"/>
      <c r="V35" s="529"/>
      <c r="W35" s="529"/>
      <c r="X35" s="529"/>
      <c r="Y35" s="529"/>
      <c r="Z35" s="529"/>
      <c r="AA35" s="529"/>
      <c r="AB35" s="529"/>
      <c r="AC35" s="529"/>
      <c r="AD35" s="529"/>
      <c r="AE35" s="529"/>
      <c r="AF35" s="529"/>
      <c r="AG35" s="529"/>
      <c r="AH35" s="529"/>
      <c r="AI35" s="529"/>
      <c r="AJ35" s="529"/>
      <c r="AK35" s="529"/>
      <c r="AL35" s="529"/>
      <c r="AM35" s="529"/>
      <c r="AN35" s="529"/>
      <c r="AO35" s="529"/>
      <c r="AP35" s="529"/>
      <c r="AQ35" s="529"/>
      <c r="AR35" s="529"/>
      <c r="AS35" s="529"/>
      <c r="AT35" s="529"/>
      <c r="AU35" s="529"/>
      <c r="AV35" s="529"/>
      <c r="AW35" s="529"/>
      <c r="AX35" s="529"/>
      <c r="AY35" s="529"/>
      <c r="AZ35" s="529"/>
      <c r="BA35" s="529"/>
      <c r="BB35" s="529"/>
      <c r="BC35" s="529"/>
      <c r="BD35" s="529"/>
      <c r="BE35" s="529"/>
      <c r="BF35" s="529"/>
      <c r="BG35" s="529"/>
      <c r="BH35" s="529"/>
      <c r="BI35" s="529"/>
      <c r="BJ35" s="533"/>
      <c r="BK35" s="533"/>
      <c r="BL35" s="533"/>
      <c r="BM35" s="533"/>
      <c r="BN35" s="533"/>
      <c r="BO35" s="533"/>
      <c r="BP35" s="533"/>
      <c r="BQ35" s="533"/>
      <c r="BR35" s="533"/>
      <c r="BS35" s="533"/>
      <c r="BT35" s="533"/>
      <c r="BU35" s="533"/>
      <c r="BV35" s="533"/>
      <c r="BW35" s="533"/>
      <c r="BX35" s="533"/>
      <c r="BY35" s="533"/>
      <c r="BZ35" s="533"/>
      <c r="CA35" s="533"/>
      <c r="CB35" s="533"/>
      <c r="CC35" s="533"/>
      <c r="CD35" s="533"/>
      <c r="CE35" s="533"/>
      <c r="CF35" s="533"/>
      <c r="CG35" s="533"/>
      <c r="CH35" s="533"/>
      <c r="CI35" s="533"/>
      <c r="CJ35" s="533"/>
      <c r="CK35" s="533"/>
      <c r="CL35" s="533"/>
      <c r="CM35" s="533"/>
      <c r="CN35" s="533"/>
      <c r="CO35" s="533"/>
      <c r="CP35" s="533"/>
      <c r="CQ35" s="533"/>
      <c r="CR35" s="533"/>
      <c r="CS35" s="533"/>
      <c r="CT35" s="533"/>
      <c r="CU35" s="533"/>
      <c r="CV35" s="533"/>
      <c r="CW35" s="533"/>
      <c r="CX35" s="533"/>
      <c r="CY35" s="533"/>
      <c r="CZ35" s="533"/>
      <c r="DA35" s="533"/>
      <c r="DB35" s="533"/>
      <c r="DC35" s="533"/>
      <c r="DD35" s="533"/>
      <c r="DE35" s="533"/>
      <c r="DF35" s="533"/>
      <c r="DG35" s="533"/>
      <c r="DH35" s="533"/>
      <c r="DI35" s="533"/>
      <c r="DJ35" s="533"/>
      <c r="DK35" s="533"/>
      <c r="DL35" s="533"/>
      <c r="DM35" s="533"/>
      <c r="DN35" s="533"/>
      <c r="DO35" s="533"/>
      <c r="DP35" s="533"/>
      <c r="DQ35" s="533"/>
      <c r="DR35" s="533"/>
      <c r="DS35" s="533"/>
      <c r="DT35" s="533"/>
      <c r="DU35" s="533"/>
      <c r="DV35" s="533"/>
      <c r="DW35" s="533"/>
      <c r="DX35" s="533"/>
      <c r="DY35" s="533"/>
      <c r="DZ35" s="533"/>
      <c r="EA35" s="533"/>
      <c r="EB35" s="533"/>
      <c r="EC35" s="533"/>
      <c r="ED35" s="533"/>
      <c r="EE35" s="533"/>
      <c r="EF35" s="533"/>
      <c r="EG35" s="533"/>
      <c r="EH35" s="533"/>
      <c r="EI35" s="533"/>
      <c r="EJ35" s="533"/>
      <c r="EK35" s="533"/>
      <c r="EL35" s="533"/>
      <c r="EM35" s="533"/>
      <c r="EN35" s="533"/>
      <c r="EO35" s="533"/>
      <c r="EP35" s="533"/>
      <c r="EQ35" s="533"/>
      <c r="ER35" s="533"/>
      <c r="ES35" s="533"/>
      <c r="ET35" s="533"/>
      <c r="EU35" s="533"/>
      <c r="EV35" s="533"/>
      <c r="EW35" s="533"/>
      <c r="EX35" s="533"/>
      <c r="EY35" s="533"/>
      <c r="EZ35" s="533"/>
      <c r="FA35" s="533"/>
      <c r="FB35" s="533"/>
      <c r="FC35" s="533">
        <v>34334.3721643018</v>
      </c>
      <c r="FD35" s="533">
        <v>34175.465068548503</v>
      </c>
      <c r="FE35" s="533">
        <v>35225.309765376303</v>
      </c>
      <c r="FF35" s="533">
        <v>36814.438113473603</v>
      </c>
      <c r="FG35" s="533">
        <v>38112.105458440601</v>
      </c>
      <c r="FH35" s="533">
        <v>37325.484370407903</v>
      </c>
      <c r="FI35" s="533">
        <v>37781.988491848999</v>
      </c>
      <c r="FJ35" s="533">
        <v>38220.2816104581</v>
      </c>
      <c r="FK35" s="533">
        <v>38704.342298459</v>
      </c>
      <c r="FL35" s="533">
        <v>39871.445830536402</v>
      </c>
      <c r="FM35" s="533">
        <v>40017.213869227897</v>
      </c>
      <c r="FN35" s="533">
        <v>40791.074439340402</v>
      </c>
      <c r="FO35" s="533">
        <v>41186.272951943902</v>
      </c>
      <c r="FP35" s="533">
        <v>41813.075815236203</v>
      </c>
      <c r="FQ35" s="533">
        <v>41951.0803168372</v>
      </c>
      <c r="FR35" s="533">
        <v>43218.166497832099</v>
      </c>
      <c r="FS35" s="533">
        <v>42336.143019518</v>
      </c>
      <c r="FT35" s="533">
        <v>43368.141051143699</v>
      </c>
      <c r="FU35" s="533">
        <v>43136.229925318898</v>
      </c>
      <c r="FV35" s="533">
        <v>43119.1197750184</v>
      </c>
      <c r="FW35" s="533">
        <v>44385</v>
      </c>
      <c r="FX35" s="533">
        <v>43951.6899619834</v>
      </c>
      <c r="FY35" s="533">
        <v>44602.0011284965</v>
      </c>
      <c r="FZ35" s="533">
        <v>44966</v>
      </c>
      <c r="GA35" s="533">
        <v>44565.000301906097</v>
      </c>
      <c r="GB35" s="533">
        <v>45476.000251625599</v>
      </c>
      <c r="GC35" s="533">
        <v>44208.000500965099</v>
      </c>
      <c r="GD35" s="533">
        <v>48371.000213098698</v>
      </c>
      <c r="GE35" s="533">
        <v>48619</v>
      </c>
      <c r="GF35" s="533">
        <v>48649</v>
      </c>
      <c r="GG35" s="533">
        <v>48824.858755561101</v>
      </c>
      <c r="GH35" s="533">
        <v>48753</v>
      </c>
      <c r="GI35" s="533">
        <v>49977</v>
      </c>
      <c r="GJ35" s="533">
        <v>49328</v>
      </c>
      <c r="GK35" s="533">
        <v>50361</v>
      </c>
      <c r="GL35" s="533">
        <v>50943</v>
      </c>
      <c r="GM35" s="533">
        <v>51434</v>
      </c>
      <c r="GN35" s="533">
        <v>51396</v>
      </c>
      <c r="GO35" s="533">
        <v>52531</v>
      </c>
      <c r="GP35" s="533">
        <v>50525.666666666701</v>
      </c>
      <c r="GQ35" s="533">
        <v>48868.333333333299</v>
      </c>
      <c r="GR35" s="533">
        <v>48100.333333333299</v>
      </c>
      <c r="GS35" s="458">
        <v>-6.4123018652554653E-2</v>
      </c>
    </row>
    <row r="36" spans="1:201" ht="14.25" customHeight="1">
      <c r="A36" s="551" t="s">
        <v>2105</v>
      </c>
      <c r="B36" s="529"/>
      <c r="C36" s="529"/>
      <c r="D36" s="529"/>
      <c r="E36" s="529"/>
      <c r="F36" s="529"/>
      <c r="G36" s="529"/>
      <c r="H36" s="529"/>
      <c r="I36" s="529"/>
      <c r="J36" s="529"/>
      <c r="K36" s="529"/>
      <c r="L36" s="529"/>
      <c r="M36" s="529"/>
      <c r="N36" s="529"/>
      <c r="O36" s="529"/>
      <c r="P36" s="529"/>
      <c r="Q36" s="529"/>
      <c r="R36" s="529"/>
      <c r="S36" s="529"/>
      <c r="T36" s="529"/>
      <c r="U36" s="529"/>
      <c r="V36" s="529"/>
      <c r="W36" s="529"/>
      <c r="X36" s="529"/>
      <c r="Y36" s="529"/>
      <c r="Z36" s="529"/>
      <c r="AA36" s="529"/>
      <c r="AB36" s="529"/>
      <c r="AC36" s="529"/>
      <c r="AD36" s="529"/>
      <c r="AE36" s="529"/>
      <c r="AF36" s="529"/>
      <c r="AG36" s="529"/>
      <c r="AH36" s="529"/>
      <c r="AI36" s="529"/>
      <c r="AJ36" s="529"/>
      <c r="AK36" s="529"/>
      <c r="AL36" s="529"/>
      <c r="AM36" s="529"/>
      <c r="AN36" s="529"/>
      <c r="AO36" s="529"/>
      <c r="AP36" s="529"/>
      <c r="AQ36" s="529"/>
      <c r="AR36" s="529"/>
      <c r="AS36" s="529"/>
      <c r="AT36" s="529"/>
      <c r="AU36" s="529"/>
      <c r="AV36" s="529"/>
      <c r="AW36" s="529"/>
      <c r="AX36" s="529"/>
      <c r="AY36" s="529"/>
      <c r="AZ36" s="529"/>
      <c r="BA36" s="529"/>
      <c r="BB36" s="529"/>
      <c r="BC36" s="529"/>
      <c r="BD36" s="529"/>
      <c r="BE36" s="529"/>
      <c r="BF36" s="529"/>
      <c r="BG36" s="529"/>
      <c r="BH36" s="529"/>
      <c r="BI36" s="529"/>
      <c r="BJ36" s="533"/>
      <c r="BK36" s="533"/>
      <c r="BL36" s="533"/>
      <c r="BM36" s="533"/>
      <c r="BN36" s="533"/>
      <c r="BO36" s="533"/>
      <c r="BP36" s="533"/>
      <c r="BQ36" s="533"/>
      <c r="BR36" s="533"/>
      <c r="BS36" s="533"/>
      <c r="BT36" s="533"/>
      <c r="BU36" s="533"/>
      <c r="BV36" s="533"/>
      <c r="BW36" s="533"/>
      <c r="BX36" s="533"/>
      <c r="BY36" s="533"/>
      <c r="BZ36" s="533"/>
      <c r="CA36" s="533"/>
      <c r="CB36" s="533"/>
      <c r="CC36" s="533"/>
      <c r="CD36" s="533"/>
      <c r="CE36" s="533"/>
      <c r="CF36" s="533"/>
      <c r="CG36" s="533"/>
      <c r="CH36" s="533"/>
      <c r="CI36" s="533"/>
      <c r="CJ36" s="533"/>
      <c r="CK36" s="533"/>
      <c r="CL36" s="533"/>
      <c r="CM36" s="533"/>
      <c r="CN36" s="533"/>
      <c r="CO36" s="533"/>
      <c r="CP36" s="533"/>
      <c r="CQ36" s="533"/>
      <c r="CR36" s="533"/>
      <c r="CS36" s="533"/>
      <c r="CT36" s="533"/>
      <c r="CU36" s="533"/>
      <c r="CV36" s="533"/>
      <c r="CW36" s="533"/>
      <c r="CX36" s="533"/>
      <c r="CY36" s="533"/>
      <c r="CZ36" s="533"/>
      <c r="DA36" s="533"/>
      <c r="DB36" s="533"/>
      <c r="DC36" s="533"/>
      <c r="DD36" s="533"/>
      <c r="DE36" s="533"/>
      <c r="DF36" s="533"/>
      <c r="DG36" s="533"/>
      <c r="DH36" s="533"/>
      <c r="DI36" s="533"/>
      <c r="DJ36" s="533"/>
      <c r="DK36" s="533"/>
      <c r="DL36" s="533"/>
      <c r="DM36" s="533"/>
      <c r="DN36" s="533"/>
      <c r="DO36" s="533"/>
      <c r="DP36" s="533"/>
      <c r="DQ36" s="533"/>
      <c r="DR36" s="533"/>
      <c r="DS36" s="533"/>
      <c r="DT36" s="533"/>
      <c r="DU36" s="533"/>
      <c r="DV36" s="533"/>
      <c r="DW36" s="533"/>
      <c r="DX36" s="533"/>
      <c r="DY36" s="533"/>
      <c r="DZ36" s="533"/>
      <c r="EA36" s="533"/>
      <c r="EB36" s="533"/>
      <c r="EC36" s="533"/>
      <c r="ED36" s="533"/>
      <c r="EE36" s="533"/>
      <c r="EF36" s="533"/>
      <c r="EG36" s="533"/>
      <c r="EH36" s="533"/>
      <c r="EI36" s="533"/>
      <c r="EJ36" s="533"/>
      <c r="EK36" s="533"/>
      <c r="EL36" s="533"/>
      <c r="EM36" s="533"/>
      <c r="EN36" s="533"/>
      <c r="EO36" s="533"/>
      <c r="EP36" s="533"/>
      <c r="EQ36" s="533"/>
      <c r="ER36" s="533"/>
      <c r="ES36" s="533"/>
      <c r="ET36" s="533"/>
      <c r="EU36" s="533"/>
      <c r="EV36" s="533"/>
      <c r="EW36" s="533"/>
      <c r="EX36" s="533"/>
      <c r="EY36" s="533"/>
      <c r="EZ36" s="533"/>
      <c r="FA36" s="533"/>
      <c r="FB36" s="533"/>
      <c r="FC36" s="533">
        <v>170026.95820284699</v>
      </c>
      <c r="FD36" s="533">
        <v>168584.58481177699</v>
      </c>
      <c r="FE36" s="533">
        <v>171671.179602477</v>
      </c>
      <c r="FF36" s="533">
        <v>168995.91805906501</v>
      </c>
      <c r="FG36" s="533">
        <v>169219.90492614001</v>
      </c>
      <c r="FH36" s="533">
        <v>165515.240362182</v>
      </c>
      <c r="FI36" s="533">
        <v>163432.37591411601</v>
      </c>
      <c r="FJ36" s="533">
        <v>166147.14184728501</v>
      </c>
      <c r="FK36" s="533">
        <v>168826.288007291</v>
      </c>
      <c r="FL36" s="533">
        <v>170290.91412076601</v>
      </c>
      <c r="FM36" s="533">
        <v>169005.32728713599</v>
      </c>
      <c r="FN36" s="533">
        <v>173410.47128593299</v>
      </c>
      <c r="FO36" s="533">
        <v>172844.850720649</v>
      </c>
      <c r="FP36" s="533">
        <v>175110.536224615</v>
      </c>
      <c r="FQ36" s="533">
        <v>175623.55567313</v>
      </c>
      <c r="FR36" s="533">
        <v>173118.16111279299</v>
      </c>
      <c r="FS36" s="533">
        <v>173710.97276174201</v>
      </c>
      <c r="FT36" s="533">
        <v>176904.00794250899</v>
      </c>
      <c r="FU36" s="533">
        <v>176684.57050688899</v>
      </c>
      <c r="FV36" s="533">
        <v>174333.91645172701</v>
      </c>
      <c r="FW36" s="533">
        <v>177329</v>
      </c>
      <c r="FX36" s="533">
        <v>173843.35921408501</v>
      </c>
      <c r="FY36" s="533">
        <v>178608.071248772</v>
      </c>
      <c r="FZ36" s="533">
        <v>179492</v>
      </c>
      <c r="GA36" s="533">
        <v>179042.449410609</v>
      </c>
      <c r="GB36" s="533">
        <v>181730.35158618601</v>
      </c>
      <c r="GC36" s="533">
        <v>181550.68605520399</v>
      </c>
      <c r="GD36" s="533">
        <v>188774.31400638001</v>
      </c>
      <c r="GE36" s="533">
        <v>188698.06431111699</v>
      </c>
      <c r="GF36" s="533">
        <v>190996.34902284399</v>
      </c>
      <c r="GG36" s="533">
        <v>190872.34621392901</v>
      </c>
      <c r="GH36" s="533">
        <v>190190</v>
      </c>
      <c r="GI36" s="533">
        <v>190480</v>
      </c>
      <c r="GJ36" s="533">
        <v>192003</v>
      </c>
      <c r="GK36" s="533">
        <v>195348</v>
      </c>
      <c r="GL36" s="533">
        <v>195815</v>
      </c>
      <c r="GM36" s="533">
        <v>197312</v>
      </c>
      <c r="GN36" s="533">
        <v>189248</v>
      </c>
      <c r="GO36" s="533">
        <v>192584</v>
      </c>
      <c r="GP36" s="533">
        <v>192700</v>
      </c>
      <c r="GQ36" s="533">
        <v>192758.33333333299</v>
      </c>
      <c r="GR36" s="533">
        <v>193790</v>
      </c>
      <c r="GS36" s="458">
        <v>2.4000253635441338E-2</v>
      </c>
    </row>
    <row r="37" spans="1:201" ht="14.25" customHeight="1">
      <c r="A37" s="551" t="s">
        <v>2106</v>
      </c>
      <c r="B37" s="529"/>
      <c r="C37" s="529"/>
      <c r="D37" s="529"/>
      <c r="E37" s="529"/>
      <c r="F37" s="529"/>
      <c r="G37" s="529"/>
      <c r="H37" s="529"/>
      <c r="I37" s="529"/>
      <c r="J37" s="529"/>
      <c r="K37" s="529"/>
      <c r="L37" s="529"/>
      <c r="M37" s="529"/>
      <c r="N37" s="529"/>
      <c r="O37" s="529"/>
      <c r="P37" s="529"/>
      <c r="Q37" s="529"/>
      <c r="R37" s="529"/>
      <c r="S37" s="529"/>
      <c r="T37" s="529"/>
      <c r="U37" s="529"/>
      <c r="V37" s="529"/>
      <c r="W37" s="529"/>
      <c r="X37" s="529"/>
      <c r="Y37" s="529"/>
      <c r="Z37" s="529"/>
      <c r="AA37" s="529"/>
      <c r="AB37" s="529"/>
      <c r="AC37" s="529"/>
      <c r="AD37" s="529"/>
      <c r="AE37" s="529"/>
      <c r="AF37" s="529"/>
      <c r="AG37" s="529"/>
      <c r="AH37" s="529"/>
      <c r="AI37" s="529"/>
      <c r="AJ37" s="529"/>
      <c r="AK37" s="529"/>
      <c r="AL37" s="529"/>
      <c r="AM37" s="529"/>
      <c r="AN37" s="529"/>
      <c r="AO37" s="529"/>
      <c r="AP37" s="529"/>
      <c r="AQ37" s="529"/>
      <c r="AR37" s="529"/>
      <c r="AS37" s="529"/>
      <c r="AT37" s="529"/>
      <c r="AU37" s="529"/>
      <c r="AV37" s="529"/>
      <c r="AW37" s="529"/>
      <c r="AX37" s="529"/>
      <c r="AY37" s="529"/>
      <c r="AZ37" s="529"/>
      <c r="BA37" s="529"/>
      <c r="BB37" s="529"/>
      <c r="BC37" s="529"/>
      <c r="BD37" s="529"/>
      <c r="BE37" s="529"/>
      <c r="BF37" s="529"/>
      <c r="BG37" s="529"/>
      <c r="BH37" s="529"/>
      <c r="BI37" s="529"/>
      <c r="BJ37" s="533"/>
      <c r="BK37" s="533"/>
      <c r="BL37" s="533"/>
      <c r="BM37" s="533"/>
      <c r="BN37" s="533"/>
      <c r="BO37" s="533"/>
      <c r="BP37" s="533"/>
      <c r="BQ37" s="533"/>
      <c r="BR37" s="533"/>
      <c r="BS37" s="533"/>
      <c r="BT37" s="533"/>
      <c r="BU37" s="533"/>
      <c r="BV37" s="533"/>
      <c r="BW37" s="533"/>
      <c r="BX37" s="533"/>
      <c r="BY37" s="533"/>
      <c r="BZ37" s="533"/>
      <c r="CA37" s="533"/>
      <c r="CB37" s="533"/>
      <c r="CC37" s="533"/>
      <c r="CD37" s="533"/>
      <c r="CE37" s="533"/>
      <c r="CF37" s="533"/>
      <c r="CG37" s="533"/>
      <c r="CH37" s="533"/>
      <c r="CI37" s="533"/>
      <c r="CJ37" s="533"/>
      <c r="CK37" s="533"/>
      <c r="CL37" s="533"/>
      <c r="CM37" s="533"/>
      <c r="CN37" s="533"/>
      <c r="CO37" s="533"/>
      <c r="CP37" s="533"/>
      <c r="CQ37" s="533"/>
      <c r="CR37" s="533"/>
      <c r="CS37" s="533"/>
      <c r="CT37" s="533"/>
      <c r="CU37" s="533"/>
      <c r="CV37" s="533"/>
      <c r="CW37" s="533"/>
      <c r="CX37" s="533"/>
      <c r="CY37" s="533"/>
      <c r="CZ37" s="533"/>
      <c r="DA37" s="533"/>
      <c r="DB37" s="533"/>
      <c r="DC37" s="533"/>
      <c r="DD37" s="533"/>
      <c r="DE37" s="533"/>
      <c r="DF37" s="533"/>
      <c r="DG37" s="533"/>
      <c r="DH37" s="533"/>
      <c r="DI37" s="533"/>
      <c r="DJ37" s="533"/>
      <c r="DK37" s="533"/>
      <c r="DL37" s="533"/>
      <c r="DM37" s="533"/>
      <c r="DN37" s="533"/>
      <c r="DO37" s="533"/>
      <c r="DP37" s="533"/>
      <c r="DQ37" s="533"/>
      <c r="DR37" s="533"/>
      <c r="DS37" s="533"/>
      <c r="DT37" s="533"/>
      <c r="DU37" s="533"/>
      <c r="DV37" s="533"/>
      <c r="DW37" s="533"/>
      <c r="DX37" s="533"/>
      <c r="DY37" s="533"/>
      <c r="DZ37" s="533"/>
      <c r="EA37" s="533"/>
      <c r="EB37" s="533"/>
      <c r="EC37" s="533"/>
      <c r="ED37" s="533"/>
      <c r="EE37" s="533"/>
      <c r="EF37" s="533"/>
      <c r="EG37" s="533"/>
      <c r="EH37" s="533"/>
      <c r="EI37" s="533"/>
      <c r="EJ37" s="533"/>
      <c r="EK37" s="533"/>
      <c r="EL37" s="533"/>
      <c r="EM37" s="533"/>
      <c r="EN37" s="533"/>
      <c r="EO37" s="533"/>
      <c r="EP37" s="533"/>
      <c r="EQ37" s="533"/>
      <c r="ER37" s="533"/>
      <c r="ES37" s="533"/>
      <c r="ET37" s="533"/>
      <c r="EU37" s="533"/>
      <c r="EV37" s="533"/>
      <c r="EW37" s="533"/>
      <c r="EX37" s="533"/>
      <c r="EY37" s="533"/>
      <c r="EZ37" s="533"/>
      <c r="FA37" s="533"/>
      <c r="FB37" s="533"/>
      <c r="FC37" s="533">
        <v>1683046.1288930699</v>
      </c>
      <c r="FD37" s="533">
        <v>1666882.4339020399</v>
      </c>
      <c r="FE37" s="533">
        <v>1670987.15087412</v>
      </c>
      <c r="FF37" s="533">
        <v>1670521.3715774701</v>
      </c>
      <c r="FG37" s="533">
        <v>1696639.55136442</v>
      </c>
      <c r="FH37" s="533">
        <v>1699975.6929147299</v>
      </c>
      <c r="FI37" s="533">
        <v>1708953.4845988301</v>
      </c>
      <c r="FJ37" s="533">
        <v>1702555.9252955799</v>
      </c>
      <c r="FK37" s="533">
        <v>1717234.0564759299</v>
      </c>
      <c r="FL37" s="533">
        <v>1725995.6471271799</v>
      </c>
      <c r="FM37" s="533">
        <v>1736972.82103256</v>
      </c>
      <c r="FN37" s="533">
        <v>1727747.2772383499</v>
      </c>
      <c r="FO37" s="533">
        <v>1732829.3783907599</v>
      </c>
      <c r="FP37" s="533">
        <v>1744971.25492815</v>
      </c>
      <c r="FQ37" s="533">
        <v>1745010.1966178601</v>
      </c>
      <c r="FR37" s="533">
        <v>1744795.33012395</v>
      </c>
      <c r="FS37" s="533">
        <v>1746544.6649800499</v>
      </c>
      <c r="FT37" s="533">
        <v>1763392.6269028301</v>
      </c>
      <c r="FU37" s="533">
        <v>1762869.7048519901</v>
      </c>
      <c r="FV37" s="533">
        <v>1764906.6684437799</v>
      </c>
      <c r="FW37" s="533">
        <v>1763026</v>
      </c>
      <c r="FX37" s="533">
        <v>1768775.6792675101</v>
      </c>
      <c r="FY37" s="533">
        <v>1766813.91955322</v>
      </c>
      <c r="FZ37" s="533">
        <v>1770019</v>
      </c>
      <c r="GA37" s="533">
        <v>1763593.55028749</v>
      </c>
      <c r="GB37" s="533">
        <v>1779414.6481621901</v>
      </c>
      <c r="GC37" s="533">
        <v>1780884.3129366999</v>
      </c>
      <c r="GD37" s="533">
        <v>1755975.6857805201</v>
      </c>
      <c r="GE37" s="533">
        <v>1766113.93568888</v>
      </c>
      <c r="GF37" s="533">
        <v>1793531.6509771601</v>
      </c>
      <c r="GG37" s="533">
        <v>1790049.6532680599</v>
      </c>
      <c r="GH37" s="533">
        <v>1789631</v>
      </c>
      <c r="GI37" s="533">
        <v>1797399</v>
      </c>
      <c r="GJ37" s="533">
        <v>1813282</v>
      </c>
      <c r="GK37" s="533">
        <v>1810784</v>
      </c>
      <c r="GL37" s="533">
        <v>1814880</v>
      </c>
      <c r="GM37" s="533">
        <v>1807294</v>
      </c>
      <c r="GN37" s="533">
        <v>1828588</v>
      </c>
      <c r="GO37" s="533">
        <v>1828725</v>
      </c>
      <c r="GP37" s="533">
        <v>1826310</v>
      </c>
      <c r="GQ37" s="533">
        <v>1831781</v>
      </c>
      <c r="GR37" s="533">
        <v>1850421</v>
      </c>
      <c r="GS37" s="458">
        <v>1.1939813670438504E-2</v>
      </c>
    </row>
    <row r="38" spans="1:201" ht="14.25" customHeight="1">
      <c r="A38" s="551"/>
      <c r="B38" s="552"/>
      <c r="C38" s="552"/>
      <c r="D38" s="552"/>
      <c r="E38" s="552"/>
      <c r="F38" s="552"/>
      <c r="G38" s="552"/>
      <c r="H38" s="552"/>
      <c r="I38" s="552"/>
      <c r="J38" s="552"/>
      <c r="K38" s="552"/>
      <c r="L38" s="552"/>
      <c r="M38" s="552"/>
      <c r="N38" s="552"/>
      <c r="O38" s="552"/>
      <c r="P38" s="552"/>
      <c r="Q38" s="552"/>
      <c r="R38" s="552"/>
      <c r="S38" s="552"/>
      <c r="T38" s="552"/>
      <c r="U38" s="552"/>
      <c r="V38" s="552"/>
      <c r="W38" s="552"/>
      <c r="X38" s="552"/>
      <c r="Y38" s="552"/>
      <c r="Z38" s="552"/>
      <c r="AA38" s="552"/>
      <c r="AB38" s="552"/>
      <c r="AC38" s="552"/>
      <c r="AD38" s="552"/>
      <c r="AE38" s="552"/>
      <c r="AF38" s="552"/>
      <c r="AG38" s="552"/>
      <c r="AH38" s="552"/>
      <c r="AI38" s="552"/>
      <c r="AJ38" s="552"/>
      <c r="AK38" s="552"/>
      <c r="AL38" s="552"/>
      <c r="AM38" s="552"/>
      <c r="AN38" s="552"/>
      <c r="AO38" s="552"/>
      <c r="AP38" s="552"/>
      <c r="AQ38" s="552"/>
      <c r="AR38" s="552"/>
      <c r="AS38" s="552"/>
      <c r="AT38" s="552"/>
      <c r="AU38" s="552"/>
      <c r="AV38" s="552"/>
      <c r="AW38" s="552"/>
      <c r="AX38" s="552"/>
      <c r="AY38" s="552"/>
      <c r="AZ38" s="552"/>
      <c r="BA38" s="552"/>
      <c r="BB38" s="552"/>
      <c r="BC38" s="552"/>
      <c r="BD38" s="552"/>
      <c r="BE38" s="552"/>
      <c r="BF38" s="552"/>
      <c r="BG38" s="552"/>
      <c r="BH38" s="552"/>
      <c r="BI38" s="552"/>
      <c r="BJ38" s="552"/>
      <c r="BK38" s="552"/>
      <c r="BL38" s="552"/>
      <c r="BM38" s="552"/>
      <c r="BN38" s="529"/>
      <c r="BO38" s="529"/>
      <c r="BP38" s="529"/>
      <c r="BQ38" s="529"/>
      <c r="BR38" s="529"/>
      <c r="BS38" s="529"/>
      <c r="BT38" s="529"/>
      <c r="BU38" s="529"/>
      <c r="BV38" s="529"/>
      <c r="BW38" s="529"/>
      <c r="BX38" s="529"/>
      <c r="BY38" s="529"/>
      <c r="BZ38" s="529"/>
      <c r="CA38" s="529"/>
      <c r="CB38" s="529"/>
      <c r="CC38" s="529"/>
      <c r="CD38" s="529"/>
      <c r="CE38" s="529"/>
      <c r="CF38" s="529"/>
      <c r="CG38" s="529"/>
      <c r="CH38" s="529"/>
      <c r="CI38" s="529"/>
      <c r="CJ38" s="529"/>
      <c r="CK38" s="529"/>
      <c r="CL38" s="529"/>
      <c r="CM38" s="529"/>
      <c r="CN38" s="529"/>
      <c r="CO38" s="529"/>
      <c r="CP38" s="529"/>
      <c r="CQ38" s="529"/>
      <c r="CR38" s="529"/>
      <c r="CS38" s="529"/>
      <c r="CT38" s="529"/>
      <c r="CU38" s="529"/>
      <c r="CV38" s="529"/>
      <c r="CW38" s="529"/>
      <c r="CX38" s="529"/>
      <c r="CY38" s="529"/>
      <c r="CZ38" s="529"/>
      <c r="DA38" s="529"/>
      <c r="DB38" s="529"/>
      <c r="DC38" s="529"/>
      <c r="DD38" s="529"/>
      <c r="DE38" s="529"/>
      <c r="DF38" s="529"/>
      <c r="DG38" s="529"/>
      <c r="DH38" s="529"/>
      <c r="DI38" s="529"/>
      <c r="DJ38" s="529"/>
      <c r="DK38" s="529"/>
      <c r="DL38" s="529"/>
      <c r="DM38" s="529"/>
      <c r="DN38" s="529"/>
      <c r="DO38" s="529"/>
      <c r="DP38" s="529"/>
      <c r="DQ38" s="529"/>
      <c r="DR38" s="529"/>
      <c r="DS38" s="529"/>
      <c r="DT38" s="529"/>
      <c r="DU38" s="529"/>
      <c r="DV38" s="529"/>
      <c r="DW38" s="529"/>
      <c r="DX38" s="529"/>
      <c r="DY38" s="529"/>
      <c r="DZ38" s="529"/>
      <c r="EA38" s="529"/>
      <c r="EB38" s="529"/>
      <c r="EC38" s="529"/>
      <c r="ED38" s="529"/>
      <c r="EE38" s="529"/>
      <c r="EF38" s="529"/>
      <c r="EG38" s="529"/>
      <c r="EH38" s="529"/>
      <c r="EI38" s="529"/>
      <c r="EJ38" s="529"/>
      <c r="EK38" s="529"/>
      <c r="EL38" s="529"/>
      <c r="EM38" s="529"/>
      <c r="EN38" s="529"/>
      <c r="EO38" s="529"/>
      <c r="EP38" s="529"/>
      <c r="EQ38" s="529"/>
      <c r="ER38" s="529"/>
      <c r="ES38" s="529"/>
      <c r="ET38" s="529"/>
      <c r="EU38" s="529"/>
      <c r="EV38" s="529"/>
      <c r="EW38" s="529"/>
      <c r="EX38" s="529"/>
      <c r="EY38" s="529"/>
      <c r="EZ38" s="529"/>
      <c r="FA38" s="529"/>
      <c r="FB38" s="529"/>
      <c r="FC38" s="529"/>
      <c r="FD38" s="529"/>
      <c r="FE38" s="529"/>
      <c r="FF38" s="545"/>
      <c r="FG38" s="529"/>
      <c r="FH38" s="529"/>
      <c r="FI38" s="529"/>
      <c r="FJ38" s="529"/>
      <c r="FK38" s="529"/>
      <c r="FL38" s="529"/>
      <c r="FM38" s="529"/>
      <c r="FN38" s="529"/>
      <c r="FO38" s="529"/>
      <c r="FP38" s="529"/>
      <c r="FQ38" s="529"/>
      <c r="FR38" s="529"/>
      <c r="FS38" s="529"/>
      <c r="FT38" s="529"/>
      <c r="FU38" s="529"/>
      <c r="FV38" s="529"/>
      <c r="FW38" s="529"/>
      <c r="FX38" s="529"/>
      <c r="FY38" s="529"/>
      <c r="FZ38" s="529"/>
      <c r="GA38" s="529"/>
      <c r="GB38" s="529"/>
      <c r="GC38" s="529"/>
      <c r="GD38" s="529"/>
      <c r="GE38" s="529"/>
      <c r="GF38" s="529"/>
      <c r="GG38" s="529"/>
      <c r="GH38" s="529"/>
      <c r="GI38" s="529"/>
      <c r="GJ38" s="529"/>
      <c r="GK38" s="529"/>
      <c r="GL38" s="529"/>
      <c r="GM38" s="529"/>
      <c r="GN38" s="529"/>
      <c r="GO38" s="529"/>
      <c r="GP38" s="529"/>
      <c r="GQ38" s="529"/>
      <c r="GR38" s="529"/>
      <c r="GS38" s="460"/>
    </row>
    <row r="39" spans="1:201" ht="14.25" customHeight="1">
      <c r="A39" s="547" t="s">
        <v>2109</v>
      </c>
      <c r="B39" s="542"/>
      <c r="C39" s="542"/>
      <c r="D39" s="542"/>
      <c r="E39" s="542"/>
      <c r="F39" s="542"/>
      <c r="G39" s="542"/>
      <c r="H39" s="542"/>
      <c r="I39" s="542"/>
      <c r="J39" s="542"/>
      <c r="K39" s="542"/>
      <c r="L39" s="542"/>
      <c r="M39" s="542"/>
      <c r="N39" s="542"/>
      <c r="O39" s="542"/>
      <c r="P39" s="542"/>
      <c r="Q39" s="542"/>
      <c r="R39" s="542"/>
      <c r="S39" s="542"/>
      <c r="T39" s="542"/>
      <c r="U39" s="542"/>
      <c r="V39" s="542"/>
      <c r="W39" s="542"/>
      <c r="X39" s="542"/>
      <c r="Y39" s="542"/>
      <c r="Z39" s="542"/>
      <c r="AA39" s="542"/>
      <c r="AB39" s="542"/>
      <c r="AC39" s="542"/>
      <c r="AD39" s="542"/>
      <c r="AE39" s="542"/>
      <c r="AF39" s="542"/>
      <c r="AG39" s="542"/>
      <c r="AH39" s="542"/>
      <c r="AI39" s="542"/>
      <c r="AJ39" s="542"/>
      <c r="AK39" s="542"/>
      <c r="AL39" s="542"/>
      <c r="AM39" s="542"/>
      <c r="AN39" s="542"/>
      <c r="AO39" s="542"/>
      <c r="AP39" s="542"/>
      <c r="AQ39" s="542"/>
      <c r="AR39" s="542"/>
      <c r="AS39" s="542"/>
      <c r="AT39" s="542"/>
      <c r="AU39" s="542"/>
      <c r="AV39" s="542"/>
      <c r="AW39" s="542"/>
      <c r="AX39" s="542"/>
      <c r="AY39" s="542"/>
      <c r="AZ39" s="542"/>
      <c r="BA39" s="542"/>
      <c r="BB39" s="542"/>
      <c r="BC39" s="542"/>
      <c r="BD39" s="542"/>
      <c r="BE39" s="542"/>
      <c r="BF39" s="542"/>
      <c r="BG39" s="542"/>
      <c r="BH39" s="542"/>
      <c r="BI39" s="542"/>
      <c r="BJ39" s="548"/>
      <c r="BK39" s="548"/>
      <c r="BL39" s="548"/>
      <c r="BM39" s="548"/>
      <c r="BN39" s="548"/>
      <c r="BO39" s="548"/>
      <c r="BP39" s="548"/>
      <c r="BQ39" s="548"/>
      <c r="BR39" s="548"/>
      <c r="BS39" s="548"/>
      <c r="BT39" s="548"/>
      <c r="BU39" s="548"/>
      <c r="BV39" s="548"/>
      <c r="BW39" s="548"/>
      <c r="BX39" s="548"/>
      <c r="BY39" s="548"/>
      <c r="BZ39" s="548"/>
      <c r="CA39" s="548"/>
      <c r="CB39" s="548"/>
      <c r="CC39" s="548"/>
      <c r="CD39" s="548"/>
      <c r="CE39" s="548"/>
      <c r="CF39" s="548"/>
      <c r="CG39" s="548"/>
      <c r="CH39" s="548"/>
      <c r="CI39" s="548"/>
      <c r="CJ39" s="548"/>
      <c r="CK39" s="548"/>
      <c r="CL39" s="548"/>
      <c r="CM39" s="548"/>
      <c r="CN39" s="548"/>
      <c r="CO39" s="548"/>
      <c r="CP39" s="548"/>
      <c r="CQ39" s="548"/>
      <c r="CR39" s="548"/>
      <c r="CS39" s="548"/>
      <c r="CT39" s="548"/>
      <c r="CU39" s="548"/>
      <c r="CV39" s="548"/>
      <c r="CW39" s="548"/>
      <c r="CX39" s="548"/>
      <c r="CY39" s="548"/>
      <c r="CZ39" s="548"/>
      <c r="DA39" s="548"/>
      <c r="DB39" s="548"/>
      <c r="DC39" s="548"/>
      <c r="DD39" s="548"/>
      <c r="DE39" s="548"/>
      <c r="DF39" s="548"/>
      <c r="DG39" s="548"/>
      <c r="DH39" s="548"/>
      <c r="DI39" s="548"/>
      <c r="DJ39" s="548"/>
      <c r="DK39" s="548"/>
      <c r="DL39" s="548"/>
      <c r="DM39" s="548"/>
      <c r="DN39" s="548"/>
      <c r="DO39" s="548"/>
      <c r="DP39" s="548"/>
      <c r="DQ39" s="548"/>
      <c r="DR39" s="548"/>
      <c r="DS39" s="548"/>
      <c r="DT39" s="548"/>
      <c r="DU39" s="548"/>
      <c r="DV39" s="548"/>
      <c r="DW39" s="548"/>
      <c r="DX39" s="548"/>
      <c r="DY39" s="548"/>
      <c r="DZ39" s="548"/>
      <c r="EA39" s="548"/>
      <c r="EB39" s="548"/>
      <c r="EC39" s="548"/>
      <c r="ED39" s="548"/>
      <c r="EE39" s="548"/>
      <c r="EF39" s="548"/>
      <c r="EG39" s="548"/>
      <c r="EH39" s="548"/>
      <c r="EI39" s="548"/>
      <c r="EJ39" s="548"/>
      <c r="EK39" s="548"/>
      <c r="EL39" s="548"/>
      <c r="EM39" s="548"/>
      <c r="EN39" s="548"/>
      <c r="EO39" s="548"/>
      <c r="EP39" s="548"/>
      <c r="EQ39" s="548"/>
      <c r="ER39" s="548"/>
      <c r="ES39" s="548"/>
      <c r="ET39" s="548"/>
      <c r="EU39" s="548"/>
      <c r="EV39" s="548"/>
      <c r="EW39" s="548"/>
      <c r="EX39" s="548"/>
      <c r="EY39" s="548"/>
      <c r="EZ39" s="548"/>
      <c r="FA39" s="548"/>
      <c r="FB39" s="548"/>
      <c r="FC39" s="548">
        <v>4977.9272488229954</v>
      </c>
      <c r="FD39" s="548">
        <v>5495.6498427941578</v>
      </c>
      <c r="FE39" s="548">
        <v>4952.1409691874378</v>
      </c>
      <c r="FF39" s="548">
        <v>4872.4298322937439</v>
      </c>
      <c r="FG39" s="548">
        <v>5002.7670173679744</v>
      </c>
      <c r="FH39" s="548">
        <v>5440.9304041028981</v>
      </c>
      <c r="FI39" s="548">
        <v>5065.3299800821178</v>
      </c>
      <c r="FJ39" s="548">
        <v>4825.8290973406811</v>
      </c>
      <c r="FK39" s="548">
        <v>5045.7057178600126</v>
      </c>
      <c r="FL39" s="548">
        <v>5513.0150929409938</v>
      </c>
      <c r="FM39" s="548">
        <v>4987.1943786030251</v>
      </c>
      <c r="FN39" s="548">
        <v>4746.2760005722657</v>
      </c>
      <c r="FO39" s="548">
        <v>4945.2906600494753</v>
      </c>
      <c r="FP39" s="548">
        <v>5321.6375940702164</v>
      </c>
      <c r="FQ39" s="548">
        <v>4784.0870353054597</v>
      </c>
      <c r="FR39" s="548">
        <v>4588.8445002094295</v>
      </c>
      <c r="FS39" s="548">
        <v>4899.3718854114159</v>
      </c>
      <c r="FT39" s="548">
        <v>5228.5917668703696</v>
      </c>
      <c r="FU39" s="548">
        <v>4747.8644528644736</v>
      </c>
      <c r="FV39" s="548">
        <v>4575.129946833812</v>
      </c>
      <c r="FW39" s="548">
        <v>4884.9390479174799</v>
      </c>
      <c r="FX39" s="548">
        <v>5250.3329458243561</v>
      </c>
      <c r="FY39" s="548">
        <v>4816.3521985795451</v>
      </c>
      <c r="FZ39" s="548">
        <v>4579.9436894298306</v>
      </c>
      <c r="GA39" s="548">
        <v>4864.7575975715572</v>
      </c>
      <c r="GB39" s="548">
        <v>5284.7830190992172</v>
      </c>
      <c r="GC39" s="548">
        <v>4787.1963207442186</v>
      </c>
      <c r="GD39" s="548">
        <v>4653.9464211056811</v>
      </c>
      <c r="GE39" s="548">
        <v>4550.4323040384761</v>
      </c>
      <c r="GF39" s="548">
        <v>5096.7273117604927</v>
      </c>
      <c r="GG39" s="548">
        <v>4699.2379807116449</v>
      </c>
      <c r="GH39" s="548">
        <v>4442.9895000317938</v>
      </c>
      <c r="GI39" s="548">
        <v>4741.6086948022312</v>
      </c>
      <c r="GJ39" s="548">
        <v>5058.9399804626864</v>
      </c>
      <c r="GK39" s="548">
        <v>4495.3678490563643</v>
      </c>
      <c r="GL39" s="548">
        <v>4328.8683400677637</v>
      </c>
      <c r="GM39" s="548">
        <v>4550.6694562269058</v>
      </c>
      <c r="GN39" s="548">
        <v>4947.1215682621041</v>
      </c>
      <c r="GO39" s="548">
        <v>4496.6025178342215</v>
      </c>
      <c r="GP39" s="548">
        <v>4280.6820407740952</v>
      </c>
      <c r="GQ39" s="548">
        <v>4529.5845070383239</v>
      </c>
      <c r="GR39" s="548">
        <v>4951.4126482041147</v>
      </c>
      <c r="GS39" s="457">
        <v>8.6738922478479807E-4</v>
      </c>
    </row>
    <row r="40" spans="1:201" ht="14.25" customHeight="1">
      <c r="A40" s="531" t="s">
        <v>2103</v>
      </c>
      <c r="B40" s="529"/>
      <c r="C40" s="529"/>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c r="AF40" s="529"/>
      <c r="AG40" s="529"/>
      <c r="AH40" s="529"/>
      <c r="AI40" s="529"/>
      <c r="AJ40" s="529"/>
      <c r="AK40" s="529"/>
      <c r="AL40" s="529"/>
      <c r="AM40" s="529"/>
      <c r="AN40" s="529"/>
      <c r="AO40" s="529"/>
      <c r="AP40" s="529"/>
      <c r="AQ40" s="529"/>
      <c r="AR40" s="529"/>
      <c r="AS40" s="529"/>
      <c r="AT40" s="529"/>
      <c r="AU40" s="529"/>
      <c r="AV40" s="529"/>
      <c r="AW40" s="529"/>
      <c r="AX40" s="529"/>
      <c r="AY40" s="529"/>
      <c r="AZ40" s="529"/>
      <c r="BA40" s="529"/>
      <c r="BB40" s="529"/>
      <c r="BC40" s="529"/>
      <c r="BD40" s="529"/>
      <c r="BE40" s="529"/>
      <c r="BF40" s="529"/>
      <c r="BG40" s="529"/>
      <c r="BH40" s="529"/>
      <c r="BI40" s="529"/>
      <c r="BJ40" s="533"/>
      <c r="BK40" s="533"/>
      <c r="BL40" s="533"/>
      <c r="BM40" s="533"/>
      <c r="BN40" s="533"/>
      <c r="BO40" s="533"/>
      <c r="BP40" s="533"/>
      <c r="BQ40" s="533"/>
      <c r="BR40" s="533"/>
      <c r="BS40" s="533"/>
      <c r="BT40" s="533"/>
      <c r="BU40" s="533"/>
      <c r="BV40" s="533"/>
      <c r="BW40" s="533"/>
      <c r="BX40" s="533"/>
      <c r="BY40" s="533"/>
      <c r="BZ40" s="533"/>
      <c r="CA40" s="533"/>
      <c r="CB40" s="533"/>
      <c r="CC40" s="533"/>
      <c r="CD40" s="533"/>
      <c r="CE40" s="533"/>
      <c r="CF40" s="533"/>
      <c r="CG40" s="533"/>
      <c r="CH40" s="533"/>
      <c r="CI40" s="533"/>
      <c r="CJ40" s="533"/>
      <c r="CK40" s="533"/>
      <c r="CL40" s="533"/>
      <c r="CM40" s="533"/>
      <c r="CN40" s="533"/>
      <c r="CO40" s="533"/>
      <c r="CP40" s="533"/>
      <c r="CQ40" s="533"/>
      <c r="CR40" s="533"/>
      <c r="CS40" s="533"/>
      <c r="CT40" s="533"/>
      <c r="CU40" s="533"/>
      <c r="CV40" s="533"/>
      <c r="CW40" s="533"/>
      <c r="CX40" s="533"/>
      <c r="CY40" s="533"/>
      <c r="CZ40" s="533"/>
      <c r="DA40" s="533"/>
      <c r="DB40" s="533"/>
      <c r="DC40" s="533"/>
      <c r="DD40" s="533"/>
      <c r="DE40" s="533"/>
      <c r="DF40" s="533"/>
      <c r="DG40" s="533"/>
      <c r="DH40" s="533"/>
      <c r="DI40" s="533"/>
      <c r="DJ40" s="533"/>
      <c r="DK40" s="533"/>
      <c r="DL40" s="533"/>
      <c r="DM40" s="533"/>
      <c r="DN40" s="533"/>
      <c r="DO40" s="533"/>
      <c r="DP40" s="533"/>
      <c r="DQ40" s="533"/>
      <c r="DR40" s="533"/>
      <c r="DS40" s="533"/>
      <c r="DT40" s="533"/>
      <c r="DU40" s="533"/>
      <c r="DV40" s="533"/>
      <c r="DW40" s="533"/>
      <c r="DX40" s="533"/>
      <c r="DY40" s="533"/>
      <c r="DZ40" s="533"/>
      <c r="EA40" s="533"/>
      <c r="EB40" s="533"/>
      <c r="EC40" s="533"/>
      <c r="ED40" s="533"/>
      <c r="EE40" s="533"/>
      <c r="EF40" s="533"/>
      <c r="EG40" s="533"/>
      <c r="EH40" s="533"/>
      <c r="EI40" s="533"/>
      <c r="EJ40" s="533"/>
      <c r="EK40" s="533"/>
      <c r="EL40" s="533"/>
      <c r="EM40" s="533"/>
      <c r="EN40" s="533"/>
      <c r="EO40" s="533"/>
      <c r="EP40" s="533"/>
      <c r="EQ40" s="533"/>
      <c r="ER40" s="533"/>
      <c r="ES40" s="533"/>
      <c r="ET40" s="533"/>
      <c r="EU40" s="533"/>
      <c r="EV40" s="533"/>
      <c r="EW40" s="533"/>
      <c r="EX40" s="533"/>
      <c r="EY40" s="533"/>
      <c r="EZ40" s="533"/>
      <c r="FA40" s="533"/>
      <c r="FB40" s="533"/>
      <c r="FC40" s="533">
        <v>6449.2709920845118</v>
      </c>
      <c r="FD40" s="533">
        <v>5149.2517684699424</v>
      </c>
      <c r="FE40" s="533">
        <v>8545.4612486425322</v>
      </c>
      <c r="FF40" s="533">
        <v>10468.545182508078</v>
      </c>
      <c r="FG40" s="533">
        <v>6293.9771220382709</v>
      </c>
      <c r="FH40" s="533">
        <v>5953.5363821918781</v>
      </c>
      <c r="FI40" s="533">
        <v>10652.656722518977</v>
      </c>
      <c r="FJ40" s="533">
        <v>12564.045607773971</v>
      </c>
      <c r="FK40" s="533">
        <v>7029.7737994089211</v>
      </c>
      <c r="FL40" s="533">
        <v>5973.0353525518049</v>
      </c>
      <c r="FM40" s="533">
        <v>10622.73543347731</v>
      </c>
      <c r="FN40" s="533">
        <v>11471.472258574613</v>
      </c>
      <c r="FO40" s="533">
        <v>7848.9956493148693</v>
      </c>
      <c r="FP40" s="533">
        <v>5646.2920828176302</v>
      </c>
      <c r="FQ40" s="533">
        <v>7839.2023400634916</v>
      </c>
      <c r="FR40" s="533">
        <v>10669.507112657711</v>
      </c>
      <c r="FS40" s="533">
        <v>6442.1880627757482</v>
      </c>
      <c r="FT40" s="533">
        <v>5703.6103384755388</v>
      </c>
      <c r="FU40" s="533">
        <v>9040.3563783723257</v>
      </c>
      <c r="FV40" s="533">
        <v>10235.269875151058</v>
      </c>
      <c r="FW40" s="533">
        <v>6206.1063459968464</v>
      </c>
      <c r="FX40" s="533">
        <v>5375.2010192833386</v>
      </c>
      <c r="FY40" s="533">
        <v>7872.3030406496437</v>
      </c>
      <c r="FZ40" s="533">
        <v>10507.75467045724</v>
      </c>
      <c r="GA40" s="533">
        <v>6935.1054198803622</v>
      </c>
      <c r="GB40" s="533">
        <v>5291.4741112649226</v>
      </c>
      <c r="GC40" s="533">
        <v>8592.1399706541688</v>
      </c>
      <c r="GD40" s="533">
        <v>11167.67141319783</v>
      </c>
      <c r="GE40" s="533">
        <v>6395.7371762050179</v>
      </c>
      <c r="GF40" s="533">
        <v>5101.4924198367589</v>
      </c>
      <c r="GG40" s="533">
        <v>8827.798882977133</v>
      </c>
      <c r="GH40" s="533">
        <v>10214.368667896952</v>
      </c>
      <c r="GI40" s="533">
        <v>7761.3945255653416</v>
      </c>
      <c r="GJ40" s="533">
        <v>5306.4457164480718</v>
      </c>
      <c r="GK40" s="533">
        <v>7720.4122132933135</v>
      </c>
      <c r="GL40" s="533">
        <v>8452.8707762407903</v>
      </c>
      <c r="GM40" s="533">
        <v>6533.5367993380632</v>
      </c>
      <c r="GN40" s="533">
        <v>5100.8658201735025</v>
      </c>
      <c r="GO40" s="533">
        <v>7866.9848055166858</v>
      </c>
      <c r="GP40" s="533">
        <v>9115.0468015930255</v>
      </c>
      <c r="GQ40" s="533">
        <v>6083.0740589301622</v>
      </c>
      <c r="GR40" s="533">
        <v>5164.9587922750525</v>
      </c>
      <c r="GS40" s="458">
        <v>1.2565116268706378E-2</v>
      </c>
    </row>
    <row r="41" spans="1:201" ht="14.25" customHeight="1">
      <c r="A41" s="551" t="s">
        <v>2110</v>
      </c>
      <c r="B41" s="529"/>
      <c r="C41" s="529"/>
      <c r="D41" s="529"/>
      <c r="E41" s="529"/>
      <c r="F41" s="529"/>
      <c r="G41" s="529"/>
      <c r="H41" s="529"/>
      <c r="I41" s="529"/>
      <c r="J41" s="529"/>
      <c r="K41" s="529"/>
      <c r="L41" s="529"/>
      <c r="M41" s="529"/>
      <c r="N41" s="529"/>
      <c r="O41" s="529"/>
      <c r="P41" s="529"/>
      <c r="Q41" s="529"/>
      <c r="R41" s="529"/>
      <c r="S41" s="529"/>
      <c r="T41" s="529"/>
      <c r="U41" s="529"/>
      <c r="V41" s="529"/>
      <c r="W41" s="529"/>
      <c r="X41" s="529"/>
      <c r="Y41" s="529"/>
      <c r="Z41" s="529"/>
      <c r="AA41" s="529"/>
      <c r="AB41" s="529"/>
      <c r="AC41" s="529"/>
      <c r="AD41" s="529"/>
      <c r="AE41" s="529"/>
      <c r="AF41" s="529"/>
      <c r="AG41" s="529"/>
      <c r="AH41" s="529"/>
      <c r="AI41" s="529"/>
      <c r="AJ41" s="529"/>
      <c r="AK41" s="529"/>
      <c r="AL41" s="529"/>
      <c r="AM41" s="529"/>
      <c r="AN41" s="529"/>
      <c r="AO41" s="529"/>
      <c r="AP41" s="529"/>
      <c r="AQ41" s="529"/>
      <c r="AR41" s="529"/>
      <c r="AS41" s="529"/>
      <c r="AT41" s="529"/>
      <c r="AU41" s="529"/>
      <c r="AV41" s="529"/>
      <c r="AW41" s="529"/>
      <c r="AX41" s="529"/>
      <c r="AY41" s="529"/>
      <c r="AZ41" s="529"/>
      <c r="BA41" s="529"/>
      <c r="BB41" s="529"/>
      <c r="BC41" s="529"/>
      <c r="BD41" s="529"/>
      <c r="BE41" s="529"/>
      <c r="BF41" s="529"/>
      <c r="BG41" s="529"/>
      <c r="BH41" s="529"/>
      <c r="BI41" s="529"/>
      <c r="BJ41" s="533"/>
      <c r="BK41" s="533"/>
      <c r="BL41" s="533"/>
      <c r="BM41" s="533"/>
      <c r="BN41" s="533"/>
      <c r="BO41" s="533"/>
      <c r="BP41" s="533"/>
      <c r="BQ41" s="533"/>
      <c r="BR41" s="533"/>
      <c r="BS41" s="533"/>
      <c r="BT41" s="533"/>
      <c r="BU41" s="533"/>
      <c r="BV41" s="533"/>
      <c r="BW41" s="533"/>
      <c r="BX41" s="533"/>
      <c r="BY41" s="533"/>
      <c r="BZ41" s="533"/>
      <c r="CA41" s="533"/>
      <c r="CB41" s="533"/>
      <c r="CC41" s="533"/>
      <c r="CD41" s="533"/>
      <c r="CE41" s="533"/>
      <c r="CF41" s="533"/>
      <c r="CG41" s="533"/>
      <c r="CH41" s="533"/>
      <c r="CI41" s="533"/>
      <c r="CJ41" s="533"/>
      <c r="CK41" s="533"/>
      <c r="CL41" s="533"/>
      <c r="CM41" s="533"/>
      <c r="CN41" s="533"/>
      <c r="CO41" s="533"/>
      <c r="CP41" s="533"/>
      <c r="CQ41" s="533"/>
      <c r="CR41" s="533"/>
      <c r="CS41" s="533"/>
      <c r="CT41" s="533"/>
      <c r="CU41" s="533"/>
      <c r="CV41" s="533"/>
      <c r="CW41" s="533"/>
      <c r="CX41" s="533"/>
      <c r="CY41" s="533"/>
      <c r="CZ41" s="533"/>
      <c r="DA41" s="533"/>
      <c r="DB41" s="533"/>
      <c r="DC41" s="533"/>
      <c r="DD41" s="533"/>
      <c r="DE41" s="533"/>
      <c r="DF41" s="533"/>
      <c r="DG41" s="533"/>
      <c r="DH41" s="533"/>
      <c r="DI41" s="533"/>
      <c r="DJ41" s="533"/>
      <c r="DK41" s="533"/>
      <c r="DL41" s="533"/>
      <c r="DM41" s="533"/>
      <c r="DN41" s="533"/>
      <c r="DO41" s="533"/>
      <c r="DP41" s="533"/>
      <c r="DQ41" s="533"/>
      <c r="DR41" s="533"/>
      <c r="DS41" s="533"/>
      <c r="DT41" s="533"/>
      <c r="DU41" s="533"/>
      <c r="DV41" s="533"/>
      <c r="DW41" s="533"/>
      <c r="DX41" s="533"/>
      <c r="DY41" s="533"/>
      <c r="DZ41" s="533"/>
      <c r="EA41" s="533"/>
      <c r="EB41" s="533"/>
      <c r="EC41" s="533"/>
      <c r="ED41" s="533"/>
      <c r="EE41" s="533"/>
      <c r="EF41" s="533"/>
      <c r="EG41" s="533"/>
      <c r="EH41" s="533"/>
      <c r="EI41" s="533"/>
      <c r="EJ41" s="533"/>
      <c r="EK41" s="533"/>
      <c r="EL41" s="533"/>
      <c r="EM41" s="533"/>
      <c r="EN41" s="533"/>
      <c r="EO41" s="533"/>
      <c r="EP41" s="533"/>
      <c r="EQ41" s="533"/>
      <c r="ER41" s="533"/>
      <c r="ES41" s="533"/>
      <c r="ET41" s="533"/>
      <c r="EU41" s="533"/>
      <c r="EV41" s="533"/>
      <c r="EW41" s="533"/>
      <c r="EX41" s="533"/>
      <c r="EY41" s="533"/>
      <c r="EZ41" s="533"/>
      <c r="FA41" s="533"/>
      <c r="FB41" s="533"/>
      <c r="FC41" s="533">
        <v>103101.20105559401</v>
      </c>
      <c r="FD41" s="533">
        <v>104639.15096646007</v>
      </c>
      <c r="FE41" s="533">
        <v>104854.18001968884</v>
      </c>
      <c r="FF41" s="533">
        <v>100552.67783481457</v>
      </c>
      <c r="FG41" s="533">
        <v>94068.507708335892</v>
      </c>
      <c r="FH41" s="533">
        <v>94811.58220937365</v>
      </c>
      <c r="FI41" s="533">
        <v>97150.197883695859</v>
      </c>
      <c r="FJ41" s="533">
        <v>94393.508736560514</v>
      </c>
      <c r="FK41" s="533">
        <v>94564.202981667608</v>
      </c>
      <c r="FL41" s="533">
        <v>90589.465099665729</v>
      </c>
      <c r="FM41" s="533">
        <v>92742.058931089356</v>
      </c>
      <c r="FN41" s="533">
        <v>91053.004036847778</v>
      </c>
      <c r="FO41" s="533">
        <v>89035.132400167189</v>
      </c>
      <c r="FP41" s="533">
        <v>84502.360362429856</v>
      </c>
      <c r="FQ41" s="533">
        <v>87669.50542161036</v>
      </c>
      <c r="FR41" s="533">
        <v>82706.888855000841</v>
      </c>
      <c r="FS41" s="533">
        <v>86422.596650717431</v>
      </c>
      <c r="FT41" s="533">
        <v>81778.608402599712</v>
      </c>
      <c r="FU41" s="533">
        <v>86499.302398954271</v>
      </c>
      <c r="FV41" s="533">
        <v>84933.303262730566</v>
      </c>
      <c r="FW41" s="533">
        <v>82938.597459152195</v>
      </c>
      <c r="FX41" s="533">
        <v>80502.335203486713</v>
      </c>
      <c r="FY41" s="533">
        <v>84786.038968222754</v>
      </c>
      <c r="FZ41" s="533">
        <v>82884.429967177202</v>
      </c>
      <c r="GA41" s="533">
        <v>84242.099074443104</v>
      </c>
      <c r="GB41" s="533">
        <v>78661.537326516482</v>
      </c>
      <c r="GC41" s="533">
        <v>84888.931645095188</v>
      </c>
      <c r="GD41" s="533">
        <v>76152.039977524328</v>
      </c>
      <c r="GE41" s="533">
        <v>69043.011585291766</v>
      </c>
      <c r="GF41" s="533">
        <v>70250.766830081193</v>
      </c>
      <c r="GG41" s="533">
        <v>74531.06458063364</v>
      </c>
      <c r="GH41" s="533">
        <v>71096.42113495087</v>
      </c>
      <c r="GI41" s="533">
        <v>70178.482923896401</v>
      </c>
      <c r="GJ41" s="533">
        <v>65706.885088302792</v>
      </c>
      <c r="GK41" s="533">
        <v>69729.006098652724</v>
      </c>
      <c r="GL41" s="533">
        <v>67813.745070230842</v>
      </c>
      <c r="GM41" s="533">
        <v>66161.485950876857</v>
      </c>
      <c r="GN41" s="533">
        <v>62978.640341308084</v>
      </c>
      <c r="GO41" s="533">
        <v>64832.426213695537</v>
      </c>
      <c r="GP41" s="533">
        <v>65579.918573957286</v>
      </c>
      <c r="GQ41" s="533">
        <v>64823.983681714046</v>
      </c>
      <c r="GR41" s="533">
        <v>65162.40377483979</v>
      </c>
      <c r="GS41" s="458">
        <v>3.467466781907258E-2</v>
      </c>
    </row>
    <row r="42" spans="1:201" ht="14.25" customHeight="1">
      <c r="A42" s="551" t="s">
        <v>2111</v>
      </c>
      <c r="B42" s="529"/>
      <c r="C42" s="529"/>
      <c r="D42" s="529"/>
      <c r="E42" s="529"/>
      <c r="F42" s="529"/>
      <c r="G42" s="529"/>
      <c r="H42" s="529"/>
      <c r="I42" s="529"/>
      <c r="J42" s="529"/>
      <c r="K42" s="529"/>
      <c r="L42" s="529"/>
      <c r="M42" s="529"/>
      <c r="N42" s="529"/>
      <c r="O42" s="529"/>
      <c r="P42" s="529"/>
      <c r="Q42" s="529"/>
      <c r="R42" s="529"/>
      <c r="S42" s="529"/>
      <c r="T42" s="529"/>
      <c r="U42" s="529"/>
      <c r="V42" s="529"/>
      <c r="W42" s="529"/>
      <c r="X42" s="529"/>
      <c r="Y42" s="529"/>
      <c r="Z42" s="529"/>
      <c r="AA42" s="529"/>
      <c r="AB42" s="529"/>
      <c r="AC42" s="529"/>
      <c r="AD42" s="529"/>
      <c r="AE42" s="529"/>
      <c r="AF42" s="529"/>
      <c r="AG42" s="529"/>
      <c r="AH42" s="529"/>
      <c r="AI42" s="529"/>
      <c r="AJ42" s="529"/>
      <c r="AK42" s="529"/>
      <c r="AL42" s="529"/>
      <c r="AM42" s="529"/>
      <c r="AN42" s="529"/>
      <c r="AO42" s="529"/>
      <c r="AP42" s="529"/>
      <c r="AQ42" s="529"/>
      <c r="AR42" s="529"/>
      <c r="AS42" s="529"/>
      <c r="AT42" s="529"/>
      <c r="AU42" s="529"/>
      <c r="AV42" s="529"/>
      <c r="AW42" s="529"/>
      <c r="AX42" s="529"/>
      <c r="AY42" s="529"/>
      <c r="AZ42" s="529"/>
      <c r="BA42" s="529"/>
      <c r="BB42" s="529"/>
      <c r="BC42" s="529"/>
      <c r="BD42" s="529"/>
      <c r="BE42" s="529"/>
      <c r="BF42" s="529"/>
      <c r="BG42" s="529"/>
      <c r="BH42" s="529"/>
      <c r="BI42" s="529"/>
      <c r="BJ42" s="533"/>
      <c r="BK42" s="533"/>
      <c r="BL42" s="533"/>
      <c r="BM42" s="533"/>
      <c r="BN42" s="533"/>
      <c r="BO42" s="533"/>
      <c r="BP42" s="533"/>
      <c r="BQ42" s="533"/>
      <c r="BR42" s="533"/>
      <c r="BS42" s="533"/>
      <c r="BT42" s="533"/>
      <c r="BU42" s="533"/>
      <c r="BV42" s="533"/>
      <c r="BW42" s="533"/>
      <c r="BX42" s="533"/>
      <c r="BY42" s="533"/>
      <c r="BZ42" s="533"/>
      <c r="CA42" s="533"/>
      <c r="CB42" s="533"/>
      <c r="CC42" s="533"/>
      <c r="CD42" s="533"/>
      <c r="CE42" s="533"/>
      <c r="CF42" s="533"/>
      <c r="CG42" s="533"/>
      <c r="CH42" s="533"/>
      <c r="CI42" s="533"/>
      <c r="CJ42" s="533"/>
      <c r="CK42" s="533"/>
      <c r="CL42" s="533"/>
      <c r="CM42" s="533"/>
      <c r="CN42" s="533"/>
      <c r="CO42" s="533"/>
      <c r="CP42" s="533"/>
      <c r="CQ42" s="533"/>
      <c r="CR42" s="533"/>
      <c r="CS42" s="533"/>
      <c r="CT42" s="533"/>
      <c r="CU42" s="533"/>
      <c r="CV42" s="533"/>
      <c r="CW42" s="533"/>
      <c r="CX42" s="533"/>
      <c r="CY42" s="533"/>
      <c r="CZ42" s="533"/>
      <c r="DA42" s="533"/>
      <c r="DB42" s="533"/>
      <c r="DC42" s="533"/>
      <c r="DD42" s="533"/>
      <c r="DE42" s="533"/>
      <c r="DF42" s="533"/>
      <c r="DG42" s="533"/>
      <c r="DH42" s="533"/>
      <c r="DI42" s="533"/>
      <c r="DJ42" s="533"/>
      <c r="DK42" s="533"/>
      <c r="DL42" s="533"/>
      <c r="DM42" s="533"/>
      <c r="DN42" s="533"/>
      <c r="DO42" s="533"/>
      <c r="DP42" s="533"/>
      <c r="DQ42" s="533"/>
      <c r="DR42" s="533"/>
      <c r="DS42" s="533"/>
      <c r="DT42" s="533"/>
      <c r="DU42" s="533"/>
      <c r="DV42" s="533"/>
      <c r="DW42" s="533"/>
      <c r="DX42" s="533"/>
      <c r="DY42" s="533"/>
      <c r="DZ42" s="533"/>
      <c r="EA42" s="533"/>
      <c r="EB42" s="533"/>
      <c r="EC42" s="533"/>
      <c r="ED42" s="533"/>
      <c r="EE42" s="533"/>
      <c r="EF42" s="533"/>
      <c r="EG42" s="533"/>
      <c r="EH42" s="533"/>
      <c r="EI42" s="533"/>
      <c r="EJ42" s="533"/>
      <c r="EK42" s="533"/>
      <c r="EL42" s="533"/>
      <c r="EM42" s="533"/>
      <c r="EN42" s="533"/>
      <c r="EO42" s="533"/>
      <c r="EP42" s="533"/>
      <c r="EQ42" s="533"/>
      <c r="ER42" s="533"/>
      <c r="ES42" s="533"/>
      <c r="ET42" s="533"/>
      <c r="EU42" s="533"/>
      <c r="EV42" s="533"/>
      <c r="EW42" s="533"/>
      <c r="EX42" s="533"/>
      <c r="EY42" s="533"/>
      <c r="EZ42" s="533"/>
      <c r="FA42" s="533"/>
      <c r="FB42" s="533"/>
      <c r="FC42" s="533">
        <v>14194.023604035398</v>
      </c>
      <c r="FD42" s="533">
        <v>14883.765474037955</v>
      </c>
      <c r="FE42" s="533">
        <v>13036.718671558416</v>
      </c>
      <c r="FF42" s="533">
        <v>12894.170127070738</v>
      </c>
      <c r="FG42" s="533">
        <v>13817.784049666565</v>
      </c>
      <c r="FH42" s="533">
        <v>15215.437382211285</v>
      </c>
      <c r="FI42" s="533">
        <v>13927.269296588513</v>
      </c>
      <c r="FJ42" s="533">
        <v>13442.381859959791</v>
      </c>
      <c r="FK42" s="533">
        <v>14275.807883866377</v>
      </c>
      <c r="FL42" s="533">
        <v>14951.816556043845</v>
      </c>
      <c r="FM42" s="533">
        <v>13618.00084806168</v>
      </c>
      <c r="FN42" s="533">
        <v>12828.679109422275</v>
      </c>
      <c r="FO42" s="533">
        <v>13875.96191455905</v>
      </c>
      <c r="FP42" s="533">
        <v>14682.566934913128</v>
      </c>
      <c r="FQ42" s="533">
        <v>13104.792087197593</v>
      </c>
      <c r="FR42" s="533">
        <v>12674.472092505293</v>
      </c>
      <c r="FS42" s="533">
        <v>13741.913910193978</v>
      </c>
      <c r="FT42" s="533">
        <v>14176.191611588945</v>
      </c>
      <c r="FU42" s="533">
        <v>12900.5747019673</v>
      </c>
      <c r="FV42" s="533">
        <v>12997.65227312372</v>
      </c>
      <c r="FW42" s="533">
        <v>13459.768020084024</v>
      </c>
      <c r="FX42" s="533">
        <v>14553.260027325952</v>
      </c>
      <c r="FY42" s="533">
        <v>12939.769979586688</v>
      </c>
      <c r="FZ42" s="533">
        <v>12557.612408984412</v>
      </c>
      <c r="GA42" s="533">
        <v>13323.455293226967</v>
      </c>
      <c r="GB42" s="533">
        <v>14232.971367418046</v>
      </c>
      <c r="GC42" s="533">
        <v>12963.189198611128</v>
      </c>
      <c r="GD42" s="533">
        <v>12178.363217201424</v>
      </c>
      <c r="GE42" s="533">
        <v>10638.69451782887</v>
      </c>
      <c r="GF42" s="533">
        <v>13066.486729590255</v>
      </c>
      <c r="GG42" s="533">
        <v>12219.21469982847</v>
      </c>
      <c r="GH42" s="533">
        <v>11865.264013948105</v>
      </c>
      <c r="GI42" s="533">
        <v>12484.001767560005</v>
      </c>
      <c r="GJ42" s="533">
        <v>12946.84378184492</v>
      </c>
      <c r="GK42" s="533">
        <v>11107.837866188136</v>
      </c>
      <c r="GL42" s="533">
        <v>11395.668001499118</v>
      </c>
      <c r="GM42" s="533">
        <v>11783.680957373095</v>
      </c>
      <c r="GN42" s="533">
        <v>12930.872500154032</v>
      </c>
      <c r="GO42" s="533">
        <v>12182.392964392786</v>
      </c>
      <c r="GP42" s="533">
        <v>11536.044235416035</v>
      </c>
      <c r="GQ42" s="533">
        <v>12824.400378266571</v>
      </c>
      <c r="GR42" s="533">
        <v>13297.129085702049</v>
      </c>
      <c r="GS42" s="458">
        <v>2.8324197423155617E-2</v>
      </c>
    </row>
    <row r="43" spans="1:201" ht="14.25" customHeight="1">
      <c r="A43" s="551" t="s">
        <v>2112</v>
      </c>
      <c r="B43" s="529"/>
      <c r="C43" s="529"/>
      <c r="D43" s="529"/>
      <c r="E43" s="529"/>
      <c r="F43" s="529"/>
      <c r="G43" s="529"/>
      <c r="H43" s="529"/>
      <c r="I43" s="529"/>
      <c r="J43" s="529"/>
      <c r="K43" s="529"/>
      <c r="L43" s="529"/>
      <c r="M43" s="529"/>
      <c r="N43" s="529"/>
      <c r="O43" s="529"/>
      <c r="P43" s="529"/>
      <c r="Q43" s="529"/>
      <c r="R43" s="529"/>
      <c r="S43" s="529"/>
      <c r="T43" s="529"/>
      <c r="U43" s="529"/>
      <c r="V43" s="529"/>
      <c r="W43" s="529"/>
      <c r="X43" s="529"/>
      <c r="Y43" s="529"/>
      <c r="Z43" s="529"/>
      <c r="AA43" s="529"/>
      <c r="AB43" s="529"/>
      <c r="AC43" s="529"/>
      <c r="AD43" s="529"/>
      <c r="AE43" s="529"/>
      <c r="AF43" s="529"/>
      <c r="AG43" s="529"/>
      <c r="AH43" s="529"/>
      <c r="AI43" s="529"/>
      <c r="AJ43" s="529"/>
      <c r="AK43" s="529"/>
      <c r="AL43" s="529"/>
      <c r="AM43" s="529"/>
      <c r="AN43" s="529"/>
      <c r="AO43" s="529"/>
      <c r="AP43" s="529"/>
      <c r="AQ43" s="529"/>
      <c r="AR43" s="529"/>
      <c r="AS43" s="529"/>
      <c r="AT43" s="529"/>
      <c r="AU43" s="529"/>
      <c r="AV43" s="529"/>
      <c r="AW43" s="529"/>
      <c r="AX43" s="529"/>
      <c r="AY43" s="529"/>
      <c r="AZ43" s="529"/>
      <c r="BA43" s="529"/>
      <c r="BB43" s="529"/>
      <c r="BC43" s="529"/>
      <c r="BD43" s="529"/>
      <c r="BE43" s="529"/>
      <c r="BF43" s="529"/>
      <c r="BG43" s="529"/>
      <c r="BH43" s="529"/>
      <c r="BI43" s="529"/>
      <c r="BJ43" s="533"/>
      <c r="BK43" s="533"/>
      <c r="BL43" s="533"/>
      <c r="BM43" s="533"/>
      <c r="BN43" s="533"/>
      <c r="BO43" s="533"/>
      <c r="BP43" s="533"/>
      <c r="BQ43" s="533"/>
      <c r="BR43" s="533"/>
      <c r="BS43" s="533"/>
      <c r="BT43" s="533"/>
      <c r="BU43" s="533"/>
      <c r="BV43" s="533"/>
      <c r="BW43" s="533"/>
      <c r="BX43" s="533"/>
      <c r="BY43" s="533"/>
      <c r="BZ43" s="533"/>
      <c r="CA43" s="533"/>
      <c r="CB43" s="533"/>
      <c r="CC43" s="533"/>
      <c r="CD43" s="533"/>
      <c r="CE43" s="533"/>
      <c r="CF43" s="533"/>
      <c r="CG43" s="533"/>
      <c r="CH43" s="533"/>
      <c r="CI43" s="533"/>
      <c r="CJ43" s="533"/>
      <c r="CK43" s="533"/>
      <c r="CL43" s="533"/>
      <c r="CM43" s="533"/>
      <c r="CN43" s="533"/>
      <c r="CO43" s="533"/>
      <c r="CP43" s="533"/>
      <c r="CQ43" s="533"/>
      <c r="CR43" s="533"/>
      <c r="CS43" s="533"/>
      <c r="CT43" s="533"/>
      <c r="CU43" s="533"/>
      <c r="CV43" s="533"/>
      <c r="CW43" s="533"/>
      <c r="CX43" s="533"/>
      <c r="CY43" s="533"/>
      <c r="CZ43" s="533"/>
      <c r="DA43" s="533"/>
      <c r="DB43" s="533"/>
      <c r="DC43" s="533"/>
      <c r="DD43" s="533"/>
      <c r="DE43" s="533"/>
      <c r="DF43" s="533"/>
      <c r="DG43" s="533"/>
      <c r="DH43" s="533"/>
      <c r="DI43" s="533"/>
      <c r="DJ43" s="533"/>
      <c r="DK43" s="533"/>
      <c r="DL43" s="533"/>
      <c r="DM43" s="533"/>
      <c r="DN43" s="533"/>
      <c r="DO43" s="533"/>
      <c r="DP43" s="533"/>
      <c r="DQ43" s="533"/>
      <c r="DR43" s="533"/>
      <c r="DS43" s="533"/>
      <c r="DT43" s="533"/>
      <c r="DU43" s="533"/>
      <c r="DV43" s="533"/>
      <c r="DW43" s="533"/>
      <c r="DX43" s="533"/>
      <c r="DY43" s="533"/>
      <c r="DZ43" s="533"/>
      <c r="EA43" s="533"/>
      <c r="EB43" s="533"/>
      <c r="EC43" s="533"/>
      <c r="ED43" s="533"/>
      <c r="EE43" s="533"/>
      <c r="EF43" s="533"/>
      <c r="EG43" s="533"/>
      <c r="EH43" s="533"/>
      <c r="EI43" s="533"/>
      <c r="EJ43" s="533"/>
      <c r="EK43" s="533"/>
      <c r="EL43" s="533"/>
      <c r="EM43" s="533"/>
      <c r="EN43" s="533"/>
      <c r="EO43" s="533"/>
      <c r="EP43" s="533"/>
      <c r="EQ43" s="533"/>
      <c r="ER43" s="533"/>
      <c r="ES43" s="533"/>
      <c r="ET43" s="533"/>
      <c r="EU43" s="533"/>
      <c r="EV43" s="533"/>
      <c r="EW43" s="533"/>
      <c r="EX43" s="533"/>
      <c r="EY43" s="533"/>
      <c r="EZ43" s="533"/>
      <c r="FA43" s="533"/>
      <c r="FB43" s="533"/>
      <c r="FC43" s="533">
        <v>1824.4309769555857</v>
      </c>
      <c r="FD43" s="533">
        <v>2365.7180330901165</v>
      </c>
      <c r="FE43" s="533">
        <v>1699.9291634637932</v>
      </c>
      <c r="FF43" s="533">
        <v>1495.3964759093963</v>
      </c>
      <c r="FG43" s="533">
        <v>1856.8511819400151</v>
      </c>
      <c r="FH43" s="533">
        <v>2283.8923389396768</v>
      </c>
      <c r="FI43" s="533">
        <v>1724.8724928348163</v>
      </c>
      <c r="FJ43" s="533">
        <v>1426.1384541709619</v>
      </c>
      <c r="FK43" s="533">
        <v>1829.273539494842</v>
      </c>
      <c r="FL43" s="533">
        <v>2377.3764825751127</v>
      </c>
      <c r="FM43" s="533">
        <v>1670.1896044500047</v>
      </c>
      <c r="FN43" s="533">
        <v>1405.1422896246618</v>
      </c>
      <c r="FO43" s="533">
        <v>1735.6958181272478</v>
      </c>
      <c r="FP43" s="533">
        <v>2266.8093462647671</v>
      </c>
      <c r="FQ43" s="533">
        <v>1632.8417179541809</v>
      </c>
      <c r="FR43" s="533">
        <v>1453.3235258392858</v>
      </c>
      <c r="FS43" s="533">
        <v>1842.9107658963626</v>
      </c>
      <c r="FT43" s="533">
        <v>2289.3417564496176</v>
      </c>
      <c r="FU43" s="533">
        <v>1607.616012694122</v>
      </c>
      <c r="FV43" s="533">
        <v>1411.4110243749919</v>
      </c>
      <c r="FW43" s="533">
        <v>1874.4858143838833</v>
      </c>
      <c r="FX43" s="533">
        <v>2329.5850015961646</v>
      </c>
      <c r="FY43" s="533">
        <v>1722.1825919408632</v>
      </c>
      <c r="FZ43" s="533">
        <v>1417.7440187318723</v>
      </c>
      <c r="GA43" s="533">
        <v>1800.5902314916996</v>
      </c>
      <c r="GB43" s="533">
        <v>2380.363407254501</v>
      </c>
      <c r="GC43" s="533">
        <v>1696.3683569819057</v>
      </c>
      <c r="GD43" s="533">
        <v>1455.0604162238706</v>
      </c>
      <c r="GE43" s="533">
        <v>1942.845062932779</v>
      </c>
      <c r="GF43" s="533">
        <v>2377.4308236610373</v>
      </c>
      <c r="GG43" s="533">
        <v>1694.7312595744463</v>
      </c>
      <c r="GH43" s="533">
        <v>1466.4291687040625</v>
      </c>
      <c r="GI43" s="533">
        <v>1864.3949167258522</v>
      </c>
      <c r="GJ43" s="533">
        <v>2462.9981467865287</v>
      </c>
      <c r="GK43" s="533">
        <v>1721.8072417326694</v>
      </c>
      <c r="GL43" s="533">
        <v>1489.0403178315482</v>
      </c>
      <c r="GM43" s="533">
        <v>1809.8337984791958</v>
      </c>
      <c r="GN43" s="533">
        <v>2374.5870655438289</v>
      </c>
      <c r="GO43" s="533">
        <v>1693.1054010920341</v>
      </c>
      <c r="GP43" s="533">
        <v>1492.9326773955845</v>
      </c>
      <c r="GQ43" s="533">
        <v>1872.4790718177339</v>
      </c>
      <c r="GR43" s="533">
        <v>2395.8094125093535</v>
      </c>
      <c r="GS43" s="458">
        <v>8.937278937238835E-3</v>
      </c>
    </row>
    <row r="44" spans="1:201" ht="14.25" customHeight="1">
      <c r="A44" s="551"/>
      <c r="B44" s="552"/>
      <c r="C44" s="552"/>
      <c r="D44" s="552"/>
      <c r="E44" s="552"/>
      <c r="F44" s="552"/>
      <c r="G44" s="552"/>
      <c r="H44" s="552"/>
      <c r="I44" s="552"/>
      <c r="J44" s="552"/>
      <c r="K44" s="552"/>
      <c r="L44" s="552"/>
      <c r="M44" s="552"/>
      <c r="N44" s="552"/>
      <c r="O44" s="552"/>
      <c r="P44" s="552"/>
      <c r="Q44" s="552"/>
      <c r="R44" s="552"/>
      <c r="S44" s="552"/>
      <c r="T44" s="552"/>
      <c r="U44" s="552"/>
      <c r="V44" s="552"/>
      <c r="W44" s="552"/>
      <c r="X44" s="552"/>
      <c r="Y44" s="552"/>
      <c r="Z44" s="552"/>
      <c r="AA44" s="552"/>
      <c r="AB44" s="552"/>
      <c r="AC44" s="552"/>
      <c r="AD44" s="552"/>
      <c r="AE44" s="552"/>
      <c r="AF44" s="552"/>
      <c r="AG44" s="552"/>
      <c r="AH44" s="552"/>
      <c r="AI44" s="552"/>
      <c r="AJ44" s="552"/>
      <c r="AK44" s="552"/>
      <c r="AL44" s="552"/>
      <c r="AM44" s="552"/>
      <c r="AN44" s="552"/>
      <c r="AO44" s="552"/>
      <c r="AP44" s="552"/>
      <c r="AQ44" s="552"/>
      <c r="AR44" s="552"/>
      <c r="AS44" s="552"/>
      <c r="AT44" s="552"/>
      <c r="AU44" s="552"/>
      <c r="AV44" s="552"/>
      <c r="AW44" s="552"/>
      <c r="AX44" s="552"/>
      <c r="AY44" s="552"/>
      <c r="AZ44" s="552"/>
      <c r="BA44" s="552"/>
      <c r="BB44" s="552"/>
      <c r="BC44" s="552"/>
      <c r="BD44" s="552"/>
      <c r="BE44" s="552"/>
      <c r="BF44" s="552"/>
      <c r="BG44" s="552"/>
      <c r="BH44" s="552"/>
      <c r="BI44" s="552"/>
      <c r="BJ44" s="552"/>
      <c r="BK44" s="552"/>
      <c r="BL44" s="552"/>
      <c r="BM44" s="552"/>
      <c r="BN44" s="529"/>
      <c r="BO44" s="529"/>
      <c r="BP44" s="529"/>
      <c r="BQ44" s="529"/>
      <c r="BR44" s="529"/>
      <c r="BS44" s="529"/>
      <c r="BT44" s="529"/>
      <c r="BU44" s="529"/>
      <c r="BV44" s="529"/>
      <c r="BW44" s="529"/>
      <c r="BX44" s="529"/>
      <c r="BY44" s="529"/>
      <c r="BZ44" s="529"/>
      <c r="CA44" s="529"/>
      <c r="CB44" s="529"/>
      <c r="CC44" s="529"/>
      <c r="CD44" s="529"/>
      <c r="CE44" s="529"/>
      <c r="CF44" s="529"/>
      <c r="CG44" s="529"/>
      <c r="CH44" s="529"/>
      <c r="CI44" s="529"/>
      <c r="CJ44" s="529"/>
      <c r="CK44" s="529"/>
      <c r="CL44" s="529"/>
      <c r="CM44" s="529"/>
      <c r="CN44" s="529"/>
      <c r="CO44" s="529"/>
      <c r="CP44" s="529"/>
      <c r="CQ44" s="529"/>
      <c r="CR44" s="529"/>
      <c r="CS44" s="529"/>
      <c r="CT44" s="529"/>
      <c r="CU44" s="529"/>
      <c r="CV44" s="529"/>
      <c r="CW44" s="529"/>
      <c r="CX44" s="529"/>
      <c r="CY44" s="529"/>
      <c r="CZ44" s="529"/>
      <c r="DA44" s="529"/>
      <c r="DB44" s="529"/>
      <c r="DC44" s="529"/>
      <c r="DD44" s="529"/>
      <c r="DE44" s="529"/>
      <c r="DF44" s="529"/>
      <c r="DG44" s="529"/>
      <c r="DH44" s="529"/>
      <c r="DI44" s="529"/>
      <c r="DJ44" s="529"/>
      <c r="DK44" s="529"/>
      <c r="DL44" s="529"/>
      <c r="DM44" s="529"/>
      <c r="DN44" s="529"/>
      <c r="DO44" s="529"/>
      <c r="DP44" s="529"/>
      <c r="DQ44" s="529"/>
      <c r="DR44" s="529"/>
      <c r="DS44" s="529"/>
      <c r="DT44" s="529"/>
      <c r="DU44" s="529"/>
      <c r="DV44" s="529"/>
      <c r="DW44" s="529"/>
      <c r="DX44" s="529"/>
      <c r="DY44" s="529"/>
      <c r="DZ44" s="529"/>
      <c r="EA44" s="529"/>
      <c r="EB44" s="529"/>
      <c r="EC44" s="529"/>
      <c r="ED44" s="529"/>
      <c r="EE44" s="529"/>
      <c r="EF44" s="529"/>
      <c r="EG44" s="529"/>
      <c r="EH44" s="529"/>
      <c r="EI44" s="529"/>
      <c r="EJ44" s="529"/>
      <c r="EK44" s="529"/>
      <c r="EL44" s="529"/>
      <c r="EM44" s="529"/>
      <c r="EN44" s="529"/>
      <c r="EO44" s="529"/>
      <c r="EP44" s="529"/>
      <c r="EQ44" s="529"/>
      <c r="ER44" s="529"/>
      <c r="ES44" s="529"/>
      <c r="ET44" s="529"/>
      <c r="EU44" s="529"/>
      <c r="EV44" s="529"/>
      <c r="EW44" s="529"/>
      <c r="EX44" s="529"/>
      <c r="EY44" s="529"/>
      <c r="EZ44" s="529"/>
      <c r="FA44" s="529"/>
      <c r="FB44" s="529"/>
      <c r="FC44" s="529"/>
      <c r="FD44" s="529"/>
      <c r="FE44" s="529"/>
      <c r="FF44" s="545"/>
      <c r="FG44" s="529"/>
      <c r="FH44" s="529"/>
      <c r="FI44" s="529"/>
      <c r="FJ44" s="529"/>
      <c r="FK44" s="529"/>
      <c r="FL44" s="529"/>
      <c r="FM44" s="529"/>
      <c r="FN44" s="529"/>
      <c r="FO44" s="529"/>
      <c r="FP44" s="529"/>
      <c r="FQ44" s="529"/>
      <c r="FR44" s="529"/>
      <c r="FS44" s="529"/>
      <c r="FT44" s="529"/>
      <c r="FU44" s="529"/>
      <c r="FV44" s="529"/>
      <c r="FW44" s="529"/>
      <c r="FX44" s="529"/>
      <c r="FY44" s="529"/>
      <c r="FZ44" s="529"/>
      <c r="GA44" s="529"/>
      <c r="GB44" s="529"/>
      <c r="GC44" s="529"/>
      <c r="GD44" s="529"/>
      <c r="GE44" s="529"/>
      <c r="GF44" s="545"/>
      <c r="GG44" s="545"/>
      <c r="GH44" s="545"/>
      <c r="GI44" s="545"/>
      <c r="GJ44" s="545"/>
      <c r="GK44" s="545"/>
      <c r="GL44" s="545"/>
      <c r="GM44" s="545"/>
      <c r="GN44" s="545"/>
      <c r="GO44" s="545"/>
      <c r="GP44" s="545"/>
      <c r="GQ44" s="545"/>
      <c r="GR44" s="545"/>
      <c r="GS44" s="529"/>
    </row>
    <row r="45" spans="1:201" ht="14.25" customHeight="1">
      <c r="A45" s="547" t="s">
        <v>1617</v>
      </c>
      <c r="B45" s="552"/>
      <c r="C45" s="552"/>
      <c r="D45" s="552"/>
      <c r="E45" s="552"/>
      <c r="F45" s="552"/>
      <c r="G45" s="552"/>
      <c r="H45" s="552"/>
      <c r="I45" s="552"/>
      <c r="J45" s="552"/>
      <c r="K45" s="552"/>
      <c r="L45" s="552"/>
      <c r="M45" s="552"/>
      <c r="N45" s="552"/>
      <c r="O45" s="552"/>
      <c r="P45" s="552"/>
      <c r="Q45" s="552"/>
      <c r="R45" s="552"/>
      <c r="S45" s="552"/>
      <c r="T45" s="552"/>
      <c r="U45" s="552"/>
      <c r="V45" s="552"/>
      <c r="W45" s="552"/>
      <c r="X45" s="552"/>
      <c r="Y45" s="552"/>
      <c r="Z45" s="552"/>
      <c r="AA45" s="552"/>
      <c r="AB45" s="552"/>
      <c r="AC45" s="552"/>
      <c r="AD45" s="552"/>
      <c r="AE45" s="552"/>
      <c r="AF45" s="552"/>
      <c r="AG45" s="552"/>
      <c r="AH45" s="552"/>
      <c r="AI45" s="552"/>
      <c r="AJ45" s="552"/>
      <c r="AK45" s="552"/>
      <c r="AL45" s="552"/>
      <c r="AM45" s="552"/>
      <c r="AN45" s="552"/>
      <c r="AO45" s="552"/>
      <c r="AP45" s="552"/>
      <c r="AQ45" s="552"/>
      <c r="AR45" s="552"/>
      <c r="AS45" s="552"/>
      <c r="AT45" s="552"/>
      <c r="AU45" s="552"/>
      <c r="AV45" s="552"/>
      <c r="AW45" s="552"/>
      <c r="AX45" s="552"/>
      <c r="AY45" s="552"/>
      <c r="AZ45" s="552"/>
      <c r="BA45" s="552"/>
      <c r="BB45" s="552"/>
      <c r="BC45" s="552"/>
      <c r="BD45" s="552"/>
      <c r="BE45" s="552"/>
      <c r="BF45" s="552"/>
      <c r="BG45" s="552"/>
      <c r="BH45" s="552"/>
      <c r="BI45" s="552"/>
      <c r="BJ45" s="552"/>
      <c r="BK45" s="552"/>
      <c r="BL45" s="552"/>
      <c r="BM45" s="552"/>
      <c r="BN45" s="529"/>
      <c r="BO45" s="529"/>
      <c r="BP45" s="529"/>
      <c r="BQ45" s="529"/>
      <c r="BR45" s="529"/>
      <c r="BS45" s="529"/>
      <c r="BT45" s="529"/>
      <c r="BU45" s="529"/>
      <c r="BV45" s="529"/>
      <c r="BW45" s="529"/>
      <c r="BX45" s="529"/>
      <c r="BY45" s="529"/>
      <c r="BZ45" s="529"/>
      <c r="CA45" s="529"/>
      <c r="CB45" s="529"/>
      <c r="CC45" s="529"/>
      <c r="CD45" s="529"/>
      <c r="CE45" s="529"/>
      <c r="CF45" s="529"/>
      <c r="CG45" s="529"/>
      <c r="CH45" s="529"/>
      <c r="CI45" s="529"/>
      <c r="CJ45" s="529"/>
      <c r="CK45" s="529"/>
      <c r="CL45" s="529"/>
      <c r="CM45" s="529"/>
      <c r="CN45" s="529"/>
      <c r="CO45" s="529"/>
      <c r="CP45" s="529"/>
      <c r="CQ45" s="529"/>
      <c r="CR45" s="529"/>
      <c r="CS45" s="529"/>
      <c r="CT45" s="529"/>
      <c r="CU45" s="529"/>
      <c r="CV45" s="529"/>
      <c r="CW45" s="529"/>
      <c r="CX45" s="529"/>
      <c r="CY45" s="529"/>
      <c r="CZ45" s="529"/>
      <c r="DA45" s="529"/>
      <c r="DB45" s="529"/>
      <c r="DC45" s="529"/>
      <c r="DD45" s="529"/>
      <c r="DE45" s="529"/>
      <c r="DF45" s="529"/>
      <c r="DG45" s="529"/>
      <c r="DH45" s="529"/>
      <c r="DI45" s="529"/>
      <c r="DJ45" s="529"/>
      <c r="DK45" s="529"/>
      <c r="DL45" s="529"/>
      <c r="DM45" s="529"/>
      <c r="DN45" s="529"/>
      <c r="DO45" s="529"/>
      <c r="DP45" s="529"/>
      <c r="DQ45" s="529"/>
      <c r="DR45" s="529"/>
      <c r="DS45" s="529"/>
      <c r="DT45" s="529"/>
      <c r="DU45" s="529"/>
      <c r="DV45" s="529"/>
      <c r="DW45" s="529"/>
      <c r="DX45" s="529"/>
      <c r="DY45" s="529"/>
      <c r="DZ45" s="529"/>
      <c r="EA45" s="529"/>
      <c r="EB45" s="529"/>
      <c r="EC45" s="529"/>
      <c r="ED45" s="529"/>
      <c r="EE45" s="529"/>
      <c r="EF45" s="529"/>
      <c r="EG45" s="529"/>
      <c r="EH45" s="529"/>
      <c r="EI45" s="529"/>
      <c r="EJ45" s="529"/>
      <c r="EK45" s="529"/>
      <c r="EL45" s="529"/>
      <c r="EM45" s="529"/>
      <c r="EN45" s="529"/>
      <c r="EO45" s="529"/>
      <c r="EP45" s="529"/>
      <c r="EQ45" s="529"/>
      <c r="ER45" s="529"/>
      <c r="ES45" s="529"/>
      <c r="ET45" s="529"/>
      <c r="EU45" s="529"/>
      <c r="EV45" s="529"/>
      <c r="EW45" s="529"/>
      <c r="EX45" s="529"/>
      <c r="EY45" s="529"/>
      <c r="EZ45" s="529"/>
      <c r="FA45" s="529"/>
      <c r="FB45" s="533"/>
      <c r="FC45" s="533"/>
      <c r="FD45" s="533"/>
      <c r="FE45" s="533"/>
      <c r="FF45" s="545"/>
      <c r="FG45" s="529"/>
      <c r="FH45" s="529"/>
      <c r="FI45" s="529"/>
      <c r="FJ45" s="529"/>
      <c r="FK45" s="529"/>
      <c r="FL45" s="529"/>
      <c r="FM45" s="529"/>
      <c r="FN45" s="529"/>
      <c r="FO45" s="529"/>
      <c r="FP45" s="529"/>
      <c r="FQ45" s="529"/>
      <c r="FR45" s="529"/>
      <c r="FS45" s="529"/>
      <c r="FT45" s="529"/>
      <c r="FU45" s="529"/>
      <c r="FV45" s="529"/>
      <c r="FW45" s="529"/>
      <c r="FX45" s="529"/>
      <c r="FY45" s="529"/>
      <c r="FZ45" s="529"/>
      <c r="GA45" s="529"/>
      <c r="GB45" s="529"/>
      <c r="GC45" s="529"/>
      <c r="GD45" s="529"/>
      <c r="GE45" s="529"/>
      <c r="GF45" s="545"/>
      <c r="GG45" s="545"/>
      <c r="GH45" s="545"/>
      <c r="GI45" s="545"/>
      <c r="GJ45" s="545"/>
      <c r="GK45" s="545"/>
      <c r="GL45" s="545"/>
      <c r="GM45" s="545"/>
      <c r="GN45" s="545"/>
      <c r="GO45" s="545"/>
      <c r="GP45" s="545"/>
      <c r="GQ45" s="545"/>
      <c r="GR45" s="545"/>
      <c r="GS45" s="529"/>
    </row>
    <row r="46" spans="1:201" ht="14.25" customHeight="1">
      <c r="A46" s="553" t="s">
        <v>2113</v>
      </c>
      <c r="B46" s="554"/>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c r="AL46" s="554"/>
      <c r="AM46" s="554"/>
      <c r="AN46" s="554"/>
      <c r="AO46" s="554"/>
      <c r="AP46" s="554"/>
      <c r="AQ46" s="554"/>
      <c r="AR46" s="554"/>
      <c r="AS46" s="554"/>
      <c r="AT46" s="554"/>
      <c r="AU46" s="554"/>
      <c r="AV46" s="554"/>
      <c r="AW46" s="554"/>
      <c r="AX46" s="554"/>
      <c r="AY46" s="554"/>
      <c r="AZ46" s="554"/>
      <c r="BA46" s="554"/>
      <c r="BB46" s="554"/>
      <c r="BC46" s="554"/>
      <c r="BD46" s="554"/>
      <c r="BE46" s="554"/>
      <c r="BF46" s="554"/>
      <c r="BG46" s="554"/>
      <c r="BH46" s="554"/>
      <c r="BI46" s="554"/>
      <c r="BJ46" s="554"/>
      <c r="BK46" s="554"/>
      <c r="BL46" s="554"/>
      <c r="BM46" s="554"/>
      <c r="BN46" s="529"/>
      <c r="BO46" s="529"/>
      <c r="BP46" s="529"/>
      <c r="BQ46" s="529"/>
      <c r="BR46" s="529"/>
      <c r="BS46" s="529"/>
      <c r="BT46" s="529"/>
      <c r="BU46" s="529"/>
      <c r="BV46" s="529"/>
      <c r="BW46" s="529"/>
      <c r="BX46" s="529"/>
      <c r="BY46" s="529"/>
      <c r="BZ46" s="529"/>
      <c r="CA46" s="529"/>
      <c r="CB46" s="529"/>
      <c r="CC46" s="529"/>
      <c r="CD46" s="529"/>
      <c r="CE46" s="529"/>
      <c r="CF46" s="529"/>
      <c r="CG46" s="529"/>
      <c r="CH46" s="529"/>
      <c r="CI46" s="529"/>
      <c r="CJ46" s="529"/>
      <c r="CK46" s="529"/>
      <c r="CL46" s="529"/>
      <c r="CM46" s="529"/>
      <c r="CN46" s="529"/>
      <c r="CO46" s="529"/>
      <c r="CP46" s="529"/>
      <c r="CQ46" s="529"/>
      <c r="CR46" s="529"/>
      <c r="CS46" s="529"/>
      <c r="CT46" s="529"/>
      <c r="CU46" s="529"/>
      <c r="CV46" s="529"/>
      <c r="CW46" s="529"/>
      <c r="CX46" s="529"/>
      <c r="CY46" s="529"/>
      <c r="CZ46" s="529"/>
      <c r="DA46" s="529"/>
      <c r="DB46" s="529"/>
      <c r="DC46" s="529"/>
      <c r="DD46" s="529"/>
      <c r="DE46" s="529"/>
      <c r="DF46" s="529"/>
      <c r="DG46" s="529"/>
      <c r="DH46" s="529"/>
      <c r="DI46" s="529"/>
      <c r="DJ46" s="529"/>
      <c r="DK46" s="529"/>
      <c r="DL46" s="529"/>
      <c r="DM46" s="529"/>
      <c r="DN46" s="529"/>
      <c r="DO46" s="529"/>
      <c r="DP46" s="529"/>
      <c r="DQ46" s="529"/>
      <c r="DR46" s="529"/>
      <c r="DS46" s="529"/>
      <c r="DT46" s="529"/>
      <c r="DU46" s="529"/>
      <c r="DV46" s="529"/>
      <c r="DW46" s="529"/>
      <c r="DX46" s="529"/>
      <c r="DY46" s="529"/>
      <c r="DZ46" s="529"/>
      <c r="EA46" s="529"/>
      <c r="EB46" s="529"/>
      <c r="EC46" s="529"/>
      <c r="ED46" s="529"/>
      <c r="EE46" s="529"/>
      <c r="EF46" s="529"/>
      <c r="EG46" s="529"/>
      <c r="EH46" s="529"/>
      <c r="EI46" s="529"/>
      <c r="EJ46" s="529"/>
      <c r="EK46" s="529"/>
      <c r="EL46" s="529"/>
      <c r="EM46" s="529"/>
      <c r="EN46" s="529"/>
      <c r="EO46" s="529"/>
      <c r="EP46" s="529"/>
      <c r="EQ46" s="529"/>
      <c r="ER46" s="529"/>
      <c r="ES46" s="529"/>
      <c r="ET46" s="529"/>
      <c r="EU46" s="529"/>
      <c r="EV46" s="529"/>
      <c r="EW46" s="529"/>
      <c r="EX46" s="529"/>
      <c r="EY46" s="529"/>
      <c r="EZ46" s="529"/>
      <c r="FA46" s="529"/>
      <c r="FB46" s="529"/>
      <c r="FC46" s="529"/>
      <c r="FD46" s="529"/>
      <c r="FE46" s="529"/>
      <c r="FF46" s="529"/>
      <c r="FG46" s="529"/>
      <c r="FH46" s="555"/>
      <c r="FI46" s="529"/>
      <c r="FJ46" s="529"/>
      <c r="FK46" s="529"/>
      <c r="FL46" s="529"/>
      <c r="FM46" s="529"/>
      <c r="FN46" s="529"/>
      <c r="FO46" s="529"/>
      <c r="FP46" s="529"/>
      <c r="FQ46" s="529"/>
      <c r="FR46" s="529"/>
      <c r="FS46" s="529"/>
      <c r="FT46" s="529"/>
      <c r="FU46" s="529"/>
      <c r="FV46" s="529"/>
      <c r="FW46" s="529"/>
      <c r="FX46" s="529"/>
      <c r="FY46" s="529"/>
      <c r="FZ46" s="529"/>
      <c r="GA46" s="529"/>
      <c r="GB46" s="529"/>
      <c r="GC46" s="529"/>
      <c r="GD46" s="529"/>
      <c r="GE46" s="529"/>
      <c r="GF46" s="529"/>
      <c r="GG46" s="529"/>
      <c r="GH46" s="529"/>
      <c r="GI46" s="529"/>
      <c r="GJ46" s="529"/>
      <c r="GK46" s="529"/>
      <c r="GL46" s="529"/>
      <c r="GM46" s="529"/>
      <c r="GN46" s="529"/>
      <c r="GO46" s="529"/>
      <c r="GP46" s="529"/>
      <c r="GQ46" s="529"/>
      <c r="GR46" s="529"/>
      <c r="GS46" s="529"/>
    </row>
    <row r="47" spans="1:201" ht="14.25" customHeight="1">
      <c r="A47" s="553" t="s">
        <v>2114</v>
      </c>
      <c r="B47" s="554"/>
      <c r="C47" s="554"/>
      <c r="D47" s="554"/>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c r="AH47" s="554"/>
      <c r="AI47" s="554"/>
      <c r="AJ47" s="554"/>
      <c r="AK47" s="554"/>
      <c r="AL47" s="554"/>
      <c r="AM47" s="554"/>
      <c r="AN47" s="554"/>
      <c r="AO47" s="554"/>
      <c r="AP47" s="554"/>
      <c r="AQ47" s="554"/>
      <c r="AR47" s="554"/>
      <c r="AS47" s="554"/>
      <c r="AT47" s="554"/>
      <c r="AU47" s="554"/>
      <c r="AV47" s="554"/>
      <c r="AW47" s="554"/>
      <c r="AX47" s="554"/>
      <c r="AY47" s="554"/>
      <c r="AZ47" s="554"/>
      <c r="BA47" s="554"/>
      <c r="BB47" s="554"/>
      <c r="BC47" s="554"/>
      <c r="BD47" s="554"/>
      <c r="BE47" s="554"/>
      <c r="BF47" s="554"/>
      <c r="BG47" s="554"/>
      <c r="BH47" s="554"/>
      <c r="BI47" s="554"/>
      <c r="BJ47" s="554"/>
      <c r="BK47" s="554"/>
      <c r="BL47" s="554"/>
      <c r="BM47" s="554"/>
      <c r="BN47" s="529"/>
      <c r="BO47" s="529"/>
      <c r="BP47" s="529"/>
      <c r="BQ47" s="529"/>
      <c r="BR47" s="529"/>
      <c r="BS47" s="529"/>
      <c r="BT47" s="529"/>
      <c r="BU47" s="529"/>
      <c r="BV47" s="529"/>
      <c r="BW47" s="529"/>
      <c r="BX47" s="529"/>
      <c r="BY47" s="529"/>
      <c r="BZ47" s="529"/>
      <c r="CA47" s="529"/>
      <c r="CB47" s="529"/>
      <c r="CC47" s="529"/>
      <c r="CD47" s="529"/>
      <c r="CE47" s="529"/>
      <c r="CF47" s="529"/>
      <c r="CG47" s="529"/>
      <c r="CH47" s="529"/>
      <c r="CI47" s="529"/>
      <c r="CJ47" s="529"/>
      <c r="CK47" s="529"/>
      <c r="CL47" s="529"/>
      <c r="CM47" s="529"/>
      <c r="CN47" s="529"/>
      <c r="CO47" s="529"/>
      <c r="CP47" s="529"/>
      <c r="CQ47" s="529"/>
      <c r="CR47" s="529"/>
      <c r="CS47" s="529"/>
      <c r="CT47" s="529"/>
      <c r="CU47" s="529"/>
      <c r="CV47" s="529"/>
      <c r="CW47" s="529"/>
      <c r="CX47" s="529"/>
      <c r="CY47" s="529"/>
      <c r="CZ47" s="529"/>
      <c r="DA47" s="529"/>
      <c r="DB47" s="529"/>
      <c r="DC47" s="529"/>
      <c r="DD47" s="529"/>
      <c r="DE47" s="529"/>
      <c r="DF47" s="529"/>
      <c r="DG47" s="529"/>
      <c r="DH47" s="529"/>
      <c r="DI47" s="529"/>
      <c r="DJ47" s="529"/>
      <c r="DK47" s="529"/>
      <c r="DL47" s="529"/>
      <c r="DM47" s="529"/>
      <c r="DN47" s="529"/>
      <c r="DO47" s="529"/>
      <c r="DP47" s="529"/>
      <c r="DQ47" s="529"/>
      <c r="DR47" s="529"/>
      <c r="DS47" s="529"/>
      <c r="DT47" s="529"/>
      <c r="DU47" s="529"/>
      <c r="DV47" s="529"/>
      <c r="DW47" s="529"/>
      <c r="DX47" s="529"/>
      <c r="DY47" s="529"/>
      <c r="DZ47" s="529"/>
      <c r="EA47" s="529"/>
      <c r="EB47" s="529"/>
      <c r="EC47" s="529"/>
      <c r="ED47" s="529"/>
      <c r="EE47" s="529"/>
      <c r="EF47" s="529"/>
      <c r="EG47" s="529"/>
      <c r="EH47" s="529"/>
      <c r="EI47" s="529"/>
      <c r="EJ47" s="529"/>
      <c r="EK47" s="529"/>
      <c r="EL47" s="529"/>
      <c r="EM47" s="529"/>
      <c r="EN47" s="529"/>
      <c r="EO47" s="529"/>
      <c r="EP47" s="529"/>
      <c r="EQ47" s="529"/>
      <c r="ER47" s="529"/>
      <c r="ES47" s="529"/>
      <c r="ET47" s="529"/>
      <c r="EU47" s="529"/>
      <c r="EV47" s="529"/>
      <c r="EW47" s="529"/>
      <c r="EX47" s="529"/>
      <c r="EY47" s="529"/>
      <c r="EZ47" s="529"/>
      <c r="FA47" s="529"/>
      <c r="FB47" s="529"/>
      <c r="FC47" s="529"/>
      <c r="FD47" s="529"/>
      <c r="FE47" s="529"/>
      <c r="FF47" s="529"/>
      <c r="FG47" s="529"/>
      <c r="FH47" s="529"/>
      <c r="FI47" s="529"/>
      <c r="FJ47" s="529"/>
      <c r="FK47" s="529"/>
      <c r="FL47" s="529"/>
      <c r="FM47" s="529"/>
      <c r="FN47" s="529"/>
      <c r="FO47" s="529"/>
      <c r="FP47" s="529"/>
      <c r="FQ47" s="529"/>
      <c r="FR47" s="529"/>
      <c r="FS47" s="529"/>
      <c r="FT47" s="529"/>
      <c r="FU47" s="529"/>
      <c r="FV47" s="529"/>
      <c r="FW47" s="529"/>
      <c r="FX47" s="529"/>
      <c r="FY47" s="529"/>
      <c r="FZ47" s="529"/>
      <c r="GA47" s="529"/>
      <c r="GB47" s="529"/>
      <c r="GC47" s="529"/>
      <c r="GD47" s="529"/>
      <c r="GE47" s="529"/>
      <c r="GF47" s="529"/>
      <c r="GG47" s="529"/>
      <c r="GH47" s="529"/>
      <c r="GI47" s="529"/>
      <c r="GJ47" s="529"/>
      <c r="GK47" s="529"/>
      <c r="GL47" s="529"/>
      <c r="GM47" s="529"/>
      <c r="GN47" s="529"/>
      <c r="GO47" s="529"/>
      <c r="GP47" s="529"/>
      <c r="GQ47" s="529"/>
      <c r="GR47" s="529"/>
      <c r="GS47" s="529"/>
    </row>
    <row r="48" spans="1:201" ht="14.25" customHeight="1">
      <c r="A48" s="553" t="s">
        <v>2115</v>
      </c>
      <c r="B48" s="554"/>
      <c r="C48" s="554"/>
      <c r="D48" s="554"/>
      <c r="E48" s="554"/>
      <c r="F48" s="554"/>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c r="AD48" s="554"/>
      <c r="AE48" s="554"/>
      <c r="AF48" s="554"/>
      <c r="AG48" s="554"/>
      <c r="AH48" s="554"/>
      <c r="AI48" s="554"/>
      <c r="AJ48" s="554"/>
      <c r="AK48" s="554"/>
      <c r="AL48" s="554"/>
      <c r="AM48" s="554"/>
      <c r="AN48" s="554"/>
      <c r="AO48" s="554"/>
      <c r="AP48" s="554"/>
      <c r="AQ48" s="554"/>
      <c r="AR48" s="554"/>
      <c r="AS48" s="554"/>
      <c r="AT48" s="554"/>
      <c r="AU48" s="554"/>
      <c r="AV48" s="554"/>
      <c r="AW48" s="554"/>
      <c r="AX48" s="554"/>
      <c r="AY48" s="554"/>
      <c r="AZ48" s="554"/>
      <c r="BA48" s="554"/>
      <c r="BB48" s="554"/>
      <c r="BC48" s="554"/>
      <c r="BD48" s="554"/>
      <c r="BE48" s="554"/>
      <c r="BF48" s="554"/>
      <c r="BG48" s="554"/>
      <c r="BH48" s="554"/>
      <c r="BI48" s="554"/>
      <c r="BJ48" s="554"/>
      <c r="BK48" s="554"/>
      <c r="BL48" s="554"/>
      <c r="BM48" s="554"/>
      <c r="BN48" s="529"/>
      <c r="BO48" s="529"/>
      <c r="BP48" s="529"/>
      <c r="BQ48" s="529"/>
      <c r="BR48" s="529"/>
      <c r="BS48" s="529"/>
      <c r="BT48" s="529"/>
      <c r="BU48" s="529"/>
      <c r="BV48" s="529"/>
      <c r="BW48" s="529"/>
      <c r="BX48" s="529"/>
      <c r="BY48" s="529"/>
      <c r="BZ48" s="529"/>
      <c r="CA48" s="529"/>
      <c r="CB48" s="529"/>
      <c r="CC48" s="529"/>
      <c r="CD48" s="529"/>
      <c r="CE48" s="529"/>
      <c r="CF48" s="529"/>
      <c r="CG48" s="529"/>
      <c r="CH48" s="529"/>
      <c r="CI48" s="529"/>
      <c r="CJ48" s="529"/>
      <c r="CK48" s="529"/>
      <c r="CL48" s="529"/>
      <c r="CM48" s="529"/>
      <c r="CN48" s="529"/>
      <c r="CO48" s="529"/>
      <c r="CP48" s="529"/>
      <c r="CQ48" s="529"/>
      <c r="CR48" s="529"/>
      <c r="CS48" s="529"/>
      <c r="CT48" s="529"/>
      <c r="CU48" s="529"/>
      <c r="CV48" s="529"/>
      <c r="CW48" s="529"/>
      <c r="CX48" s="529"/>
      <c r="CY48" s="529"/>
      <c r="CZ48" s="529"/>
      <c r="DA48" s="529"/>
      <c r="DB48" s="529"/>
      <c r="DC48" s="529"/>
      <c r="DD48" s="529"/>
      <c r="DE48" s="529"/>
      <c r="DF48" s="529"/>
      <c r="DG48" s="529"/>
      <c r="DH48" s="529"/>
      <c r="DI48" s="529"/>
      <c r="DJ48" s="529"/>
      <c r="DK48" s="529"/>
      <c r="DL48" s="529"/>
      <c r="DM48" s="529"/>
      <c r="DN48" s="529"/>
      <c r="DO48" s="529"/>
      <c r="DP48" s="529"/>
      <c r="DQ48" s="529"/>
      <c r="DR48" s="529"/>
      <c r="DS48" s="529"/>
      <c r="DT48" s="529"/>
      <c r="DU48" s="529"/>
      <c r="DV48" s="529"/>
      <c r="DW48" s="529"/>
      <c r="DX48" s="529"/>
      <c r="DY48" s="529"/>
      <c r="DZ48" s="529"/>
      <c r="EA48" s="529"/>
      <c r="EB48" s="529"/>
      <c r="EC48" s="529"/>
      <c r="ED48" s="529"/>
      <c r="EE48" s="529"/>
      <c r="EF48" s="529"/>
      <c r="EG48" s="529"/>
      <c r="EH48" s="529"/>
      <c r="EI48" s="529"/>
      <c r="EJ48" s="529"/>
      <c r="EK48" s="529"/>
      <c r="EL48" s="529"/>
      <c r="EM48" s="529"/>
      <c r="EN48" s="529"/>
      <c r="EO48" s="529"/>
      <c r="EP48" s="529"/>
      <c r="EQ48" s="529"/>
      <c r="ER48" s="529"/>
      <c r="ES48" s="529"/>
      <c r="ET48" s="529"/>
      <c r="EU48" s="529"/>
      <c r="EV48" s="529"/>
      <c r="EW48" s="529"/>
      <c r="EX48" s="529"/>
      <c r="EY48" s="529"/>
      <c r="EZ48" s="529"/>
      <c r="FA48" s="529"/>
      <c r="FB48" s="529"/>
      <c r="FC48" s="529"/>
      <c r="FD48" s="529"/>
      <c r="FE48" s="529"/>
      <c r="FF48" s="529"/>
      <c r="FG48" s="529"/>
      <c r="FH48" s="529"/>
      <c r="FI48" s="529"/>
      <c r="FJ48" s="529"/>
      <c r="FK48" s="529"/>
      <c r="FL48" s="529"/>
      <c r="FM48" s="529"/>
      <c r="FN48" s="529"/>
      <c r="FO48" s="529"/>
      <c r="FP48" s="529"/>
      <c r="FQ48" s="529"/>
      <c r="FR48" s="529"/>
      <c r="FS48" s="529"/>
      <c r="FT48" s="529"/>
      <c r="FU48" s="529"/>
      <c r="FV48" s="529"/>
      <c r="FW48" s="529"/>
      <c r="FX48" s="529"/>
      <c r="FY48" s="529"/>
      <c r="FZ48" s="529"/>
      <c r="GA48" s="529"/>
      <c r="GB48" s="529"/>
      <c r="GC48" s="529"/>
      <c r="GD48" s="529"/>
      <c r="GE48" s="529"/>
      <c r="GF48" s="529"/>
      <c r="GG48" s="529"/>
      <c r="GH48" s="529"/>
      <c r="GI48" s="529"/>
      <c r="GJ48" s="529"/>
      <c r="GK48" s="529"/>
      <c r="GL48" s="529"/>
      <c r="GM48" s="529"/>
      <c r="GN48" s="529"/>
      <c r="GO48" s="529"/>
      <c r="GP48" s="529"/>
      <c r="GQ48" s="529"/>
      <c r="GR48" s="529"/>
      <c r="GS48" s="529"/>
    </row>
    <row r="49" spans="1:1" ht="14.25" customHeight="1">
      <c r="A49" s="553" t="s">
        <v>2116</v>
      </c>
    </row>
    <row r="50" spans="1:1" ht="14.25" customHeight="1">
      <c r="A50" s="553" t="s">
        <v>2117</v>
      </c>
    </row>
  </sheetData>
  <hyperlinks>
    <hyperlink ref="A1" location="null!A1" display="Return to contents" xr:uid="{00000000-0004-0000-1500-000000000000}"/>
  </hyperlinks>
  <pageMargins left="0.7" right="0.7" top="0.75" bottom="0.75" header="0" footer="0"/>
  <pageSetup paperSize="9"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1F497D"/>
    <pageSetUpPr fitToPage="1"/>
  </sheetPr>
  <dimension ref="A1:AZ75"/>
  <sheetViews>
    <sheetView workbookViewId="0">
      <pane xSplit="1" ySplit="9" topLeftCell="B10" activePane="bottomRight" state="frozen"/>
      <selection pane="bottomRight" activeCell="B10" sqref="B10"/>
      <selection pane="bottomLeft" activeCell="A10" sqref="A10"/>
      <selection pane="topRight" activeCell="B1" sqref="B1"/>
    </sheetView>
  </sheetViews>
  <sheetFormatPr defaultColWidth="12.5703125" defaultRowHeight="15.75" customHeight="1" outlineLevelRow="1"/>
  <cols>
    <col min="1" max="1" width="73.28515625" customWidth="1"/>
    <col min="2" max="50" width="9.7109375" customWidth="1"/>
    <col min="51" max="51" width="14.7109375" customWidth="1"/>
    <col min="52" max="52" width="9.7109375" customWidth="1"/>
  </cols>
  <sheetData>
    <row r="1" spans="1:51" ht="14.25" customHeight="1">
      <c r="A1" s="527" t="s">
        <v>1594</v>
      </c>
      <c r="B1" s="528"/>
      <c r="C1" s="528"/>
      <c r="D1" s="528"/>
      <c r="E1" s="528"/>
      <c r="F1" s="528"/>
      <c r="G1" s="528"/>
      <c r="H1" s="528"/>
      <c r="I1" s="528"/>
      <c r="J1" s="528"/>
      <c r="K1" s="528"/>
      <c r="L1" s="528"/>
      <c r="M1" s="528"/>
      <c r="N1" s="528"/>
      <c r="O1" s="528"/>
      <c r="P1" s="528"/>
      <c r="Q1" s="528"/>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row>
    <row r="2" spans="1:51" ht="14.25" customHeight="1">
      <c r="A2" s="531"/>
      <c r="B2" s="532"/>
      <c r="C2" s="532"/>
      <c r="D2" s="532"/>
      <c r="E2" s="532"/>
      <c r="F2" s="532"/>
      <c r="G2" s="532"/>
      <c r="H2" s="532"/>
      <c r="I2" s="532"/>
      <c r="J2" s="532"/>
      <c r="K2" s="532"/>
      <c r="L2" s="532"/>
      <c r="M2" s="532"/>
      <c r="N2" s="532"/>
      <c r="O2" s="532"/>
      <c r="P2" s="532"/>
      <c r="Q2" s="532"/>
      <c r="R2" s="529"/>
      <c r="S2" s="529"/>
      <c r="T2" s="529"/>
      <c r="U2" s="529"/>
      <c r="V2" s="529"/>
      <c r="W2" s="529"/>
      <c r="X2" s="529"/>
      <c r="Y2" s="529"/>
      <c r="Z2" s="529"/>
      <c r="AA2" s="529"/>
      <c r="AB2" s="529"/>
      <c r="AC2" s="529"/>
      <c r="AD2" s="529"/>
      <c r="AE2" s="529"/>
      <c r="AF2" s="529"/>
      <c r="AG2" s="529"/>
      <c r="AH2" s="529"/>
      <c r="AI2" s="529"/>
      <c r="AJ2" s="529"/>
      <c r="AK2" s="529"/>
      <c r="AL2" s="529"/>
      <c r="AM2" s="529"/>
      <c r="AN2" s="529"/>
      <c r="AO2" s="529"/>
      <c r="AP2" s="529"/>
      <c r="AQ2" s="529"/>
      <c r="AR2" s="529"/>
      <c r="AS2" s="529"/>
      <c r="AT2" s="529"/>
      <c r="AU2" s="529"/>
      <c r="AV2" s="529"/>
      <c r="AW2" s="529"/>
      <c r="AX2" s="529"/>
      <c r="AY2" s="529"/>
    </row>
    <row r="3" spans="1:51" ht="14.25" customHeight="1">
      <c r="A3" s="531"/>
      <c r="B3" s="532"/>
      <c r="C3" s="532"/>
      <c r="D3" s="532"/>
      <c r="E3" s="532"/>
      <c r="F3" s="532"/>
      <c r="G3" s="532"/>
      <c r="H3" s="532"/>
      <c r="I3" s="532"/>
      <c r="J3" s="532"/>
      <c r="K3" s="532"/>
      <c r="L3" s="532"/>
      <c r="M3" s="532"/>
      <c r="N3" s="532"/>
      <c r="O3" s="532"/>
      <c r="P3" s="532"/>
      <c r="Q3" s="532"/>
      <c r="R3" s="529"/>
      <c r="S3" s="529"/>
      <c r="T3" s="529"/>
      <c r="U3" s="529"/>
      <c r="V3" s="529"/>
      <c r="W3" s="529"/>
      <c r="X3" s="529"/>
      <c r="Y3" s="529"/>
      <c r="Z3" s="529"/>
      <c r="AA3" s="529"/>
      <c r="AB3" s="529"/>
      <c r="AC3" s="529"/>
      <c r="AD3" s="529"/>
      <c r="AE3" s="529"/>
      <c r="AF3" s="529"/>
      <c r="AG3" s="529"/>
      <c r="AH3" s="529"/>
      <c r="AI3" s="529"/>
      <c r="AJ3" s="529"/>
      <c r="AK3" s="529"/>
      <c r="AL3" s="529"/>
      <c r="AM3" s="529"/>
      <c r="AN3" s="529"/>
      <c r="AO3" s="529"/>
      <c r="AP3" s="529"/>
      <c r="AQ3" s="545"/>
      <c r="AR3" s="545"/>
      <c r="AS3" s="545"/>
      <c r="AT3" s="545"/>
      <c r="AU3" s="545"/>
      <c r="AV3" s="545"/>
      <c r="AW3" s="545"/>
      <c r="AX3" s="545"/>
      <c r="AY3" s="529"/>
    </row>
    <row r="4" spans="1:51" ht="14.25" customHeight="1">
      <c r="A4" s="531"/>
      <c r="B4" s="532"/>
      <c r="C4" s="532"/>
      <c r="D4" s="532"/>
      <c r="E4" s="532"/>
      <c r="F4" s="532"/>
      <c r="G4" s="532"/>
      <c r="H4" s="532"/>
      <c r="I4" s="532"/>
      <c r="J4" s="532"/>
      <c r="K4" s="532"/>
      <c r="L4" s="532"/>
      <c r="M4" s="532"/>
      <c r="N4" s="532"/>
      <c r="O4" s="532"/>
      <c r="P4" s="532"/>
      <c r="Q4" s="532"/>
      <c r="R4" s="529"/>
      <c r="S4" s="529"/>
      <c r="T4" s="529"/>
      <c r="U4" s="529"/>
      <c r="V4" s="529"/>
      <c r="W4" s="529"/>
      <c r="X4" s="529"/>
      <c r="Y4" s="529"/>
      <c r="Z4" s="529"/>
      <c r="AA4" s="529"/>
      <c r="AB4" s="529"/>
      <c r="AC4" s="529"/>
      <c r="AD4" s="556"/>
      <c r="AE4" s="556"/>
      <c r="AF4" s="556"/>
      <c r="AG4" s="556"/>
      <c r="AH4" s="556"/>
      <c r="AI4" s="556"/>
      <c r="AJ4" s="556"/>
      <c r="AK4" s="556"/>
      <c r="AL4" s="556"/>
      <c r="AM4" s="556"/>
      <c r="AN4" s="556"/>
      <c r="AO4" s="556"/>
      <c r="AP4" s="556"/>
      <c r="AQ4" s="556"/>
      <c r="AR4" s="556"/>
      <c r="AS4" s="556"/>
      <c r="AT4" s="556"/>
      <c r="AU4" s="556"/>
      <c r="AV4" s="556"/>
      <c r="AW4" s="556"/>
      <c r="AX4" s="556"/>
      <c r="AY4" s="556"/>
    </row>
    <row r="5" spans="1:51" ht="14.25" customHeight="1">
      <c r="A5" s="531"/>
      <c r="B5" s="532"/>
      <c r="C5" s="532"/>
      <c r="D5" s="532"/>
      <c r="E5" s="532"/>
      <c r="F5" s="532"/>
      <c r="G5" s="532"/>
      <c r="H5" s="532"/>
      <c r="I5" s="532"/>
      <c r="J5" s="532"/>
      <c r="K5" s="532"/>
      <c r="L5" s="532"/>
      <c r="M5" s="532"/>
      <c r="N5" s="532"/>
      <c r="O5" s="532"/>
      <c r="P5" s="532"/>
      <c r="Q5" s="532"/>
      <c r="R5" s="529"/>
      <c r="S5" s="529"/>
      <c r="T5" s="529"/>
      <c r="U5" s="529"/>
      <c r="V5" s="529"/>
      <c r="W5" s="529"/>
      <c r="X5" s="529"/>
      <c r="Y5" s="529"/>
      <c r="Z5" s="529"/>
      <c r="AA5" s="529"/>
      <c r="AB5" s="529"/>
      <c r="AC5" s="529"/>
      <c r="AD5" s="529"/>
      <c r="AE5" s="529"/>
      <c r="AF5" s="529"/>
      <c r="AG5" s="529"/>
      <c r="AH5" s="529"/>
      <c r="AI5" s="529"/>
      <c r="AJ5" s="529"/>
      <c r="AK5" s="529"/>
      <c r="AL5" s="529"/>
      <c r="AM5" s="529"/>
      <c r="AN5" s="529"/>
      <c r="AO5" s="529"/>
      <c r="AP5" s="529"/>
      <c r="AQ5" s="529"/>
      <c r="AR5" s="529"/>
      <c r="AS5" s="529"/>
      <c r="AT5" s="529"/>
      <c r="AU5" s="529"/>
      <c r="AV5" s="529"/>
      <c r="AW5" s="529"/>
      <c r="AX5" s="529"/>
      <c r="AY5" s="529"/>
    </row>
    <row r="6" spans="1:51" ht="14.25" customHeight="1">
      <c r="A6" s="531"/>
      <c r="B6" s="532"/>
      <c r="C6" s="532"/>
      <c r="D6" s="532"/>
      <c r="E6" s="532"/>
      <c r="F6" s="532"/>
      <c r="G6" s="532"/>
      <c r="H6" s="532"/>
      <c r="I6" s="532"/>
      <c r="J6" s="532"/>
      <c r="K6" s="532"/>
      <c r="L6" s="532"/>
      <c r="M6" s="532"/>
      <c r="N6" s="532"/>
      <c r="O6" s="532"/>
      <c r="P6" s="532"/>
      <c r="Q6" s="532"/>
      <c r="R6" s="529"/>
      <c r="S6" s="529"/>
      <c r="T6" s="529"/>
      <c r="U6" s="529"/>
      <c r="V6" s="529"/>
      <c r="W6" s="529"/>
      <c r="X6" s="529"/>
      <c r="Y6" s="529"/>
      <c r="Z6" s="529"/>
      <c r="AA6" s="529"/>
      <c r="AB6" s="529"/>
      <c r="AC6" s="529"/>
      <c r="AD6" s="529"/>
      <c r="AE6" s="529"/>
      <c r="AF6" s="529"/>
      <c r="AG6" s="529"/>
      <c r="AH6" s="529"/>
      <c r="AI6" s="529"/>
      <c r="AJ6" s="529"/>
      <c r="AK6" s="529"/>
      <c r="AL6" s="529"/>
      <c r="AM6" s="529"/>
      <c r="AN6" s="533"/>
      <c r="AO6" s="529"/>
      <c r="AP6" s="533"/>
      <c r="AQ6" s="529"/>
      <c r="AR6" s="529"/>
      <c r="AS6" s="529"/>
      <c r="AT6" s="529"/>
      <c r="AU6" s="529"/>
      <c r="AV6" s="529"/>
      <c r="AW6" s="529"/>
      <c r="AX6" s="529"/>
      <c r="AY6" s="529"/>
    </row>
    <row r="7" spans="1:51" ht="14.25" customHeight="1">
      <c r="A7" s="534" t="s">
        <v>2118</v>
      </c>
      <c r="B7" s="535"/>
      <c r="C7" s="535"/>
      <c r="D7" s="535"/>
      <c r="E7" s="535"/>
      <c r="F7" s="535"/>
      <c r="G7" s="535"/>
      <c r="H7" s="535"/>
      <c r="I7" s="535"/>
      <c r="J7" s="535"/>
      <c r="K7" s="535"/>
      <c r="L7" s="535"/>
      <c r="M7" s="535"/>
      <c r="N7" s="535"/>
      <c r="O7" s="535"/>
      <c r="P7" s="535"/>
      <c r="Q7" s="535"/>
      <c r="R7" s="529"/>
      <c r="S7" s="529"/>
      <c r="T7" s="529"/>
      <c r="U7" s="529"/>
      <c r="V7" s="529"/>
      <c r="W7" s="529"/>
      <c r="X7" s="529"/>
      <c r="Y7" s="529"/>
      <c r="Z7" s="529"/>
      <c r="AA7" s="529"/>
      <c r="AB7" s="529"/>
      <c r="AC7" s="529"/>
      <c r="AD7" s="529"/>
      <c r="AE7" s="529"/>
      <c r="AF7" s="529"/>
      <c r="AG7" s="529"/>
      <c r="AH7" s="529"/>
      <c r="AI7" s="529"/>
      <c r="AJ7" s="529"/>
      <c r="AK7" s="529"/>
      <c r="AL7" s="529"/>
      <c r="AM7" s="529"/>
      <c r="AN7" s="529"/>
      <c r="AO7" s="529"/>
      <c r="AP7" s="529"/>
      <c r="AQ7" s="529"/>
      <c r="AR7" s="529"/>
      <c r="AS7" s="529"/>
      <c r="AT7" s="529"/>
      <c r="AU7" s="529"/>
      <c r="AV7" s="529"/>
      <c r="AW7" s="529"/>
      <c r="AX7" s="529"/>
      <c r="AY7" s="529"/>
    </row>
    <row r="8" spans="1:51" ht="14.25" customHeight="1">
      <c r="A8" s="557" t="s">
        <v>2088</v>
      </c>
      <c r="B8" s="558"/>
      <c r="C8" s="558"/>
      <c r="D8" s="558"/>
      <c r="E8" s="558"/>
      <c r="F8" s="558"/>
      <c r="G8" s="558"/>
      <c r="H8" s="558"/>
      <c r="I8" s="558"/>
      <c r="J8" s="558"/>
      <c r="K8" s="558"/>
      <c r="L8" s="558"/>
      <c r="M8" s="558"/>
      <c r="N8" s="558"/>
      <c r="O8" s="558"/>
      <c r="P8" s="558"/>
      <c r="Q8" s="558"/>
      <c r="R8" s="529"/>
      <c r="S8" s="529"/>
      <c r="T8" s="529"/>
      <c r="U8" s="529"/>
      <c r="V8" s="529"/>
      <c r="W8" s="529"/>
      <c r="X8" s="529"/>
      <c r="Y8" s="529"/>
      <c r="Z8" s="529"/>
      <c r="AA8" s="529"/>
      <c r="AB8" s="529"/>
      <c r="AC8" s="529"/>
      <c r="AD8" s="529"/>
      <c r="AE8" s="529"/>
      <c r="AF8" s="529"/>
      <c r="AG8" s="529"/>
      <c r="AH8" s="529"/>
      <c r="AI8" s="529"/>
      <c r="AJ8" s="529"/>
      <c r="AK8" s="529"/>
      <c r="AL8" s="529"/>
      <c r="AM8" s="529"/>
      <c r="AN8" s="529"/>
      <c r="AO8" s="529"/>
      <c r="AP8" s="529"/>
      <c r="AQ8" s="529"/>
      <c r="AR8" s="529"/>
      <c r="AS8" s="529"/>
      <c r="AT8" s="529"/>
      <c r="AU8" s="529"/>
      <c r="AV8" s="529"/>
      <c r="AW8" s="529"/>
      <c r="AX8" s="529"/>
      <c r="AY8" s="529"/>
    </row>
    <row r="9" spans="1:51" ht="14.25" customHeight="1">
      <c r="A9" s="461" t="s">
        <v>2119</v>
      </c>
      <c r="B9" s="462">
        <v>1974</v>
      </c>
      <c r="C9" s="462">
        <v>1975</v>
      </c>
      <c r="D9" s="462">
        <v>1976</v>
      </c>
      <c r="E9" s="462">
        <v>1977</v>
      </c>
      <c r="F9" s="462">
        <v>1978</v>
      </c>
      <c r="G9" s="462">
        <v>1979</v>
      </c>
      <c r="H9" s="462">
        <v>1980</v>
      </c>
      <c r="I9" s="462">
        <v>1981</v>
      </c>
      <c r="J9" s="462">
        <v>1982</v>
      </c>
      <c r="K9" s="462">
        <v>1983</v>
      </c>
      <c r="L9" s="462">
        <v>1984</v>
      </c>
      <c r="M9" s="462">
        <v>1985</v>
      </c>
      <c r="N9" s="462">
        <v>1986</v>
      </c>
      <c r="O9" s="462">
        <v>1987</v>
      </c>
      <c r="P9" s="462">
        <v>1988</v>
      </c>
      <c r="Q9" s="462">
        <v>1989</v>
      </c>
      <c r="R9" s="462">
        <v>1990</v>
      </c>
      <c r="S9" s="462">
        <v>1991</v>
      </c>
      <c r="T9" s="462">
        <v>1992</v>
      </c>
      <c r="U9" s="462">
        <v>1993</v>
      </c>
      <c r="V9" s="462">
        <v>1994</v>
      </c>
      <c r="W9" s="462">
        <v>1995</v>
      </c>
      <c r="X9" s="462">
        <v>1996</v>
      </c>
      <c r="Y9" s="462">
        <v>1997</v>
      </c>
      <c r="Z9" s="462">
        <v>1998</v>
      </c>
      <c r="AA9" s="462">
        <v>1999</v>
      </c>
      <c r="AB9" s="462">
        <v>2000</v>
      </c>
      <c r="AC9" s="462">
        <v>2001</v>
      </c>
      <c r="AD9" s="462">
        <v>2002</v>
      </c>
      <c r="AE9" s="462">
        <v>2003</v>
      </c>
      <c r="AF9" s="462">
        <v>2004</v>
      </c>
      <c r="AG9" s="462">
        <v>2005</v>
      </c>
      <c r="AH9" s="462">
        <v>2006</v>
      </c>
      <c r="AI9" s="462">
        <v>2007</v>
      </c>
      <c r="AJ9" s="462">
        <v>2008</v>
      </c>
      <c r="AK9" s="462">
        <v>2009</v>
      </c>
      <c r="AL9" s="462">
        <v>2010</v>
      </c>
      <c r="AM9" s="462">
        <v>2011</v>
      </c>
      <c r="AN9" s="462">
        <v>2012</v>
      </c>
      <c r="AO9" s="462">
        <v>2013</v>
      </c>
      <c r="AP9" s="462">
        <v>2014</v>
      </c>
      <c r="AQ9" s="462">
        <v>2015</v>
      </c>
      <c r="AR9" s="462">
        <v>2016</v>
      </c>
      <c r="AS9" s="462">
        <v>2017</v>
      </c>
      <c r="AT9" s="462">
        <v>2018</v>
      </c>
      <c r="AU9" s="462">
        <v>2019</v>
      </c>
      <c r="AV9" s="462">
        <v>2020</v>
      </c>
      <c r="AW9" s="462">
        <v>2021</v>
      </c>
      <c r="AX9" s="462">
        <v>2022</v>
      </c>
      <c r="AY9" s="463" t="s">
        <v>2120</v>
      </c>
    </row>
    <row r="10" spans="1:51" ht="14.25" customHeight="1">
      <c r="A10" s="538"/>
      <c r="B10" s="522"/>
      <c r="C10" s="522"/>
      <c r="D10" s="522"/>
      <c r="E10" s="522"/>
      <c r="F10" s="522"/>
      <c r="G10" s="522"/>
      <c r="H10" s="522"/>
      <c r="I10" s="522"/>
      <c r="J10" s="522"/>
      <c r="K10" s="522"/>
      <c r="L10" s="522"/>
      <c r="M10" s="522"/>
      <c r="N10" s="522"/>
      <c r="O10" s="522"/>
      <c r="P10" s="522"/>
      <c r="Q10" s="522"/>
      <c r="R10" s="559"/>
      <c r="S10" s="559"/>
      <c r="T10" s="559"/>
      <c r="U10" s="559"/>
      <c r="V10" s="559"/>
      <c r="W10" s="559"/>
      <c r="X10" s="559"/>
      <c r="Y10" s="559"/>
      <c r="Z10" s="559"/>
      <c r="AA10" s="559"/>
      <c r="AB10" s="559"/>
      <c r="AC10" s="559"/>
      <c r="AD10" s="559"/>
      <c r="AE10" s="559"/>
      <c r="AF10" s="559"/>
      <c r="AG10" s="559"/>
      <c r="AH10" s="559"/>
      <c r="AI10" s="559"/>
      <c r="AJ10" s="559"/>
      <c r="AK10" s="559"/>
      <c r="AL10" s="559"/>
      <c r="AM10" s="559"/>
      <c r="AN10" s="559"/>
      <c r="AO10" s="559"/>
      <c r="AP10" s="559"/>
      <c r="AQ10" s="559"/>
      <c r="AR10" s="559"/>
      <c r="AS10" s="559"/>
      <c r="AT10" s="559"/>
      <c r="AU10" s="559"/>
      <c r="AV10" s="559"/>
      <c r="AW10" s="559"/>
      <c r="AX10" s="560"/>
      <c r="AY10" s="561"/>
    </row>
    <row r="11" spans="1:51" ht="14.25" customHeight="1">
      <c r="A11" s="539" t="s">
        <v>2091</v>
      </c>
      <c r="B11" s="540">
        <v>20479.184718612039</v>
      </c>
      <c r="C11" s="540">
        <v>20423.63471861204</v>
      </c>
      <c r="D11" s="540">
        <v>21523.784718612038</v>
      </c>
      <c r="E11" s="540">
        <v>22095.784718612038</v>
      </c>
      <c r="F11" s="540">
        <v>22157.83721861204</v>
      </c>
      <c r="G11" s="540">
        <v>22478.040718612036</v>
      </c>
      <c r="H11" s="540">
        <v>23016.102718612037</v>
      </c>
      <c r="I11" s="540">
        <v>23594.852718612037</v>
      </c>
      <c r="J11" s="540">
        <v>24879.227718612034</v>
      </c>
      <c r="K11" s="540">
        <v>26444.655218612035</v>
      </c>
      <c r="L11" s="540">
        <v>27556.959218612039</v>
      </c>
      <c r="M11" s="540">
        <v>27992.088397648557</v>
      </c>
      <c r="N11" s="540">
        <v>28955.422596514698</v>
      </c>
      <c r="O11" s="540">
        <v>29324.169203440881</v>
      </c>
      <c r="P11" s="540">
        <v>30626.648974181946</v>
      </c>
      <c r="Q11" s="540">
        <v>30849.268934597385</v>
      </c>
      <c r="R11" s="540">
        <v>31786.605369381126</v>
      </c>
      <c r="S11" s="540">
        <v>32729.593851409096</v>
      </c>
      <c r="T11" s="540">
        <v>32229.186287262666</v>
      </c>
      <c r="U11" s="540">
        <v>33676.296993249176</v>
      </c>
      <c r="V11" s="540">
        <v>34347.010242980614</v>
      </c>
      <c r="W11" s="540">
        <v>35575.480503057792</v>
      </c>
      <c r="X11" s="540">
        <v>35869.677270478256</v>
      </c>
      <c r="Y11" s="540">
        <v>36305.69496254588</v>
      </c>
      <c r="Z11" s="540">
        <v>36733.625283590278</v>
      </c>
      <c r="AA11" s="540">
        <v>36775.680193721259</v>
      </c>
      <c r="AB11" s="540">
        <v>38200.0744870567</v>
      </c>
      <c r="AC11" s="540">
        <v>38343.930175162619</v>
      </c>
      <c r="AD11" s="540">
        <v>39480.606736239606</v>
      </c>
      <c r="AE11" s="540">
        <v>39526.252061514992</v>
      </c>
      <c r="AF11" s="540">
        <v>41527.317509573411</v>
      </c>
      <c r="AG11" s="540">
        <v>41525.975694567162</v>
      </c>
      <c r="AH11" s="540">
        <v>42062.59387802054</v>
      </c>
      <c r="AI11" s="540">
        <v>42420.674870110481</v>
      </c>
      <c r="AJ11" s="540">
        <v>42391.908459466373</v>
      </c>
      <c r="AK11" s="540">
        <v>42170.206022269522</v>
      </c>
      <c r="AL11" s="540">
        <v>43568.614945804213</v>
      </c>
      <c r="AM11" s="540">
        <v>43268.298163060535</v>
      </c>
      <c r="AN11" s="540">
        <v>43148.55398968613</v>
      </c>
      <c r="AO11" s="540">
        <v>42357.72756732229</v>
      </c>
      <c r="AP11" s="540">
        <v>42651.386204775059</v>
      </c>
      <c r="AQ11" s="540">
        <v>43333.575694567182</v>
      </c>
      <c r="AR11" s="540">
        <v>42919.249574991925</v>
      </c>
      <c r="AS11" s="540">
        <v>43311.309006744399</v>
      </c>
      <c r="AT11" s="540">
        <v>43418.943846360169</v>
      </c>
      <c r="AU11" s="540">
        <v>43814.753227560002</v>
      </c>
      <c r="AV11" s="540">
        <v>43174.108755983063</v>
      </c>
      <c r="AW11" s="540">
        <v>43270.647399060064</v>
      </c>
      <c r="AX11" s="540">
        <v>43475.98601325124</v>
      </c>
      <c r="AY11" s="562">
        <v>4.7454481625259781E-3</v>
      </c>
    </row>
    <row r="12" spans="1:51" ht="14.25" customHeight="1" outlineLevel="1">
      <c r="A12" s="531" t="s">
        <v>2092</v>
      </c>
      <c r="B12" s="533">
        <v>15037</v>
      </c>
      <c r="C12" s="533">
        <v>16497</v>
      </c>
      <c r="D12" s="533">
        <v>15344</v>
      </c>
      <c r="E12" s="533">
        <v>14573</v>
      </c>
      <c r="F12" s="533">
        <v>15503</v>
      </c>
      <c r="G12" s="533">
        <v>18259</v>
      </c>
      <c r="H12" s="533">
        <v>19171</v>
      </c>
      <c r="I12" s="533">
        <v>19483</v>
      </c>
      <c r="J12" s="533">
        <v>18121</v>
      </c>
      <c r="K12" s="533">
        <v>19554</v>
      </c>
      <c r="L12" s="533">
        <v>20173</v>
      </c>
      <c r="M12" s="533">
        <v>19510.786779493399</v>
      </c>
      <c r="N12" s="533">
        <v>21876.715880307402</v>
      </c>
      <c r="O12" s="533">
        <v>21709.274062668101</v>
      </c>
      <c r="P12" s="533">
        <v>22733.030573638898</v>
      </c>
      <c r="Q12" s="533">
        <v>22333.268721753899</v>
      </c>
      <c r="R12" s="533">
        <v>22953.449615621201</v>
      </c>
      <c r="S12" s="533">
        <v>22665.519257389002</v>
      </c>
      <c r="T12" s="533">
        <v>20881.7434796989</v>
      </c>
      <c r="U12" s="533">
        <v>23257.963919940699</v>
      </c>
      <c r="V12" s="533">
        <v>25578.709488639699</v>
      </c>
      <c r="W12" s="533">
        <v>27259.411694971801</v>
      </c>
      <c r="X12" s="533">
        <v>25921.099974876899</v>
      </c>
      <c r="Y12" s="533">
        <v>23025.583999999999</v>
      </c>
      <c r="Z12" s="533">
        <v>25066.133000000002</v>
      </c>
      <c r="AA12" s="533">
        <v>22690.331999999999</v>
      </c>
      <c r="AB12" s="533">
        <v>24190.627</v>
      </c>
      <c r="AC12" s="533">
        <v>21464.357</v>
      </c>
      <c r="AD12" s="533">
        <v>24624.295284754498</v>
      </c>
      <c r="AE12" s="533">
        <v>23386.5687497</v>
      </c>
      <c r="AF12" s="533">
        <v>26967.685938499999</v>
      </c>
      <c r="AG12" s="533">
        <v>23094.278683</v>
      </c>
      <c r="AH12" s="533">
        <v>23337.486814</v>
      </c>
      <c r="AI12" s="533">
        <v>23404.094283999999</v>
      </c>
      <c r="AJ12" s="533">
        <v>22123.864422374001</v>
      </c>
      <c r="AK12" s="533">
        <v>23975.2687442967</v>
      </c>
      <c r="AL12" s="533">
        <v>24479.239366760201</v>
      </c>
      <c r="AM12" s="533">
        <v>24859.560807500999</v>
      </c>
      <c r="AN12" s="533">
        <v>22667.690609445701</v>
      </c>
      <c r="AO12" s="533">
        <v>22798.784756864501</v>
      </c>
      <c r="AP12" s="533">
        <v>24074.880568319499</v>
      </c>
      <c r="AQ12" s="533">
        <v>24284.645398775501</v>
      </c>
      <c r="AR12" s="533">
        <v>25675.698777981201</v>
      </c>
      <c r="AS12" s="533">
        <v>24924.095793828001</v>
      </c>
      <c r="AT12" s="533">
        <v>25992.033561646698</v>
      </c>
      <c r="AU12" s="533">
        <v>25342.665745051501</v>
      </c>
      <c r="AV12" s="533">
        <v>24023.925472948398</v>
      </c>
      <c r="AW12" s="533">
        <v>23992.385725084001</v>
      </c>
      <c r="AX12" s="533">
        <v>26013.444019127899</v>
      </c>
      <c r="AY12" s="561">
        <v>8.4237487559683855E-2</v>
      </c>
    </row>
    <row r="13" spans="1:51" ht="14.25" customHeight="1" outlineLevel="1">
      <c r="A13" s="531" t="s">
        <v>2093</v>
      </c>
      <c r="B13" s="533">
        <v>1358</v>
      </c>
      <c r="C13" s="533">
        <v>1350</v>
      </c>
      <c r="D13" s="533">
        <v>1290</v>
      </c>
      <c r="E13" s="533">
        <v>1217</v>
      </c>
      <c r="F13" s="533">
        <v>1239</v>
      </c>
      <c r="G13" s="533">
        <v>1118</v>
      </c>
      <c r="H13" s="533">
        <v>1206</v>
      </c>
      <c r="I13" s="533">
        <v>1141</v>
      </c>
      <c r="J13" s="533">
        <v>1158</v>
      </c>
      <c r="K13" s="533">
        <v>1173</v>
      </c>
      <c r="L13" s="533">
        <v>1294</v>
      </c>
      <c r="M13" s="533">
        <v>1164.6122244489</v>
      </c>
      <c r="N13" s="533">
        <v>1233.7977755510999</v>
      </c>
      <c r="O13" s="533">
        <v>1228.43</v>
      </c>
      <c r="P13" s="533">
        <v>1237.18</v>
      </c>
      <c r="Q13" s="533">
        <v>1705.5</v>
      </c>
      <c r="R13" s="533">
        <v>2010.9</v>
      </c>
      <c r="S13" s="533">
        <v>2158</v>
      </c>
      <c r="T13" s="533">
        <v>2131</v>
      </c>
      <c r="U13" s="533">
        <v>2247</v>
      </c>
      <c r="V13" s="533">
        <v>2101</v>
      </c>
      <c r="W13" s="533">
        <v>2038.8923889533201</v>
      </c>
      <c r="X13" s="533">
        <v>2038.4276110466801</v>
      </c>
      <c r="Y13" s="533">
        <v>2130.3560000000002</v>
      </c>
      <c r="Z13" s="533">
        <v>2385.5010000000002</v>
      </c>
      <c r="AA13" s="533">
        <v>2635.7620000000002</v>
      </c>
      <c r="AB13" s="533">
        <v>2756.0369999999998</v>
      </c>
      <c r="AC13" s="533">
        <v>2677.777</v>
      </c>
      <c r="AD13" s="533">
        <v>2654.691167</v>
      </c>
      <c r="AE13" s="533">
        <v>2594.63201823077</v>
      </c>
      <c r="AF13" s="533">
        <v>2631.1463990769198</v>
      </c>
      <c r="AG13" s="533">
        <v>2980.650091</v>
      </c>
      <c r="AH13" s="533">
        <v>3177.2784769999998</v>
      </c>
      <c r="AI13" s="533">
        <v>3353.7132190000002</v>
      </c>
      <c r="AJ13" s="533">
        <v>3966.1078428999999</v>
      </c>
      <c r="AK13" s="533">
        <v>4589.2555404699997</v>
      </c>
      <c r="AL13" s="533">
        <v>5558.5573649199996</v>
      </c>
      <c r="AM13" s="533">
        <v>5884.1092308249999</v>
      </c>
      <c r="AN13" s="533">
        <v>6083.5595517000002</v>
      </c>
      <c r="AO13" s="533">
        <v>6448.7302921250002</v>
      </c>
      <c r="AP13" s="533">
        <v>7195.1421624499999</v>
      </c>
      <c r="AQ13" s="533">
        <v>7748.6307629000003</v>
      </c>
      <c r="AR13" s="533">
        <v>7737.9402406999998</v>
      </c>
      <c r="AS13" s="533">
        <v>7779.1393759800003</v>
      </c>
      <c r="AT13" s="533">
        <v>7729.2850990400002</v>
      </c>
      <c r="AU13" s="533">
        <v>7793.3648973093304</v>
      </c>
      <c r="AV13" s="533">
        <v>7833.5704315964404</v>
      </c>
      <c r="AW13" s="533">
        <v>7968.2931517710904</v>
      </c>
      <c r="AX13" s="533">
        <v>8032.7176186215402</v>
      </c>
      <c r="AY13" s="561">
        <v>8.0851024960257867E-3</v>
      </c>
    </row>
    <row r="14" spans="1:51" ht="14.25" customHeight="1" outlineLevel="1">
      <c r="A14" s="531" t="s">
        <v>2094</v>
      </c>
      <c r="B14" s="533">
        <v>7.5960000000000001</v>
      </c>
      <c r="C14" s="533">
        <v>41.345999999999997</v>
      </c>
      <c r="D14" s="533">
        <v>52.595999999999997</v>
      </c>
      <c r="E14" s="533">
        <v>52.595999999999997</v>
      </c>
      <c r="F14" s="533">
        <v>52.595999999999997</v>
      </c>
      <c r="G14" s="533">
        <v>56.195999999999998</v>
      </c>
      <c r="H14" s="533">
        <v>57.396000000000001</v>
      </c>
      <c r="I14" s="533">
        <v>91.146000000000001</v>
      </c>
      <c r="J14" s="533">
        <v>102.396</v>
      </c>
      <c r="K14" s="533">
        <v>104.556</v>
      </c>
      <c r="L14" s="533">
        <v>105.276</v>
      </c>
      <c r="M14" s="533">
        <v>105.276</v>
      </c>
      <c r="N14" s="533">
        <v>105.276</v>
      </c>
      <c r="O14" s="533">
        <v>105.76649999999999</v>
      </c>
      <c r="P14" s="533">
        <v>105.93</v>
      </c>
      <c r="Q14" s="533">
        <v>105.93</v>
      </c>
      <c r="R14" s="533">
        <v>130.77000000000001</v>
      </c>
      <c r="S14" s="533">
        <v>151.47</v>
      </c>
      <c r="T14" s="533">
        <v>155.61000000000001</v>
      </c>
      <c r="U14" s="533">
        <v>155.61000000000001</v>
      </c>
      <c r="V14" s="533">
        <v>162.36000000000001</v>
      </c>
      <c r="W14" s="533">
        <v>172.2165</v>
      </c>
      <c r="X14" s="533">
        <v>145.83027010057901</v>
      </c>
      <c r="Y14" s="533">
        <v>139.38900000000001</v>
      </c>
      <c r="Z14" s="533">
        <v>136.7013</v>
      </c>
      <c r="AA14" s="533">
        <v>116.063</v>
      </c>
      <c r="AB14" s="533">
        <v>102.785</v>
      </c>
      <c r="AC14" s="533">
        <v>100.88</v>
      </c>
      <c r="AD14" s="533">
        <v>130.91670300000001</v>
      </c>
      <c r="AE14" s="533">
        <v>167.33505099999999</v>
      </c>
      <c r="AF14" s="533">
        <v>185.861054</v>
      </c>
      <c r="AG14" s="533">
        <v>190.142616</v>
      </c>
      <c r="AH14" s="533">
        <v>218.08634799999999</v>
      </c>
      <c r="AI14" s="533">
        <v>210.45801700000001</v>
      </c>
      <c r="AJ14" s="533">
        <v>202.60946175000001</v>
      </c>
      <c r="AK14" s="533">
        <v>215.03855625</v>
      </c>
      <c r="AL14" s="533">
        <v>217.50578852500001</v>
      </c>
      <c r="AM14" s="533">
        <v>218.244415675</v>
      </c>
      <c r="AN14" s="533">
        <v>210.98938405547801</v>
      </c>
      <c r="AO14" s="533">
        <v>202.68569151524801</v>
      </c>
      <c r="AP14" s="533">
        <v>227.80049437475199</v>
      </c>
      <c r="AQ14" s="533">
        <v>243.9769017925</v>
      </c>
      <c r="AR14" s="533">
        <v>264.68073520658902</v>
      </c>
      <c r="AS14" s="533">
        <v>264.32965716636801</v>
      </c>
      <c r="AT14" s="533">
        <v>261.510885716904</v>
      </c>
      <c r="AU14" s="533">
        <v>267.01120992710003</v>
      </c>
      <c r="AV14" s="533">
        <v>271.38256068714298</v>
      </c>
      <c r="AW14" s="533">
        <v>265.43059190709801</v>
      </c>
      <c r="AX14" s="533">
        <v>265.51440011</v>
      </c>
      <c r="AY14" s="561">
        <v>3.1574432434422484E-4</v>
      </c>
    </row>
    <row r="15" spans="1:51" ht="14.25" customHeight="1" outlineLevel="1">
      <c r="A15" s="531" t="s">
        <v>39</v>
      </c>
      <c r="B15" s="533">
        <v>609.508718612037</v>
      </c>
      <c r="C15" s="533">
        <v>609.508718612037</v>
      </c>
      <c r="D15" s="533">
        <v>609.508718612037</v>
      </c>
      <c r="E15" s="533">
        <v>609.508718612037</v>
      </c>
      <c r="F15" s="533">
        <v>609.508718612037</v>
      </c>
      <c r="G15" s="533">
        <v>609.508718612037</v>
      </c>
      <c r="H15" s="533">
        <v>609.508718612037</v>
      </c>
      <c r="I15" s="533">
        <v>609.508718612037</v>
      </c>
      <c r="J15" s="533">
        <v>609.508718612037</v>
      </c>
      <c r="K15" s="533">
        <v>609.508718612037</v>
      </c>
      <c r="L15" s="533">
        <v>632.23371861203702</v>
      </c>
      <c r="M15" s="533">
        <v>639.80871861203696</v>
      </c>
      <c r="N15" s="533">
        <v>639.80871861203696</v>
      </c>
      <c r="O15" s="533">
        <v>639.80871861203696</v>
      </c>
      <c r="P15" s="533">
        <v>639.80871861203696</v>
      </c>
      <c r="Q15" s="533">
        <v>637.79826075888798</v>
      </c>
      <c r="R15" s="533">
        <v>663.62552243359096</v>
      </c>
      <c r="S15" s="533">
        <v>656.26788918397904</v>
      </c>
      <c r="T15" s="533">
        <v>629.24585994322001</v>
      </c>
      <c r="U15" s="533">
        <v>654.57094606253099</v>
      </c>
      <c r="V15" s="533">
        <v>657.55024307223096</v>
      </c>
      <c r="W15" s="533">
        <v>662.22513919718403</v>
      </c>
      <c r="X15" s="533">
        <v>619.62088499273796</v>
      </c>
      <c r="Y15" s="533">
        <v>624.36601743943095</v>
      </c>
      <c r="Z15" s="533">
        <v>620.31246237818004</v>
      </c>
      <c r="AA15" s="533">
        <v>626.58001689870298</v>
      </c>
      <c r="AB15" s="533">
        <v>695.01930390601797</v>
      </c>
      <c r="AC15" s="533">
        <v>574.61163973195403</v>
      </c>
      <c r="AD15" s="533">
        <v>413.04301169984501</v>
      </c>
      <c r="AE15" s="533">
        <v>350.83568414470102</v>
      </c>
      <c r="AF15" s="533">
        <v>407.96282307817398</v>
      </c>
      <c r="AG15" s="533">
        <v>446.37363318418801</v>
      </c>
      <c r="AH15" s="533">
        <v>472.61478634331598</v>
      </c>
      <c r="AI15" s="533">
        <v>481.283231155078</v>
      </c>
      <c r="AJ15" s="533">
        <v>479.63506516726602</v>
      </c>
      <c r="AK15" s="533">
        <v>499.14782871537398</v>
      </c>
      <c r="AL15" s="533">
        <v>502.24455794605598</v>
      </c>
      <c r="AM15" s="533">
        <v>488.15838623867501</v>
      </c>
      <c r="AN15" s="533">
        <v>532.79668470032595</v>
      </c>
      <c r="AO15" s="533">
        <v>547.94140796647798</v>
      </c>
      <c r="AP15" s="533">
        <v>522.10967325199601</v>
      </c>
      <c r="AQ15" s="533">
        <v>518.80874670451306</v>
      </c>
      <c r="AR15" s="533">
        <v>496.05065595509097</v>
      </c>
      <c r="AS15" s="533">
        <v>485.06303286748903</v>
      </c>
      <c r="AT15" s="533">
        <v>462.77340167135401</v>
      </c>
      <c r="AU15" s="533">
        <v>472.37021063751098</v>
      </c>
      <c r="AV15" s="533">
        <v>459.55249507923003</v>
      </c>
      <c r="AW15" s="533">
        <v>483.16050719264098</v>
      </c>
      <c r="AX15" s="533">
        <v>438.80561433795401</v>
      </c>
      <c r="AY15" s="561">
        <v>-9.1801569446159692E-2</v>
      </c>
    </row>
    <row r="16" spans="1:51" ht="14.25" customHeight="1" outlineLevel="1">
      <c r="A16" s="531" t="s">
        <v>2095</v>
      </c>
      <c r="B16" s="533">
        <v>0</v>
      </c>
      <c r="C16" s="533">
        <v>0</v>
      </c>
      <c r="D16" s="533">
        <v>0</v>
      </c>
      <c r="E16" s="533">
        <v>0</v>
      </c>
      <c r="F16" s="533">
        <v>0</v>
      </c>
      <c r="G16" s="533">
        <v>0</v>
      </c>
      <c r="H16" s="533">
        <v>0</v>
      </c>
      <c r="I16" s="533">
        <v>0</v>
      </c>
      <c r="J16" s="533">
        <v>0</v>
      </c>
      <c r="K16" s="533">
        <v>0</v>
      </c>
      <c r="L16" s="533">
        <v>0</v>
      </c>
      <c r="M16" s="533">
        <v>0</v>
      </c>
      <c r="N16" s="533">
        <v>0</v>
      </c>
      <c r="O16" s="533">
        <v>0</v>
      </c>
      <c r="P16" s="533">
        <v>0</v>
      </c>
      <c r="Q16" s="533">
        <v>0</v>
      </c>
      <c r="R16" s="533">
        <v>0</v>
      </c>
      <c r="S16" s="533">
        <v>0</v>
      </c>
      <c r="T16" s="533">
        <v>0.68400000000000005</v>
      </c>
      <c r="U16" s="533">
        <v>0.97599999999999998</v>
      </c>
      <c r="V16" s="533">
        <v>1</v>
      </c>
      <c r="W16" s="533">
        <v>1</v>
      </c>
      <c r="X16" s="533">
        <v>8.2430000000000003</v>
      </c>
      <c r="Y16" s="533">
        <v>13.45762</v>
      </c>
      <c r="Z16" s="533">
        <v>21.849</v>
      </c>
      <c r="AA16" s="533">
        <v>38.603000000000002</v>
      </c>
      <c r="AB16" s="533">
        <v>119.006</v>
      </c>
      <c r="AC16" s="533">
        <v>137.59800000000001</v>
      </c>
      <c r="AD16" s="533">
        <v>153.92832799999999</v>
      </c>
      <c r="AE16" s="533">
        <v>145.07553300000001</v>
      </c>
      <c r="AF16" s="533">
        <v>357.92120449999999</v>
      </c>
      <c r="AG16" s="533">
        <v>608.24210200000005</v>
      </c>
      <c r="AH16" s="533">
        <v>615.99459179999997</v>
      </c>
      <c r="AI16" s="533">
        <v>920.58141699999999</v>
      </c>
      <c r="AJ16" s="533">
        <v>1047.8734501575</v>
      </c>
      <c r="AK16" s="533">
        <v>1461.69646816979</v>
      </c>
      <c r="AL16" s="533">
        <v>1619.91708325574</v>
      </c>
      <c r="AM16" s="533">
        <v>1936.46407037879</v>
      </c>
      <c r="AN16" s="533">
        <v>2057.2214742055899</v>
      </c>
      <c r="AO16" s="533">
        <v>2000.4685526803</v>
      </c>
      <c r="AP16" s="533">
        <v>2188.8157596727901</v>
      </c>
      <c r="AQ16" s="533">
        <v>2340.4886331156999</v>
      </c>
      <c r="AR16" s="533">
        <v>2317.35780358087</v>
      </c>
      <c r="AS16" s="533">
        <v>2070.1385394623098</v>
      </c>
      <c r="AT16" s="533">
        <v>2047.2860763822</v>
      </c>
      <c r="AU16" s="533">
        <v>2233.1107762769302</v>
      </c>
      <c r="AV16" s="533">
        <v>2282.2129960058101</v>
      </c>
      <c r="AW16" s="533">
        <v>2616.2910358610702</v>
      </c>
      <c r="AX16" s="533">
        <v>2836.8570418875502</v>
      </c>
      <c r="AY16" s="561">
        <v>8.4304843384477524E-2</v>
      </c>
    </row>
    <row r="17" spans="1:52" ht="14.25" customHeight="1" outlineLevel="1">
      <c r="A17" s="531" t="s">
        <v>2096</v>
      </c>
      <c r="B17" s="533">
        <v>0</v>
      </c>
      <c r="C17" s="533">
        <v>0</v>
      </c>
      <c r="D17" s="533">
        <v>0</v>
      </c>
      <c r="E17" s="533">
        <v>0</v>
      </c>
      <c r="F17" s="533">
        <v>0</v>
      </c>
      <c r="G17" s="533">
        <v>0</v>
      </c>
      <c r="H17" s="533">
        <v>0</v>
      </c>
      <c r="I17" s="533">
        <v>0</v>
      </c>
      <c r="J17" s="533">
        <v>0</v>
      </c>
      <c r="K17" s="533">
        <v>0</v>
      </c>
      <c r="L17" s="533">
        <v>0</v>
      </c>
      <c r="M17" s="533">
        <v>0</v>
      </c>
      <c r="N17" s="533">
        <v>0</v>
      </c>
      <c r="O17" s="533">
        <v>0</v>
      </c>
      <c r="P17" s="533">
        <v>0</v>
      </c>
      <c r="Q17" s="533">
        <v>0</v>
      </c>
      <c r="R17" s="533">
        <v>0</v>
      </c>
      <c r="S17" s="533">
        <v>0</v>
      </c>
      <c r="T17" s="533">
        <v>0</v>
      </c>
      <c r="U17" s="533">
        <v>0</v>
      </c>
      <c r="V17" s="533">
        <v>0</v>
      </c>
      <c r="W17" s="533">
        <v>0</v>
      </c>
      <c r="X17" s="533">
        <v>0</v>
      </c>
      <c r="Y17" s="533">
        <v>0</v>
      </c>
      <c r="Z17" s="533">
        <v>0</v>
      </c>
      <c r="AA17" s="533">
        <v>0</v>
      </c>
      <c r="AB17" s="533">
        <v>0</v>
      </c>
      <c r="AC17" s="533">
        <v>0</v>
      </c>
      <c r="AD17" s="533">
        <v>0</v>
      </c>
      <c r="AE17" s="533">
        <v>0</v>
      </c>
      <c r="AF17" s="533">
        <v>0</v>
      </c>
      <c r="AG17" s="533">
        <v>0</v>
      </c>
      <c r="AH17" s="533">
        <v>0</v>
      </c>
      <c r="AI17" s="533">
        <v>3.3718360000000001</v>
      </c>
      <c r="AJ17" s="533">
        <v>3.4210600000000002</v>
      </c>
      <c r="AK17" s="533">
        <v>3.5539640000000001</v>
      </c>
      <c r="AL17" s="533">
        <v>3.7902399999999998</v>
      </c>
      <c r="AM17" s="533">
        <v>4.0856000000000003</v>
      </c>
      <c r="AN17" s="533">
        <v>4.7747200000000003</v>
      </c>
      <c r="AO17" s="533">
        <v>6.6349393578968199</v>
      </c>
      <c r="AP17" s="533">
        <v>18.609737832482399</v>
      </c>
      <c r="AQ17" s="533">
        <v>36.4393590983506</v>
      </c>
      <c r="AR17" s="533">
        <v>56.183875942982098</v>
      </c>
      <c r="AS17" s="533">
        <v>76.389028643123495</v>
      </c>
      <c r="AT17" s="533">
        <v>99.815726849207394</v>
      </c>
      <c r="AU17" s="533">
        <v>126.76870443174499</v>
      </c>
      <c r="AV17" s="533">
        <v>159.583263243369</v>
      </c>
      <c r="AW17" s="533">
        <v>206.340298967552</v>
      </c>
      <c r="AX17" s="533">
        <v>278.00521068872001</v>
      </c>
      <c r="AY17" s="561">
        <v>0.34731417992390168</v>
      </c>
      <c r="AZ17" s="529"/>
    </row>
    <row r="18" spans="1:52" ht="14.25" customHeight="1" outlineLevel="1">
      <c r="A18" s="531" t="s">
        <v>2097</v>
      </c>
      <c r="B18" s="533">
        <v>1943</v>
      </c>
      <c r="C18" s="533">
        <v>787</v>
      </c>
      <c r="D18" s="533">
        <v>1280</v>
      </c>
      <c r="E18" s="533">
        <v>729</v>
      </c>
      <c r="F18" s="533">
        <v>199</v>
      </c>
      <c r="G18" s="533">
        <v>48</v>
      </c>
      <c r="H18" s="533">
        <v>3</v>
      </c>
      <c r="I18" s="533">
        <v>3</v>
      </c>
      <c r="J18" s="533">
        <v>15</v>
      </c>
      <c r="K18" s="533">
        <v>146</v>
      </c>
      <c r="L18" s="533">
        <v>5</v>
      </c>
      <c r="M18" s="533">
        <v>47.588607594936697</v>
      </c>
      <c r="N18" s="533">
        <v>6.3393920142135602</v>
      </c>
      <c r="O18" s="533">
        <v>9.14599986870431</v>
      </c>
      <c r="P18" s="533">
        <v>6.8326400383608803</v>
      </c>
      <c r="Q18" s="533">
        <v>0.52008870985467703</v>
      </c>
      <c r="R18" s="533">
        <v>9.1699772809906204</v>
      </c>
      <c r="S18" s="533">
        <v>23.5500660349533</v>
      </c>
      <c r="T18" s="533">
        <v>192.09000740509001</v>
      </c>
      <c r="U18" s="533">
        <v>59</v>
      </c>
      <c r="V18" s="533">
        <v>20</v>
      </c>
      <c r="W18" s="533">
        <v>47.920665999999997</v>
      </c>
      <c r="X18" s="533">
        <v>14.610333000000001</v>
      </c>
      <c r="Y18" s="533">
        <v>0</v>
      </c>
      <c r="Z18" s="533">
        <v>1</v>
      </c>
      <c r="AA18" s="533">
        <v>4.7854000000000001E-2</v>
      </c>
      <c r="AB18" s="533">
        <v>1.5145E-2</v>
      </c>
      <c r="AC18" s="533">
        <v>0</v>
      </c>
      <c r="AD18" s="533">
        <v>4.2500000000000003E-3</v>
      </c>
      <c r="AE18" s="533">
        <v>19.11233</v>
      </c>
      <c r="AF18" s="533">
        <v>22.6554</v>
      </c>
      <c r="AG18" s="533">
        <v>3.5884903934558898</v>
      </c>
      <c r="AH18" s="533">
        <v>22.5927405170901</v>
      </c>
      <c r="AI18" s="533">
        <v>1.24419044310798</v>
      </c>
      <c r="AJ18" s="533">
        <v>123.84810571408499</v>
      </c>
      <c r="AK18" s="533">
        <v>9.0177518712246894</v>
      </c>
      <c r="AL18" s="533">
        <v>2.0421914967911401</v>
      </c>
      <c r="AM18" s="533">
        <v>2.08233166508187</v>
      </c>
      <c r="AN18" s="533">
        <v>3.4293434161109202</v>
      </c>
      <c r="AO18" s="533">
        <v>3.3950128372820201</v>
      </c>
      <c r="AP18" s="533">
        <v>3.1404711293110998</v>
      </c>
      <c r="AQ18" s="533">
        <v>1.4472711740355699</v>
      </c>
      <c r="AR18" s="533">
        <v>3.1125948053980101</v>
      </c>
      <c r="AS18" s="533">
        <v>5.5074483146048596</v>
      </c>
      <c r="AT18" s="533">
        <v>10.9028336349994</v>
      </c>
      <c r="AU18" s="533">
        <v>3.9248193150831598</v>
      </c>
      <c r="AV18" s="533">
        <v>13.0380487959501</v>
      </c>
      <c r="AW18" s="533">
        <v>25.660582126838001</v>
      </c>
      <c r="AX18" s="533">
        <v>6.79836075425969</v>
      </c>
      <c r="AY18" s="561">
        <v>-0.73506599652899562</v>
      </c>
      <c r="AZ18" s="529"/>
    </row>
    <row r="19" spans="1:52" ht="14.25" customHeight="1" outlineLevel="1">
      <c r="A19" s="531" t="s">
        <v>2098</v>
      </c>
      <c r="B19" s="533">
        <v>1297</v>
      </c>
      <c r="C19" s="533">
        <v>1046</v>
      </c>
      <c r="D19" s="533">
        <v>1097</v>
      </c>
      <c r="E19" s="533">
        <v>910</v>
      </c>
      <c r="F19" s="533">
        <v>742.05250000000001</v>
      </c>
      <c r="G19" s="533">
        <v>391.65600000000001</v>
      </c>
      <c r="H19" s="533">
        <v>425.51799999999997</v>
      </c>
      <c r="I19" s="533">
        <v>389.51799999999997</v>
      </c>
      <c r="J19" s="533">
        <v>421.51799999999997</v>
      </c>
      <c r="K19" s="533">
        <v>650.51800000000003</v>
      </c>
      <c r="L19" s="533">
        <v>728.51800000000003</v>
      </c>
      <c r="M19" s="533">
        <v>717.47777777777799</v>
      </c>
      <c r="N19" s="533">
        <v>555.63367596716603</v>
      </c>
      <c r="O19" s="533">
        <v>845.13835405708699</v>
      </c>
      <c r="P19" s="533">
        <v>722.77464766266496</v>
      </c>
      <c r="Q19" s="533">
        <v>446.23618952041898</v>
      </c>
      <c r="R19" s="533">
        <v>620.47178816276198</v>
      </c>
      <c r="S19" s="533">
        <v>450.73235785677201</v>
      </c>
      <c r="T19" s="533">
        <v>1170.5735760627399</v>
      </c>
      <c r="U19" s="533">
        <v>695.83391420214798</v>
      </c>
      <c r="V19" s="533">
        <v>646.55765615347696</v>
      </c>
      <c r="W19" s="533">
        <v>841.65354666593396</v>
      </c>
      <c r="X19" s="533">
        <v>876.26841800045304</v>
      </c>
      <c r="Y19" s="533">
        <v>1534.7458301824799</v>
      </c>
      <c r="Z19" s="533">
        <v>1365.2624162946599</v>
      </c>
      <c r="AA19" s="533">
        <v>1678.16252098316</v>
      </c>
      <c r="AB19" s="533">
        <v>1445.20905289806</v>
      </c>
      <c r="AC19" s="533">
        <v>1979.58431302036</v>
      </c>
      <c r="AD19" s="533">
        <v>1925.9253000000001</v>
      </c>
      <c r="AE19" s="533">
        <v>3700.6430965131299</v>
      </c>
      <c r="AF19" s="533">
        <v>4464.4479433333299</v>
      </c>
      <c r="AG19" s="533">
        <v>5471.0940772366102</v>
      </c>
      <c r="AH19" s="533">
        <v>5166.7876045222802</v>
      </c>
      <c r="AI19" s="533">
        <v>2953.9382626942001</v>
      </c>
      <c r="AJ19" s="533">
        <v>4515.4949529982796</v>
      </c>
      <c r="AK19" s="533">
        <v>3081.7316988891898</v>
      </c>
      <c r="AL19" s="533">
        <v>1928.8803661024499</v>
      </c>
      <c r="AM19" s="533">
        <v>2027.9054574322199</v>
      </c>
      <c r="AN19" s="533">
        <v>3317.4904660797301</v>
      </c>
      <c r="AO19" s="533">
        <v>2237.2014504839699</v>
      </c>
      <c r="AP19" s="533">
        <v>1831.29503678792</v>
      </c>
      <c r="AQ19" s="533">
        <v>1753.0159758192699</v>
      </c>
      <c r="AR19" s="533">
        <v>979.47674189095198</v>
      </c>
      <c r="AS19" s="533">
        <v>1133.13713839656</v>
      </c>
      <c r="AT19" s="533">
        <v>1479.4257946171099</v>
      </c>
      <c r="AU19" s="533">
        <v>2118.1116099773999</v>
      </c>
      <c r="AV19" s="533">
        <v>2158.8993936310899</v>
      </c>
      <c r="AW19" s="533">
        <v>3020.2417611436999</v>
      </c>
      <c r="AX19" s="533">
        <v>1253.92124667128</v>
      </c>
      <c r="AY19" s="561">
        <v>-0.58482752513280678</v>
      </c>
      <c r="AZ19" s="529"/>
    </row>
    <row r="20" spans="1:52" ht="14.25" customHeight="1" outlineLevel="1">
      <c r="A20" s="531" t="s">
        <v>37</v>
      </c>
      <c r="B20" s="533">
        <v>208.65</v>
      </c>
      <c r="C20" s="533">
        <v>50.65</v>
      </c>
      <c r="D20" s="533">
        <v>1800.65</v>
      </c>
      <c r="E20" s="533">
        <v>3954.65</v>
      </c>
      <c r="F20" s="533">
        <v>3762.65</v>
      </c>
      <c r="G20" s="533">
        <v>1945.65</v>
      </c>
      <c r="H20" s="533">
        <v>1493.65</v>
      </c>
      <c r="I20" s="533">
        <v>1812.65</v>
      </c>
      <c r="J20" s="533">
        <v>4381.7749999999996</v>
      </c>
      <c r="K20" s="533">
        <v>4137.0424999999996</v>
      </c>
      <c r="L20" s="533">
        <v>4553.34</v>
      </c>
      <c r="M20" s="533">
        <v>5743.8342897214998</v>
      </c>
      <c r="N20" s="533">
        <v>4475.1541540627804</v>
      </c>
      <c r="O20" s="533">
        <v>4723.8965682349499</v>
      </c>
      <c r="P20" s="533">
        <v>5118.3433942299898</v>
      </c>
      <c r="Q20" s="533">
        <v>5557.3866738543202</v>
      </c>
      <c r="R20" s="533">
        <v>5335.5294658825796</v>
      </c>
      <c r="S20" s="533">
        <v>6561.4032809443897</v>
      </c>
      <c r="T20" s="533">
        <v>7005.5163641527097</v>
      </c>
      <c r="U20" s="533">
        <v>6542.6242130438004</v>
      </c>
      <c r="V20" s="533">
        <v>5117.0888551152102</v>
      </c>
      <c r="W20" s="533">
        <v>4489.46156726955</v>
      </c>
      <c r="X20" s="533">
        <v>6182.5525284609002</v>
      </c>
      <c r="Y20" s="533">
        <v>8775.0974949239699</v>
      </c>
      <c r="Z20" s="533">
        <v>7074.1671049174402</v>
      </c>
      <c r="AA20" s="533">
        <v>8927.4308018394004</v>
      </c>
      <c r="AB20" s="533">
        <v>8828.6769852526195</v>
      </c>
      <c r="AC20" s="533">
        <v>11361.8902224103</v>
      </c>
      <c r="AD20" s="533">
        <v>9484.6668917852694</v>
      </c>
      <c r="AE20" s="533">
        <v>9077.5966489263901</v>
      </c>
      <c r="AF20" s="533">
        <v>6406.6862470849901</v>
      </c>
      <c r="AG20" s="533">
        <v>8655.8044517529106</v>
      </c>
      <c r="AH20" s="533">
        <v>8980.4680158378505</v>
      </c>
      <c r="AI20" s="533">
        <v>11039.0716378181</v>
      </c>
      <c r="AJ20" s="533">
        <v>9872.9583234052407</v>
      </c>
      <c r="AK20" s="533">
        <v>8282.2379696072494</v>
      </c>
      <c r="AL20" s="533">
        <v>9199.2828117979807</v>
      </c>
      <c r="AM20" s="533">
        <v>7801.4134383447699</v>
      </c>
      <c r="AN20" s="533">
        <v>8235.2645905831905</v>
      </c>
      <c r="AO20" s="533">
        <v>8067.6393369916104</v>
      </c>
      <c r="AP20" s="533">
        <v>6542.2029177063096</v>
      </c>
      <c r="AQ20" s="533">
        <v>6357.1110994373103</v>
      </c>
      <c r="AR20" s="533">
        <v>5337.7740989288504</v>
      </c>
      <c r="AS20" s="533">
        <v>6527.0394920859499</v>
      </c>
      <c r="AT20" s="533">
        <v>5286.5664668016998</v>
      </c>
      <c r="AU20" s="533">
        <v>5411.9827546334</v>
      </c>
      <c r="AV20" s="533">
        <v>5932.3633439956402</v>
      </c>
      <c r="AW20" s="533">
        <v>4649.7238312706204</v>
      </c>
      <c r="AX20" s="533">
        <v>4310.20782264022</v>
      </c>
      <c r="AY20" s="561">
        <v>-7.3018532057122498E-2</v>
      </c>
      <c r="AZ20" s="529"/>
    </row>
    <row r="21" spans="1:52" ht="14.25" customHeight="1" outlineLevel="1">
      <c r="A21" s="531" t="s">
        <v>2099</v>
      </c>
      <c r="B21" s="533">
        <v>18.43</v>
      </c>
      <c r="C21" s="533">
        <v>42.13</v>
      </c>
      <c r="D21" s="533">
        <v>50.03</v>
      </c>
      <c r="E21" s="533">
        <v>50.03</v>
      </c>
      <c r="F21" s="533">
        <v>50.03</v>
      </c>
      <c r="G21" s="533">
        <v>50.03</v>
      </c>
      <c r="H21" s="533">
        <v>50.03</v>
      </c>
      <c r="I21" s="533">
        <v>65.03</v>
      </c>
      <c r="J21" s="533">
        <v>70.03</v>
      </c>
      <c r="K21" s="533">
        <v>70.03</v>
      </c>
      <c r="L21" s="533">
        <v>65.591499999999996</v>
      </c>
      <c r="M21" s="533">
        <v>62.704000000000001</v>
      </c>
      <c r="N21" s="533">
        <v>62.697000000000003</v>
      </c>
      <c r="O21" s="533">
        <v>62.709000000000003</v>
      </c>
      <c r="P21" s="533">
        <v>62.749000000000002</v>
      </c>
      <c r="Q21" s="533">
        <v>62.628999999999998</v>
      </c>
      <c r="R21" s="533">
        <v>62.689</v>
      </c>
      <c r="S21" s="533">
        <v>62.651000000000003</v>
      </c>
      <c r="T21" s="533">
        <v>62.722999999999999</v>
      </c>
      <c r="U21" s="533">
        <v>62.718000000000004</v>
      </c>
      <c r="V21" s="533">
        <v>62.744</v>
      </c>
      <c r="W21" s="533">
        <v>62.698999999999998</v>
      </c>
      <c r="X21" s="533">
        <v>63.024250000000002</v>
      </c>
      <c r="Y21" s="533">
        <v>62.698999999999998</v>
      </c>
      <c r="Z21" s="533">
        <v>62.698999999999998</v>
      </c>
      <c r="AA21" s="533">
        <v>62.698999999999998</v>
      </c>
      <c r="AB21" s="533">
        <v>62.698999999999998</v>
      </c>
      <c r="AC21" s="533">
        <v>47.231999999999999</v>
      </c>
      <c r="AD21" s="533">
        <v>93.135800000000003</v>
      </c>
      <c r="AE21" s="533">
        <v>84.452950000000001</v>
      </c>
      <c r="AF21" s="533">
        <v>82.950500000000005</v>
      </c>
      <c r="AG21" s="533">
        <v>75.801550000000006</v>
      </c>
      <c r="AH21" s="533">
        <v>71.284499999999994</v>
      </c>
      <c r="AI21" s="533">
        <v>52.918774999999997</v>
      </c>
      <c r="AJ21" s="533">
        <v>56.095775000000003</v>
      </c>
      <c r="AK21" s="533">
        <v>53.2575</v>
      </c>
      <c r="AL21" s="533">
        <v>57.155175</v>
      </c>
      <c r="AM21" s="533">
        <v>46.274425000000001</v>
      </c>
      <c r="AN21" s="533">
        <v>35.337165499999998</v>
      </c>
      <c r="AO21" s="533">
        <v>44.246126500000003</v>
      </c>
      <c r="AP21" s="533">
        <v>47.389383250000002</v>
      </c>
      <c r="AQ21" s="533">
        <v>49.011545750000003</v>
      </c>
      <c r="AR21" s="533">
        <v>50.974049999999998</v>
      </c>
      <c r="AS21" s="533">
        <v>46.469499999999996</v>
      </c>
      <c r="AT21" s="533">
        <v>49.344000000000001</v>
      </c>
      <c r="AU21" s="533">
        <v>45.442500000000003</v>
      </c>
      <c r="AV21" s="533">
        <v>39.580750000000002</v>
      </c>
      <c r="AW21" s="533">
        <v>43.119913735454404</v>
      </c>
      <c r="AX21" s="533">
        <v>39.714678411818099</v>
      </c>
      <c r="AY21" s="561">
        <v>-7.89712925802174E-2</v>
      </c>
      <c r="AZ21" s="529"/>
    </row>
    <row r="22" spans="1:52" ht="14.25" customHeight="1">
      <c r="A22" s="543" t="s">
        <v>2100</v>
      </c>
      <c r="B22" s="563">
        <v>0.83070224485796906</v>
      </c>
      <c r="C22" s="563">
        <v>0.90570826268034255</v>
      </c>
      <c r="D22" s="563">
        <v>0.80358101257423176</v>
      </c>
      <c r="E22" s="563">
        <v>0.74458114650048457</v>
      </c>
      <c r="F22" s="563">
        <v>0.78546044665374726</v>
      </c>
      <c r="G22" s="563">
        <v>0.89165710523944741</v>
      </c>
      <c r="H22" s="563">
        <v>0.91431225242120695</v>
      </c>
      <c r="I22" s="563">
        <v>0.90378418432723562</v>
      </c>
      <c r="J22" s="563">
        <v>0.80351789632348336</v>
      </c>
      <c r="K22" s="563">
        <v>0.81079010262616635</v>
      </c>
      <c r="L22" s="563">
        <v>0.80576777511849196</v>
      </c>
      <c r="M22" s="563">
        <v>0.76523349806060703</v>
      </c>
      <c r="N22" s="563">
        <v>0.82387325879823226</v>
      </c>
      <c r="O22" s="563">
        <v>0.80763683761929583</v>
      </c>
      <c r="P22" s="563">
        <v>0.80700795288071869</v>
      </c>
      <c r="Q22" s="563">
        <v>0.80334146767151671</v>
      </c>
      <c r="R22" s="563">
        <v>0.81036476964813775</v>
      </c>
      <c r="S22" s="563">
        <v>0.78312176017025303</v>
      </c>
      <c r="T22" s="563">
        <v>0.73840782474385558</v>
      </c>
      <c r="U22" s="563">
        <v>0.78144342506774467</v>
      </c>
      <c r="V22" s="563">
        <v>0.82978458765669449</v>
      </c>
      <c r="W22" s="563">
        <v>0.84703692815989495</v>
      </c>
      <c r="X22" s="563">
        <v>0.80104489160445103</v>
      </c>
      <c r="Y22" s="563">
        <v>0.71429985472507562</v>
      </c>
      <c r="Z22" s="563">
        <v>0.76851921215054608</v>
      </c>
      <c r="AA22" s="563">
        <v>0.70990774009819746</v>
      </c>
      <c r="AB22" s="563">
        <v>0.72940889980062673</v>
      </c>
      <c r="AC22" s="563">
        <v>0.65082592018427898</v>
      </c>
      <c r="AD22" s="563">
        <v>0.70862321547794549</v>
      </c>
      <c r="AE22" s="563">
        <v>0.67409495326317626</v>
      </c>
      <c r="AF22" s="563">
        <v>0.73567423207897253</v>
      </c>
      <c r="AG22" s="563">
        <v>0.65789392466360319</v>
      </c>
      <c r="AH22" s="563">
        <v>0.66142998926371943</v>
      </c>
      <c r="AI22" s="563">
        <v>0.66886022183836091</v>
      </c>
      <c r="AJ22" s="563">
        <v>0.65634014399121976</v>
      </c>
      <c r="AK22" s="563">
        <v>0.72904460285696471</v>
      </c>
      <c r="AL22" s="563">
        <v>0.74322432424548313</v>
      </c>
      <c r="AM22" s="563">
        <v>0.77171102003556624</v>
      </c>
      <c r="AN22" s="563">
        <v>0.73135782097472446</v>
      </c>
      <c r="AO22" s="563">
        <v>0.75559401976041107</v>
      </c>
      <c r="AP22" s="563">
        <v>0.80249111322129951</v>
      </c>
      <c r="AQ22" s="563">
        <v>0.81167984036905305</v>
      </c>
      <c r="AR22" s="563">
        <v>0.85155058514029491</v>
      </c>
      <c r="AS22" s="563">
        <v>0.82193672378740212</v>
      </c>
      <c r="AT22" s="563">
        <v>0.84278200964056715</v>
      </c>
      <c r="AU22" s="563">
        <v>0.82701119769953857</v>
      </c>
      <c r="AV22" s="563">
        <v>0.81137117195745012</v>
      </c>
      <c r="AW22" s="563">
        <v>0.82115483466409345</v>
      </c>
      <c r="AX22" s="563">
        <v>0.87094847931068231</v>
      </c>
      <c r="AY22" s="564">
        <v>4.9793644646588864E-2</v>
      </c>
      <c r="AZ22" s="545"/>
    </row>
    <row r="23" spans="1:52" ht="14.25" customHeight="1">
      <c r="A23" s="531"/>
      <c r="B23" s="532"/>
      <c r="C23" s="532"/>
      <c r="D23" s="532"/>
      <c r="E23" s="532"/>
      <c r="F23" s="532"/>
      <c r="G23" s="532"/>
      <c r="H23" s="532"/>
      <c r="I23" s="532"/>
      <c r="J23" s="532"/>
      <c r="K23" s="532"/>
      <c r="L23" s="532"/>
      <c r="M23" s="532"/>
      <c r="N23" s="532"/>
      <c r="O23" s="532"/>
      <c r="P23" s="532"/>
      <c r="Q23" s="532"/>
      <c r="R23" s="565"/>
      <c r="S23" s="565"/>
      <c r="T23" s="565"/>
      <c r="U23" s="565"/>
      <c r="V23" s="565"/>
      <c r="W23" s="565"/>
      <c r="X23" s="565"/>
      <c r="Y23" s="565"/>
      <c r="Z23" s="565"/>
      <c r="AA23" s="565"/>
      <c r="AB23" s="565"/>
      <c r="AC23" s="565"/>
      <c r="AD23" s="565"/>
      <c r="AE23" s="565"/>
      <c r="AF23" s="565"/>
      <c r="AG23" s="565"/>
      <c r="AH23" s="565"/>
      <c r="AI23" s="565"/>
      <c r="AJ23" s="565"/>
      <c r="AK23" s="565"/>
      <c r="AL23" s="565"/>
      <c r="AM23" s="565"/>
      <c r="AN23" s="565"/>
      <c r="AO23" s="565"/>
      <c r="AP23" s="565"/>
      <c r="AQ23" s="565"/>
      <c r="AR23" s="565"/>
      <c r="AS23" s="565"/>
      <c r="AT23" s="565"/>
      <c r="AU23" s="565"/>
      <c r="AV23" s="565"/>
      <c r="AW23" s="565"/>
      <c r="AX23" s="565"/>
      <c r="AY23" s="545"/>
      <c r="AZ23" s="529"/>
    </row>
    <row r="24" spans="1:52" ht="14.25" customHeight="1">
      <c r="A24" s="566" t="s">
        <v>2121</v>
      </c>
      <c r="B24" s="552"/>
      <c r="C24" s="552"/>
      <c r="D24" s="552"/>
      <c r="E24" s="552"/>
      <c r="F24" s="552"/>
      <c r="G24" s="552"/>
      <c r="H24" s="552"/>
      <c r="I24" s="552"/>
      <c r="J24" s="552"/>
      <c r="K24" s="552"/>
      <c r="L24" s="552"/>
      <c r="M24" s="552"/>
      <c r="N24" s="552"/>
      <c r="O24" s="552"/>
      <c r="P24" s="552"/>
      <c r="Q24" s="552"/>
      <c r="R24" s="548">
        <v>2408.6267204910582</v>
      </c>
      <c r="S24" s="548">
        <v>2405.0051957363576</v>
      </c>
      <c r="T24" s="548">
        <v>2400.7126249483495</v>
      </c>
      <c r="U24" s="548">
        <v>2456.8642709184842</v>
      </c>
      <c r="V24" s="548">
        <v>2538.1707792528136</v>
      </c>
      <c r="W24" s="548">
        <v>2614.1864331673296</v>
      </c>
      <c r="X24" s="548">
        <v>2611.5349304747965</v>
      </c>
      <c r="Y24" s="548">
        <v>2737.1467714037317</v>
      </c>
      <c r="Z24" s="548">
        <v>2798.239820318604</v>
      </c>
      <c r="AA24" s="548">
        <v>2769.3037973844557</v>
      </c>
      <c r="AB24" s="548">
        <v>3044.446657199911</v>
      </c>
      <c r="AC24" s="548">
        <v>3027.5751617521537</v>
      </c>
      <c r="AD24" s="548">
        <v>3013.2444279846113</v>
      </c>
      <c r="AE24" s="548">
        <v>2892.7743064975734</v>
      </c>
      <c r="AF24" s="548">
        <v>2993.9784964151372</v>
      </c>
      <c r="AG24" s="548">
        <v>2978.0467872369445</v>
      </c>
      <c r="AH24" s="548">
        <v>3010.7011251771687</v>
      </c>
      <c r="AI24" s="548">
        <v>3028.8977488416667</v>
      </c>
      <c r="AJ24" s="548">
        <v>3129.8570632194142</v>
      </c>
      <c r="AK24" s="548">
        <v>2992.2961545327498</v>
      </c>
      <c r="AL24" s="548">
        <v>3102.0007695051227</v>
      </c>
      <c r="AM24" s="548">
        <v>2998.8447440815507</v>
      </c>
      <c r="AN24" s="548">
        <v>3001.949728262548</v>
      </c>
      <c r="AO24" s="548">
        <v>2895.1490000000003</v>
      </c>
      <c r="AP24" s="548">
        <v>2851.0193062003</v>
      </c>
      <c r="AQ24" s="548">
        <v>2896.55751948344</v>
      </c>
      <c r="AR24" s="548">
        <v>2955.0506022519803</v>
      </c>
      <c r="AS24" s="548">
        <v>2944.1897327476199</v>
      </c>
      <c r="AT24" s="548">
        <v>2942.0239096233399</v>
      </c>
      <c r="AU24" s="548">
        <v>3000.6428295650298</v>
      </c>
      <c r="AV24" s="548">
        <v>2971.73218165347</v>
      </c>
      <c r="AW24" s="548">
        <v>2997.1927694837</v>
      </c>
      <c r="AX24" s="548">
        <v>3274.59376330341</v>
      </c>
      <c r="AY24" s="562">
        <v>9.2553604374100873E-2</v>
      </c>
      <c r="AZ24" s="542"/>
    </row>
    <row r="25" spans="1:52" ht="14.25" customHeight="1" outlineLevel="1">
      <c r="A25" s="531" t="s">
        <v>2122</v>
      </c>
      <c r="B25" s="532"/>
      <c r="C25" s="532"/>
      <c r="D25" s="532"/>
      <c r="E25" s="532"/>
      <c r="F25" s="532"/>
      <c r="G25" s="532"/>
      <c r="H25" s="532"/>
      <c r="I25" s="532"/>
      <c r="J25" s="532"/>
      <c r="K25" s="532"/>
      <c r="L25" s="532"/>
      <c r="M25" s="532"/>
      <c r="N25" s="532"/>
      <c r="O25" s="532"/>
      <c r="P25" s="532"/>
      <c r="Q25" s="532"/>
      <c r="R25" s="533">
        <v>1189.453</v>
      </c>
      <c r="S25" s="533">
        <v>1208.402</v>
      </c>
      <c r="T25" s="533">
        <v>1185.576</v>
      </c>
      <c r="U25" s="533">
        <v>1234.4269999999999</v>
      </c>
      <c r="V25" s="533">
        <v>1259.3399999999999</v>
      </c>
      <c r="W25" s="533">
        <v>1285.9590000000001</v>
      </c>
      <c r="X25" s="533">
        <v>1248.797</v>
      </c>
      <c r="Y25" s="533">
        <v>1339.519</v>
      </c>
      <c r="Z25" s="533">
        <v>1376.39</v>
      </c>
      <c r="AA25" s="533">
        <v>1354.963</v>
      </c>
      <c r="AB25" s="533">
        <v>1545.069</v>
      </c>
      <c r="AC25" s="533">
        <v>1467.0150000000001</v>
      </c>
      <c r="AD25" s="533">
        <v>1443.759</v>
      </c>
      <c r="AE25" s="533">
        <v>1302.83</v>
      </c>
      <c r="AF25" s="533">
        <v>1327.6369999999999</v>
      </c>
      <c r="AG25" s="533">
        <v>1273.2439999999999</v>
      </c>
      <c r="AH25" s="533">
        <v>1346.2660000000001</v>
      </c>
      <c r="AI25" s="533">
        <v>1338.277</v>
      </c>
      <c r="AJ25" s="533">
        <v>1449.6</v>
      </c>
      <c r="AK25" s="533">
        <v>1350.953</v>
      </c>
      <c r="AL25" s="533">
        <v>1358.5909999999999</v>
      </c>
      <c r="AM25" s="533">
        <v>1310.8019999999999</v>
      </c>
      <c r="AN25" s="533">
        <v>1386.749</v>
      </c>
      <c r="AO25" s="533">
        <v>1304.97</v>
      </c>
      <c r="AP25" s="533">
        <v>1251.4967730757101</v>
      </c>
      <c r="AQ25" s="533">
        <v>1244.6490603238401</v>
      </c>
      <c r="AR25" s="533">
        <v>1396.1286075742701</v>
      </c>
      <c r="AS25" s="533">
        <v>1374.8285789459401</v>
      </c>
      <c r="AT25" s="533">
        <v>1393.1202056843099</v>
      </c>
      <c r="AU25" s="533">
        <v>1406.5197468399599</v>
      </c>
      <c r="AV25" s="533">
        <v>1351.3485012521</v>
      </c>
      <c r="AW25" s="533">
        <v>1368.7301354758899</v>
      </c>
      <c r="AX25" s="533">
        <v>1760.0247295030999</v>
      </c>
      <c r="AY25" s="561">
        <v>0.28588147793733043</v>
      </c>
      <c r="AZ25" s="529"/>
    </row>
    <row r="26" spans="1:52" ht="14.25" customHeight="1" outlineLevel="1">
      <c r="A26" s="531" t="s">
        <v>2123</v>
      </c>
      <c r="B26" s="532"/>
      <c r="C26" s="532"/>
      <c r="D26" s="532"/>
      <c r="E26" s="532"/>
      <c r="F26" s="532"/>
      <c r="G26" s="532"/>
      <c r="H26" s="532"/>
      <c r="I26" s="532"/>
      <c r="J26" s="532"/>
      <c r="K26" s="532"/>
      <c r="L26" s="532"/>
      <c r="M26" s="532"/>
      <c r="N26" s="532"/>
      <c r="O26" s="532"/>
      <c r="P26" s="532"/>
      <c r="Q26" s="532"/>
      <c r="R26" s="533">
        <v>1217.607</v>
      </c>
      <c r="S26" s="533">
        <v>1194.3150000000001</v>
      </c>
      <c r="T26" s="533">
        <v>1209.663</v>
      </c>
      <c r="U26" s="533">
        <v>1228.701</v>
      </c>
      <c r="V26" s="533">
        <v>1273.181</v>
      </c>
      <c r="W26" s="533">
        <v>1326.2670000000001</v>
      </c>
      <c r="X26" s="533">
        <v>1363.056</v>
      </c>
      <c r="Y26" s="533">
        <v>1400.0429999999999</v>
      </c>
      <c r="Z26" s="533">
        <v>1418.499</v>
      </c>
      <c r="AA26" s="533">
        <v>1414.751</v>
      </c>
      <c r="AB26" s="533">
        <v>1497.9839999999999</v>
      </c>
      <c r="AC26" s="533">
        <v>1561.9970000000001</v>
      </c>
      <c r="AD26" s="533">
        <v>1568.7329999999999</v>
      </c>
      <c r="AE26" s="533">
        <v>1588.3520000000001</v>
      </c>
      <c r="AF26" s="533">
        <v>1665.011</v>
      </c>
      <c r="AG26" s="533">
        <v>1706.0360000000001</v>
      </c>
      <c r="AH26" s="533">
        <v>1664.2460000000001</v>
      </c>
      <c r="AI26" s="533">
        <v>1690.346</v>
      </c>
      <c r="AJ26" s="533">
        <v>1678.271</v>
      </c>
      <c r="AK26" s="533">
        <v>1643.4849999999999</v>
      </c>
      <c r="AL26" s="533">
        <v>1742.1210000000001</v>
      </c>
      <c r="AM26" s="533">
        <v>1689.9929999999999</v>
      </c>
      <c r="AN26" s="533">
        <v>1616.16</v>
      </c>
      <c r="AO26" s="533">
        <v>1590.1790000000001</v>
      </c>
      <c r="AP26" s="533">
        <v>1599.5225331245899</v>
      </c>
      <c r="AQ26" s="533">
        <v>1651.9084591595999</v>
      </c>
      <c r="AR26" s="533">
        <v>1558.92199467771</v>
      </c>
      <c r="AS26" s="533">
        <v>1569.3611538016801</v>
      </c>
      <c r="AT26" s="533">
        <v>1548.90370393903</v>
      </c>
      <c r="AU26" s="533">
        <v>1594.1230827250699</v>
      </c>
      <c r="AV26" s="533">
        <v>1620.3836804013699</v>
      </c>
      <c r="AW26" s="533">
        <v>1628.46263400781</v>
      </c>
      <c r="AX26" s="533">
        <v>1514.5690338003101</v>
      </c>
      <c r="AY26" s="561">
        <v>-6.993933899925997E-2</v>
      </c>
      <c r="AZ26" s="529"/>
    </row>
    <row r="27" spans="1:52" ht="14.25" customHeight="1">
      <c r="A27" s="531"/>
      <c r="B27" s="532"/>
      <c r="C27" s="532"/>
      <c r="D27" s="532"/>
      <c r="E27" s="532"/>
      <c r="F27" s="532"/>
      <c r="G27" s="532"/>
      <c r="H27" s="532"/>
      <c r="I27" s="532"/>
      <c r="J27" s="532"/>
      <c r="K27" s="532"/>
      <c r="L27" s="532"/>
      <c r="M27" s="532"/>
      <c r="N27" s="532"/>
      <c r="O27" s="532"/>
      <c r="P27" s="532"/>
      <c r="Q27" s="532"/>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45"/>
      <c r="AQ27" s="545"/>
      <c r="AR27" s="545"/>
      <c r="AS27" s="545"/>
      <c r="AT27" s="545"/>
      <c r="AU27" s="545"/>
      <c r="AV27" s="545"/>
      <c r="AW27" s="545"/>
      <c r="AX27" s="545"/>
      <c r="AY27" s="545"/>
      <c r="AZ27" s="529"/>
    </row>
    <row r="28" spans="1:52" ht="14.25" customHeight="1">
      <c r="A28" s="547" t="s">
        <v>2124</v>
      </c>
      <c r="B28" s="548"/>
      <c r="C28" s="548"/>
      <c r="D28" s="548"/>
      <c r="E28" s="548"/>
      <c r="F28" s="548"/>
      <c r="G28" s="548"/>
      <c r="H28" s="548"/>
      <c r="I28" s="548"/>
      <c r="J28" s="548"/>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8"/>
      <c r="AK28" s="548"/>
      <c r="AL28" s="548"/>
      <c r="AM28" s="548"/>
      <c r="AN28" s="548"/>
      <c r="AO28" s="548"/>
      <c r="AP28" s="548">
        <v>40286.680690620546</v>
      </c>
      <c r="AQ28" s="548">
        <v>40892.933951443207</v>
      </c>
      <c r="AR28" s="548">
        <v>40225.239938352388</v>
      </c>
      <c r="AS28" s="548">
        <v>39945.909315947225</v>
      </c>
      <c r="AT28" s="548">
        <v>40313.711185594329</v>
      </c>
      <c r="AU28" s="548">
        <v>40534.353865862788</v>
      </c>
      <c r="AV28" s="548">
        <v>39962.094632347376</v>
      </c>
      <c r="AW28" s="548">
        <v>39922.943740323375</v>
      </c>
      <c r="AX28" s="548">
        <v>39429.600847690512</v>
      </c>
      <c r="AY28" s="562">
        <v>-1.2357377648346435E-2</v>
      </c>
      <c r="AZ28" s="549"/>
    </row>
    <row r="29" spans="1:52" ht="14.25" customHeight="1">
      <c r="A29" s="531" t="s">
        <v>2103</v>
      </c>
      <c r="B29" s="533"/>
      <c r="C29" s="533"/>
      <c r="D29" s="533"/>
      <c r="E29" s="533"/>
      <c r="F29" s="533"/>
      <c r="G29" s="533"/>
      <c r="H29" s="533"/>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33"/>
      <c r="AO29" s="533"/>
      <c r="AP29" s="533">
        <v>2600.4154695971802</v>
      </c>
      <c r="AQ29" s="533">
        <v>2844.1455199799202</v>
      </c>
      <c r="AR29" s="533">
        <v>2572.7463316436001</v>
      </c>
      <c r="AS29" s="533">
        <v>2528.6035813253102</v>
      </c>
      <c r="AT29" s="533">
        <v>2334.1384239549998</v>
      </c>
      <c r="AU29" s="533">
        <v>2433.7587317970601</v>
      </c>
      <c r="AV29" s="533">
        <v>2763.9859226048902</v>
      </c>
      <c r="AW29" s="533">
        <v>2661.66059756099</v>
      </c>
      <c r="AX29" s="533">
        <v>2421.9264836678199</v>
      </c>
      <c r="AY29" s="561">
        <v>-9.0069377783497329E-2</v>
      </c>
      <c r="AZ29" s="545"/>
    </row>
    <row r="30" spans="1:52" ht="14.25" customHeight="1">
      <c r="A30" s="531" t="s">
        <v>2125</v>
      </c>
      <c r="B30" s="533"/>
      <c r="C30" s="533"/>
      <c r="D30" s="533"/>
      <c r="E30" s="533"/>
      <c r="F30" s="533"/>
      <c r="G30" s="533"/>
      <c r="H30" s="533"/>
      <c r="I30" s="533"/>
      <c r="J30" s="533"/>
      <c r="K30" s="533"/>
      <c r="L30" s="533"/>
      <c r="M30" s="533"/>
      <c r="N30" s="533"/>
      <c r="O30" s="533"/>
      <c r="P30" s="533"/>
      <c r="Q30" s="533"/>
      <c r="R30" s="533"/>
      <c r="S30" s="533"/>
      <c r="T30" s="533"/>
      <c r="U30" s="533"/>
      <c r="V30" s="533"/>
      <c r="W30" s="533"/>
      <c r="X30" s="533"/>
      <c r="Y30" s="533"/>
      <c r="Z30" s="533"/>
      <c r="AA30" s="533"/>
      <c r="AB30" s="533"/>
      <c r="AC30" s="533"/>
      <c r="AD30" s="533"/>
      <c r="AE30" s="533"/>
      <c r="AF30" s="533"/>
      <c r="AG30" s="533"/>
      <c r="AH30" s="533"/>
      <c r="AI30" s="533"/>
      <c r="AJ30" s="533"/>
      <c r="AK30" s="533"/>
      <c r="AL30" s="533"/>
      <c r="AM30" s="533"/>
      <c r="AN30" s="533"/>
      <c r="AO30" s="533"/>
      <c r="AP30" s="533">
        <v>14496.355109704338</v>
      </c>
      <c r="AQ30" s="533">
        <v>14591.003524950529</v>
      </c>
      <c r="AR30" s="533">
        <v>14592.300944618422</v>
      </c>
      <c r="AS30" s="533">
        <v>14511.06852580719</v>
      </c>
      <c r="AT30" s="533">
        <v>14663.308608318846</v>
      </c>
      <c r="AU30" s="533">
        <v>14811.201472536535</v>
      </c>
      <c r="AV30" s="533">
        <v>14096.939778813685</v>
      </c>
      <c r="AW30" s="533">
        <v>13726.274564449874</v>
      </c>
      <c r="AX30" s="533">
        <v>13500.136863923672</v>
      </c>
      <c r="AY30" s="561">
        <v>-1.6474805269587334E-2</v>
      </c>
      <c r="AZ30" s="545"/>
    </row>
    <row r="31" spans="1:52" ht="14.25" customHeight="1" outlineLevel="1">
      <c r="A31" s="567" t="s">
        <v>2126</v>
      </c>
      <c r="B31" s="568"/>
      <c r="C31" s="568"/>
      <c r="D31" s="568"/>
      <c r="E31" s="568"/>
      <c r="F31" s="568"/>
      <c r="G31" s="568"/>
      <c r="H31" s="568"/>
      <c r="I31" s="568"/>
      <c r="J31" s="568"/>
      <c r="K31" s="568"/>
      <c r="L31" s="568"/>
      <c r="M31" s="568"/>
      <c r="N31" s="568"/>
      <c r="O31" s="568"/>
      <c r="P31" s="568"/>
      <c r="Q31" s="568"/>
      <c r="R31" s="568"/>
      <c r="S31" s="568"/>
      <c r="T31" s="568"/>
      <c r="U31" s="568"/>
      <c r="V31" s="568"/>
      <c r="W31" s="568"/>
      <c r="X31" s="568"/>
      <c r="Y31" s="568"/>
      <c r="Z31" s="568"/>
      <c r="AA31" s="568"/>
      <c r="AB31" s="568"/>
      <c r="AC31" s="568"/>
      <c r="AD31" s="533"/>
      <c r="AE31" s="533"/>
      <c r="AF31" s="533"/>
      <c r="AG31" s="533"/>
      <c r="AH31" s="533"/>
      <c r="AI31" s="533"/>
      <c r="AJ31" s="533"/>
      <c r="AK31" s="533"/>
      <c r="AL31" s="533"/>
      <c r="AM31" s="533"/>
      <c r="AN31" s="533"/>
      <c r="AO31" s="533"/>
      <c r="AP31" s="569">
        <v>432.157749174532</v>
      </c>
      <c r="AQ31" s="569">
        <v>418.62293661285702</v>
      </c>
      <c r="AR31" s="569">
        <v>357.60969551282398</v>
      </c>
      <c r="AS31" s="569">
        <v>417.81783592379099</v>
      </c>
      <c r="AT31" s="569">
        <v>443.17509407818397</v>
      </c>
      <c r="AU31" s="569">
        <v>454.42482811426697</v>
      </c>
      <c r="AV31" s="569">
        <v>405.72293809364402</v>
      </c>
      <c r="AW31" s="569">
        <v>431.38927366898201</v>
      </c>
      <c r="AX31" s="569">
        <v>433.56425674280803</v>
      </c>
      <c r="AY31" s="561">
        <v>5.0418107416712044E-3</v>
      </c>
      <c r="AZ31" s="545"/>
    </row>
    <row r="32" spans="1:52" ht="14.25" customHeight="1" outlineLevel="1">
      <c r="A32" s="567" t="s">
        <v>2127</v>
      </c>
      <c r="B32" s="568"/>
      <c r="C32" s="568"/>
      <c r="D32" s="568"/>
      <c r="E32" s="568"/>
      <c r="F32" s="568"/>
      <c r="G32" s="568"/>
      <c r="H32" s="568"/>
      <c r="I32" s="568"/>
      <c r="J32" s="568"/>
      <c r="K32" s="568"/>
      <c r="L32" s="568"/>
      <c r="M32" s="568"/>
      <c r="N32" s="568"/>
      <c r="O32" s="568"/>
      <c r="P32" s="568"/>
      <c r="Q32" s="568"/>
      <c r="R32" s="568"/>
      <c r="S32" s="568"/>
      <c r="T32" s="568"/>
      <c r="U32" s="568"/>
      <c r="V32" s="568"/>
      <c r="W32" s="568"/>
      <c r="X32" s="568"/>
      <c r="Y32" s="568"/>
      <c r="Z32" s="568"/>
      <c r="AA32" s="568"/>
      <c r="AB32" s="568"/>
      <c r="AC32" s="568"/>
      <c r="AD32" s="533"/>
      <c r="AE32" s="533"/>
      <c r="AF32" s="533"/>
      <c r="AG32" s="533"/>
      <c r="AH32" s="533"/>
      <c r="AI32" s="533"/>
      <c r="AJ32" s="533"/>
      <c r="AK32" s="533"/>
      <c r="AL32" s="533"/>
      <c r="AM32" s="533"/>
      <c r="AN32" s="533"/>
      <c r="AO32" s="533"/>
      <c r="AP32" s="569">
        <v>2328.7319116446301</v>
      </c>
      <c r="AQ32" s="569">
        <v>2392.9674324378602</v>
      </c>
      <c r="AR32" s="569">
        <v>2545.8974406887701</v>
      </c>
      <c r="AS32" s="569">
        <v>2621.2316707670502</v>
      </c>
      <c r="AT32" s="569">
        <v>2788.1983107597298</v>
      </c>
      <c r="AU32" s="569">
        <v>2831.6296394690598</v>
      </c>
      <c r="AV32" s="569">
        <v>2849.16744377952</v>
      </c>
      <c r="AW32" s="569">
        <v>2862.34065439203</v>
      </c>
      <c r="AX32" s="569">
        <v>2982.4604712658302</v>
      </c>
      <c r="AY32" s="561">
        <v>4.1965590884329496E-2</v>
      </c>
      <c r="AZ32" s="545"/>
    </row>
    <row r="33" spans="1:52" ht="14.25" customHeight="1" outlineLevel="1">
      <c r="A33" s="567" t="s">
        <v>2128</v>
      </c>
      <c r="B33" s="568"/>
      <c r="C33" s="568"/>
      <c r="D33" s="568"/>
      <c r="E33" s="568"/>
      <c r="F33" s="568"/>
      <c r="G33" s="568"/>
      <c r="H33" s="568"/>
      <c r="I33" s="568"/>
      <c r="J33" s="568"/>
      <c r="K33" s="568"/>
      <c r="L33" s="568"/>
      <c r="M33" s="568"/>
      <c r="N33" s="568"/>
      <c r="O33" s="568"/>
      <c r="P33" s="568"/>
      <c r="Q33" s="568"/>
      <c r="R33" s="568"/>
      <c r="S33" s="568"/>
      <c r="T33" s="568"/>
      <c r="U33" s="568"/>
      <c r="V33" s="568"/>
      <c r="W33" s="568"/>
      <c r="X33" s="568"/>
      <c r="Y33" s="568"/>
      <c r="Z33" s="568"/>
      <c r="AA33" s="568"/>
      <c r="AB33" s="568"/>
      <c r="AC33" s="568"/>
      <c r="AD33" s="533"/>
      <c r="AE33" s="533"/>
      <c r="AF33" s="533"/>
      <c r="AG33" s="533"/>
      <c r="AH33" s="533"/>
      <c r="AI33" s="533"/>
      <c r="AJ33" s="533"/>
      <c r="AK33" s="533"/>
      <c r="AL33" s="533"/>
      <c r="AM33" s="533"/>
      <c r="AN33" s="533"/>
      <c r="AO33" s="533"/>
      <c r="AP33" s="569">
        <v>2675.4361604959599</v>
      </c>
      <c r="AQ33" s="569">
        <v>2743.3754147802501</v>
      </c>
      <c r="AR33" s="569">
        <v>2727.0753194173599</v>
      </c>
      <c r="AS33" s="569">
        <v>2692.1705229044001</v>
      </c>
      <c r="AT33" s="569">
        <v>2661.3148666424499</v>
      </c>
      <c r="AU33" s="569">
        <v>2556.7956662450902</v>
      </c>
      <c r="AV33" s="569">
        <v>2173.3971224768502</v>
      </c>
      <c r="AW33" s="569">
        <v>1619.23453011622</v>
      </c>
      <c r="AX33" s="569">
        <v>1451.1968820301299</v>
      </c>
      <c r="AY33" s="561">
        <v>-0.10377597868668798</v>
      </c>
      <c r="AZ33" s="545"/>
    </row>
    <row r="34" spans="1:52" ht="14.25" customHeight="1" outlineLevel="1">
      <c r="A34" s="567" t="s">
        <v>2129</v>
      </c>
      <c r="B34" s="568"/>
      <c r="C34" s="568"/>
      <c r="D34" s="568"/>
      <c r="E34" s="568"/>
      <c r="F34" s="568"/>
      <c r="G34" s="568"/>
      <c r="H34" s="568"/>
      <c r="I34" s="568"/>
      <c r="J34" s="568"/>
      <c r="K34" s="568"/>
      <c r="L34" s="568"/>
      <c r="M34" s="568"/>
      <c r="N34" s="568"/>
      <c r="O34" s="568"/>
      <c r="P34" s="568"/>
      <c r="Q34" s="568"/>
      <c r="R34" s="568"/>
      <c r="S34" s="568"/>
      <c r="T34" s="568"/>
      <c r="U34" s="568"/>
      <c r="V34" s="568"/>
      <c r="W34" s="568"/>
      <c r="X34" s="568"/>
      <c r="Y34" s="568"/>
      <c r="Z34" s="568"/>
      <c r="AA34" s="568"/>
      <c r="AB34" s="568"/>
      <c r="AC34" s="568"/>
      <c r="AD34" s="533"/>
      <c r="AE34" s="533"/>
      <c r="AF34" s="533"/>
      <c r="AG34" s="533"/>
      <c r="AH34" s="533"/>
      <c r="AI34" s="533"/>
      <c r="AJ34" s="533"/>
      <c r="AK34" s="533"/>
      <c r="AL34" s="533"/>
      <c r="AM34" s="533"/>
      <c r="AN34" s="533"/>
      <c r="AO34" s="533"/>
      <c r="AP34" s="569">
        <v>741.42051349734697</v>
      </c>
      <c r="AQ34" s="569">
        <v>763.39329450047205</v>
      </c>
      <c r="AR34" s="569">
        <v>840.52555011760899</v>
      </c>
      <c r="AS34" s="569">
        <v>820.57931104352895</v>
      </c>
      <c r="AT34" s="569">
        <v>807.47569261472199</v>
      </c>
      <c r="AU34" s="569">
        <v>793.23303896550794</v>
      </c>
      <c r="AV34" s="569">
        <v>774.59181041018201</v>
      </c>
      <c r="AW34" s="569">
        <v>738.92687206142296</v>
      </c>
      <c r="AX34" s="569">
        <v>535.91487929137304</v>
      </c>
      <c r="AY34" s="561">
        <v>-0.27473894974707946</v>
      </c>
      <c r="AZ34" s="545"/>
    </row>
    <row r="35" spans="1:52" ht="14.25" customHeight="1" outlineLevel="1">
      <c r="A35" s="567" t="s">
        <v>2130</v>
      </c>
      <c r="B35" s="568"/>
      <c r="C35" s="568"/>
      <c r="D35" s="568"/>
      <c r="E35" s="568"/>
      <c r="F35" s="568"/>
      <c r="G35" s="568"/>
      <c r="H35" s="568"/>
      <c r="I35" s="568"/>
      <c r="J35" s="568"/>
      <c r="K35" s="568"/>
      <c r="L35" s="568"/>
      <c r="M35" s="568"/>
      <c r="N35" s="568"/>
      <c r="O35" s="568"/>
      <c r="P35" s="568"/>
      <c r="Q35" s="568"/>
      <c r="R35" s="568"/>
      <c r="S35" s="568"/>
      <c r="T35" s="568"/>
      <c r="U35" s="568"/>
      <c r="V35" s="568"/>
      <c r="W35" s="568"/>
      <c r="X35" s="568"/>
      <c r="Y35" s="568"/>
      <c r="Z35" s="568"/>
      <c r="AA35" s="568"/>
      <c r="AB35" s="568"/>
      <c r="AC35" s="568"/>
      <c r="AD35" s="533"/>
      <c r="AE35" s="533"/>
      <c r="AF35" s="533"/>
      <c r="AG35" s="533"/>
      <c r="AH35" s="533"/>
      <c r="AI35" s="533"/>
      <c r="AJ35" s="533"/>
      <c r="AK35" s="533"/>
      <c r="AL35" s="533"/>
      <c r="AM35" s="533"/>
      <c r="AN35" s="533"/>
      <c r="AO35" s="533"/>
      <c r="AP35" s="569">
        <v>6616.8709788927999</v>
      </c>
      <c r="AQ35" s="569">
        <v>6544.2782928884699</v>
      </c>
      <c r="AR35" s="569">
        <v>6428.7914672050601</v>
      </c>
      <c r="AS35" s="569">
        <v>6361.1464728477404</v>
      </c>
      <c r="AT35" s="569">
        <v>6388.2026354072796</v>
      </c>
      <c r="AU35" s="569">
        <v>6561.6962543944201</v>
      </c>
      <c r="AV35" s="569">
        <v>6244.4724245591697</v>
      </c>
      <c r="AW35" s="569">
        <v>6261.4764829844999</v>
      </c>
      <c r="AX35" s="569">
        <v>6266.1284123366704</v>
      </c>
      <c r="AY35" s="561">
        <v>7.4294447400902186E-4</v>
      </c>
      <c r="AZ35" s="545"/>
    </row>
    <row r="36" spans="1:52" ht="14.25" customHeight="1" outlineLevel="1">
      <c r="A36" s="567" t="s">
        <v>2131</v>
      </c>
      <c r="B36" s="568"/>
      <c r="C36" s="568"/>
      <c r="D36" s="568"/>
      <c r="E36" s="568"/>
      <c r="F36" s="568"/>
      <c r="G36" s="568"/>
      <c r="H36" s="568"/>
      <c r="I36" s="568"/>
      <c r="J36" s="568"/>
      <c r="K36" s="568"/>
      <c r="L36" s="568"/>
      <c r="M36" s="568"/>
      <c r="N36" s="568"/>
      <c r="O36" s="568"/>
      <c r="P36" s="568"/>
      <c r="Q36" s="568"/>
      <c r="R36" s="568"/>
      <c r="S36" s="568"/>
      <c r="T36" s="568"/>
      <c r="U36" s="568"/>
      <c r="V36" s="568"/>
      <c r="W36" s="568"/>
      <c r="X36" s="568"/>
      <c r="Y36" s="568"/>
      <c r="Z36" s="568"/>
      <c r="AA36" s="568"/>
      <c r="AB36" s="568"/>
      <c r="AC36" s="568"/>
      <c r="AD36" s="533"/>
      <c r="AE36" s="533"/>
      <c r="AF36" s="533"/>
      <c r="AG36" s="533"/>
      <c r="AH36" s="533"/>
      <c r="AI36" s="533"/>
      <c r="AJ36" s="533"/>
      <c r="AK36" s="533"/>
      <c r="AL36" s="533"/>
      <c r="AM36" s="533"/>
      <c r="AN36" s="533"/>
      <c r="AO36" s="533"/>
      <c r="AP36" s="569">
        <v>1701.7377959990699</v>
      </c>
      <c r="AQ36" s="569">
        <v>1728.36615373062</v>
      </c>
      <c r="AR36" s="569">
        <v>1692.4014716767999</v>
      </c>
      <c r="AS36" s="569">
        <v>1598.12271232068</v>
      </c>
      <c r="AT36" s="569">
        <v>1574.94200881648</v>
      </c>
      <c r="AU36" s="569">
        <v>1613.4220453481901</v>
      </c>
      <c r="AV36" s="569">
        <v>1649.5880394943199</v>
      </c>
      <c r="AW36" s="569">
        <v>1812.90675122672</v>
      </c>
      <c r="AX36" s="569">
        <v>1830.8719622568599</v>
      </c>
      <c r="AY36" s="561">
        <v>9.9096167069727681E-3</v>
      </c>
      <c r="AZ36" s="545"/>
    </row>
    <row r="37" spans="1:52" ht="14.25" customHeight="1">
      <c r="A37" s="531" t="s">
        <v>1604</v>
      </c>
      <c r="B37" s="533"/>
      <c r="C37" s="533"/>
      <c r="D37" s="533"/>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3">
        <v>9311.8597080782201</v>
      </c>
      <c r="AQ37" s="533">
        <v>9491.2181784083605</v>
      </c>
      <c r="AR37" s="533">
        <v>9495.6372079054709</v>
      </c>
      <c r="AS37" s="533">
        <v>9368.5121486380303</v>
      </c>
      <c r="AT37" s="533">
        <v>9493.9257978079804</v>
      </c>
      <c r="AU37" s="533">
        <v>9579.5458200137891</v>
      </c>
      <c r="AV37" s="533">
        <v>9134.4766629144997</v>
      </c>
      <c r="AW37" s="533">
        <v>9290.3859776273093</v>
      </c>
      <c r="AX37" s="533">
        <v>9349.8321123385194</v>
      </c>
      <c r="AY37" s="561">
        <v>6.3986722246380801E-3</v>
      </c>
      <c r="AZ37" s="545"/>
    </row>
    <row r="38" spans="1:52" ht="14.25" customHeight="1">
      <c r="A38" s="531" t="s">
        <v>1611</v>
      </c>
      <c r="B38" s="533"/>
      <c r="C38" s="533"/>
      <c r="D38" s="533"/>
      <c r="E38" s="533"/>
      <c r="F38" s="533"/>
      <c r="G38" s="533"/>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533"/>
      <c r="AP38" s="533">
        <v>12478.7872468158</v>
      </c>
      <c r="AQ38" s="533">
        <v>12573.786705479401</v>
      </c>
      <c r="AR38" s="533">
        <v>12240.2343175599</v>
      </c>
      <c r="AS38" s="533">
        <v>12625.4990068517</v>
      </c>
      <c r="AT38" s="533">
        <v>12959.0604252875</v>
      </c>
      <c r="AU38" s="533">
        <v>12941.6274799904</v>
      </c>
      <c r="AV38" s="533">
        <v>13283.981986589301</v>
      </c>
      <c r="AW38" s="533">
        <v>13559.3548685602</v>
      </c>
      <c r="AX38" s="533">
        <v>13411.691844635499</v>
      </c>
      <c r="AY38" s="561">
        <v>-1.0890121643403861E-2</v>
      </c>
      <c r="AZ38" s="570">
        <f>(AX38/AX61)</f>
        <v>7.371728641728614E-3</v>
      </c>
    </row>
    <row r="39" spans="1:52" ht="14.25" customHeight="1">
      <c r="A39" s="531" t="s">
        <v>879</v>
      </c>
      <c r="B39" s="533"/>
      <c r="C39" s="533"/>
      <c r="D39" s="533"/>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533"/>
      <c r="AP39" s="533">
        <v>68.769967425000004</v>
      </c>
      <c r="AQ39" s="533">
        <v>83.440262425</v>
      </c>
      <c r="AR39" s="533">
        <v>91.001789424999998</v>
      </c>
      <c r="AS39" s="533">
        <v>90.958995424999998</v>
      </c>
      <c r="AT39" s="533">
        <v>93.875771424999996</v>
      </c>
      <c r="AU39" s="533">
        <v>108.42411142500001</v>
      </c>
      <c r="AV39" s="533">
        <v>111.524968425</v>
      </c>
      <c r="AW39" s="533">
        <v>132.58232842499999</v>
      </c>
      <c r="AX39" s="533">
        <v>193.32813942499999</v>
      </c>
      <c r="AY39" s="561">
        <v>0.45817426591933086</v>
      </c>
      <c r="AZ39" s="545"/>
    </row>
    <row r="40" spans="1:52" ht="14.25" customHeight="1">
      <c r="A40" s="531" t="s">
        <v>2132</v>
      </c>
      <c r="B40" s="532"/>
      <c r="C40" s="532"/>
      <c r="D40" s="532"/>
      <c r="E40" s="532"/>
      <c r="F40" s="532"/>
      <c r="G40" s="532"/>
      <c r="H40" s="532"/>
      <c r="I40" s="532"/>
      <c r="J40" s="532"/>
      <c r="K40" s="532"/>
      <c r="L40" s="532"/>
      <c r="M40" s="532"/>
      <c r="N40" s="532"/>
      <c r="O40" s="532"/>
      <c r="P40" s="532"/>
      <c r="Q40" s="532"/>
      <c r="R40" s="532"/>
      <c r="S40" s="532"/>
      <c r="T40" s="532"/>
      <c r="U40" s="532"/>
      <c r="V40" s="532"/>
      <c r="W40" s="532"/>
      <c r="X40" s="532"/>
      <c r="Y40" s="532"/>
      <c r="Z40" s="532"/>
      <c r="AA40" s="532"/>
      <c r="AB40" s="532"/>
      <c r="AC40" s="532"/>
      <c r="AD40" s="533"/>
      <c r="AE40" s="533"/>
      <c r="AF40" s="533"/>
      <c r="AG40" s="533"/>
      <c r="AH40" s="533"/>
      <c r="AI40" s="533"/>
      <c r="AJ40" s="533"/>
      <c r="AK40" s="533"/>
      <c r="AL40" s="533"/>
      <c r="AM40" s="533"/>
      <c r="AN40" s="533"/>
      <c r="AO40" s="533"/>
      <c r="AP40" s="533">
        <v>1330.493189</v>
      </c>
      <c r="AQ40" s="533">
        <v>1309.3397602</v>
      </c>
      <c r="AR40" s="533">
        <v>1233.3193472</v>
      </c>
      <c r="AS40" s="533">
        <v>821.26705790000005</v>
      </c>
      <c r="AT40" s="533">
        <v>769.40215880000005</v>
      </c>
      <c r="AU40" s="533">
        <v>659.79625009999995</v>
      </c>
      <c r="AV40" s="533">
        <v>571.18531299999995</v>
      </c>
      <c r="AW40" s="533">
        <v>552.68540370000005</v>
      </c>
      <c r="AX40" s="533">
        <v>552.68540370000005</v>
      </c>
      <c r="AY40" s="561">
        <v>0</v>
      </c>
      <c r="AZ40" s="545"/>
    </row>
    <row r="41" spans="1:52" ht="14.25" customHeight="1">
      <c r="A41" s="531"/>
      <c r="B41" s="532"/>
      <c r="C41" s="532"/>
      <c r="D41" s="532"/>
      <c r="E41" s="532"/>
      <c r="F41" s="532"/>
      <c r="G41" s="532"/>
      <c r="H41" s="532"/>
      <c r="I41" s="532"/>
      <c r="J41" s="532"/>
      <c r="K41" s="532"/>
      <c r="L41" s="532"/>
      <c r="M41" s="532"/>
      <c r="N41" s="532"/>
      <c r="O41" s="532"/>
      <c r="P41" s="532"/>
      <c r="Q41" s="532"/>
      <c r="R41" s="533"/>
      <c r="S41" s="533"/>
      <c r="T41" s="533"/>
      <c r="U41" s="533"/>
      <c r="V41" s="533"/>
      <c r="W41" s="533"/>
      <c r="X41" s="533"/>
      <c r="Y41" s="533"/>
      <c r="Z41" s="533"/>
      <c r="AA41" s="533"/>
      <c r="AB41" s="533"/>
      <c r="AC41" s="533"/>
      <c r="AD41" s="533"/>
      <c r="AE41" s="533"/>
      <c r="AF41" s="533"/>
      <c r="AG41" s="533"/>
      <c r="AH41" s="533"/>
      <c r="AI41" s="533"/>
      <c r="AJ41" s="533"/>
      <c r="AK41" s="533"/>
      <c r="AL41" s="533"/>
      <c r="AM41" s="533"/>
      <c r="AN41" s="533"/>
      <c r="AO41" s="533"/>
      <c r="AP41" s="545"/>
      <c r="AQ41" s="545"/>
      <c r="AR41" s="545"/>
      <c r="AS41" s="545"/>
      <c r="AT41" s="545"/>
      <c r="AU41" s="545"/>
      <c r="AV41" s="545"/>
      <c r="AW41" s="545"/>
      <c r="AX41" s="545"/>
      <c r="AY41" s="545"/>
      <c r="AZ41" s="529"/>
    </row>
    <row r="42" spans="1:52" ht="14.25" customHeight="1">
      <c r="A42" s="547" t="s">
        <v>2133</v>
      </c>
      <c r="B42" s="548">
        <v>16191.044530499999</v>
      </c>
      <c r="C42" s="548">
        <v>17305.839064</v>
      </c>
      <c r="D42" s="548">
        <v>18139.275878500001</v>
      </c>
      <c r="E42" s="548">
        <v>18757.124827250002</v>
      </c>
      <c r="F42" s="548">
        <v>18893.38318425</v>
      </c>
      <c r="G42" s="548">
        <v>19001.859066249999</v>
      </c>
      <c r="H42" s="548">
        <v>19415.138075000003</v>
      </c>
      <c r="I42" s="548">
        <v>19963.290531500003</v>
      </c>
      <c r="J42" s="548">
        <v>21054.14170625</v>
      </c>
      <c r="K42" s="548">
        <v>22613.12335975</v>
      </c>
      <c r="L42" s="548">
        <v>23752.16726025</v>
      </c>
      <c r="M42" s="548">
        <v>24205.016152249998</v>
      </c>
      <c r="N42" s="548">
        <v>25080.567701749998</v>
      </c>
      <c r="O42" s="548">
        <v>25690.678932999999</v>
      </c>
      <c r="P42" s="548">
        <v>26474.676752000003</v>
      </c>
      <c r="Q42" s="548">
        <v>27156.558865299812</v>
      </c>
      <c r="R42" s="548">
        <v>28806.419938742507</v>
      </c>
      <c r="S42" s="548">
        <v>29419.969250760048</v>
      </c>
      <c r="T42" s="548">
        <v>28761.616240294006</v>
      </c>
      <c r="U42" s="548">
        <v>29893.580838574951</v>
      </c>
      <c r="V42" s="548">
        <v>30539.139251217675</v>
      </c>
      <c r="W42" s="548">
        <v>31186.11592845921</v>
      </c>
      <c r="X42" s="548">
        <v>31922.958584124193</v>
      </c>
      <c r="Y42" s="548">
        <v>33252.997354930922</v>
      </c>
      <c r="Z42" s="548">
        <v>32968.916239538485</v>
      </c>
      <c r="AA42" s="548">
        <v>34075.22625874581</v>
      </c>
      <c r="AB42" s="548">
        <v>34695.322173174842</v>
      </c>
      <c r="AC42" s="548">
        <v>35419.326415067415</v>
      </c>
      <c r="AD42" s="548">
        <v>36227.872115055659</v>
      </c>
      <c r="AE42" s="548">
        <v>36462.034342605795</v>
      </c>
      <c r="AF42" s="548">
        <v>37793.894023238354</v>
      </c>
      <c r="AG42" s="548">
        <v>38368.492549755676</v>
      </c>
      <c r="AH42" s="548">
        <v>39228.949628537659</v>
      </c>
      <c r="AI42" s="548">
        <v>39662.451613168159</v>
      </c>
      <c r="AJ42" s="548">
        <v>39188.179415546882</v>
      </c>
      <c r="AK42" s="548">
        <v>39321.910562964309</v>
      </c>
      <c r="AL42" s="548">
        <v>40578.069556818984</v>
      </c>
      <c r="AM42" s="548">
        <v>40335.470422827784</v>
      </c>
      <c r="AN42" s="548">
        <v>39986.47170670241</v>
      </c>
      <c r="AO42" s="548">
        <v>39453.442251302142</v>
      </c>
      <c r="AP42" s="548">
        <v>40237.623923398176</v>
      </c>
      <c r="AQ42" s="548">
        <v>40745.513988223363</v>
      </c>
      <c r="AR42" s="548">
        <v>40232.248056603516</v>
      </c>
      <c r="AS42" s="548">
        <v>39933.103054916348</v>
      </c>
      <c r="AT42" s="548">
        <v>39965.10773855904</v>
      </c>
      <c r="AU42" s="548">
        <v>40312.815980216146</v>
      </c>
      <c r="AV42" s="548">
        <v>39447.641668631135</v>
      </c>
      <c r="AW42" s="548">
        <v>39571.335885802539</v>
      </c>
      <c r="AX42" s="548">
        <v>39038.282575175377</v>
      </c>
      <c r="AY42" s="562">
        <v>-1.3470692830928943E-2</v>
      </c>
      <c r="AZ42" s="542"/>
    </row>
    <row r="43" spans="1:52" ht="14.25" customHeight="1">
      <c r="A43" s="531" t="s">
        <v>2103</v>
      </c>
      <c r="B43" s="533">
        <v>367.89743249999998</v>
      </c>
      <c r="C43" s="533">
        <v>388.63560050000001</v>
      </c>
      <c r="D43" s="533">
        <v>405.93226375</v>
      </c>
      <c r="E43" s="533">
        <v>429.10377025000003</v>
      </c>
      <c r="F43" s="533">
        <v>412.28094249999998</v>
      </c>
      <c r="G43" s="533">
        <v>407.13999124999998</v>
      </c>
      <c r="H43" s="533">
        <v>444.481269</v>
      </c>
      <c r="I43" s="533">
        <v>471.47814800000003</v>
      </c>
      <c r="J43" s="533">
        <v>505.78307625000002</v>
      </c>
      <c r="K43" s="533">
        <v>503.23751625</v>
      </c>
      <c r="L43" s="533">
        <v>584.44343149999997</v>
      </c>
      <c r="M43" s="533">
        <v>586.97851549999996</v>
      </c>
      <c r="N43" s="533">
        <v>569.66916374999994</v>
      </c>
      <c r="O43" s="533">
        <v>566.1559115</v>
      </c>
      <c r="P43" s="533">
        <v>656.24602275000007</v>
      </c>
      <c r="Q43" s="533">
        <v>662.47144800000001</v>
      </c>
      <c r="R43" s="533">
        <v>678.80690016455196</v>
      </c>
      <c r="S43" s="533">
        <v>708.54237849375602</v>
      </c>
      <c r="T43" s="533">
        <v>748.35498131768702</v>
      </c>
      <c r="U43" s="533">
        <v>777.09213993016999</v>
      </c>
      <c r="V43" s="533">
        <v>843.30029509026497</v>
      </c>
      <c r="W43" s="533">
        <v>891.37329989860098</v>
      </c>
      <c r="X43" s="533">
        <v>970.45449109392302</v>
      </c>
      <c r="Y43" s="533">
        <v>1124.98243577465</v>
      </c>
      <c r="Z43" s="533">
        <v>1200.2501183264501</v>
      </c>
      <c r="AA43" s="533">
        <v>1272.1452665535801</v>
      </c>
      <c r="AB43" s="533">
        <v>1279.0218967344999</v>
      </c>
      <c r="AC43" s="533">
        <v>1415.3286056259601</v>
      </c>
      <c r="AD43" s="533">
        <v>1415.9016194237699</v>
      </c>
      <c r="AE43" s="533">
        <v>1452.69231592338</v>
      </c>
      <c r="AF43" s="533">
        <v>1405.27872217361</v>
      </c>
      <c r="AG43" s="533">
        <v>1456.978333817</v>
      </c>
      <c r="AH43" s="533">
        <v>1674.6719422552101</v>
      </c>
      <c r="AI43" s="533">
        <v>1797.3601278708099</v>
      </c>
      <c r="AJ43" s="533">
        <v>2011.0215499026799</v>
      </c>
      <c r="AK43" s="533">
        <v>1971.9936662985699</v>
      </c>
      <c r="AL43" s="533">
        <v>2202.9462266596101</v>
      </c>
      <c r="AM43" s="533">
        <v>2058.4743708242499</v>
      </c>
      <c r="AN43" s="533">
        <v>2228.3232985898999</v>
      </c>
      <c r="AO43" s="533">
        <v>2405.0103425908201</v>
      </c>
      <c r="AP43" s="533">
        <v>2637.2192303423699</v>
      </c>
      <c r="AQ43" s="533">
        <v>2818.7880186103298</v>
      </c>
      <c r="AR43" s="533">
        <v>2523.73289487386</v>
      </c>
      <c r="AS43" s="533">
        <v>2588.2768968051901</v>
      </c>
      <c r="AT43" s="533">
        <v>2285.4542676820502</v>
      </c>
      <c r="AU43" s="533">
        <v>2545.18598354197</v>
      </c>
      <c r="AV43" s="533">
        <v>2687.2724589076602</v>
      </c>
      <c r="AW43" s="533">
        <v>2603.5719535028802</v>
      </c>
      <c r="AX43" s="533">
        <v>2426.12102435323</v>
      </c>
      <c r="AY43" s="561">
        <v>-6.8156721734118131E-2</v>
      </c>
      <c r="AZ43" s="548"/>
    </row>
    <row r="44" spans="1:52" ht="14.25" customHeight="1">
      <c r="A44" s="531" t="s">
        <v>2125</v>
      </c>
      <c r="B44" s="533">
        <v>5763.619236999999</v>
      </c>
      <c r="C44" s="533">
        <v>6043.1198695000003</v>
      </c>
      <c r="D44" s="533">
        <v>6472.4053887499995</v>
      </c>
      <c r="E44" s="533">
        <v>6976.2689527500006</v>
      </c>
      <c r="F44" s="533">
        <v>7223.690162500001</v>
      </c>
      <c r="G44" s="533">
        <v>7415.3451937500013</v>
      </c>
      <c r="H44" s="533">
        <v>7643.9243669999996</v>
      </c>
      <c r="I44" s="533">
        <v>7761.8499512500002</v>
      </c>
      <c r="J44" s="533">
        <v>8118.4733987500003</v>
      </c>
      <c r="K44" s="533">
        <v>9126.0233927499994</v>
      </c>
      <c r="L44" s="533">
        <v>9852.1785690000015</v>
      </c>
      <c r="M44" s="533">
        <v>10027.32861325</v>
      </c>
      <c r="N44" s="533">
        <v>10363.088274999996</v>
      </c>
      <c r="O44" s="533">
        <v>10691.0032305</v>
      </c>
      <c r="P44" s="533">
        <v>10989.625856250002</v>
      </c>
      <c r="Q44" s="533">
        <v>11360.904736175866</v>
      </c>
      <c r="R44" s="533">
        <v>11744.675000341142</v>
      </c>
      <c r="S44" s="533">
        <v>11977.206605133835</v>
      </c>
      <c r="T44" s="533">
        <v>11600.567274404155</v>
      </c>
      <c r="U44" s="533">
        <v>12580.175500409603</v>
      </c>
      <c r="V44" s="533">
        <v>12892.983782833571</v>
      </c>
      <c r="W44" s="533">
        <v>13073.206365253167</v>
      </c>
      <c r="X44" s="533">
        <v>13239.223303830629</v>
      </c>
      <c r="Y44" s="533">
        <v>13752.366615596009</v>
      </c>
      <c r="Z44" s="533">
        <v>13608.035283379751</v>
      </c>
      <c r="AA44" s="533">
        <v>13908.241927632387</v>
      </c>
      <c r="AB44" s="533">
        <v>14392.284591870472</v>
      </c>
      <c r="AC44" s="533">
        <v>14515.640536131998</v>
      </c>
      <c r="AD44" s="533">
        <v>15187.219730170909</v>
      </c>
      <c r="AE44" s="533">
        <v>14737.349244953501</v>
      </c>
      <c r="AF44" s="533">
        <v>15492.671649673892</v>
      </c>
      <c r="AG44" s="533">
        <v>15755.933096776771</v>
      </c>
      <c r="AH44" s="533">
        <v>15195.30205741492</v>
      </c>
      <c r="AI44" s="533">
        <v>15240.201532497173</v>
      </c>
      <c r="AJ44" s="533">
        <v>14643.518992737867</v>
      </c>
      <c r="AK44" s="533">
        <v>14080.571311889626</v>
      </c>
      <c r="AL44" s="533">
        <v>15229.240009830064</v>
      </c>
      <c r="AM44" s="533">
        <v>15200.748681440313</v>
      </c>
      <c r="AN44" s="533">
        <v>14492.239507395054</v>
      </c>
      <c r="AO44" s="533">
        <v>14390.471630493277</v>
      </c>
      <c r="AP44" s="533">
        <v>14420.182440203298</v>
      </c>
      <c r="AQ44" s="533">
        <v>14609.374445283936</v>
      </c>
      <c r="AR44" s="533">
        <v>14547.246036940356</v>
      </c>
      <c r="AS44" s="533">
        <v>14616.121598274125</v>
      </c>
      <c r="AT44" s="533">
        <v>14621.670931462941</v>
      </c>
      <c r="AU44" s="533">
        <v>14827.662746176953</v>
      </c>
      <c r="AV44" s="533">
        <v>14035.332215733619</v>
      </c>
      <c r="AW44" s="533">
        <v>13757.739084088116</v>
      </c>
      <c r="AX44" s="533">
        <v>13575.991965543188</v>
      </c>
      <c r="AY44" s="561">
        <v>-1.3210536806526063E-2</v>
      </c>
      <c r="AZ44" s="548"/>
    </row>
    <row r="45" spans="1:52" ht="14.25" customHeight="1" outlineLevel="1">
      <c r="A45" s="567" t="s">
        <v>2126</v>
      </c>
      <c r="B45" s="568"/>
      <c r="C45" s="568"/>
      <c r="D45" s="568"/>
      <c r="E45" s="568"/>
      <c r="F45" s="568"/>
      <c r="G45" s="568"/>
      <c r="H45" s="568"/>
      <c r="I45" s="568"/>
      <c r="J45" s="568"/>
      <c r="K45" s="568"/>
      <c r="L45" s="568"/>
      <c r="M45" s="568"/>
      <c r="N45" s="568"/>
      <c r="O45" s="568"/>
      <c r="P45" s="568"/>
      <c r="Q45" s="568"/>
      <c r="R45" s="569">
        <v>191.04031053172699</v>
      </c>
      <c r="S45" s="569">
        <v>234.72189510467899</v>
      </c>
      <c r="T45" s="569">
        <v>280.05589153595298</v>
      </c>
      <c r="U45" s="569">
        <v>307.98196313529797</v>
      </c>
      <c r="V45" s="569">
        <v>337.73408218364102</v>
      </c>
      <c r="W45" s="569">
        <v>382.41246394426298</v>
      </c>
      <c r="X45" s="569">
        <v>382.65154425428602</v>
      </c>
      <c r="Y45" s="569">
        <v>386.48777673273901</v>
      </c>
      <c r="Z45" s="569">
        <v>328.47254939682898</v>
      </c>
      <c r="AA45" s="569">
        <v>282.009836786574</v>
      </c>
      <c r="AB45" s="569">
        <v>341.04931574960602</v>
      </c>
      <c r="AC45" s="569">
        <v>352.433369635622</v>
      </c>
      <c r="AD45" s="569">
        <v>331.735978318484</v>
      </c>
      <c r="AE45" s="569">
        <v>312.88722810060602</v>
      </c>
      <c r="AF45" s="569">
        <v>289.576518434413</v>
      </c>
      <c r="AG45" s="569">
        <v>322.27019551452599</v>
      </c>
      <c r="AH45" s="569">
        <v>328.35632862943999</v>
      </c>
      <c r="AI45" s="569">
        <v>370.75932944115499</v>
      </c>
      <c r="AJ45" s="569">
        <v>428.25796040188902</v>
      </c>
      <c r="AK45" s="569">
        <v>489.35341110807201</v>
      </c>
      <c r="AL45" s="569">
        <v>425.52463994055802</v>
      </c>
      <c r="AM45" s="569">
        <v>399.95953612159002</v>
      </c>
      <c r="AN45" s="569">
        <v>461.13970359775698</v>
      </c>
      <c r="AO45" s="569">
        <v>465.38531275647699</v>
      </c>
      <c r="AP45" s="569">
        <v>446.47474688218301</v>
      </c>
      <c r="AQ45" s="569">
        <v>405.15986737314199</v>
      </c>
      <c r="AR45" s="569">
        <v>361.53375499534599</v>
      </c>
      <c r="AS45" s="569">
        <v>417.681787380581</v>
      </c>
      <c r="AT45" s="569">
        <v>449.54316553639501</v>
      </c>
      <c r="AU45" s="569">
        <v>449.95961493864598</v>
      </c>
      <c r="AV45" s="569">
        <v>416.46281452481799</v>
      </c>
      <c r="AW45" s="569">
        <v>426.05712185351001</v>
      </c>
      <c r="AX45" s="569">
        <v>431.90003834148803</v>
      </c>
      <c r="AY45" s="561">
        <v>1.3713927518824498E-2</v>
      </c>
      <c r="AZ45" s="548"/>
    </row>
    <row r="46" spans="1:52" ht="14.25" customHeight="1" outlineLevel="1">
      <c r="A46" s="567" t="s">
        <v>2127</v>
      </c>
      <c r="B46" s="568"/>
      <c r="C46" s="568"/>
      <c r="D46" s="568"/>
      <c r="E46" s="568"/>
      <c r="F46" s="568"/>
      <c r="G46" s="568"/>
      <c r="H46" s="568"/>
      <c r="I46" s="568"/>
      <c r="J46" s="568"/>
      <c r="K46" s="568"/>
      <c r="L46" s="568"/>
      <c r="M46" s="568"/>
      <c r="N46" s="568"/>
      <c r="O46" s="568"/>
      <c r="P46" s="568"/>
      <c r="Q46" s="568"/>
      <c r="R46" s="569">
        <v>1510.9206424481199</v>
      </c>
      <c r="S46" s="569">
        <v>1483.80347638803</v>
      </c>
      <c r="T46" s="569">
        <v>1464.84134539417</v>
      </c>
      <c r="U46" s="569">
        <v>1591.3531211588099</v>
      </c>
      <c r="V46" s="569">
        <v>1678.9899285849301</v>
      </c>
      <c r="W46" s="569">
        <v>1700.21370034035</v>
      </c>
      <c r="X46" s="569">
        <v>1708.6931504394199</v>
      </c>
      <c r="Y46" s="569">
        <v>1860.02746391443</v>
      </c>
      <c r="Z46" s="569">
        <v>1783.8080727271399</v>
      </c>
      <c r="AA46" s="569">
        <v>1823.8856283974001</v>
      </c>
      <c r="AB46" s="569">
        <v>1869.9583678342201</v>
      </c>
      <c r="AC46" s="569">
        <v>1961.9209424036401</v>
      </c>
      <c r="AD46" s="569">
        <v>2086.25672916248</v>
      </c>
      <c r="AE46" s="569">
        <v>2047.57588034021</v>
      </c>
      <c r="AF46" s="569">
        <v>2119.4609808587502</v>
      </c>
      <c r="AG46" s="569">
        <v>2275.5589011955999</v>
      </c>
      <c r="AH46" s="569">
        <v>2211.4496983244999</v>
      </c>
      <c r="AI46" s="569">
        <v>2172.6797898947698</v>
      </c>
      <c r="AJ46" s="569">
        <v>2257.0019114398801</v>
      </c>
      <c r="AK46" s="569">
        <v>2262.35853587266</v>
      </c>
      <c r="AL46" s="569">
        <v>2251.6981907855002</v>
      </c>
      <c r="AM46" s="569">
        <v>2230.0805560987701</v>
      </c>
      <c r="AN46" s="569">
        <v>1967.7420778465701</v>
      </c>
      <c r="AO46" s="569">
        <v>2200.4528746427</v>
      </c>
      <c r="AP46" s="569">
        <v>2312.0021523902701</v>
      </c>
      <c r="AQ46" s="569">
        <v>2437.4702760156301</v>
      </c>
      <c r="AR46" s="569">
        <v>2506.7807957382502</v>
      </c>
      <c r="AS46" s="569">
        <v>2662.6327900904598</v>
      </c>
      <c r="AT46" s="569">
        <v>2776.2026660311499</v>
      </c>
      <c r="AU46" s="569">
        <v>2807.4870961275401</v>
      </c>
      <c r="AV46" s="569">
        <v>2873.0614467168102</v>
      </c>
      <c r="AW46" s="569">
        <v>2851.2053844449802</v>
      </c>
      <c r="AX46" s="569">
        <v>3014.04389211531</v>
      </c>
      <c r="AY46" s="561">
        <v>5.711216335333491E-2</v>
      </c>
      <c r="AZ46" s="548"/>
    </row>
    <row r="47" spans="1:52" ht="14.25" customHeight="1" outlineLevel="1">
      <c r="A47" s="567" t="s">
        <v>2128</v>
      </c>
      <c r="B47" s="568"/>
      <c r="C47" s="568"/>
      <c r="D47" s="568"/>
      <c r="E47" s="568"/>
      <c r="F47" s="568"/>
      <c r="G47" s="568"/>
      <c r="H47" s="568"/>
      <c r="I47" s="568"/>
      <c r="J47" s="568"/>
      <c r="K47" s="568"/>
      <c r="L47" s="568"/>
      <c r="M47" s="568"/>
      <c r="N47" s="568"/>
      <c r="O47" s="568"/>
      <c r="P47" s="568"/>
      <c r="Q47" s="568"/>
      <c r="R47" s="569">
        <v>2750.5527724981898</v>
      </c>
      <c r="S47" s="569">
        <v>2931.3516772871799</v>
      </c>
      <c r="T47" s="569">
        <v>2870.2406377971802</v>
      </c>
      <c r="U47" s="569">
        <v>3106.0078802998601</v>
      </c>
      <c r="V47" s="569">
        <v>3157.2704986878198</v>
      </c>
      <c r="W47" s="569">
        <v>3277.76166641482</v>
      </c>
      <c r="X47" s="569">
        <v>3124.2331471603002</v>
      </c>
      <c r="Y47" s="569">
        <v>3235.2973995615698</v>
      </c>
      <c r="Z47" s="569">
        <v>3133.7262324881499</v>
      </c>
      <c r="AA47" s="569">
        <v>3469.8581426000201</v>
      </c>
      <c r="AB47" s="569">
        <v>3719.4313038473601</v>
      </c>
      <c r="AC47" s="569">
        <v>3754.7483670500001</v>
      </c>
      <c r="AD47" s="569">
        <v>4036.5615817912098</v>
      </c>
      <c r="AE47" s="569">
        <v>3714.1204097028099</v>
      </c>
      <c r="AF47" s="569">
        <v>4201.6849187347598</v>
      </c>
      <c r="AG47" s="569">
        <v>4132.6637977189903</v>
      </c>
      <c r="AH47" s="569">
        <v>3704.6888380863602</v>
      </c>
      <c r="AI47" s="569">
        <v>3445.1009209419299</v>
      </c>
      <c r="AJ47" s="569">
        <v>3359.1914074963302</v>
      </c>
      <c r="AK47" s="569">
        <v>3614.4867269594602</v>
      </c>
      <c r="AL47" s="569">
        <v>3741.84481422922</v>
      </c>
      <c r="AM47" s="569">
        <v>3700.9140630127999</v>
      </c>
      <c r="AN47" s="569">
        <v>3378.6862427210899</v>
      </c>
      <c r="AO47" s="569">
        <v>2701.0725438705899</v>
      </c>
      <c r="AP47" s="569">
        <v>2677.8905164879702</v>
      </c>
      <c r="AQ47" s="569">
        <v>2728.5670984469002</v>
      </c>
      <c r="AR47" s="569">
        <v>2732.4600060542002</v>
      </c>
      <c r="AS47" s="569">
        <v>2697.5276964541899</v>
      </c>
      <c r="AT47" s="569">
        <v>2661.02091802922</v>
      </c>
      <c r="AU47" s="569">
        <v>2576.6202924135901</v>
      </c>
      <c r="AV47" s="569">
        <v>2083.8077238288402</v>
      </c>
      <c r="AW47" s="569">
        <v>1684.9516101373499</v>
      </c>
      <c r="AX47" s="569">
        <v>1487.62725840336</v>
      </c>
      <c r="AY47" s="561">
        <v>-0.11710980335981569</v>
      </c>
      <c r="AZ47" s="548"/>
    </row>
    <row r="48" spans="1:52" ht="14.25" customHeight="1" outlineLevel="1">
      <c r="A48" s="567" t="s">
        <v>2129</v>
      </c>
      <c r="B48" s="568"/>
      <c r="C48" s="568"/>
      <c r="D48" s="568"/>
      <c r="E48" s="568"/>
      <c r="F48" s="568"/>
      <c r="G48" s="568"/>
      <c r="H48" s="568"/>
      <c r="I48" s="568"/>
      <c r="J48" s="568"/>
      <c r="K48" s="568"/>
      <c r="L48" s="568"/>
      <c r="M48" s="568"/>
      <c r="N48" s="568"/>
      <c r="O48" s="568"/>
      <c r="P48" s="568"/>
      <c r="Q48" s="568"/>
      <c r="R48" s="569">
        <v>707.71923883330601</v>
      </c>
      <c r="S48" s="569">
        <v>696.36875162541799</v>
      </c>
      <c r="T48" s="569">
        <v>689.36953682711498</v>
      </c>
      <c r="U48" s="569">
        <v>710.33913092763601</v>
      </c>
      <c r="V48" s="569">
        <v>706.42683809032997</v>
      </c>
      <c r="W48" s="569">
        <v>692.02048455447505</v>
      </c>
      <c r="X48" s="569">
        <v>680.18858712707299</v>
      </c>
      <c r="Y48" s="569">
        <v>721.88735862926001</v>
      </c>
      <c r="Z48" s="569">
        <v>707.59057720549401</v>
      </c>
      <c r="AA48" s="569">
        <v>662.21334403071296</v>
      </c>
      <c r="AB48" s="569">
        <v>657.45183712305595</v>
      </c>
      <c r="AC48" s="569">
        <v>710.53777046267703</v>
      </c>
      <c r="AD48" s="569">
        <v>718.925717838727</v>
      </c>
      <c r="AE48" s="569">
        <v>679.20051840610495</v>
      </c>
      <c r="AF48" s="569">
        <v>643.35118914833095</v>
      </c>
      <c r="AG48" s="569">
        <v>753.07602488483496</v>
      </c>
      <c r="AH48" s="569">
        <v>798.80404892347894</v>
      </c>
      <c r="AI48" s="569">
        <v>774.89703119300702</v>
      </c>
      <c r="AJ48" s="569">
        <v>760.46604868395696</v>
      </c>
      <c r="AK48" s="569">
        <v>706.98536042165301</v>
      </c>
      <c r="AL48" s="569">
        <v>704.14918977309696</v>
      </c>
      <c r="AM48" s="569">
        <v>714.71221968349198</v>
      </c>
      <c r="AN48" s="569">
        <v>740.59098734216695</v>
      </c>
      <c r="AO48" s="569">
        <v>751.59145780819904</v>
      </c>
      <c r="AP48" s="569">
        <v>732.27479431615404</v>
      </c>
      <c r="AQ48" s="569">
        <v>774.54180476579495</v>
      </c>
      <c r="AR48" s="569">
        <v>819.31498265165806</v>
      </c>
      <c r="AS48" s="569">
        <v>865.704264205605</v>
      </c>
      <c r="AT48" s="569">
        <v>779.72061877574504</v>
      </c>
      <c r="AU48" s="569">
        <v>800.51130604436696</v>
      </c>
      <c r="AV48" s="569">
        <v>764.06186119451104</v>
      </c>
      <c r="AW48" s="569">
        <v>746.68978385734601</v>
      </c>
      <c r="AX48" s="569">
        <v>533.43328170970904</v>
      </c>
      <c r="AY48" s="561">
        <v>-0.28560254440066013</v>
      </c>
      <c r="AZ48" s="548"/>
    </row>
    <row r="49" spans="1:51" ht="14.25" customHeight="1" outlineLevel="1">
      <c r="A49" s="567" t="s">
        <v>2130</v>
      </c>
      <c r="B49" s="568"/>
      <c r="C49" s="568"/>
      <c r="D49" s="568"/>
      <c r="E49" s="568"/>
      <c r="F49" s="568"/>
      <c r="G49" s="568"/>
      <c r="H49" s="568"/>
      <c r="I49" s="568"/>
      <c r="J49" s="568"/>
      <c r="K49" s="568"/>
      <c r="L49" s="568"/>
      <c r="M49" s="568"/>
      <c r="N49" s="568"/>
      <c r="O49" s="568"/>
      <c r="P49" s="568"/>
      <c r="Q49" s="568"/>
      <c r="R49" s="569">
        <v>5465.7114060608901</v>
      </c>
      <c r="S49" s="569">
        <v>5609.9047318024304</v>
      </c>
      <c r="T49" s="569">
        <v>5307.6891219377203</v>
      </c>
      <c r="U49" s="569">
        <v>5765.9347327284304</v>
      </c>
      <c r="V49" s="569">
        <v>5754.97289758637</v>
      </c>
      <c r="W49" s="569">
        <v>5751.7421757706197</v>
      </c>
      <c r="X49" s="569">
        <v>5966.2032188503999</v>
      </c>
      <c r="Y49" s="569">
        <v>6136.2441305434904</v>
      </c>
      <c r="Z49" s="569">
        <v>6275.0689356819403</v>
      </c>
      <c r="AA49" s="569">
        <v>6351.61888943534</v>
      </c>
      <c r="AB49" s="569">
        <v>6346.5762117085096</v>
      </c>
      <c r="AC49" s="569">
        <v>6290.4225237380997</v>
      </c>
      <c r="AD49" s="569">
        <v>6334.0237323937899</v>
      </c>
      <c r="AE49" s="569">
        <v>6380.6080763439404</v>
      </c>
      <c r="AF49" s="569">
        <v>6669.5899253368098</v>
      </c>
      <c r="AG49" s="569">
        <v>6710.7122658565404</v>
      </c>
      <c r="AH49" s="569">
        <v>6613.5322307381703</v>
      </c>
      <c r="AI49" s="569">
        <v>6869.0183235955101</v>
      </c>
      <c r="AJ49" s="569">
        <v>6300.8050777469598</v>
      </c>
      <c r="AK49" s="569">
        <v>5616.6385840967196</v>
      </c>
      <c r="AL49" s="569">
        <v>6749.6875176521098</v>
      </c>
      <c r="AM49" s="569">
        <v>6907.1910386346299</v>
      </c>
      <c r="AN49" s="569">
        <v>6545.7001854764803</v>
      </c>
      <c r="AO49" s="569">
        <v>6605.6415253382802</v>
      </c>
      <c r="AP49" s="569">
        <v>6549.8930570505199</v>
      </c>
      <c r="AQ49" s="569">
        <v>6524.2867361646704</v>
      </c>
      <c r="AR49" s="569">
        <v>6453.38066645244</v>
      </c>
      <c r="AS49" s="569">
        <v>6356.6504199320698</v>
      </c>
      <c r="AT49" s="569">
        <v>6387.0721295682397</v>
      </c>
      <c r="AU49" s="569">
        <v>6569.6360112826296</v>
      </c>
      <c r="AV49" s="569">
        <v>6239.64177579855</v>
      </c>
      <c r="AW49" s="569">
        <v>6258.5663537970304</v>
      </c>
      <c r="AX49" s="569">
        <v>6271.4406370582001</v>
      </c>
      <c r="AY49" s="561">
        <v>2.057065873138697E-3</v>
      </c>
    </row>
    <row r="50" spans="1:51" ht="14.25" customHeight="1" outlineLevel="1">
      <c r="A50" s="567" t="s">
        <v>2131</v>
      </c>
      <c r="B50" s="568"/>
      <c r="C50" s="568"/>
      <c r="D50" s="568"/>
      <c r="E50" s="568"/>
      <c r="F50" s="568"/>
      <c r="G50" s="568"/>
      <c r="H50" s="568"/>
      <c r="I50" s="568"/>
      <c r="J50" s="568"/>
      <c r="K50" s="568"/>
      <c r="L50" s="568"/>
      <c r="M50" s="568"/>
      <c r="N50" s="568"/>
      <c r="O50" s="568"/>
      <c r="P50" s="568"/>
      <c r="Q50" s="568"/>
      <c r="R50" s="569">
        <v>1118.7306299689101</v>
      </c>
      <c r="S50" s="569">
        <v>1021.0560729261</v>
      </c>
      <c r="T50" s="569">
        <v>988.37074091201703</v>
      </c>
      <c r="U50" s="569">
        <v>1098.5586721595701</v>
      </c>
      <c r="V50" s="569">
        <v>1257.5895377004799</v>
      </c>
      <c r="W50" s="569">
        <v>1269.0558742286401</v>
      </c>
      <c r="X50" s="569">
        <v>1377.2536559991499</v>
      </c>
      <c r="Y50" s="569">
        <v>1412.4224862145199</v>
      </c>
      <c r="Z50" s="569">
        <v>1379.3689158801999</v>
      </c>
      <c r="AA50" s="569">
        <v>1318.6560863823399</v>
      </c>
      <c r="AB50" s="569">
        <v>1457.8175556077199</v>
      </c>
      <c r="AC50" s="569">
        <v>1445.5775628419599</v>
      </c>
      <c r="AD50" s="569">
        <v>1679.71599066622</v>
      </c>
      <c r="AE50" s="569">
        <v>1602.95713205983</v>
      </c>
      <c r="AF50" s="569">
        <v>1569.0081171608299</v>
      </c>
      <c r="AG50" s="569">
        <v>1561.65191160628</v>
      </c>
      <c r="AH50" s="569">
        <v>1538.4709127129699</v>
      </c>
      <c r="AI50" s="569">
        <v>1607.7461374308</v>
      </c>
      <c r="AJ50" s="569">
        <v>1537.7965869688501</v>
      </c>
      <c r="AK50" s="569">
        <v>1390.74869343106</v>
      </c>
      <c r="AL50" s="569">
        <v>1356.3356574495799</v>
      </c>
      <c r="AM50" s="569">
        <v>1247.8912678890299</v>
      </c>
      <c r="AN50" s="569">
        <v>1398.38031041099</v>
      </c>
      <c r="AO50" s="569">
        <v>1666.3279160770301</v>
      </c>
      <c r="AP50" s="569">
        <v>1701.6471730762</v>
      </c>
      <c r="AQ50" s="569">
        <v>1739.3486625178</v>
      </c>
      <c r="AR50" s="569">
        <v>1673.7758310484601</v>
      </c>
      <c r="AS50" s="569">
        <v>1615.9246402112201</v>
      </c>
      <c r="AT50" s="569">
        <v>1568.1114335221901</v>
      </c>
      <c r="AU50" s="569">
        <v>1623.4484253701801</v>
      </c>
      <c r="AV50" s="569">
        <v>1658.29659367009</v>
      </c>
      <c r="AW50" s="569">
        <v>1790.2688299979</v>
      </c>
      <c r="AX50" s="569">
        <v>1837.54685791512</v>
      </c>
      <c r="AY50" s="561">
        <v>2.6408339979463014E-2</v>
      </c>
    </row>
    <row r="51" spans="1:51" ht="14.25" customHeight="1">
      <c r="A51" s="531" t="s">
        <v>1604</v>
      </c>
      <c r="B51" s="533">
        <v>2534.47509175</v>
      </c>
      <c r="C51" s="533">
        <v>2683.7467494999996</v>
      </c>
      <c r="D51" s="533">
        <v>2861.7906035000001</v>
      </c>
      <c r="E51" s="533">
        <v>3017.0044244999999</v>
      </c>
      <c r="F51" s="533">
        <v>3042.8923995000005</v>
      </c>
      <c r="G51" s="533">
        <v>3202.0768812499996</v>
      </c>
      <c r="H51" s="533">
        <v>3323.2064390000005</v>
      </c>
      <c r="I51" s="533">
        <v>3522.5307640000001</v>
      </c>
      <c r="J51" s="533">
        <v>3814.2405104999998</v>
      </c>
      <c r="K51" s="533">
        <v>4065.1330389999998</v>
      </c>
      <c r="L51" s="533">
        <v>4321.9054125000002</v>
      </c>
      <c r="M51" s="533">
        <v>4531.1106742499996</v>
      </c>
      <c r="N51" s="533">
        <v>4809.7402322500002</v>
      </c>
      <c r="O51" s="533">
        <v>5010.5790722499996</v>
      </c>
      <c r="P51" s="533">
        <v>5340.3309687500005</v>
      </c>
      <c r="Q51" s="533">
        <v>5387.8169496239461</v>
      </c>
      <c r="R51" s="533">
        <v>5320.6098614087296</v>
      </c>
      <c r="S51" s="533">
        <v>5416.9190622600599</v>
      </c>
      <c r="T51" s="533">
        <v>5316.9316441492301</v>
      </c>
      <c r="U51" s="533">
        <v>5412.1373171959103</v>
      </c>
      <c r="V51" s="533">
        <v>5520.8217742330298</v>
      </c>
      <c r="W51" s="533">
        <v>5771.6868047168</v>
      </c>
      <c r="X51" s="533">
        <v>5934.3228269336596</v>
      </c>
      <c r="Y51" s="533">
        <v>6431.6094096303495</v>
      </c>
      <c r="Z51" s="533">
        <v>6450.7261401328396</v>
      </c>
      <c r="AA51" s="533">
        <v>6685.7711169963604</v>
      </c>
      <c r="AB51" s="533">
        <v>6903.9824163795502</v>
      </c>
      <c r="AC51" s="533">
        <v>6855.6475502412104</v>
      </c>
      <c r="AD51" s="533">
        <v>7068.4624381187896</v>
      </c>
      <c r="AE51" s="533">
        <v>7216.9124255257902</v>
      </c>
      <c r="AF51" s="533">
        <v>7788.5516059692</v>
      </c>
      <c r="AG51" s="533">
        <v>8234.0759441960308</v>
      </c>
      <c r="AH51" s="533">
        <v>8814.5034740584397</v>
      </c>
      <c r="AI51" s="533">
        <v>9132.9936624353104</v>
      </c>
      <c r="AJ51" s="533">
        <v>9024.9721898449898</v>
      </c>
      <c r="AK51" s="533">
        <v>8933.3594595118793</v>
      </c>
      <c r="AL51" s="533">
        <v>9005.0049708531897</v>
      </c>
      <c r="AM51" s="533">
        <v>8972.0254427549298</v>
      </c>
      <c r="AN51" s="533">
        <v>9363.6913293841299</v>
      </c>
      <c r="AO51" s="533">
        <v>9336.1497170799103</v>
      </c>
      <c r="AP51" s="533">
        <v>9339.8441723668093</v>
      </c>
      <c r="AQ51" s="533">
        <v>9455.5055413539994</v>
      </c>
      <c r="AR51" s="533">
        <v>9459.7198946659992</v>
      </c>
      <c r="AS51" s="533">
        <v>9434.7215578975392</v>
      </c>
      <c r="AT51" s="533">
        <v>9491.6941208702501</v>
      </c>
      <c r="AU51" s="533">
        <v>9521.2082833545192</v>
      </c>
      <c r="AV51" s="533">
        <v>9170.5596951387506</v>
      </c>
      <c r="AW51" s="533">
        <v>9277.3162313152407</v>
      </c>
      <c r="AX51" s="533">
        <v>9292.3580041301593</v>
      </c>
      <c r="AY51" s="561">
        <v>1.6213495842845038E-3</v>
      </c>
    </row>
    <row r="52" spans="1:51" ht="14.25" customHeight="1">
      <c r="A52" s="531" t="s">
        <v>1611</v>
      </c>
      <c r="B52" s="533">
        <v>7525.05276925</v>
      </c>
      <c r="C52" s="533">
        <v>8190.3368444999996</v>
      </c>
      <c r="D52" s="533">
        <v>8399.1476225000006</v>
      </c>
      <c r="E52" s="533">
        <v>8334.7476797500003</v>
      </c>
      <c r="F52" s="533">
        <v>8214.5196797499993</v>
      </c>
      <c r="G52" s="533">
        <v>7977.2969999999987</v>
      </c>
      <c r="H52" s="533">
        <v>8003.5259999999998</v>
      </c>
      <c r="I52" s="533">
        <v>8207.4316682500012</v>
      </c>
      <c r="J52" s="533">
        <v>8615.6447207500005</v>
      </c>
      <c r="K52" s="533">
        <v>8918.7294117500005</v>
      </c>
      <c r="L52" s="533">
        <v>8993.6398472499986</v>
      </c>
      <c r="M52" s="533">
        <v>9059.59834925</v>
      </c>
      <c r="N52" s="533">
        <v>9338.070030750001</v>
      </c>
      <c r="O52" s="533">
        <v>9422.9407187500001</v>
      </c>
      <c r="P52" s="533">
        <v>9488.4739042500005</v>
      </c>
      <c r="Q52" s="533">
        <v>9745.3657315</v>
      </c>
      <c r="R52" s="533">
        <v>10164.237102029299</v>
      </c>
      <c r="S52" s="533">
        <v>10426.5957637959</v>
      </c>
      <c r="T52" s="533">
        <v>10203.510220149001</v>
      </c>
      <c r="U52" s="533">
        <v>10226.0370815679</v>
      </c>
      <c r="V52" s="533">
        <v>10379.657920391999</v>
      </c>
      <c r="W52" s="533">
        <v>10546.187300724399</v>
      </c>
      <c r="X52" s="533">
        <v>10874.149244202301</v>
      </c>
      <c r="Y52" s="533">
        <v>11034.747475668801</v>
      </c>
      <c r="Z52" s="533">
        <v>10800.220205240899</v>
      </c>
      <c r="AA52" s="533">
        <v>11298.5441439075</v>
      </c>
      <c r="AB52" s="533">
        <v>11210.481829336901</v>
      </c>
      <c r="AC52" s="533">
        <v>11725.1683500174</v>
      </c>
      <c r="AD52" s="533">
        <v>11648.6194290939</v>
      </c>
      <c r="AE52" s="533">
        <v>12148.557931757399</v>
      </c>
      <c r="AF52" s="533">
        <v>12259.6230673601</v>
      </c>
      <c r="AG52" s="533">
        <v>12096.9657139622</v>
      </c>
      <c r="AH52" s="533">
        <v>12620.2586771062</v>
      </c>
      <c r="AI52" s="533">
        <v>12567.04837748</v>
      </c>
      <c r="AJ52" s="533">
        <v>12448.8209380523</v>
      </c>
      <c r="AK52" s="533">
        <v>12953.7437219535</v>
      </c>
      <c r="AL52" s="533">
        <v>12539.977699794699</v>
      </c>
      <c r="AM52" s="533">
        <v>12592.2845147486</v>
      </c>
      <c r="AN52" s="533">
        <v>12640.8351863302</v>
      </c>
      <c r="AO52" s="533">
        <v>12301.6315640182</v>
      </c>
      <c r="AP52" s="533">
        <v>12441.114924060699</v>
      </c>
      <c r="AQ52" s="533">
        <v>12469.065960350101</v>
      </c>
      <c r="AR52" s="533">
        <v>12377.228093498299</v>
      </c>
      <c r="AS52" s="533">
        <v>12381.7569486145</v>
      </c>
      <c r="AT52" s="533">
        <v>12703.0104883188</v>
      </c>
      <c r="AU52" s="533">
        <v>12650.538605617699</v>
      </c>
      <c r="AV52" s="533">
        <v>12871.7670174261</v>
      </c>
      <c r="AW52" s="533">
        <v>13247.4408847713</v>
      </c>
      <c r="AX52" s="533">
        <v>12997.7980380238</v>
      </c>
      <c r="AY52" s="561">
        <v>-1.8844609228222953E-2</v>
      </c>
    </row>
    <row r="53" spans="1:51" ht="14.25" customHeight="1">
      <c r="A53" s="531" t="s">
        <v>879</v>
      </c>
      <c r="B53" s="532"/>
      <c r="C53" s="532"/>
      <c r="D53" s="532"/>
      <c r="E53" s="532"/>
      <c r="F53" s="532"/>
      <c r="G53" s="532"/>
      <c r="H53" s="532"/>
      <c r="I53" s="532"/>
      <c r="J53" s="532"/>
      <c r="K53" s="532"/>
      <c r="L53" s="532"/>
      <c r="M53" s="532"/>
      <c r="N53" s="532"/>
      <c r="O53" s="532"/>
      <c r="P53" s="532"/>
      <c r="Q53" s="532"/>
      <c r="R53" s="533">
        <v>61.211074798784402</v>
      </c>
      <c r="S53" s="533">
        <v>53.825441076497498</v>
      </c>
      <c r="T53" s="533">
        <v>55.372120273933298</v>
      </c>
      <c r="U53" s="533">
        <v>61.258799471369201</v>
      </c>
      <c r="V53" s="533">
        <v>65.495478668805106</v>
      </c>
      <c r="W53" s="533">
        <v>66.782157866241107</v>
      </c>
      <c r="X53" s="533">
        <v>67.928718063676996</v>
      </c>
      <c r="Y53" s="533">
        <v>72.4114182611128</v>
      </c>
      <c r="Z53" s="533">
        <v>72.804492458548694</v>
      </c>
      <c r="AA53" s="533">
        <v>73.643803655984598</v>
      </c>
      <c r="AB53" s="533">
        <v>72.671438853420497</v>
      </c>
      <c r="AC53" s="533">
        <v>70.661373050856398</v>
      </c>
      <c r="AD53" s="533">
        <v>70.788898248292298</v>
      </c>
      <c r="AE53" s="533">
        <v>69.642424445728196</v>
      </c>
      <c r="AF53" s="533">
        <v>71.116978061547698</v>
      </c>
      <c r="AG53" s="533">
        <v>70.370461003670201</v>
      </c>
      <c r="AH53" s="533">
        <v>66.448477702889505</v>
      </c>
      <c r="AI53" s="533">
        <v>66.500912884872307</v>
      </c>
      <c r="AJ53" s="533">
        <v>65.548349216066597</v>
      </c>
      <c r="AK53" s="533">
        <v>59.1391177548877</v>
      </c>
      <c r="AL53" s="533">
        <v>64.208659799062701</v>
      </c>
      <c r="AM53" s="533">
        <v>68.023150271471707</v>
      </c>
      <c r="AN53" s="533">
        <v>69.8950373225437</v>
      </c>
      <c r="AO53" s="533">
        <v>67.001997219928697</v>
      </c>
      <c r="AP53" s="533">
        <v>68.769967425000004</v>
      </c>
      <c r="AQ53" s="533">
        <v>83.440262425</v>
      </c>
      <c r="AR53" s="533">
        <v>91.001789424999998</v>
      </c>
      <c r="AS53" s="533">
        <v>90.958995424999998</v>
      </c>
      <c r="AT53" s="533">
        <v>93.875771424999996</v>
      </c>
      <c r="AU53" s="533">
        <v>108.42411142500001</v>
      </c>
      <c r="AV53" s="533">
        <v>111.524968425</v>
      </c>
      <c r="AW53" s="533">
        <v>132.58232842499999</v>
      </c>
      <c r="AX53" s="533">
        <v>193.32813942499999</v>
      </c>
      <c r="AY53" s="561">
        <v>0.45817426591933086</v>
      </c>
    </row>
    <row r="54" spans="1:51" ht="14.25" customHeight="1">
      <c r="A54" s="531" t="s">
        <v>2132</v>
      </c>
      <c r="B54" s="532"/>
      <c r="C54" s="532"/>
      <c r="D54" s="532"/>
      <c r="E54" s="532"/>
      <c r="F54" s="532"/>
      <c r="G54" s="532"/>
      <c r="H54" s="532"/>
      <c r="I54" s="532"/>
      <c r="J54" s="532"/>
      <c r="K54" s="532"/>
      <c r="L54" s="532"/>
      <c r="M54" s="532"/>
      <c r="N54" s="532"/>
      <c r="O54" s="532"/>
      <c r="P54" s="532"/>
      <c r="Q54" s="532"/>
      <c r="R54" s="533">
        <v>836.88</v>
      </c>
      <c r="S54" s="533">
        <v>836.88</v>
      </c>
      <c r="T54" s="533">
        <v>836.88</v>
      </c>
      <c r="U54" s="533">
        <v>836.88</v>
      </c>
      <c r="V54" s="533">
        <v>836.88</v>
      </c>
      <c r="W54" s="533">
        <v>836.88</v>
      </c>
      <c r="X54" s="533">
        <v>836.88</v>
      </c>
      <c r="Y54" s="533">
        <v>836.88</v>
      </c>
      <c r="Z54" s="533">
        <v>836.88</v>
      </c>
      <c r="AA54" s="533">
        <v>836.88</v>
      </c>
      <c r="AB54" s="533">
        <v>836.88</v>
      </c>
      <c r="AC54" s="533">
        <v>836.88</v>
      </c>
      <c r="AD54" s="533">
        <v>836.88</v>
      </c>
      <c r="AE54" s="533">
        <v>836.88</v>
      </c>
      <c r="AF54" s="533">
        <v>776.65200000000004</v>
      </c>
      <c r="AG54" s="533">
        <v>754.16899999999998</v>
      </c>
      <c r="AH54" s="533">
        <v>857.76499999999999</v>
      </c>
      <c r="AI54" s="533">
        <v>858.34699999999998</v>
      </c>
      <c r="AJ54" s="533">
        <v>826.16514480000001</v>
      </c>
      <c r="AK54" s="533">
        <v>950.62769990000004</v>
      </c>
      <c r="AL54" s="533">
        <v>1077.1727999</v>
      </c>
      <c r="AM54" s="533">
        <v>1228.4299999</v>
      </c>
      <c r="AN54" s="533">
        <v>1158.9490000999999</v>
      </c>
      <c r="AO54" s="533">
        <v>953.17699990000006</v>
      </c>
      <c r="AP54" s="533">
        <v>1330.493189</v>
      </c>
      <c r="AQ54" s="533">
        <v>1309.3397602</v>
      </c>
      <c r="AR54" s="533">
        <v>1233.3193472</v>
      </c>
      <c r="AS54" s="533">
        <v>821.26705790000005</v>
      </c>
      <c r="AT54" s="533">
        <v>769.40215880000005</v>
      </c>
      <c r="AU54" s="533">
        <v>659.79625009999995</v>
      </c>
      <c r="AV54" s="533">
        <v>571.18531299999995</v>
      </c>
      <c r="AW54" s="533">
        <v>552.68540370000005</v>
      </c>
      <c r="AX54" s="533">
        <v>552.68540370000005</v>
      </c>
      <c r="AY54" s="561">
        <v>0</v>
      </c>
    </row>
    <row r="55" spans="1:51" ht="14.25" customHeight="1">
      <c r="A55" s="531" t="s">
        <v>2134</v>
      </c>
      <c r="B55" s="532"/>
      <c r="C55" s="532"/>
      <c r="D55" s="532"/>
      <c r="E55" s="532"/>
      <c r="F55" s="532"/>
      <c r="G55" s="532"/>
      <c r="H55" s="532"/>
      <c r="I55" s="532"/>
      <c r="J55" s="532"/>
      <c r="K55" s="532"/>
      <c r="L55" s="532"/>
      <c r="M55" s="532"/>
      <c r="N55" s="532"/>
      <c r="O55" s="532"/>
      <c r="P55" s="532"/>
      <c r="Q55" s="532"/>
      <c r="R55" s="533">
        <v>0</v>
      </c>
      <c r="S55" s="533">
        <v>0</v>
      </c>
      <c r="T55" s="533">
        <v>0</v>
      </c>
      <c r="U55" s="533">
        <v>0</v>
      </c>
      <c r="V55" s="533">
        <v>0</v>
      </c>
      <c r="W55" s="533">
        <v>0</v>
      </c>
      <c r="X55" s="533">
        <v>0</v>
      </c>
      <c r="Y55" s="533">
        <v>0</v>
      </c>
      <c r="Z55" s="533">
        <v>0</v>
      </c>
      <c r="AA55" s="533">
        <v>0</v>
      </c>
      <c r="AB55" s="533">
        <v>0</v>
      </c>
      <c r="AC55" s="533">
        <v>0</v>
      </c>
      <c r="AD55" s="533">
        <v>0</v>
      </c>
      <c r="AE55" s="533">
        <v>0</v>
      </c>
      <c r="AF55" s="533">
        <v>0</v>
      </c>
      <c r="AG55" s="533">
        <v>0</v>
      </c>
      <c r="AH55" s="533">
        <v>0</v>
      </c>
      <c r="AI55" s="533">
        <v>0</v>
      </c>
      <c r="AJ55" s="533">
        <v>168.13225099298199</v>
      </c>
      <c r="AK55" s="533">
        <v>372.47558565585302</v>
      </c>
      <c r="AL55" s="533">
        <v>459.51918998236198</v>
      </c>
      <c r="AM55" s="533">
        <v>215.484262888221</v>
      </c>
      <c r="AN55" s="533">
        <v>32.538347580581203</v>
      </c>
      <c r="AO55" s="533">
        <v>0</v>
      </c>
      <c r="AP55" s="533">
        <v>0</v>
      </c>
      <c r="AQ55" s="533">
        <v>0</v>
      </c>
      <c r="AR55" s="533">
        <v>0</v>
      </c>
      <c r="AS55" s="533">
        <v>0</v>
      </c>
      <c r="AT55" s="533">
        <v>0</v>
      </c>
      <c r="AU55" s="533">
        <v>0</v>
      </c>
      <c r="AV55" s="533">
        <v>0</v>
      </c>
      <c r="AW55" s="533">
        <v>0</v>
      </c>
      <c r="AX55" s="533">
        <v>0</v>
      </c>
      <c r="AY55" s="561"/>
    </row>
    <row r="56" spans="1:51" ht="14.25" customHeight="1">
      <c r="A56" s="531"/>
      <c r="B56" s="533"/>
      <c r="C56" s="533"/>
      <c r="D56" s="533"/>
      <c r="E56" s="533"/>
      <c r="F56" s="533"/>
      <c r="G56" s="533"/>
      <c r="H56" s="533"/>
      <c r="I56" s="533"/>
      <c r="J56" s="533"/>
      <c r="K56" s="533"/>
      <c r="L56" s="533"/>
      <c r="M56" s="533"/>
      <c r="N56" s="533"/>
      <c r="O56" s="533"/>
      <c r="P56" s="533"/>
      <c r="Q56" s="533"/>
      <c r="R56" s="533"/>
      <c r="S56" s="533"/>
      <c r="T56" s="533"/>
      <c r="U56" s="533"/>
      <c r="V56" s="533"/>
      <c r="W56" s="533"/>
      <c r="X56" s="533"/>
      <c r="Y56" s="533"/>
      <c r="Z56" s="533"/>
      <c r="AA56" s="533"/>
      <c r="AB56" s="533"/>
      <c r="AC56" s="533"/>
      <c r="AD56" s="533"/>
      <c r="AE56" s="533"/>
      <c r="AF56" s="533"/>
      <c r="AG56" s="533"/>
      <c r="AH56" s="533"/>
      <c r="AI56" s="533"/>
      <c r="AJ56" s="533"/>
      <c r="AK56" s="533"/>
      <c r="AL56" s="533"/>
      <c r="AM56" s="533"/>
      <c r="AN56" s="533"/>
      <c r="AO56" s="533"/>
      <c r="AP56" s="533"/>
      <c r="AQ56" s="533"/>
      <c r="AR56" s="533"/>
      <c r="AS56" s="533"/>
      <c r="AT56" s="533"/>
      <c r="AU56" s="533"/>
      <c r="AV56" s="533"/>
      <c r="AW56" s="533"/>
      <c r="AX56" s="533"/>
      <c r="AY56" s="545"/>
    </row>
    <row r="57" spans="1:51" ht="14.25" customHeight="1">
      <c r="A57" s="547" t="s">
        <v>2135</v>
      </c>
      <c r="B57" s="548"/>
      <c r="C57" s="548"/>
      <c r="D57" s="548"/>
      <c r="E57" s="548"/>
      <c r="F57" s="548"/>
      <c r="G57" s="548"/>
      <c r="H57" s="548"/>
      <c r="I57" s="548"/>
      <c r="J57" s="548"/>
      <c r="K57" s="548"/>
      <c r="L57" s="548"/>
      <c r="M57" s="548"/>
      <c r="N57" s="548"/>
      <c r="O57" s="548"/>
      <c r="P57" s="548"/>
      <c r="Q57" s="548"/>
      <c r="R57" s="548"/>
      <c r="S57" s="548"/>
      <c r="T57" s="548"/>
      <c r="U57" s="548"/>
      <c r="V57" s="548"/>
      <c r="W57" s="548"/>
      <c r="X57" s="548"/>
      <c r="Y57" s="548"/>
      <c r="Z57" s="548">
        <v>1687515</v>
      </c>
      <c r="AA57" s="548">
        <v>1692581.75</v>
      </c>
      <c r="AB57" s="548">
        <v>1708024.875</v>
      </c>
      <c r="AC57" s="548">
        <v>1727054.625</v>
      </c>
      <c r="AD57" s="548">
        <v>1773823.75</v>
      </c>
      <c r="AE57" s="548">
        <v>1805141.5</v>
      </c>
      <c r="AF57" s="548">
        <v>1805448</v>
      </c>
      <c r="AG57" s="548">
        <v>1854388</v>
      </c>
      <c r="AH57" s="548">
        <v>1895072.5</v>
      </c>
      <c r="AI57" s="548">
        <v>1896968.75</v>
      </c>
      <c r="AJ57" s="548">
        <v>1892638.2296173424</v>
      </c>
      <c r="AK57" s="548">
        <v>1905740.0938660875</v>
      </c>
      <c r="AL57" s="548">
        <v>1900747.001748075</v>
      </c>
      <c r="AM57" s="548">
        <v>1923845.4460671348</v>
      </c>
      <c r="AN57" s="548">
        <v>1949631.5677149738</v>
      </c>
      <c r="AO57" s="548">
        <v>1955196.7739243442</v>
      </c>
      <c r="AP57" s="548">
        <v>1976911.7450737497</v>
      </c>
      <c r="AQ57" s="548">
        <v>2007911.2925000042</v>
      </c>
      <c r="AR57" s="548">
        <v>2031258.2433333322</v>
      </c>
      <c r="AS57" s="548">
        <v>2052120.2499999986</v>
      </c>
      <c r="AT57" s="548">
        <v>2064780.6249999981</v>
      </c>
      <c r="AU57" s="548">
        <v>2075899.6875000014</v>
      </c>
      <c r="AV57" s="548">
        <v>2103184.7859195364</v>
      </c>
      <c r="AW57" s="548">
        <v>2131783.5536398455</v>
      </c>
      <c r="AX57" s="548">
        <v>2149922.9375</v>
      </c>
      <c r="AY57" s="562">
        <v>8.5090176388606942E-3</v>
      </c>
    </row>
    <row r="58" spans="1:51" ht="14.25" customHeight="1">
      <c r="A58" s="531" t="s">
        <v>2103</v>
      </c>
      <c r="B58" s="532"/>
      <c r="C58" s="532"/>
      <c r="D58" s="532"/>
      <c r="E58" s="532"/>
      <c r="F58" s="532"/>
      <c r="G58" s="532"/>
      <c r="H58" s="532"/>
      <c r="I58" s="532"/>
      <c r="J58" s="532"/>
      <c r="K58" s="532"/>
      <c r="L58" s="532"/>
      <c r="M58" s="532"/>
      <c r="N58" s="532"/>
      <c r="O58" s="532"/>
      <c r="P58" s="532"/>
      <c r="Q58" s="532"/>
      <c r="R58" s="532"/>
      <c r="S58" s="532"/>
      <c r="T58" s="532"/>
      <c r="U58" s="532"/>
      <c r="V58" s="532"/>
      <c r="W58" s="532"/>
      <c r="X58" s="532"/>
      <c r="Y58" s="532"/>
      <c r="Z58" s="533">
        <v>91047.75</v>
      </c>
      <c r="AA58" s="533">
        <v>83107.25</v>
      </c>
      <c r="AB58" s="533">
        <v>73036.75</v>
      </c>
      <c r="AC58" s="533">
        <v>71970.25</v>
      </c>
      <c r="AD58" s="533">
        <v>74396.25</v>
      </c>
      <c r="AE58" s="533">
        <v>73887.75</v>
      </c>
      <c r="AF58" s="533">
        <v>72359</v>
      </c>
      <c r="AG58" s="533">
        <v>75711.75</v>
      </c>
      <c r="AH58" s="533">
        <v>77090.25</v>
      </c>
      <c r="AI58" s="533">
        <v>74247.807499999995</v>
      </c>
      <c r="AJ58" s="533">
        <v>74050.405023075</v>
      </c>
      <c r="AK58" s="533">
        <v>69963.992803150002</v>
      </c>
      <c r="AL58" s="533">
        <v>64763.267823499998</v>
      </c>
      <c r="AM58" s="533">
        <v>67050.506618125</v>
      </c>
      <c r="AN58" s="533">
        <v>77208.462612559801</v>
      </c>
      <c r="AO58" s="533">
        <v>78058.811531707994</v>
      </c>
      <c r="AP58" s="533">
        <v>77980.317417633894</v>
      </c>
      <c r="AQ58" s="533">
        <v>78506.304112964703</v>
      </c>
      <c r="AR58" s="533">
        <v>78346.089762459596</v>
      </c>
      <c r="AS58" s="533">
        <v>79194.740049293701</v>
      </c>
      <c r="AT58" s="533">
        <v>78583.254516580593</v>
      </c>
      <c r="AU58" s="533">
        <v>79838.080071708202</v>
      </c>
      <c r="AV58" s="533">
        <v>85760.500031695803</v>
      </c>
      <c r="AW58" s="533">
        <v>86337</v>
      </c>
      <c r="AX58" s="533">
        <v>86363</v>
      </c>
      <c r="AY58" s="561">
        <v>3.0114551119453381E-4</v>
      </c>
    </row>
    <row r="59" spans="1:51" ht="14.25" customHeight="1">
      <c r="A59" s="531" t="s">
        <v>1613</v>
      </c>
      <c r="B59" s="532"/>
      <c r="C59" s="532"/>
      <c r="D59" s="532"/>
      <c r="E59" s="532"/>
      <c r="F59" s="532"/>
      <c r="G59" s="532"/>
      <c r="H59" s="532"/>
      <c r="I59" s="532"/>
      <c r="J59" s="532"/>
      <c r="K59" s="532"/>
      <c r="L59" s="532"/>
      <c r="M59" s="532"/>
      <c r="N59" s="532"/>
      <c r="O59" s="532"/>
      <c r="P59" s="532"/>
      <c r="Q59" s="532"/>
      <c r="R59" s="532"/>
      <c r="S59" s="532"/>
      <c r="T59" s="532"/>
      <c r="U59" s="532"/>
      <c r="V59" s="532"/>
      <c r="W59" s="532"/>
      <c r="X59" s="532"/>
      <c r="Y59" s="532"/>
      <c r="Z59" s="533">
        <v>35605.75</v>
      </c>
      <c r="AA59" s="533">
        <v>32753.25</v>
      </c>
      <c r="AB59" s="533">
        <v>32928.875</v>
      </c>
      <c r="AC59" s="533">
        <v>30336.625</v>
      </c>
      <c r="AD59" s="533">
        <v>30970</v>
      </c>
      <c r="AE59" s="533">
        <v>32411.5</v>
      </c>
      <c r="AF59" s="533">
        <v>32336.75</v>
      </c>
      <c r="AG59" s="533">
        <v>35204.5</v>
      </c>
      <c r="AH59" s="533">
        <v>38059.75</v>
      </c>
      <c r="AI59" s="533">
        <v>39418.277499999997</v>
      </c>
      <c r="AJ59" s="533">
        <v>38736.605153117504</v>
      </c>
      <c r="AK59" s="533">
        <v>38707.245649112498</v>
      </c>
      <c r="AL59" s="533">
        <v>35824.1866744</v>
      </c>
      <c r="AM59" s="533">
        <v>37142.231248759999</v>
      </c>
      <c r="AN59" s="533">
        <v>35812.957927238</v>
      </c>
      <c r="AO59" s="533">
        <v>35131.328295543099</v>
      </c>
      <c r="AP59" s="533">
        <v>37179.322806572898</v>
      </c>
      <c r="AQ59" s="533">
        <v>39349.505577740398</v>
      </c>
      <c r="AR59" s="533">
        <v>41493.1164489445</v>
      </c>
      <c r="AS59" s="533">
        <v>42752.968555927902</v>
      </c>
      <c r="AT59" s="533">
        <v>44104.606690152403</v>
      </c>
      <c r="AU59" s="533">
        <v>45360.293430829202</v>
      </c>
      <c r="AV59" s="533">
        <v>47947.348595892399</v>
      </c>
      <c r="AW59" s="533">
        <v>49792.053672222602</v>
      </c>
      <c r="AX59" s="533">
        <v>51141.8125</v>
      </c>
      <c r="AY59" s="561">
        <v>2.7107916388883213E-2</v>
      </c>
    </row>
    <row r="60" spans="1:51" ht="14.25" customHeight="1">
      <c r="A60" s="531" t="s">
        <v>2136</v>
      </c>
      <c r="B60" s="532"/>
      <c r="C60" s="532"/>
      <c r="D60" s="532"/>
      <c r="E60" s="532"/>
      <c r="F60" s="532"/>
      <c r="G60" s="532"/>
      <c r="H60" s="532"/>
      <c r="I60" s="532"/>
      <c r="J60" s="532"/>
      <c r="K60" s="532"/>
      <c r="L60" s="532"/>
      <c r="M60" s="532"/>
      <c r="N60" s="532"/>
      <c r="O60" s="532"/>
      <c r="P60" s="532"/>
      <c r="Q60" s="532"/>
      <c r="R60" s="532"/>
      <c r="S60" s="532"/>
      <c r="T60" s="532"/>
      <c r="U60" s="532"/>
      <c r="V60" s="532"/>
      <c r="W60" s="532"/>
      <c r="X60" s="532"/>
      <c r="Y60" s="532"/>
      <c r="Z60" s="533">
        <v>138843.5</v>
      </c>
      <c r="AA60" s="533">
        <v>138178.75</v>
      </c>
      <c r="AB60" s="533">
        <v>136826.25</v>
      </c>
      <c r="AC60" s="533">
        <v>130643.5</v>
      </c>
      <c r="AD60" s="533">
        <v>135628</v>
      </c>
      <c r="AE60" s="533">
        <v>137885.25</v>
      </c>
      <c r="AF60" s="533">
        <v>137496.25</v>
      </c>
      <c r="AG60" s="533">
        <v>150748.5</v>
      </c>
      <c r="AH60" s="533">
        <v>161264</v>
      </c>
      <c r="AI60" s="533">
        <v>156196.41500000001</v>
      </c>
      <c r="AJ60" s="533">
        <v>155135.09319114999</v>
      </c>
      <c r="AK60" s="533">
        <v>162500.46266382499</v>
      </c>
      <c r="AL60" s="533">
        <v>151912.79550017501</v>
      </c>
      <c r="AM60" s="533">
        <v>161161.76670025001</v>
      </c>
      <c r="AN60" s="533">
        <v>173799.33552604599</v>
      </c>
      <c r="AO60" s="533">
        <v>171491.36564696301</v>
      </c>
      <c r="AP60" s="533">
        <v>167013.914364083</v>
      </c>
      <c r="AQ60" s="533">
        <v>169307.10407206899</v>
      </c>
      <c r="AR60" s="533">
        <v>173228.76949341799</v>
      </c>
      <c r="AS60" s="533">
        <v>175102.84416998699</v>
      </c>
      <c r="AT60" s="533">
        <v>176843.67244071499</v>
      </c>
      <c r="AU60" s="533">
        <v>181413.364602374</v>
      </c>
      <c r="AV60" s="533">
        <v>188338.50498137801</v>
      </c>
      <c r="AW60" s="533">
        <v>192608.92247174299</v>
      </c>
      <c r="AX60" s="533">
        <v>193076.625</v>
      </c>
      <c r="AY60" s="561">
        <v>2.4282495444916119E-3</v>
      </c>
    </row>
    <row r="61" spans="1:51" ht="14.25" customHeight="1">
      <c r="A61" s="531" t="s">
        <v>1611</v>
      </c>
      <c r="B61" s="532"/>
      <c r="C61" s="532"/>
      <c r="D61" s="532"/>
      <c r="E61" s="532"/>
      <c r="F61" s="532"/>
      <c r="G61" s="532"/>
      <c r="H61" s="532"/>
      <c r="I61" s="532"/>
      <c r="J61" s="532"/>
      <c r="K61" s="532"/>
      <c r="L61" s="532"/>
      <c r="M61" s="532"/>
      <c r="N61" s="532"/>
      <c r="O61" s="532"/>
      <c r="P61" s="532"/>
      <c r="Q61" s="532"/>
      <c r="R61" s="532"/>
      <c r="S61" s="532"/>
      <c r="T61" s="532"/>
      <c r="U61" s="532"/>
      <c r="V61" s="532"/>
      <c r="W61" s="532"/>
      <c r="X61" s="532"/>
      <c r="Y61" s="532"/>
      <c r="Z61" s="533">
        <v>1422018</v>
      </c>
      <c r="AA61" s="533">
        <v>1438542.5</v>
      </c>
      <c r="AB61" s="533">
        <v>1465233</v>
      </c>
      <c r="AC61" s="533">
        <v>1494104.25</v>
      </c>
      <c r="AD61" s="533">
        <v>1532829.5</v>
      </c>
      <c r="AE61" s="533">
        <v>1560957</v>
      </c>
      <c r="AF61" s="533">
        <v>1563256</v>
      </c>
      <c r="AG61" s="533">
        <v>1592723.25</v>
      </c>
      <c r="AH61" s="533">
        <v>1618658.5</v>
      </c>
      <c r="AI61" s="533">
        <v>1627106.25</v>
      </c>
      <c r="AJ61" s="533">
        <v>1624716.12625</v>
      </c>
      <c r="AK61" s="533">
        <v>1634568.3927500001</v>
      </c>
      <c r="AL61" s="533">
        <v>1648246.7517500001</v>
      </c>
      <c r="AM61" s="533">
        <v>1658490.9415</v>
      </c>
      <c r="AN61" s="533">
        <v>1662810.81164913</v>
      </c>
      <c r="AO61" s="533">
        <v>1670515.26845013</v>
      </c>
      <c r="AP61" s="533">
        <v>1694738.19048546</v>
      </c>
      <c r="AQ61" s="533">
        <v>1720748.3787372301</v>
      </c>
      <c r="AR61" s="533">
        <v>1738190.26762851</v>
      </c>
      <c r="AS61" s="533">
        <v>1755069.69722479</v>
      </c>
      <c r="AT61" s="533">
        <v>1765249.0913525501</v>
      </c>
      <c r="AU61" s="533">
        <v>1769287.9493950901</v>
      </c>
      <c r="AV61" s="533">
        <v>1781138.43231057</v>
      </c>
      <c r="AW61" s="533">
        <v>1803045.57749588</v>
      </c>
      <c r="AX61" s="533">
        <v>1819341.5</v>
      </c>
      <c r="AY61" s="561">
        <v>9.0379981002766119E-3</v>
      </c>
    </row>
    <row r="62" spans="1:51" ht="14.25" customHeight="1">
      <c r="A62" s="571"/>
      <c r="B62" s="532"/>
      <c r="C62" s="532"/>
      <c r="D62" s="532"/>
      <c r="E62" s="532"/>
      <c r="F62" s="532"/>
      <c r="G62" s="532"/>
      <c r="H62" s="532"/>
      <c r="I62" s="532"/>
      <c r="J62" s="532"/>
      <c r="K62" s="532"/>
      <c r="L62" s="532"/>
      <c r="M62" s="532"/>
      <c r="N62" s="532"/>
      <c r="O62" s="532"/>
      <c r="P62" s="532"/>
      <c r="Q62" s="532"/>
      <c r="R62" s="533"/>
      <c r="S62" s="533"/>
      <c r="T62" s="533"/>
      <c r="U62" s="533"/>
      <c r="V62" s="533"/>
      <c r="W62" s="533"/>
      <c r="X62" s="533"/>
      <c r="Y62" s="533"/>
      <c r="Z62" s="533"/>
      <c r="AA62" s="533"/>
      <c r="AB62" s="533"/>
      <c r="AC62" s="533"/>
      <c r="AD62" s="533"/>
      <c r="AE62" s="533"/>
      <c r="AF62" s="533"/>
      <c r="AG62" s="533"/>
      <c r="AH62" s="533"/>
      <c r="AI62" s="533"/>
      <c r="AJ62" s="533"/>
      <c r="AK62" s="533"/>
      <c r="AL62" s="533"/>
      <c r="AM62" s="533"/>
      <c r="AN62" s="533"/>
      <c r="AO62" s="533"/>
      <c r="AP62" s="533"/>
      <c r="AQ62" s="533"/>
      <c r="AR62" s="533"/>
      <c r="AS62" s="533"/>
      <c r="AT62" s="533"/>
      <c r="AU62" s="533"/>
      <c r="AV62" s="533"/>
      <c r="AW62" s="533"/>
      <c r="AX62" s="533"/>
      <c r="AY62" s="529"/>
    </row>
    <row r="63" spans="1:51" ht="14.25" customHeight="1">
      <c r="A63" s="547" t="s">
        <v>2137</v>
      </c>
      <c r="B63" s="548"/>
      <c r="C63" s="548"/>
      <c r="D63" s="548"/>
      <c r="E63" s="548"/>
      <c r="F63" s="548"/>
      <c r="G63" s="548"/>
      <c r="H63" s="548"/>
      <c r="I63" s="548"/>
      <c r="J63" s="548"/>
      <c r="K63" s="548"/>
      <c r="L63" s="548"/>
      <c r="M63" s="548"/>
      <c r="N63" s="548"/>
      <c r="O63" s="548"/>
      <c r="P63" s="548"/>
      <c r="Q63" s="548"/>
      <c r="R63" s="548"/>
      <c r="S63" s="548"/>
      <c r="T63" s="548"/>
      <c r="U63" s="548"/>
      <c r="V63" s="548"/>
      <c r="W63" s="548"/>
      <c r="X63" s="548"/>
      <c r="Y63" s="548"/>
      <c r="Z63" s="548">
        <v>19041.037406801413</v>
      </c>
      <c r="AA63" s="548">
        <v>19637.660785805954</v>
      </c>
      <c r="AB63" s="548">
        <v>19823.155194490271</v>
      </c>
      <c r="AC63" s="548">
        <v>20023.944763801213</v>
      </c>
      <c r="AD63" s="548">
        <v>19951.808692975086</v>
      </c>
      <c r="AE63" s="548">
        <v>19735.380491006272</v>
      </c>
      <c r="AF63" s="548">
        <v>20503.078473175829</v>
      </c>
      <c r="AG63" s="548">
        <v>20283.955434221789</v>
      </c>
      <c r="AH63" s="548">
        <v>20247.871587254664</v>
      </c>
      <c r="AI63" s="548">
        <v>20455.848106706111</v>
      </c>
      <c r="AJ63" s="548">
        <v>20180.233824969298</v>
      </c>
      <c r="AK63" s="548">
        <v>19939.134092688379</v>
      </c>
      <c r="AL63" s="548">
        <v>20540.017967162978</v>
      </c>
      <c r="AM63" s="548">
        <v>20215.530431274779</v>
      </c>
      <c r="AN63" s="548">
        <v>19898.623412469005</v>
      </c>
      <c r="AO63" s="548">
        <v>19691.248351503211</v>
      </c>
      <c r="AP63" s="548">
        <v>19680.762599215941</v>
      </c>
      <c r="AQ63" s="548">
        <v>19640.3966526441</v>
      </c>
      <c r="AR63" s="548">
        <v>19199.394679332134</v>
      </c>
      <c r="AS63" s="548">
        <v>19059.232029417566</v>
      </c>
      <c r="AT63" s="548">
        <v>18982.987880254383</v>
      </c>
      <c r="AU63" s="548">
        <v>19101.60686900538</v>
      </c>
      <c r="AV63" s="548">
        <v>18484.56522503509</v>
      </c>
      <c r="AW63" s="548">
        <v>18303.289006748077</v>
      </c>
      <c r="AX63" s="548">
        <v>17900.919377244132</v>
      </c>
      <c r="AY63" s="562">
        <v>-2.1983460423730339E-2</v>
      </c>
    </row>
    <row r="64" spans="1:51" ht="14.25" customHeight="1">
      <c r="A64" s="531" t="s">
        <v>2103</v>
      </c>
      <c r="B64" s="532"/>
      <c r="C64" s="532"/>
      <c r="D64" s="532"/>
      <c r="E64" s="532"/>
      <c r="F64" s="532"/>
      <c r="G64" s="532"/>
      <c r="H64" s="532"/>
      <c r="I64" s="532"/>
      <c r="J64" s="532"/>
      <c r="K64" s="532"/>
      <c r="L64" s="532"/>
      <c r="M64" s="532"/>
      <c r="N64" s="532"/>
      <c r="O64" s="532"/>
      <c r="P64" s="532"/>
      <c r="Q64" s="532"/>
      <c r="R64" s="532"/>
      <c r="S64" s="532"/>
      <c r="T64" s="532"/>
      <c r="U64" s="532"/>
      <c r="V64" s="532"/>
      <c r="W64" s="532"/>
      <c r="X64" s="532"/>
      <c r="Y64" s="532"/>
      <c r="Z64" s="533">
        <v>13182.644473108343</v>
      </c>
      <c r="AA64" s="533">
        <v>15307.271827109911</v>
      </c>
      <c r="AB64" s="533">
        <v>17512.031911804675</v>
      </c>
      <c r="AC64" s="533">
        <v>19665.467406684849</v>
      </c>
      <c r="AD64" s="533">
        <v>19031.895013845053</v>
      </c>
      <c r="AE64" s="533">
        <v>19660.800551151984</v>
      </c>
      <c r="AF64" s="533">
        <v>19420.925139562598</v>
      </c>
      <c r="AG64" s="533">
        <v>19243.75455351382</v>
      </c>
      <c r="AH64" s="533">
        <v>21723.524599481905</v>
      </c>
      <c r="AI64" s="533">
        <v>24207.585225608313</v>
      </c>
      <c r="AJ64" s="533">
        <v>27157.468609064614</v>
      </c>
      <c r="AK64" s="533">
        <v>28185.836560914293</v>
      </c>
      <c r="AL64" s="533">
        <v>34015.365510327894</v>
      </c>
      <c r="AM64" s="533">
        <v>30700.355219505622</v>
      </c>
      <c r="AN64" s="533">
        <v>28861.127694924598</v>
      </c>
      <c r="AO64" s="533">
        <v>30810.235198288781</v>
      </c>
      <c r="AP64" s="533">
        <v>33819.036875913109</v>
      </c>
      <c r="AQ64" s="533">
        <v>35905.244177006527</v>
      </c>
      <c r="AR64" s="533">
        <v>32212.620981157568</v>
      </c>
      <c r="AS64" s="533">
        <v>32682.434404029256</v>
      </c>
      <c r="AT64" s="533">
        <v>29083.22239568015</v>
      </c>
      <c r="AU64" s="533">
        <v>31879.348567199504</v>
      </c>
      <c r="AV64" s="533">
        <v>31334.617427772508</v>
      </c>
      <c r="AW64" s="533">
        <v>30155.923341126982</v>
      </c>
      <c r="AX64" s="533">
        <v>28092.134645082151</v>
      </c>
      <c r="AY64" s="561">
        <v>-6.8437257672366192E-2</v>
      </c>
    </row>
    <row r="65" spans="1:51" ht="14.25" customHeight="1">
      <c r="A65" s="531" t="s">
        <v>1613</v>
      </c>
      <c r="B65" s="532"/>
      <c r="C65" s="532"/>
      <c r="D65" s="532"/>
      <c r="E65" s="532"/>
      <c r="F65" s="532"/>
      <c r="G65" s="532"/>
      <c r="H65" s="532"/>
      <c r="I65" s="532"/>
      <c r="J65" s="532"/>
      <c r="K65" s="532"/>
      <c r="L65" s="532"/>
      <c r="M65" s="532"/>
      <c r="N65" s="532"/>
      <c r="O65" s="532"/>
      <c r="P65" s="532"/>
      <c r="Q65" s="532"/>
      <c r="R65" s="532"/>
      <c r="S65" s="532"/>
      <c r="T65" s="532"/>
      <c r="U65" s="532"/>
      <c r="V65" s="532"/>
      <c r="W65" s="532"/>
      <c r="X65" s="532"/>
      <c r="Y65" s="532"/>
      <c r="Z65" s="533">
        <v>382186.45256397501</v>
      </c>
      <c r="AA65" s="533">
        <v>424637.00327852619</v>
      </c>
      <c r="AB65" s="533">
        <v>437071.85841819597</v>
      </c>
      <c r="AC65" s="533">
        <v>478485.67650923587</v>
      </c>
      <c r="AD65" s="533">
        <v>490384.87988927704</v>
      </c>
      <c r="AE65" s="533">
        <v>454695.06949550315</v>
      </c>
      <c r="AF65" s="533">
        <v>479104.16630223789</v>
      </c>
      <c r="AG65" s="533">
        <v>447554.51992719033</v>
      </c>
      <c r="AH65" s="533">
        <v>399248.60403483786</v>
      </c>
      <c r="AI65" s="533">
        <v>386627.79043293238</v>
      </c>
      <c r="AJ65" s="533">
        <v>378027.93855721666</v>
      </c>
      <c r="AK65" s="533">
        <v>363770.94458056521</v>
      </c>
      <c r="AL65" s="533">
        <v>425110.55863587535</v>
      </c>
      <c r="AM65" s="533">
        <v>409257.82244026579</v>
      </c>
      <c r="AN65" s="533">
        <v>404664.68971480284</v>
      </c>
      <c r="AO65" s="533">
        <v>409619.34343709145</v>
      </c>
      <c r="AP65" s="533">
        <v>387854.89760598779</v>
      </c>
      <c r="AQ65" s="533">
        <v>371272.12224867969</v>
      </c>
      <c r="AR65" s="533">
        <v>350594.20168740803</v>
      </c>
      <c r="AS65" s="533">
        <v>341873.84155918524</v>
      </c>
      <c r="AT65" s="533">
        <v>331522.53310372768</v>
      </c>
      <c r="AU65" s="533">
        <v>326886.39390721638</v>
      </c>
      <c r="AV65" s="533">
        <v>292723.84452424158</v>
      </c>
      <c r="AW65" s="533">
        <v>276303.90934775042</v>
      </c>
      <c r="AX65" s="533">
        <v>265457.77910282678</v>
      </c>
      <c r="AY65" s="561">
        <v>-3.9254349569382785E-2</v>
      </c>
    </row>
    <row r="66" spans="1:51" ht="14.25" customHeight="1">
      <c r="A66" s="531" t="s">
        <v>1604</v>
      </c>
      <c r="B66" s="532"/>
      <c r="C66" s="532"/>
      <c r="D66" s="532"/>
      <c r="E66" s="532"/>
      <c r="F66" s="532"/>
      <c r="G66" s="532"/>
      <c r="H66" s="532"/>
      <c r="I66" s="532"/>
      <c r="J66" s="532"/>
      <c r="K66" s="532"/>
      <c r="L66" s="532"/>
      <c r="M66" s="532"/>
      <c r="N66" s="532"/>
      <c r="O66" s="532"/>
      <c r="P66" s="532"/>
      <c r="Q66" s="532"/>
      <c r="R66" s="532"/>
      <c r="S66" s="532"/>
      <c r="T66" s="532"/>
      <c r="U66" s="532"/>
      <c r="V66" s="532"/>
      <c r="W66" s="532"/>
      <c r="X66" s="532"/>
      <c r="Y66" s="532"/>
      <c r="Z66" s="533">
        <v>46460.411471425308</v>
      </c>
      <c r="AA66" s="533">
        <v>48384.944262387384</v>
      </c>
      <c r="AB66" s="533">
        <v>50458.025535155357</v>
      </c>
      <c r="AC66" s="533">
        <v>52475.994215106075</v>
      </c>
      <c r="AD66" s="533">
        <v>52116.542587952266</v>
      </c>
      <c r="AE66" s="533">
        <v>52339.988690057784</v>
      </c>
      <c r="AF66" s="533">
        <v>56645.556558591234</v>
      </c>
      <c r="AG66" s="533">
        <v>54621.279443550229</v>
      </c>
      <c r="AH66" s="533">
        <v>54658.84186215423</v>
      </c>
      <c r="AI66" s="533">
        <v>58471.211790842382</v>
      </c>
      <c r="AJ66" s="533">
        <v>58174.923572739623</v>
      </c>
      <c r="AK66" s="533">
        <v>54974.363229924376</v>
      </c>
      <c r="AL66" s="533">
        <v>59277.462054490439</v>
      </c>
      <c r="AM66" s="533">
        <v>55670.930062725674</v>
      </c>
      <c r="AN66" s="533">
        <v>53876.450684018084</v>
      </c>
      <c r="AO66" s="533">
        <v>54440.931657746391</v>
      </c>
      <c r="AP66" s="533">
        <v>55922.55117143329</v>
      </c>
      <c r="AQ66" s="533">
        <v>55848.250391956812</v>
      </c>
      <c r="AR66" s="533">
        <v>54608.249670822901</v>
      </c>
      <c r="AS66" s="533">
        <v>53881.029760650061</v>
      </c>
      <c r="AT66" s="533">
        <v>53672.79467718723</v>
      </c>
      <c r="AU66" s="533">
        <v>52483.499791888666</v>
      </c>
      <c r="AV66" s="533">
        <v>48691.900235936839</v>
      </c>
      <c r="AW66" s="533">
        <v>48166.596397818925</v>
      </c>
      <c r="AX66" s="533">
        <v>48127.824919925755</v>
      </c>
      <c r="AY66" s="561">
        <v>-8.0494535202257911E-4</v>
      </c>
    </row>
    <row r="67" spans="1:51" ht="14.25" customHeight="1">
      <c r="A67" s="531" t="s">
        <v>1611</v>
      </c>
      <c r="B67" s="532"/>
      <c r="C67" s="532"/>
      <c r="D67" s="532"/>
      <c r="E67" s="532"/>
      <c r="F67" s="532"/>
      <c r="G67" s="532"/>
      <c r="H67" s="532"/>
      <c r="I67" s="532"/>
      <c r="J67" s="532"/>
      <c r="K67" s="532"/>
      <c r="L67" s="532"/>
      <c r="M67" s="532"/>
      <c r="N67" s="532"/>
      <c r="O67" s="532"/>
      <c r="P67" s="532"/>
      <c r="Q67" s="532"/>
      <c r="R67" s="532"/>
      <c r="S67" s="532"/>
      <c r="T67" s="532"/>
      <c r="U67" s="532"/>
      <c r="V67" s="532"/>
      <c r="W67" s="532"/>
      <c r="X67" s="532"/>
      <c r="Y67" s="532"/>
      <c r="Z67" s="533">
        <v>7594.9954256844139</v>
      </c>
      <c r="AA67" s="533">
        <v>7854.1608217397115</v>
      </c>
      <c r="AB67" s="533">
        <v>7650.9891801078056</v>
      </c>
      <c r="AC67" s="533">
        <v>7847.6239860889218</v>
      </c>
      <c r="AD67" s="533">
        <v>7599.422785830975</v>
      </c>
      <c r="AE67" s="533">
        <v>7782.7627101562693</v>
      </c>
      <c r="AF67" s="533">
        <v>7842.3643135609909</v>
      </c>
      <c r="AG67" s="533">
        <v>7595.1460581505289</v>
      </c>
      <c r="AH67" s="533">
        <v>7796.7395081211998</v>
      </c>
      <c r="AI67" s="533">
        <v>7723.5573137771426</v>
      </c>
      <c r="AJ67" s="533">
        <v>7662.151397970898</v>
      </c>
      <c r="AK67" s="533">
        <v>7924.8710420492735</v>
      </c>
      <c r="AL67" s="533">
        <v>7608.0706280662016</v>
      </c>
      <c r="AM67" s="533">
        <v>7592.6157928602715</v>
      </c>
      <c r="AN67" s="533">
        <v>7602.0886427803343</v>
      </c>
      <c r="AO67" s="533">
        <v>7363.974335554205</v>
      </c>
      <c r="AP67" s="533">
        <v>7341.0247045279157</v>
      </c>
      <c r="AQ67" s="533">
        <v>7246.3040584123728</v>
      </c>
      <c r="AR67" s="533">
        <v>7120.7556065683766</v>
      </c>
      <c r="AS67" s="533">
        <v>7054.8519914583421</v>
      </c>
      <c r="AT67" s="533">
        <v>7196.1575001212077</v>
      </c>
      <c r="AU67" s="533">
        <v>7150.0733444450634</v>
      </c>
      <c r="AV67" s="533">
        <v>7226.7078088525022</v>
      </c>
      <c r="AW67" s="533">
        <v>7347.257911899108</v>
      </c>
      <c r="AX67" s="533">
        <v>7144.2321510413522</v>
      </c>
      <c r="AY67" s="561">
        <v>-2.7632861578052004E-2</v>
      </c>
    </row>
    <row r="68" spans="1:51" ht="14.25" customHeight="1">
      <c r="A68" s="531"/>
      <c r="B68" s="532"/>
      <c r="C68" s="532"/>
      <c r="D68" s="532"/>
      <c r="E68" s="532"/>
      <c r="F68" s="532"/>
      <c r="G68" s="532"/>
      <c r="H68" s="532"/>
      <c r="I68" s="532"/>
      <c r="J68" s="532"/>
      <c r="K68" s="532"/>
      <c r="L68" s="532"/>
      <c r="M68" s="532"/>
      <c r="N68" s="532"/>
      <c r="O68" s="532"/>
      <c r="P68" s="532"/>
      <c r="Q68" s="532"/>
      <c r="R68" s="533"/>
      <c r="S68" s="533"/>
      <c r="T68" s="533"/>
      <c r="U68" s="533"/>
      <c r="V68" s="533"/>
      <c r="W68" s="533"/>
      <c r="X68" s="533"/>
      <c r="Y68" s="533"/>
      <c r="Z68" s="533"/>
      <c r="AA68" s="533"/>
      <c r="AB68" s="533"/>
      <c r="AC68" s="533"/>
      <c r="AD68" s="533"/>
      <c r="AE68" s="533"/>
      <c r="AF68" s="533"/>
      <c r="AG68" s="533"/>
      <c r="AH68" s="533"/>
      <c r="AI68" s="533"/>
      <c r="AJ68" s="533"/>
      <c r="AK68" s="533"/>
      <c r="AL68" s="533"/>
      <c r="AM68" s="533"/>
      <c r="AN68" s="533"/>
      <c r="AO68" s="533"/>
      <c r="AP68" s="533"/>
      <c r="AQ68" s="533"/>
      <c r="AR68" s="533"/>
      <c r="AS68" s="533"/>
      <c r="AT68" s="533"/>
      <c r="AU68" s="533"/>
      <c r="AV68" s="533"/>
      <c r="AW68" s="533"/>
      <c r="AX68" s="533"/>
      <c r="AY68" s="529"/>
    </row>
    <row r="69" spans="1:51" ht="14.25" customHeight="1">
      <c r="A69" s="547" t="s">
        <v>1617</v>
      </c>
      <c r="B69" s="552"/>
      <c r="C69" s="552"/>
      <c r="D69" s="552"/>
      <c r="E69" s="552"/>
      <c r="F69" s="552"/>
      <c r="G69" s="552"/>
      <c r="H69" s="552"/>
      <c r="I69" s="552"/>
      <c r="J69" s="552"/>
      <c r="K69" s="552"/>
      <c r="L69" s="552"/>
      <c r="M69" s="552"/>
      <c r="N69" s="552"/>
      <c r="O69" s="552"/>
      <c r="P69" s="552"/>
      <c r="Q69" s="552"/>
      <c r="R69" s="548"/>
      <c r="S69" s="548"/>
      <c r="T69" s="548"/>
      <c r="U69" s="548"/>
      <c r="V69" s="548"/>
      <c r="W69" s="548"/>
      <c r="X69" s="548"/>
      <c r="Y69" s="548"/>
      <c r="Z69" s="548"/>
      <c r="AA69" s="548"/>
      <c r="AB69" s="548"/>
      <c r="AC69" s="548"/>
      <c r="AD69" s="548"/>
      <c r="AE69" s="548"/>
      <c r="AF69" s="548"/>
      <c r="AG69" s="548"/>
      <c r="AH69" s="548"/>
      <c r="AI69" s="548"/>
      <c r="AJ69" s="548"/>
      <c r="AK69" s="548"/>
      <c r="AL69" s="548"/>
      <c r="AM69" s="529"/>
      <c r="AN69" s="533"/>
      <c r="AO69" s="533"/>
      <c r="AP69" s="533"/>
      <c r="AQ69" s="533"/>
      <c r="AR69" s="533"/>
      <c r="AS69" s="533"/>
      <c r="AT69" s="533"/>
      <c r="AU69" s="533"/>
      <c r="AV69" s="533"/>
      <c r="AW69" s="533"/>
      <c r="AX69" s="533"/>
      <c r="AY69" s="565"/>
    </row>
    <row r="70" spans="1:51" ht="14.25" customHeight="1">
      <c r="A70" s="572" t="s">
        <v>2138</v>
      </c>
      <c r="B70" s="532"/>
      <c r="C70" s="532"/>
      <c r="D70" s="532"/>
      <c r="E70" s="532"/>
      <c r="F70" s="532"/>
      <c r="G70" s="532"/>
      <c r="H70" s="532"/>
      <c r="I70" s="532"/>
      <c r="J70" s="532"/>
      <c r="K70" s="532"/>
      <c r="L70" s="532"/>
      <c r="M70" s="532"/>
      <c r="N70" s="532"/>
      <c r="O70" s="532"/>
      <c r="P70" s="532"/>
      <c r="Q70" s="532"/>
      <c r="R70" s="548"/>
      <c r="S70" s="548"/>
      <c r="T70" s="548"/>
      <c r="U70" s="548"/>
      <c r="V70" s="548"/>
      <c r="W70" s="548"/>
      <c r="X70" s="548"/>
      <c r="Y70" s="548"/>
      <c r="Z70" s="548"/>
      <c r="AA70" s="548"/>
      <c r="AB70" s="548"/>
      <c r="AC70" s="548"/>
      <c r="AD70" s="548"/>
      <c r="AE70" s="548"/>
      <c r="AF70" s="548"/>
      <c r="AG70" s="548"/>
      <c r="AH70" s="548"/>
      <c r="AI70" s="548"/>
      <c r="AJ70" s="548"/>
      <c r="AK70" s="548"/>
      <c r="AL70" s="548"/>
      <c r="AM70" s="529"/>
      <c r="AN70" s="529"/>
      <c r="AO70" s="529"/>
      <c r="AP70" s="529"/>
      <c r="AQ70" s="529"/>
      <c r="AR70" s="529"/>
      <c r="AS70" s="529"/>
      <c r="AT70" s="529"/>
      <c r="AU70" s="529"/>
      <c r="AV70" s="529"/>
      <c r="AW70" s="529"/>
      <c r="AX70" s="529"/>
      <c r="AY70" s="529"/>
    </row>
    <row r="71" spans="1:51" ht="14.25" customHeight="1">
      <c r="A71" s="572" t="s">
        <v>2114</v>
      </c>
      <c r="B71" s="532"/>
      <c r="C71" s="532"/>
      <c r="D71" s="532"/>
      <c r="E71" s="532"/>
      <c r="F71" s="532"/>
      <c r="G71" s="532"/>
      <c r="H71" s="532"/>
      <c r="I71" s="532"/>
      <c r="J71" s="532"/>
      <c r="K71" s="532"/>
      <c r="L71" s="532"/>
      <c r="M71" s="532"/>
      <c r="N71" s="532"/>
      <c r="O71" s="532"/>
      <c r="P71" s="532"/>
      <c r="Q71" s="532"/>
      <c r="R71" s="548"/>
      <c r="S71" s="548"/>
      <c r="T71" s="548"/>
      <c r="U71" s="548"/>
      <c r="V71" s="548"/>
      <c r="W71" s="548"/>
      <c r="X71" s="548"/>
      <c r="Y71" s="548"/>
      <c r="Z71" s="548"/>
      <c r="AA71" s="548"/>
      <c r="AB71" s="548"/>
      <c r="AC71" s="548"/>
      <c r="AD71" s="548"/>
      <c r="AE71" s="548"/>
      <c r="AF71" s="548"/>
      <c r="AG71" s="548"/>
      <c r="AH71" s="548"/>
      <c r="AI71" s="548"/>
      <c r="AJ71" s="548"/>
      <c r="AK71" s="548"/>
      <c r="AL71" s="548"/>
      <c r="AM71" s="529"/>
      <c r="AN71" s="529"/>
      <c r="AO71" s="529"/>
      <c r="AP71" s="529"/>
      <c r="AQ71" s="529"/>
      <c r="AR71" s="529"/>
      <c r="AS71" s="529"/>
      <c r="AT71" s="529"/>
      <c r="AU71" s="529"/>
      <c r="AV71" s="529"/>
      <c r="AW71" s="529"/>
      <c r="AX71" s="529"/>
      <c r="AY71" s="529"/>
    </row>
    <row r="72" spans="1:51" ht="14.25" customHeight="1">
      <c r="A72" s="573" t="s">
        <v>2139</v>
      </c>
      <c r="B72" s="532"/>
      <c r="C72" s="532"/>
      <c r="D72" s="532"/>
      <c r="E72" s="532"/>
      <c r="F72" s="532"/>
      <c r="G72" s="532"/>
      <c r="H72" s="532"/>
      <c r="I72" s="532"/>
      <c r="J72" s="532"/>
      <c r="K72" s="532"/>
      <c r="L72" s="532"/>
      <c r="M72" s="532"/>
      <c r="N72" s="532"/>
      <c r="O72" s="532"/>
      <c r="P72" s="532"/>
      <c r="Q72" s="532"/>
      <c r="R72" s="548"/>
      <c r="S72" s="548"/>
      <c r="T72" s="548"/>
      <c r="U72" s="548"/>
      <c r="V72" s="548"/>
      <c r="W72" s="548"/>
      <c r="X72" s="548"/>
      <c r="Y72" s="548"/>
      <c r="Z72" s="548"/>
      <c r="AA72" s="548"/>
      <c r="AB72" s="548"/>
      <c r="AC72" s="548"/>
      <c r="AD72" s="548"/>
      <c r="AE72" s="548"/>
      <c r="AF72" s="548"/>
      <c r="AG72" s="548"/>
      <c r="AH72" s="548"/>
      <c r="AI72" s="548"/>
      <c r="AJ72" s="548"/>
      <c r="AK72" s="548"/>
      <c r="AL72" s="548"/>
      <c r="AM72" s="529"/>
      <c r="AN72" s="529"/>
      <c r="AO72" s="529"/>
      <c r="AP72" s="529"/>
      <c r="AQ72" s="529"/>
      <c r="AR72" s="529"/>
      <c r="AS72" s="529"/>
      <c r="AT72" s="529"/>
      <c r="AU72" s="529"/>
      <c r="AV72" s="529"/>
      <c r="AW72" s="529"/>
      <c r="AX72" s="529"/>
      <c r="AY72" s="529"/>
    </row>
    <row r="73" spans="1:51" ht="14.25" customHeight="1">
      <c r="A73" s="572" t="s">
        <v>2116</v>
      </c>
      <c r="B73" s="532"/>
      <c r="C73" s="532"/>
      <c r="D73" s="532"/>
      <c r="E73" s="532"/>
      <c r="F73" s="532"/>
      <c r="G73" s="532"/>
      <c r="H73" s="532"/>
      <c r="I73" s="532"/>
      <c r="J73" s="532"/>
      <c r="K73" s="532"/>
      <c r="L73" s="532"/>
      <c r="M73" s="532"/>
      <c r="N73" s="532"/>
      <c r="O73" s="532"/>
      <c r="P73" s="532"/>
      <c r="Q73" s="532"/>
      <c r="R73" s="529"/>
      <c r="S73" s="529"/>
      <c r="T73" s="529"/>
      <c r="U73" s="529"/>
      <c r="V73" s="529"/>
      <c r="W73" s="529"/>
      <c r="X73" s="529"/>
      <c r="Y73" s="529"/>
      <c r="Z73" s="529"/>
      <c r="AA73" s="529"/>
      <c r="AB73" s="529"/>
      <c r="AC73" s="529"/>
      <c r="AD73" s="529"/>
      <c r="AE73" s="529"/>
      <c r="AF73" s="529"/>
      <c r="AG73" s="529"/>
      <c r="AH73" s="529"/>
      <c r="AI73" s="529"/>
      <c r="AJ73" s="529"/>
      <c r="AK73" s="529"/>
      <c r="AL73" s="529"/>
      <c r="AM73" s="529"/>
      <c r="AN73" s="529"/>
      <c r="AO73" s="529"/>
      <c r="AP73" s="529"/>
      <c r="AQ73" s="529"/>
      <c r="AR73" s="529"/>
      <c r="AS73" s="529"/>
      <c r="AT73" s="529"/>
      <c r="AU73" s="529"/>
      <c r="AV73" s="529"/>
      <c r="AW73" s="529"/>
      <c r="AX73" s="529"/>
      <c r="AY73" s="529"/>
    </row>
    <row r="74" spans="1:51" ht="14.25" customHeight="1">
      <c r="A74" s="572" t="s">
        <v>2140</v>
      </c>
      <c r="B74" s="532"/>
      <c r="C74" s="532"/>
      <c r="D74" s="532"/>
      <c r="E74" s="532"/>
      <c r="F74" s="532"/>
      <c r="G74" s="532"/>
      <c r="H74" s="532"/>
      <c r="I74" s="532"/>
      <c r="J74" s="532"/>
      <c r="K74" s="532"/>
      <c r="L74" s="532"/>
      <c r="M74" s="532"/>
      <c r="N74" s="532"/>
      <c r="O74" s="532"/>
      <c r="P74" s="532"/>
      <c r="Q74" s="532"/>
      <c r="R74" s="529"/>
      <c r="S74" s="529"/>
      <c r="T74" s="529"/>
      <c r="U74" s="529"/>
      <c r="V74" s="529"/>
      <c r="W74" s="529"/>
      <c r="X74" s="529"/>
      <c r="Y74" s="529"/>
      <c r="Z74" s="529"/>
      <c r="AA74" s="529"/>
      <c r="AB74" s="529"/>
      <c r="AC74" s="529"/>
      <c r="AD74" s="529"/>
      <c r="AE74" s="529"/>
      <c r="AF74" s="529"/>
      <c r="AG74" s="529"/>
      <c r="AH74" s="529"/>
      <c r="AI74" s="529"/>
      <c r="AJ74" s="529"/>
      <c r="AK74" s="529"/>
      <c r="AL74" s="529"/>
      <c r="AM74" s="529"/>
      <c r="AN74" s="529"/>
      <c r="AO74" s="529"/>
      <c r="AP74" s="529"/>
      <c r="AQ74" s="529"/>
      <c r="AR74" s="529"/>
      <c r="AS74" s="529"/>
      <c r="AT74" s="529"/>
      <c r="AU74" s="529"/>
      <c r="AV74" s="529"/>
      <c r="AW74" s="529"/>
      <c r="AX74" s="529"/>
      <c r="AY74" s="529"/>
    </row>
    <row r="75" spans="1:51" ht="14.25" customHeight="1">
      <c r="A75" s="572" t="s">
        <v>2141</v>
      </c>
      <c r="B75" s="532"/>
      <c r="C75" s="532"/>
      <c r="D75" s="532"/>
      <c r="E75" s="532"/>
      <c r="F75" s="532"/>
      <c r="G75" s="532"/>
      <c r="H75" s="532"/>
      <c r="I75" s="532"/>
      <c r="J75" s="532"/>
      <c r="K75" s="532"/>
      <c r="L75" s="532"/>
      <c r="M75" s="532"/>
      <c r="N75" s="532"/>
      <c r="O75" s="532"/>
      <c r="P75" s="532"/>
      <c r="Q75" s="532"/>
      <c r="R75" s="529"/>
      <c r="S75" s="529"/>
      <c r="T75" s="529"/>
      <c r="U75" s="529"/>
      <c r="V75" s="529"/>
      <c r="W75" s="529"/>
      <c r="X75" s="529"/>
      <c r="Y75" s="529"/>
      <c r="Z75" s="529"/>
      <c r="AA75" s="529"/>
      <c r="AB75" s="529"/>
      <c r="AC75" s="529"/>
      <c r="AD75" s="529"/>
      <c r="AE75" s="529"/>
      <c r="AF75" s="529"/>
      <c r="AG75" s="529"/>
      <c r="AH75" s="529"/>
      <c r="AI75" s="529"/>
      <c r="AJ75" s="529"/>
      <c r="AK75" s="529"/>
      <c r="AL75" s="529"/>
      <c r="AM75" s="529"/>
      <c r="AN75" s="529"/>
      <c r="AO75" s="529"/>
      <c r="AP75" s="529"/>
      <c r="AQ75" s="529"/>
      <c r="AR75" s="529"/>
      <c r="AS75" s="529"/>
      <c r="AT75" s="529"/>
      <c r="AU75" s="529"/>
      <c r="AV75" s="529"/>
      <c r="AW75" s="529"/>
      <c r="AX75" s="529"/>
      <c r="AY75" s="529"/>
    </row>
  </sheetData>
  <hyperlinks>
    <hyperlink ref="A1" location="null!A1" display="Return to contents" xr:uid="{00000000-0004-0000-1600-000000000000}"/>
  </hyperlinks>
  <pageMargins left="0.7" right="0.7" top="0.75" bottom="0.75" header="0" footer="0"/>
  <pageSetup paperSize="9" fitToWidth="0"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1F497D"/>
  </sheetPr>
  <dimension ref="A1:GS38"/>
  <sheetViews>
    <sheetView workbookViewId="0">
      <pane xSplit="1" ySplit="9" topLeftCell="B10" activePane="bottomRight" state="frozen"/>
      <selection pane="bottomRight" activeCell="B10" sqref="B10"/>
      <selection pane="bottomLeft" activeCell="A10" sqref="A10"/>
      <selection pane="topRight" activeCell="B1" sqref="B1"/>
    </sheetView>
  </sheetViews>
  <sheetFormatPr defaultColWidth="12.5703125" defaultRowHeight="15.75" customHeight="1" outlineLevelRow="1"/>
  <cols>
    <col min="1" max="1" width="73.28515625" customWidth="1"/>
    <col min="2" max="200" width="9.7109375" customWidth="1"/>
    <col min="201" max="201" width="21.42578125" customWidth="1"/>
  </cols>
  <sheetData>
    <row r="1" spans="1:201" ht="14.25" customHeight="1">
      <c r="A1" s="527" t="s">
        <v>1594</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c r="CY1" s="529"/>
      <c r="CZ1" s="529"/>
      <c r="DA1" s="529"/>
      <c r="DB1" s="529"/>
      <c r="DC1" s="529"/>
      <c r="DD1" s="529"/>
      <c r="DE1" s="529"/>
      <c r="DF1" s="529"/>
      <c r="DG1" s="529"/>
      <c r="DH1" s="529"/>
      <c r="DI1" s="529"/>
      <c r="DJ1" s="529"/>
      <c r="DK1" s="529"/>
      <c r="DL1" s="529"/>
      <c r="DM1" s="529"/>
      <c r="DN1" s="529"/>
      <c r="DO1" s="529"/>
      <c r="DP1" s="529"/>
      <c r="DQ1" s="529"/>
      <c r="DR1" s="529"/>
      <c r="DS1" s="529"/>
      <c r="DT1" s="529"/>
      <c r="DU1" s="529"/>
      <c r="DV1" s="529"/>
      <c r="DW1" s="529"/>
      <c r="DX1" s="529"/>
      <c r="DY1" s="529"/>
      <c r="DZ1" s="529"/>
      <c r="EA1" s="529"/>
      <c r="EB1" s="529"/>
      <c r="EC1" s="529"/>
      <c r="ED1" s="529"/>
      <c r="EE1" s="529"/>
      <c r="EF1" s="529"/>
      <c r="EG1" s="529"/>
      <c r="EH1" s="529"/>
      <c r="EI1" s="529"/>
      <c r="EJ1" s="529"/>
      <c r="EK1" s="529"/>
      <c r="EL1" s="529"/>
      <c r="EM1" s="529"/>
      <c r="EN1" s="529"/>
      <c r="EO1" s="529"/>
      <c r="EP1" s="529"/>
      <c r="EQ1" s="529"/>
      <c r="ER1" s="529"/>
      <c r="ES1" s="529"/>
      <c r="ET1" s="529"/>
      <c r="EU1" s="529"/>
      <c r="EV1" s="529"/>
      <c r="EW1" s="529"/>
      <c r="EX1" s="529"/>
      <c r="EY1" s="529"/>
      <c r="EZ1" s="529"/>
      <c r="FA1" s="529"/>
      <c r="FB1" s="529"/>
      <c r="FC1" s="529"/>
      <c r="FD1" s="529"/>
      <c r="FE1" s="529"/>
      <c r="FF1" s="529"/>
      <c r="FG1" s="529"/>
      <c r="FH1" s="529"/>
      <c r="FI1" s="529"/>
      <c r="FJ1" s="529"/>
      <c r="FK1" s="529"/>
      <c r="FL1" s="529"/>
      <c r="FM1" s="529"/>
      <c r="FN1" s="529"/>
      <c r="FO1" s="529"/>
      <c r="FP1" s="529"/>
      <c r="FQ1" s="529"/>
      <c r="FR1" s="529"/>
      <c r="FS1" s="529"/>
      <c r="FT1" s="529"/>
      <c r="FU1" s="529"/>
      <c r="FV1" s="529"/>
      <c r="FW1" s="529"/>
      <c r="FX1" s="529"/>
      <c r="FY1" s="529"/>
      <c r="FZ1" s="529"/>
      <c r="GA1" s="529"/>
      <c r="GB1" s="529"/>
      <c r="GC1" s="529"/>
      <c r="GD1" s="529"/>
      <c r="GE1" s="529"/>
      <c r="GF1" s="529"/>
      <c r="GG1" s="529"/>
      <c r="GH1" s="529"/>
      <c r="GI1" s="529"/>
      <c r="GJ1" s="529"/>
      <c r="GK1" s="529"/>
      <c r="GL1" s="529"/>
      <c r="GM1" s="529"/>
      <c r="GN1" s="529"/>
      <c r="GO1" s="529"/>
      <c r="GP1" s="529"/>
      <c r="GQ1" s="529"/>
      <c r="GR1" s="529"/>
      <c r="GS1" s="529"/>
    </row>
    <row r="2" spans="1:201" ht="14.25" customHeight="1">
      <c r="A2" s="531"/>
      <c r="B2" s="532"/>
      <c r="C2" s="532"/>
      <c r="D2" s="532"/>
      <c r="E2" s="532"/>
      <c r="F2" s="532"/>
      <c r="G2" s="532"/>
      <c r="H2" s="532"/>
      <c r="I2" s="532"/>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29"/>
      <c r="BO2" s="529"/>
      <c r="BP2" s="529"/>
      <c r="BQ2" s="529"/>
      <c r="BR2" s="529"/>
      <c r="BS2" s="529"/>
      <c r="BT2" s="529"/>
      <c r="BU2" s="529"/>
      <c r="BV2" s="529"/>
      <c r="BW2" s="529"/>
      <c r="BX2" s="529"/>
      <c r="BY2" s="529"/>
      <c r="BZ2" s="529"/>
      <c r="CA2" s="529"/>
      <c r="CB2" s="529"/>
      <c r="CC2" s="529"/>
      <c r="CD2" s="529"/>
      <c r="CE2" s="529"/>
      <c r="CF2" s="529"/>
      <c r="CG2" s="529"/>
      <c r="CH2" s="529"/>
      <c r="CI2" s="529"/>
      <c r="CJ2" s="529"/>
      <c r="CK2" s="529"/>
      <c r="CL2" s="529"/>
      <c r="CM2" s="529"/>
      <c r="CN2" s="529"/>
      <c r="CO2" s="529"/>
      <c r="CP2" s="529"/>
      <c r="CQ2" s="529"/>
      <c r="CR2" s="529"/>
      <c r="CS2" s="529"/>
      <c r="CT2" s="529"/>
      <c r="CU2" s="529"/>
      <c r="CV2" s="529"/>
      <c r="CW2" s="529"/>
      <c r="CX2" s="529"/>
      <c r="CY2" s="529"/>
      <c r="CZ2" s="529"/>
      <c r="DA2" s="529"/>
      <c r="DB2" s="529"/>
      <c r="DC2" s="529"/>
      <c r="DD2" s="529"/>
      <c r="DE2" s="529"/>
      <c r="DF2" s="529"/>
      <c r="DG2" s="529"/>
      <c r="DH2" s="529"/>
      <c r="DI2" s="529"/>
      <c r="DJ2" s="529"/>
      <c r="DK2" s="529"/>
      <c r="DL2" s="529"/>
      <c r="DM2" s="529"/>
      <c r="DN2" s="529"/>
      <c r="DO2" s="529"/>
      <c r="DP2" s="529"/>
      <c r="DQ2" s="529"/>
      <c r="DR2" s="529"/>
      <c r="DS2" s="529"/>
      <c r="DT2" s="529"/>
      <c r="DU2" s="529"/>
      <c r="DV2" s="529"/>
      <c r="DW2" s="529"/>
      <c r="DX2" s="529"/>
      <c r="DY2" s="529"/>
      <c r="DZ2" s="529"/>
      <c r="EA2" s="529"/>
      <c r="EB2" s="529"/>
      <c r="EC2" s="529"/>
      <c r="ED2" s="529"/>
      <c r="EE2" s="529"/>
      <c r="EF2" s="529"/>
      <c r="EG2" s="529"/>
      <c r="EH2" s="529"/>
      <c r="EI2" s="529"/>
      <c r="EJ2" s="529"/>
      <c r="EK2" s="529"/>
      <c r="EL2" s="529"/>
      <c r="EM2" s="529"/>
      <c r="EN2" s="529"/>
      <c r="EO2" s="529"/>
      <c r="EP2" s="529"/>
      <c r="EQ2" s="529"/>
      <c r="ER2" s="529"/>
      <c r="ES2" s="529"/>
      <c r="ET2" s="529"/>
      <c r="EU2" s="529"/>
      <c r="EV2" s="529"/>
      <c r="EW2" s="529"/>
      <c r="EX2" s="529"/>
      <c r="EY2" s="529"/>
      <c r="EZ2" s="529"/>
      <c r="FA2" s="529"/>
      <c r="FB2" s="529"/>
      <c r="FC2" s="529"/>
      <c r="FD2" s="529"/>
      <c r="FE2" s="529"/>
      <c r="FF2" s="529"/>
      <c r="FG2" s="529"/>
      <c r="FH2" s="529"/>
      <c r="FI2" s="529"/>
      <c r="FJ2" s="529"/>
      <c r="FK2" s="529"/>
      <c r="FL2" s="529"/>
      <c r="FM2" s="529"/>
      <c r="FN2" s="529"/>
      <c r="FO2" s="529"/>
      <c r="FP2" s="529"/>
      <c r="FQ2" s="529"/>
      <c r="FR2" s="529"/>
      <c r="FS2" s="529"/>
      <c r="FT2" s="529"/>
      <c r="FU2" s="529"/>
      <c r="FV2" s="529"/>
      <c r="FW2" s="529"/>
      <c r="FX2" s="529"/>
      <c r="FY2" s="529"/>
      <c r="FZ2" s="529"/>
      <c r="GA2" s="529"/>
      <c r="GB2" s="529"/>
      <c r="GC2" s="529"/>
      <c r="GD2" s="529"/>
      <c r="GE2" s="529"/>
      <c r="GF2" s="529"/>
      <c r="GG2" s="529"/>
      <c r="GH2" s="529"/>
      <c r="GI2" s="529"/>
      <c r="GJ2" s="529"/>
      <c r="GK2" s="529"/>
      <c r="GL2" s="529"/>
      <c r="GM2" s="529"/>
      <c r="GN2" s="529"/>
      <c r="GO2" s="529"/>
      <c r="GP2" s="529"/>
      <c r="GQ2" s="529"/>
      <c r="GR2" s="529"/>
      <c r="GS2" s="529"/>
    </row>
    <row r="3" spans="1:201" ht="14.25" customHeight="1">
      <c r="A3" s="531"/>
      <c r="B3" s="532"/>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c r="AE3" s="532"/>
      <c r="AF3" s="532"/>
      <c r="AG3" s="532"/>
      <c r="AH3" s="532"/>
      <c r="AI3" s="532"/>
      <c r="AJ3" s="532"/>
      <c r="AK3" s="532"/>
      <c r="AL3" s="532"/>
      <c r="AM3" s="532"/>
      <c r="AN3" s="532"/>
      <c r="AO3" s="532"/>
      <c r="AP3" s="532"/>
      <c r="AQ3" s="532"/>
      <c r="AR3" s="532"/>
      <c r="AS3" s="532"/>
      <c r="AT3" s="532"/>
      <c r="AU3" s="532"/>
      <c r="AV3" s="532"/>
      <c r="AW3" s="532"/>
      <c r="AX3" s="532"/>
      <c r="AY3" s="532"/>
      <c r="AZ3" s="532"/>
      <c r="BA3" s="532"/>
      <c r="BB3" s="532"/>
      <c r="BC3" s="532"/>
      <c r="BD3" s="532"/>
      <c r="BE3" s="532"/>
      <c r="BF3" s="532"/>
      <c r="BG3" s="532"/>
      <c r="BH3" s="532"/>
      <c r="BI3" s="532"/>
      <c r="BJ3" s="532"/>
      <c r="BK3" s="532"/>
      <c r="BL3" s="532"/>
      <c r="BM3" s="532"/>
      <c r="BN3" s="529"/>
      <c r="BO3" s="529"/>
      <c r="BP3" s="529"/>
      <c r="BQ3" s="529"/>
      <c r="BR3" s="529"/>
      <c r="BS3" s="529"/>
      <c r="BT3" s="529"/>
      <c r="BU3" s="529"/>
      <c r="BV3" s="529"/>
      <c r="BW3" s="529"/>
      <c r="BX3" s="529"/>
      <c r="BY3" s="529"/>
      <c r="BZ3" s="529"/>
      <c r="CA3" s="529"/>
      <c r="CB3" s="529"/>
      <c r="CC3" s="529"/>
      <c r="CD3" s="529"/>
      <c r="CE3" s="529"/>
      <c r="CF3" s="529"/>
      <c r="CG3" s="529"/>
      <c r="CH3" s="529"/>
      <c r="CI3" s="529"/>
      <c r="CJ3" s="529"/>
      <c r="CK3" s="529"/>
      <c r="CL3" s="529"/>
      <c r="CM3" s="529"/>
      <c r="CN3" s="529"/>
      <c r="CO3" s="529"/>
      <c r="CP3" s="529"/>
      <c r="CQ3" s="529"/>
      <c r="CR3" s="529"/>
      <c r="CS3" s="529"/>
      <c r="CT3" s="529"/>
      <c r="CU3" s="529"/>
      <c r="CV3" s="529"/>
      <c r="CW3" s="529"/>
      <c r="CX3" s="529"/>
      <c r="CY3" s="529"/>
      <c r="CZ3" s="529"/>
      <c r="DA3" s="529"/>
      <c r="DB3" s="529"/>
      <c r="DC3" s="529"/>
      <c r="DD3" s="529"/>
      <c r="DE3" s="529"/>
      <c r="DF3" s="529"/>
      <c r="DG3" s="529"/>
      <c r="DH3" s="529"/>
      <c r="DI3" s="529"/>
      <c r="DJ3" s="529"/>
      <c r="DK3" s="529"/>
      <c r="DL3" s="529"/>
      <c r="DM3" s="529"/>
      <c r="DN3" s="529"/>
      <c r="DO3" s="529"/>
      <c r="DP3" s="529"/>
      <c r="DQ3" s="529"/>
      <c r="DR3" s="529"/>
      <c r="DS3" s="529"/>
      <c r="DT3" s="529"/>
      <c r="DU3" s="529"/>
      <c r="DV3" s="529"/>
      <c r="DW3" s="529"/>
      <c r="DX3" s="529"/>
      <c r="DY3" s="529"/>
      <c r="DZ3" s="529"/>
      <c r="EA3" s="529"/>
      <c r="EB3" s="529"/>
      <c r="EC3" s="529"/>
      <c r="ED3" s="529"/>
      <c r="EE3" s="529"/>
      <c r="EF3" s="529"/>
      <c r="EG3" s="529"/>
      <c r="EH3" s="529"/>
      <c r="EI3" s="529"/>
      <c r="EJ3" s="529"/>
      <c r="EK3" s="529"/>
      <c r="EL3" s="529"/>
      <c r="EM3" s="529"/>
      <c r="EN3" s="529"/>
      <c r="EO3" s="529"/>
      <c r="EP3" s="529"/>
      <c r="EQ3" s="529"/>
      <c r="ER3" s="529"/>
      <c r="ES3" s="529"/>
      <c r="ET3" s="529"/>
      <c r="EU3" s="529"/>
      <c r="EV3" s="529"/>
      <c r="EW3" s="529"/>
      <c r="EX3" s="529"/>
      <c r="EY3" s="529"/>
      <c r="EZ3" s="529"/>
      <c r="FA3" s="529"/>
      <c r="FB3" s="529"/>
      <c r="FC3" s="529"/>
      <c r="FD3" s="529"/>
      <c r="FE3" s="529"/>
      <c r="FF3" s="529"/>
      <c r="FG3" s="529"/>
      <c r="FH3" s="529"/>
      <c r="FI3" s="529"/>
      <c r="FJ3" s="529"/>
      <c r="FK3" s="529"/>
      <c r="FL3" s="529"/>
      <c r="FM3" s="529"/>
      <c r="FN3" s="529"/>
      <c r="FO3" s="529"/>
      <c r="FP3" s="529"/>
      <c r="FQ3" s="529"/>
      <c r="FR3" s="529"/>
      <c r="FS3" s="529"/>
      <c r="FT3" s="529"/>
      <c r="FU3" s="529"/>
      <c r="FV3" s="529"/>
      <c r="FW3" s="529"/>
      <c r="FX3" s="529"/>
      <c r="FY3" s="529"/>
      <c r="FZ3" s="529"/>
      <c r="GA3" s="529"/>
      <c r="GB3" s="529"/>
      <c r="GC3" s="529"/>
      <c r="GD3" s="529"/>
      <c r="GE3" s="529"/>
      <c r="GF3" s="529"/>
      <c r="GG3" s="529"/>
      <c r="GH3" s="529"/>
      <c r="GI3" s="529"/>
      <c r="GJ3" s="529"/>
      <c r="GK3" s="529"/>
      <c r="GL3" s="529"/>
      <c r="GM3" s="529"/>
      <c r="GN3" s="529"/>
      <c r="GO3" s="529"/>
      <c r="GP3" s="529"/>
      <c r="GQ3" s="529"/>
      <c r="GR3" s="529"/>
      <c r="GS3" s="529"/>
    </row>
    <row r="4" spans="1:201" ht="14.25" customHeight="1">
      <c r="A4" s="531"/>
      <c r="B4" s="532"/>
      <c r="C4" s="532"/>
      <c r="D4" s="532"/>
      <c r="E4" s="532"/>
      <c r="F4" s="532"/>
      <c r="G4" s="532"/>
      <c r="H4" s="532"/>
      <c r="I4" s="532"/>
      <c r="J4" s="532"/>
      <c r="K4" s="532"/>
      <c r="L4" s="532"/>
      <c r="M4" s="532"/>
      <c r="N4" s="532"/>
      <c r="O4" s="532"/>
      <c r="P4" s="532"/>
      <c r="Q4" s="532"/>
      <c r="R4" s="532"/>
      <c r="S4" s="532"/>
      <c r="T4" s="532"/>
      <c r="U4" s="532"/>
      <c r="V4" s="532"/>
      <c r="W4" s="532"/>
      <c r="X4" s="532"/>
      <c r="Y4" s="532"/>
      <c r="Z4" s="532"/>
      <c r="AA4" s="532"/>
      <c r="AB4" s="532"/>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532"/>
      <c r="BH4" s="532"/>
      <c r="BI4" s="532"/>
      <c r="BJ4" s="532"/>
      <c r="BK4" s="532"/>
      <c r="BL4" s="532"/>
      <c r="BM4" s="532"/>
      <c r="BN4" s="529"/>
      <c r="BO4" s="529"/>
      <c r="BP4" s="529"/>
      <c r="BQ4" s="529"/>
      <c r="BR4" s="529"/>
      <c r="BS4" s="529"/>
      <c r="BT4" s="529"/>
      <c r="BU4" s="529"/>
      <c r="BV4" s="529"/>
      <c r="BW4" s="529"/>
      <c r="BX4" s="529"/>
      <c r="BY4" s="529"/>
      <c r="BZ4" s="529"/>
      <c r="CA4" s="529"/>
      <c r="CB4" s="529"/>
      <c r="CC4" s="529"/>
      <c r="CD4" s="529"/>
      <c r="CE4" s="529"/>
      <c r="CF4" s="529"/>
      <c r="CG4" s="529"/>
      <c r="CH4" s="529"/>
      <c r="CI4" s="529"/>
      <c r="CJ4" s="529"/>
      <c r="CK4" s="529"/>
      <c r="CL4" s="529"/>
      <c r="CM4" s="529"/>
      <c r="CN4" s="529"/>
      <c r="CO4" s="529"/>
      <c r="CP4" s="529"/>
      <c r="CQ4" s="529"/>
      <c r="CR4" s="529"/>
      <c r="CS4" s="529"/>
      <c r="CT4" s="529"/>
      <c r="CU4" s="529"/>
      <c r="CV4" s="529"/>
      <c r="CW4" s="529"/>
      <c r="CX4" s="529"/>
      <c r="CY4" s="529"/>
      <c r="CZ4" s="529"/>
      <c r="DA4" s="529"/>
      <c r="DB4" s="529"/>
      <c r="DC4" s="529"/>
      <c r="DD4" s="529"/>
      <c r="DE4" s="529"/>
      <c r="DF4" s="529"/>
      <c r="DG4" s="529"/>
      <c r="DH4" s="529"/>
      <c r="DI4" s="529"/>
      <c r="DJ4" s="529"/>
      <c r="DK4" s="529"/>
      <c r="DL4" s="529"/>
      <c r="DM4" s="529"/>
      <c r="DN4" s="529"/>
      <c r="DO4" s="529"/>
      <c r="DP4" s="529"/>
      <c r="DQ4" s="529"/>
      <c r="DR4" s="529"/>
      <c r="DS4" s="529"/>
      <c r="DT4" s="529"/>
      <c r="DU4" s="529"/>
      <c r="DV4" s="529"/>
      <c r="DW4" s="529"/>
      <c r="DX4" s="529"/>
      <c r="DY4" s="529"/>
      <c r="DZ4" s="529"/>
      <c r="EA4" s="529"/>
      <c r="EB4" s="529"/>
      <c r="EC4" s="529"/>
      <c r="ED4" s="529"/>
      <c r="EE4" s="529"/>
      <c r="EF4" s="529"/>
      <c r="EG4" s="529"/>
      <c r="EH4" s="529"/>
      <c r="EI4" s="529"/>
      <c r="EJ4" s="529"/>
      <c r="EK4" s="529"/>
      <c r="EL4" s="529"/>
      <c r="EM4" s="529"/>
      <c r="EN4" s="529"/>
      <c r="EO4" s="529"/>
      <c r="EP4" s="529"/>
      <c r="EQ4" s="529"/>
      <c r="ER4" s="529"/>
      <c r="ES4" s="529"/>
      <c r="ET4" s="529"/>
      <c r="EU4" s="529"/>
      <c r="EV4" s="529"/>
      <c r="EW4" s="529"/>
      <c r="EX4" s="529"/>
      <c r="EY4" s="529"/>
      <c r="EZ4" s="529"/>
      <c r="FA4" s="529"/>
      <c r="FB4" s="529"/>
      <c r="FC4" s="529"/>
      <c r="FD4" s="529"/>
      <c r="FE4" s="529"/>
      <c r="FF4" s="529"/>
      <c r="FG4" s="529"/>
      <c r="FH4" s="529"/>
      <c r="FI4" s="529"/>
      <c r="FJ4" s="529"/>
      <c r="FK4" s="529"/>
      <c r="FL4" s="529"/>
      <c r="FM4" s="529"/>
      <c r="FN4" s="529"/>
      <c r="FO4" s="529"/>
      <c r="FP4" s="529"/>
      <c r="FQ4" s="529"/>
      <c r="FR4" s="529"/>
      <c r="FS4" s="529"/>
      <c r="FT4" s="529"/>
      <c r="FU4" s="529"/>
      <c r="FV4" s="529"/>
      <c r="FW4" s="529"/>
      <c r="FX4" s="529"/>
      <c r="FY4" s="529"/>
      <c r="FZ4" s="529"/>
      <c r="GA4" s="529"/>
      <c r="GB4" s="529"/>
      <c r="GC4" s="529"/>
      <c r="GD4" s="529"/>
      <c r="GE4" s="529"/>
      <c r="GF4" s="529"/>
      <c r="GG4" s="529"/>
      <c r="GH4" s="529"/>
      <c r="GI4" s="529"/>
      <c r="GJ4" s="529"/>
      <c r="GK4" s="529"/>
      <c r="GL4" s="529"/>
      <c r="GM4" s="529"/>
      <c r="GN4" s="529"/>
      <c r="GO4" s="529"/>
      <c r="GP4" s="529"/>
      <c r="GQ4" s="529"/>
      <c r="GR4" s="529"/>
      <c r="GS4" s="529"/>
    </row>
    <row r="5" spans="1:201" ht="14.25" customHeight="1">
      <c r="A5" s="531"/>
      <c r="B5" s="532"/>
      <c r="C5" s="532"/>
      <c r="D5" s="532"/>
      <c r="E5" s="532"/>
      <c r="F5" s="532"/>
      <c r="G5" s="532"/>
      <c r="H5" s="532"/>
      <c r="I5" s="532"/>
      <c r="J5" s="532"/>
      <c r="K5" s="532"/>
      <c r="L5" s="532"/>
      <c r="M5" s="532"/>
      <c r="N5" s="532"/>
      <c r="O5" s="532"/>
      <c r="P5" s="532"/>
      <c r="Q5" s="532"/>
      <c r="R5" s="532"/>
      <c r="S5" s="532"/>
      <c r="T5" s="532"/>
      <c r="U5" s="532"/>
      <c r="V5" s="532"/>
      <c r="W5" s="532"/>
      <c r="X5" s="532"/>
      <c r="Y5" s="532"/>
      <c r="Z5" s="532"/>
      <c r="AA5" s="532"/>
      <c r="AB5" s="532"/>
      <c r="AC5" s="532"/>
      <c r="AD5" s="532"/>
      <c r="AE5" s="532"/>
      <c r="AF5" s="532"/>
      <c r="AG5" s="532"/>
      <c r="AH5" s="532"/>
      <c r="AI5" s="532"/>
      <c r="AJ5" s="532"/>
      <c r="AK5" s="532"/>
      <c r="AL5" s="532"/>
      <c r="AM5" s="532"/>
      <c r="AN5" s="532"/>
      <c r="AO5" s="532"/>
      <c r="AP5" s="532"/>
      <c r="AQ5" s="532"/>
      <c r="AR5" s="532"/>
      <c r="AS5" s="532"/>
      <c r="AT5" s="532"/>
      <c r="AU5" s="532"/>
      <c r="AV5" s="532"/>
      <c r="AW5" s="532"/>
      <c r="AX5" s="532"/>
      <c r="AY5" s="532"/>
      <c r="AZ5" s="532"/>
      <c r="BA5" s="532"/>
      <c r="BB5" s="532"/>
      <c r="BC5" s="532"/>
      <c r="BD5" s="532"/>
      <c r="BE5" s="532"/>
      <c r="BF5" s="532"/>
      <c r="BG5" s="532"/>
      <c r="BH5" s="532"/>
      <c r="BI5" s="532"/>
      <c r="BJ5" s="532"/>
      <c r="BK5" s="532"/>
      <c r="BL5" s="532"/>
      <c r="BM5" s="532"/>
      <c r="BN5" s="529"/>
      <c r="BO5" s="529"/>
      <c r="BP5" s="529"/>
      <c r="BQ5" s="529"/>
      <c r="BR5" s="529"/>
      <c r="BS5" s="529"/>
      <c r="BT5" s="529"/>
      <c r="BU5" s="529"/>
      <c r="BV5" s="529"/>
      <c r="BW5" s="529"/>
      <c r="BX5" s="529"/>
      <c r="BY5" s="529"/>
      <c r="BZ5" s="529"/>
      <c r="CA5" s="529"/>
      <c r="CB5" s="529"/>
      <c r="CC5" s="529"/>
      <c r="CD5" s="529"/>
      <c r="CE5" s="529"/>
      <c r="CF5" s="529"/>
      <c r="CG5" s="529"/>
      <c r="CH5" s="529"/>
      <c r="CI5" s="529"/>
      <c r="CJ5" s="529"/>
      <c r="CK5" s="529"/>
      <c r="CL5" s="529"/>
      <c r="CM5" s="529"/>
      <c r="CN5" s="529"/>
      <c r="CO5" s="529"/>
      <c r="CP5" s="529"/>
      <c r="CQ5" s="529"/>
      <c r="CR5" s="529"/>
      <c r="CS5" s="529"/>
      <c r="CT5" s="529"/>
      <c r="CU5" s="529"/>
      <c r="CV5" s="529"/>
      <c r="CW5" s="529"/>
      <c r="CX5" s="529"/>
      <c r="CY5" s="529"/>
      <c r="CZ5" s="529"/>
      <c r="DA5" s="529"/>
      <c r="DB5" s="529"/>
      <c r="DC5" s="529"/>
      <c r="DD5" s="529"/>
      <c r="DE5" s="529"/>
      <c r="DF5" s="529"/>
      <c r="DG5" s="529"/>
      <c r="DH5" s="529"/>
      <c r="DI5" s="529"/>
      <c r="DJ5" s="529"/>
      <c r="DK5" s="529"/>
      <c r="DL5" s="529"/>
      <c r="DM5" s="529"/>
      <c r="DN5" s="529"/>
      <c r="DO5" s="529"/>
      <c r="DP5" s="529"/>
      <c r="DQ5" s="529"/>
      <c r="DR5" s="529"/>
      <c r="DS5" s="529"/>
      <c r="DT5" s="529"/>
      <c r="DU5" s="529"/>
      <c r="DV5" s="529"/>
      <c r="DW5" s="529"/>
      <c r="DX5" s="529"/>
      <c r="DY5" s="529"/>
      <c r="DZ5" s="529"/>
      <c r="EA5" s="529"/>
      <c r="EB5" s="529"/>
      <c r="EC5" s="529"/>
      <c r="ED5" s="529"/>
      <c r="EE5" s="529"/>
      <c r="EF5" s="529"/>
      <c r="EG5" s="529"/>
      <c r="EH5" s="529"/>
      <c r="EI5" s="529"/>
      <c r="EJ5" s="529"/>
      <c r="EK5" s="529"/>
      <c r="EL5" s="529"/>
      <c r="EM5" s="529"/>
      <c r="EN5" s="529"/>
      <c r="EO5" s="529"/>
      <c r="EP5" s="529"/>
      <c r="EQ5" s="529"/>
      <c r="ER5" s="529"/>
      <c r="ES5" s="529"/>
      <c r="ET5" s="529"/>
      <c r="EU5" s="529"/>
      <c r="EV5" s="529"/>
      <c r="EW5" s="529"/>
      <c r="EX5" s="529"/>
      <c r="EY5" s="529"/>
      <c r="EZ5" s="529"/>
      <c r="FA5" s="529"/>
      <c r="FB5" s="529"/>
      <c r="FC5" s="529"/>
      <c r="FD5" s="529"/>
      <c r="FE5" s="529"/>
      <c r="FF5" s="529"/>
      <c r="FG5" s="529"/>
      <c r="FH5" s="529"/>
      <c r="FI5" s="529"/>
      <c r="FJ5" s="529"/>
      <c r="FK5" s="529"/>
      <c r="FL5" s="529"/>
      <c r="FM5" s="529"/>
      <c r="FN5" s="529"/>
      <c r="FO5" s="529"/>
      <c r="FP5" s="529"/>
      <c r="FQ5" s="529"/>
      <c r="FR5" s="529"/>
      <c r="FS5" s="529"/>
      <c r="FT5" s="529"/>
      <c r="FU5" s="529"/>
      <c r="FV5" s="529"/>
      <c r="FW5" s="529"/>
      <c r="FX5" s="529"/>
      <c r="FY5" s="529"/>
      <c r="FZ5" s="529"/>
      <c r="GA5" s="529"/>
      <c r="GB5" s="529"/>
      <c r="GC5" s="529"/>
      <c r="GD5" s="529"/>
      <c r="GE5" s="529"/>
      <c r="GF5" s="529"/>
      <c r="GG5" s="529"/>
      <c r="GH5" s="529"/>
      <c r="GI5" s="529"/>
      <c r="GJ5" s="529"/>
      <c r="GK5" s="529"/>
      <c r="GL5" s="529"/>
      <c r="GM5" s="529"/>
      <c r="GN5" s="529"/>
      <c r="GO5" s="529"/>
      <c r="GP5" s="529"/>
      <c r="GQ5" s="529"/>
      <c r="GR5" s="529"/>
      <c r="GS5" s="529"/>
    </row>
    <row r="6" spans="1:201" ht="14.25" customHeight="1">
      <c r="A6" s="531"/>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532"/>
      <c r="AB6" s="532"/>
      <c r="AC6" s="532"/>
      <c r="AD6" s="532"/>
      <c r="AE6" s="532"/>
      <c r="AF6" s="532"/>
      <c r="AG6" s="532"/>
      <c r="AH6" s="532"/>
      <c r="AI6" s="532"/>
      <c r="AJ6" s="532"/>
      <c r="AK6" s="532"/>
      <c r="AL6" s="532"/>
      <c r="AM6" s="532"/>
      <c r="AN6" s="532"/>
      <c r="AO6" s="532"/>
      <c r="AP6" s="532"/>
      <c r="AQ6" s="532"/>
      <c r="AR6" s="532"/>
      <c r="AS6" s="532"/>
      <c r="AT6" s="532"/>
      <c r="AU6" s="532"/>
      <c r="AV6" s="532"/>
      <c r="AW6" s="532"/>
      <c r="AX6" s="532"/>
      <c r="AY6" s="532"/>
      <c r="AZ6" s="532"/>
      <c r="BA6" s="532"/>
      <c r="BB6" s="532"/>
      <c r="BC6" s="532"/>
      <c r="BD6" s="532"/>
      <c r="BE6" s="532"/>
      <c r="BF6" s="532"/>
      <c r="BG6" s="532"/>
      <c r="BH6" s="532"/>
      <c r="BI6" s="532"/>
      <c r="BJ6" s="532"/>
      <c r="BK6" s="532"/>
      <c r="BL6" s="532"/>
      <c r="BM6" s="532"/>
      <c r="BN6" s="529"/>
      <c r="BO6" s="529"/>
      <c r="BP6" s="529"/>
      <c r="BQ6" s="529"/>
      <c r="BR6" s="529"/>
      <c r="BS6" s="529"/>
      <c r="BT6" s="529"/>
      <c r="BU6" s="529"/>
      <c r="BV6" s="529"/>
      <c r="BW6" s="529"/>
      <c r="BX6" s="529"/>
      <c r="BY6" s="529"/>
      <c r="BZ6" s="529"/>
      <c r="CA6" s="529"/>
      <c r="CB6" s="529"/>
      <c r="CC6" s="529"/>
      <c r="CD6" s="529"/>
      <c r="CE6" s="529"/>
      <c r="CF6" s="529"/>
      <c r="CG6" s="529"/>
      <c r="CH6" s="529"/>
      <c r="CI6" s="529"/>
      <c r="CJ6" s="529"/>
      <c r="CK6" s="529"/>
      <c r="CL6" s="529"/>
      <c r="CM6" s="529"/>
      <c r="CN6" s="529"/>
      <c r="CO6" s="529"/>
      <c r="CP6" s="529"/>
      <c r="CQ6" s="529"/>
      <c r="CR6" s="529"/>
      <c r="CS6" s="529"/>
      <c r="CT6" s="529"/>
      <c r="CU6" s="529"/>
      <c r="CV6" s="529"/>
      <c r="CW6" s="529"/>
      <c r="CX6" s="529"/>
      <c r="CY6" s="529"/>
      <c r="CZ6" s="529"/>
      <c r="DA6" s="529"/>
      <c r="DB6" s="529"/>
      <c r="DC6" s="529"/>
      <c r="DD6" s="529"/>
      <c r="DE6" s="529"/>
      <c r="DF6" s="529"/>
      <c r="DG6" s="529"/>
      <c r="DH6" s="529"/>
      <c r="DI6" s="529"/>
      <c r="DJ6" s="529"/>
      <c r="DK6" s="529"/>
      <c r="DL6" s="529"/>
      <c r="DM6" s="529"/>
      <c r="DN6" s="529"/>
      <c r="DO6" s="529"/>
      <c r="DP6" s="529"/>
      <c r="DQ6" s="529"/>
      <c r="DR6" s="529"/>
      <c r="DS6" s="529"/>
      <c r="DT6" s="529"/>
      <c r="DU6" s="529"/>
      <c r="DV6" s="529"/>
      <c r="DW6" s="529"/>
      <c r="DX6" s="529"/>
      <c r="DY6" s="529"/>
      <c r="DZ6" s="529"/>
      <c r="EA6" s="529"/>
      <c r="EB6" s="529"/>
      <c r="EC6" s="529"/>
      <c r="ED6" s="529"/>
      <c r="EE6" s="529"/>
      <c r="EF6" s="529"/>
      <c r="EG6" s="529"/>
      <c r="EH6" s="529"/>
      <c r="EI6" s="529"/>
      <c r="EJ6" s="529"/>
      <c r="EK6" s="529"/>
      <c r="EL6" s="529"/>
      <c r="EM6" s="529"/>
      <c r="EN6" s="529"/>
      <c r="EO6" s="529"/>
      <c r="EP6" s="529"/>
      <c r="EQ6" s="529"/>
      <c r="ER6" s="529"/>
      <c r="ES6" s="529"/>
      <c r="ET6" s="529"/>
      <c r="EU6" s="529"/>
      <c r="EV6" s="529"/>
      <c r="EW6" s="529"/>
      <c r="EX6" s="529"/>
      <c r="EY6" s="529"/>
      <c r="EZ6" s="529"/>
      <c r="FA6" s="529"/>
      <c r="FB6" s="529"/>
      <c r="FC6" s="529"/>
      <c r="FD6" s="529"/>
      <c r="FE6" s="529"/>
      <c r="FF6" s="529"/>
      <c r="FG6" s="529"/>
      <c r="FH6" s="529"/>
      <c r="FI6" s="529"/>
      <c r="FJ6" s="529"/>
      <c r="FK6" s="529"/>
      <c r="FL6" s="529"/>
      <c r="FM6" s="529"/>
      <c r="FN6" s="529"/>
      <c r="FO6" s="529"/>
      <c r="FP6" s="529"/>
      <c r="FQ6" s="529"/>
      <c r="FR6" s="529"/>
      <c r="FS6" s="529"/>
      <c r="FT6" s="529"/>
      <c r="FU6" s="529"/>
      <c r="FV6" s="529"/>
      <c r="FW6" s="529"/>
      <c r="FX6" s="529"/>
      <c r="FY6" s="529"/>
      <c r="FZ6" s="529"/>
      <c r="GA6" s="529"/>
      <c r="GB6" s="529"/>
      <c r="GC6" s="529"/>
      <c r="GD6" s="529"/>
      <c r="GE6" s="529"/>
      <c r="GF6" s="529"/>
      <c r="GG6" s="529"/>
      <c r="GH6" s="529"/>
      <c r="GI6" s="529"/>
      <c r="GJ6" s="529"/>
      <c r="GK6" s="529"/>
      <c r="GL6" s="529"/>
      <c r="GM6" s="529"/>
      <c r="GN6" s="529"/>
      <c r="GO6" s="529"/>
      <c r="GP6" s="529"/>
      <c r="GQ6" s="529"/>
      <c r="GR6" s="529"/>
      <c r="GS6" s="529"/>
    </row>
    <row r="7" spans="1:201" ht="14.25" customHeight="1">
      <c r="A7" s="534" t="s">
        <v>2087</v>
      </c>
      <c r="B7" s="535"/>
      <c r="C7" s="535"/>
      <c r="D7" s="535"/>
      <c r="E7" s="535"/>
      <c r="F7" s="535"/>
      <c r="G7" s="535"/>
      <c r="H7" s="535"/>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535"/>
      <c r="AV7" s="535"/>
      <c r="AW7" s="535"/>
      <c r="AX7" s="535"/>
      <c r="AY7" s="535"/>
      <c r="AZ7" s="535"/>
      <c r="BA7" s="535"/>
      <c r="BB7" s="535"/>
      <c r="BC7" s="535"/>
      <c r="BD7" s="535"/>
      <c r="BE7" s="535"/>
      <c r="BF7" s="535"/>
      <c r="BG7" s="535"/>
      <c r="BH7" s="535"/>
      <c r="BI7" s="535"/>
      <c r="BJ7" s="535"/>
      <c r="BK7" s="535"/>
      <c r="BL7" s="535"/>
      <c r="BM7" s="535"/>
      <c r="BN7" s="529"/>
      <c r="BO7" s="529"/>
      <c r="BP7" s="529"/>
      <c r="BQ7" s="529"/>
      <c r="BR7" s="529"/>
      <c r="BS7" s="529"/>
      <c r="BT7" s="529"/>
      <c r="BU7" s="529"/>
      <c r="BV7" s="529"/>
      <c r="BW7" s="529"/>
      <c r="BX7" s="529"/>
      <c r="BY7" s="529"/>
      <c r="BZ7" s="529"/>
      <c r="CA7" s="529"/>
      <c r="CB7" s="529"/>
      <c r="CC7" s="529"/>
      <c r="CD7" s="529"/>
      <c r="CE7" s="529"/>
      <c r="CF7" s="529"/>
      <c r="CG7" s="529"/>
      <c r="CH7" s="529"/>
      <c r="CI7" s="529"/>
      <c r="CJ7" s="529"/>
      <c r="CK7" s="529"/>
      <c r="CL7" s="529"/>
      <c r="CM7" s="529"/>
      <c r="CN7" s="529"/>
      <c r="CO7" s="529"/>
      <c r="CP7" s="529"/>
      <c r="CQ7" s="529"/>
      <c r="CR7" s="529"/>
      <c r="CS7" s="529"/>
      <c r="CT7" s="529"/>
      <c r="CU7" s="529"/>
      <c r="CV7" s="529"/>
      <c r="CW7" s="529"/>
      <c r="CX7" s="529"/>
      <c r="CY7" s="529"/>
      <c r="CZ7" s="529"/>
      <c r="DA7" s="529"/>
      <c r="DB7" s="529"/>
      <c r="DC7" s="529"/>
      <c r="DD7" s="529"/>
      <c r="DE7" s="529"/>
      <c r="DF7" s="529"/>
      <c r="DG7" s="529"/>
      <c r="DH7" s="529"/>
      <c r="DI7" s="529"/>
      <c r="DJ7" s="529"/>
      <c r="DK7" s="529"/>
      <c r="DL7" s="529"/>
      <c r="DM7" s="529"/>
      <c r="DN7" s="529"/>
      <c r="DO7" s="529"/>
      <c r="DP7" s="529"/>
      <c r="DQ7" s="529"/>
      <c r="DR7" s="529"/>
      <c r="DS7" s="529"/>
      <c r="DT7" s="529"/>
      <c r="DU7" s="529"/>
      <c r="DV7" s="529"/>
      <c r="DW7" s="529"/>
      <c r="DX7" s="529"/>
      <c r="DY7" s="529"/>
      <c r="DZ7" s="529"/>
      <c r="EA7" s="529"/>
      <c r="EB7" s="529"/>
      <c r="EC7" s="529"/>
      <c r="ED7" s="529"/>
      <c r="EE7" s="529"/>
      <c r="EF7" s="529"/>
      <c r="EG7" s="529"/>
      <c r="EH7" s="529"/>
      <c r="EI7" s="529"/>
      <c r="EJ7" s="529"/>
      <c r="EK7" s="529"/>
      <c r="EL7" s="529"/>
      <c r="EM7" s="529"/>
      <c r="EN7" s="529"/>
      <c r="EO7" s="529"/>
      <c r="EP7" s="529"/>
      <c r="EQ7" s="529"/>
      <c r="ER7" s="529"/>
      <c r="ES7" s="529"/>
      <c r="ET7" s="529"/>
      <c r="EU7" s="529"/>
      <c r="EV7" s="529"/>
      <c r="EW7" s="529"/>
      <c r="EX7" s="529"/>
      <c r="EY7" s="529"/>
      <c r="EZ7" s="529"/>
      <c r="FA7" s="529"/>
      <c r="FB7" s="529"/>
      <c r="FC7" s="529"/>
      <c r="FD7" s="529"/>
      <c r="FE7" s="529"/>
      <c r="FF7" s="529"/>
      <c r="FG7" s="529"/>
      <c r="FH7" s="529"/>
      <c r="FI7" s="529"/>
      <c r="FJ7" s="529"/>
      <c r="FK7" s="529"/>
      <c r="FL7" s="529"/>
      <c r="FM7" s="529"/>
      <c r="FN7" s="529"/>
      <c r="FO7" s="529"/>
      <c r="FP7" s="529"/>
      <c r="FQ7" s="529"/>
      <c r="FR7" s="529"/>
      <c r="FS7" s="529"/>
      <c r="FT7" s="529"/>
      <c r="FU7" s="529"/>
      <c r="FV7" s="529"/>
      <c r="FW7" s="529"/>
      <c r="FX7" s="529"/>
      <c r="FY7" s="529"/>
      <c r="FZ7" s="529"/>
      <c r="GA7" s="529"/>
      <c r="GB7" s="529"/>
      <c r="GC7" s="529"/>
      <c r="GD7" s="529"/>
      <c r="GE7" s="529"/>
      <c r="GF7" s="529"/>
      <c r="GG7" s="529"/>
      <c r="GH7" s="529"/>
      <c r="GI7" s="529"/>
      <c r="GJ7" s="529"/>
      <c r="GK7" s="529"/>
      <c r="GL7" s="529"/>
      <c r="GM7" s="529"/>
      <c r="GN7" s="529"/>
      <c r="GO7" s="529"/>
      <c r="GP7" s="529"/>
      <c r="GQ7" s="529"/>
      <c r="GR7" s="529"/>
      <c r="GS7" s="529"/>
    </row>
    <row r="8" spans="1:201" ht="14.25" customHeight="1">
      <c r="A8" s="536" t="s">
        <v>2142</v>
      </c>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c r="AO8" s="558"/>
      <c r="AP8" s="558"/>
      <c r="AQ8" s="558"/>
      <c r="AR8" s="558"/>
      <c r="AS8" s="558"/>
      <c r="AT8" s="558"/>
      <c r="AU8" s="558"/>
      <c r="AV8" s="558"/>
      <c r="AW8" s="558"/>
      <c r="AX8" s="558"/>
      <c r="AY8" s="558"/>
      <c r="AZ8" s="558"/>
      <c r="BA8" s="558"/>
      <c r="BB8" s="558"/>
      <c r="BC8" s="558"/>
      <c r="BD8" s="558"/>
      <c r="BE8" s="558"/>
      <c r="BF8" s="558"/>
      <c r="BG8" s="558"/>
      <c r="BH8" s="558"/>
      <c r="BI8" s="558"/>
      <c r="BJ8" s="558"/>
      <c r="BK8" s="558"/>
      <c r="BL8" s="558"/>
      <c r="BM8" s="558"/>
      <c r="BN8" s="529"/>
      <c r="BO8" s="529"/>
      <c r="BP8" s="529"/>
      <c r="BQ8" s="529"/>
      <c r="BR8" s="529"/>
      <c r="BS8" s="529"/>
      <c r="BT8" s="529"/>
      <c r="BU8" s="529"/>
      <c r="BV8" s="529"/>
      <c r="BW8" s="529"/>
      <c r="BX8" s="529"/>
      <c r="BY8" s="529"/>
      <c r="BZ8" s="529"/>
      <c r="CA8" s="529"/>
      <c r="CB8" s="529"/>
      <c r="CC8" s="529"/>
      <c r="CD8" s="529"/>
      <c r="CE8" s="529"/>
      <c r="CF8" s="529"/>
      <c r="CG8" s="529"/>
      <c r="CH8" s="529"/>
      <c r="CI8" s="529"/>
      <c r="CJ8" s="529"/>
      <c r="CK8" s="529"/>
      <c r="CL8" s="529"/>
      <c r="CM8" s="529"/>
      <c r="CN8" s="529"/>
      <c r="CO8" s="529"/>
      <c r="CP8" s="529"/>
      <c r="CQ8" s="529"/>
      <c r="CR8" s="529"/>
      <c r="CS8" s="529"/>
      <c r="CT8" s="529"/>
      <c r="CU8" s="529"/>
      <c r="CV8" s="529"/>
      <c r="CW8" s="529"/>
      <c r="CX8" s="529"/>
      <c r="CY8" s="529"/>
      <c r="CZ8" s="529"/>
      <c r="DA8" s="529"/>
      <c r="DB8" s="529"/>
      <c r="DC8" s="529"/>
      <c r="DD8" s="529"/>
      <c r="DE8" s="529"/>
      <c r="DF8" s="529"/>
      <c r="DG8" s="529"/>
      <c r="DH8" s="529"/>
      <c r="DI8" s="529"/>
      <c r="DJ8" s="529"/>
      <c r="DK8" s="529"/>
      <c r="DL8" s="529"/>
      <c r="DM8" s="529"/>
      <c r="DN8" s="529"/>
      <c r="DO8" s="529"/>
      <c r="DP8" s="529"/>
      <c r="DQ8" s="529"/>
      <c r="DR8" s="529"/>
      <c r="DS8" s="529"/>
      <c r="DT8" s="529"/>
      <c r="DU8" s="529"/>
      <c r="DV8" s="529"/>
      <c r="DW8" s="529"/>
      <c r="DX8" s="529"/>
      <c r="DY8" s="529"/>
      <c r="DZ8" s="529"/>
      <c r="EA8" s="529"/>
      <c r="EB8" s="529"/>
      <c r="EC8" s="529"/>
      <c r="ED8" s="529"/>
      <c r="EE8" s="529"/>
      <c r="EF8" s="529"/>
      <c r="EG8" s="529"/>
      <c r="EH8" s="529"/>
      <c r="EI8" s="529"/>
      <c r="EJ8" s="529"/>
      <c r="EK8" s="529"/>
      <c r="EL8" s="529"/>
      <c r="EM8" s="529"/>
      <c r="EN8" s="529"/>
      <c r="EO8" s="529"/>
      <c r="EP8" s="529"/>
      <c r="EQ8" s="529"/>
      <c r="ER8" s="529"/>
      <c r="ES8" s="529"/>
      <c r="ET8" s="529"/>
      <c r="EU8" s="529"/>
      <c r="EV8" s="529"/>
      <c r="EW8" s="529"/>
      <c r="EX8" s="529"/>
      <c r="EY8" s="529"/>
      <c r="EZ8" s="529"/>
      <c r="FA8" s="529"/>
      <c r="FB8" s="529"/>
      <c r="FC8" s="529"/>
      <c r="FD8" s="529"/>
      <c r="FE8" s="529"/>
      <c r="FF8" s="529"/>
      <c r="FG8" s="529"/>
      <c r="FH8" s="529"/>
      <c r="FI8" s="529"/>
      <c r="FJ8" s="529"/>
      <c r="FK8" s="529"/>
      <c r="FL8" s="529"/>
      <c r="FM8" s="529"/>
      <c r="FN8" s="529"/>
      <c r="FO8" s="529"/>
      <c r="FP8" s="529"/>
      <c r="FQ8" s="529"/>
      <c r="FR8" s="529"/>
      <c r="FS8" s="529"/>
      <c r="FT8" s="529"/>
      <c r="FU8" s="529"/>
      <c r="FV8" s="529"/>
      <c r="FW8" s="529"/>
      <c r="FX8" s="529"/>
      <c r="FY8" s="529"/>
      <c r="FZ8" s="529"/>
      <c r="GA8" s="529"/>
      <c r="GB8" s="529"/>
      <c r="GC8" s="529"/>
      <c r="GD8" s="529"/>
      <c r="GE8" s="529"/>
      <c r="GF8" s="529"/>
      <c r="GG8" s="529"/>
      <c r="GH8" s="529"/>
      <c r="GI8" s="529"/>
      <c r="GJ8" s="529"/>
      <c r="GK8" s="529"/>
      <c r="GL8" s="529"/>
      <c r="GM8" s="529"/>
      <c r="GN8" s="529"/>
      <c r="GO8" s="529"/>
      <c r="GP8" s="529"/>
      <c r="GQ8" s="529"/>
      <c r="GR8" s="529"/>
      <c r="GS8" s="529"/>
    </row>
    <row r="9" spans="1:201" ht="14.25" customHeight="1">
      <c r="A9" s="452" t="s">
        <v>2089</v>
      </c>
      <c r="B9" s="453">
        <v>27089</v>
      </c>
      <c r="C9" s="453">
        <v>27181</v>
      </c>
      <c r="D9" s="453">
        <v>27273</v>
      </c>
      <c r="E9" s="453">
        <v>27364</v>
      </c>
      <c r="F9" s="453">
        <v>27454</v>
      </c>
      <c r="G9" s="453">
        <v>27546</v>
      </c>
      <c r="H9" s="453">
        <v>27638</v>
      </c>
      <c r="I9" s="453">
        <v>27729</v>
      </c>
      <c r="J9" s="453">
        <v>27820</v>
      </c>
      <c r="K9" s="453">
        <v>27912</v>
      </c>
      <c r="L9" s="453">
        <v>28004</v>
      </c>
      <c r="M9" s="453">
        <v>28095</v>
      </c>
      <c r="N9" s="453">
        <v>28185</v>
      </c>
      <c r="O9" s="453">
        <v>28277</v>
      </c>
      <c r="P9" s="453">
        <v>28369</v>
      </c>
      <c r="Q9" s="453">
        <v>28460</v>
      </c>
      <c r="R9" s="453">
        <v>28550</v>
      </c>
      <c r="S9" s="453">
        <v>28642</v>
      </c>
      <c r="T9" s="453">
        <v>28734</v>
      </c>
      <c r="U9" s="453">
        <v>28825</v>
      </c>
      <c r="V9" s="453">
        <v>28915</v>
      </c>
      <c r="W9" s="453">
        <v>29007</v>
      </c>
      <c r="X9" s="453">
        <v>29099</v>
      </c>
      <c r="Y9" s="453">
        <v>29190</v>
      </c>
      <c r="Z9" s="453">
        <v>29281</v>
      </c>
      <c r="AA9" s="453">
        <v>29373</v>
      </c>
      <c r="AB9" s="453">
        <v>29465</v>
      </c>
      <c r="AC9" s="453">
        <v>29556</v>
      </c>
      <c r="AD9" s="453">
        <v>29646</v>
      </c>
      <c r="AE9" s="453">
        <v>29738</v>
      </c>
      <c r="AF9" s="453">
        <v>29830</v>
      </c>
      <c r="AG9" s="453">
        <v>29921</v>
      </c>
      <c r="AH9" s="453">
        <v>30011</v>
      </c>
      <c r="AI9" s="453">
        <v>30103</v>
      </c>
      <c r="AJ9" s="453">
        <v>30195</v>
      </c>
      <c r="AK9" s="453">
        <v>30286</v>
      </c>
      <c r="AL9" s="453">
        <v>30376</v>
      </c>
      <c r="AM9" s="453">
        <v>30468</v>
      </c>
      <c r="AN9" s="453">
        <v>30560</v>
      </c>
      <c r="AO9" s="453">
        <v>30651</v>
      </c>
      <c r="AP9" s="453">
        <v>30742</v>
      </c>
      <c r="AQ9" s="453">
        <v>30834</v>
      </c>
      <c r="AR9" s="453">
        <v>30926</v>
      </c>
      <c r="AS9" s="453">
        <v>31017</v>
      </c>
      <c r="AT9" s="453">
        <v>31107</v>
      </c>
      <c r="AU9" s="453">
        <v>31199</v>
      </c>
      <c r="AV9" s="453">
        <v>31291</v>
      </c>
      <c r="AW9" s="453">
        <v>31382</v>
      </c>
      <c r="AX9" s="453">
        <v>31472</v>
      </c>
      <c r="AY9" s="453">
        <v>31564</v>
      </c>
      <c r="AZ9" s="453">
        <v>31656</v>
      </c>
      <c r="BA9" s="453">
        <v>31747</v>
      </c>
      <c r="BB9" s="453">
        <v>31837</v>
      </c>
      <c r="BC9" s="453">
        <v>31929</v>
      </c>
      <c r="BD9" s="453">
        <v>32021</v>
      </c>
      <c r="BE9" s="453">
        <v>32112</v>
      </c>
      <c r="BF9" s="453">
        <v>32203</v>
      </c>
      <c r="BG9" s="453">
        <v>32295</v>
      </c>
      <c r="BH9" s="453">
        <v>32387</v>
      </c>
      <c r="BI9" s="453">
        <v>32478</v>
      </c>
      <c r="BJ9" s="453">
        <v>32568</v>
      </c>
      <c r="BK9" s="453">
        <v>32660</v>
      </c>
      <c r="BL9" s="453">
        <v>32752</v>
      </c>
      <c r="BM9" s="453">
        <v>32843</v>
      </c>
      <c r="BN9" s="453">
        <v>32933</v>
      </c>
      <c r="BO9" s="453">
        <v>33025</v>
      </c>
      <c r="BP9" s="453">
        <v>33117</v>
      </c>
      <c r="BQ9" s="453">
        <v>33208</v>
      </c>
      <c r="BR9" s="453">
        <v>33298</v>
      </c>
      <c r="BS9" s="453">
        <v>33390</v>
      </c>
      <c r="BT9" s="453">
        <v>33482</v>
      </c>
      <c r="BU9" s="453">
        <v>33573</v>
      </c>
      <c r="BV9" s="453">
        <v>33664</v>
      </c>
      <c r="BW9" s="453">
        <v>33756</v>
      </c>
      <c r="BX9" s="453">
        <v>33848</v>
      </c>
      <c r="BY9" s="453">
        <v>33939</v>
      </c>
      <c r="BZ9" s="453">
        <v>34029</v>
      </c>
      <c r="CA9" s="453">
        <v>34121</v>
      </c>
      <c r="CB9" s="453">
        <v>34213</v>
      </c>
      <c r="CC9" s="453">
        <v>34304</v>
      </c>
      <c r="CD9" s="453">
        <v>34394</v>
      </c>
      <c r="CE9" s="453">
        <v>34486</v>
      </c>
      <c r="CF9" s="453">
        <v>34578</v>
      </c>
      <c r="CG9" s="453">
        <v>34669</v>
      </c>
      <c r="CH9" s="453">
        <v>34759</v>
      </c>
      <c r="CI9" s="453">
        <v>34851</v>
      </c>
      <c r="CJ9" s="453">
        <v>34943</v>
      </c>
      <c r="CK9" s="453">
        <v>35034</v>
      </c>
      <c r="CL9" s="453">
        <v>35125</v>
      </c>
      <c r="CM9" s="453">
        <v>35217</v>
      </c>
      <c r="CN9" s="453">
        <v>35309</v>
      </c>
      <c r="CO9" s="453">
        <v>35400</v>
      </c>
      <c r="CP9" s="453">
        <v>35490</v>
      </c>
      <c r="CQ9" s="453">
        <v>35582</v>
      </c>
      <c r="CR9" s="453">
        <v>35674</v>
      </c>
      <c r="CS9" s="453">
        <v>35765</v>
      </c>
      <c r="CT9" s="453">
        <v>35855</v>
      </c>
      <c r="CU9" s="453">
        <v>35947</v>
      </c>
      <c r="CV9" s="453">
        <v>36039</v>
      </c>
      <c r="CW9" s="453">
        <v>36130</v>
      </c>
      <c r="CX9" s="453">
        <v>36220</v>
      </c>
      <c r="CY9" s="453">
        <v>36312</v>
      </c>
      <c r="CZ9" s="453">
        <v>36404</v>
      </c>
      <c r="DA9" s="453">
        <v>36495</v>
      </c>
      <c r="DB9" s="453">
        <v>36586</v>
      </c>
      <c r="DC9" s="453">
        <v>36678</v>
      </c>
      <c r="DD9" s="453">
        <v>36770</v>
      </c>
      <c r="DE9" s="453">
        <v>36861</v>
      </c>
      <c r="DF9" s="453">
        <v>36951</v>
      </c>
      <c r="DG9" s="453">
        <v>37043</v>
      </c>
      <c r="DH9" s="453">
        <v>37135</v>
      </c>
      <c r="DI9" s="453">
        <v>37226</v>
      </c>
      <c r="DJ9" s="453">
        <v>37316</v>
      </c>
      <c r="DK9" s="453">
        <v>37408</v>
      </c>
      <c r="DL9" s="453">
        <v>37500</v>
      </c>
      <c r="DM9" s="453">
        <v>37591</v>
      </c>
      <c r="DN9" s="453">
        <v>37681</v>
      </c>
      <c r="DO9" s="453">
        <v>37773</v>
      </c>
      <c r="DP9" s="453">
        <v>37865</v>
      </c>
      <c r="DQ9" s="453">
        <v>37956</v>
      </c>
      <c r="DR9" s="453">
        <v>38047</v>
      </c>
      <c r="DS9" s="453">
        <v>38139</v>
      </c>
      <c r="DT9" s="453">
        <v>38231</v>
      </c>
      <c r="DU9" s="453">
        <v>38322</v>
      </c>
      <c r="DV9" s="453">
        <v>38412</v>
      </c>
      <c r="DW9" s="453">
        <v>38504</v>
      </c>
      <c r="DX9" s="453">
        <v>38596</v>
      </c>
      <c r="DY9" s="453">
        <v>38687</v>
      </c>
      <c r="DZ9" s="453">
        <v>38777</v>
      </c>
      <c r="EA9" s="453">
        <v>38869</v>
      </c>
      <c r="EB9" s="453">
        <v>38961</v>
      </c>
      <c r="EC9" s="453">
        <v>39052</v>
      </c>
      <c r="ED9" s="453">
        <v>39142</v>
      </c>
      <c r="EE9" s="453">
        <v>39234</v>
      </c>
      <c r="EF9" s="453">
        <v>39326</v>
      </c>
      <c r="EG9" s="453">
        <v>39417</v>
      </c>
      <c r="EH9" s="453">
        <v>39508</v>
      </c>
      <c r="EI9" s="453">
        <v>39600</v>
      </c>
      <c r="EJ9" s="453">
        <v>39692</v>
      </c>
      <c r="EK9" s="453">
        <v>39783</v>
      </c>
      <c r="EL9" s="453">
        <v>39873</v>
      </c>
      <c r="EM9" s="453">
        <v>39965</v>
      </c>
      <c r="EN9" s="453">
        <v>40057</v>
      </c>
      <c r="EO9" s="453">
        <v>40148</v>
      </c>
      <c r="EP9" s="453">
        <v>40238</v>
      </c>
      <c r="EQ9" s="453">
        <v>40330</v>
      </c>
      <c r="ER9" s="453">
        <v>40422</v>
      </c>
      <c r="ES9" s="453">
        <v>40513</v>
      </c>
      <c r="ET9" s="453">
        <v>40603</v>
      </c>
      <c r="EU9" s="453">
        <v>40695</v>
      </c>
      <c r="EV9" s="453">
        <v>40787</v>
      </c>
      <c r="EW9" s="453">
        <v>40878</v>
      </c>
      <c r="EX9" s="453">
        <v>40969</v>
      </c>
      <c r="EY9" s="453">
        <v>41061</v>
      </c>
      <c r="EZ9" s="453">
        <v>41153</v>
      </c>
      <c r="FA9" s="453">
        <v>41244</v>
      </c>
      <c r="FB9" s="453">
        <v>41334</v>
      </c>
      <c r="FC9" s="453">
        <v>41426</v>
      </c>
      <c r="FD9" s="453">
        <v>41518</v>
      </c>
      <c r="FE9" s="453">
        <v>41609</v>
      </c>
      <c r="FF9" s="453">
        <v>41699</v>
      </c>
      <c r="FG9" s="453">
        <v>41791</v>
      </c>
      <c r="FH9" s="453">
        <v>41883</v>
      </c>
      <c r="FI9" s="453">
        <v>41974</v>
      </c>
      <c r="FJ9" s="453">
        <v>42064</v>
      </c>
      <c r="FK9" s="453">
        <v>42156</v>
      </c>
      <c r="FL9" s="453">
        <v>42248</v>
      </c>
      <c r="FM9" s="453">
        <v>42339</v>
      </c>
      <c r="FN9" s="453">
        <v>42430</v>
      </c>
      <c r="FO9" s="453">
        <v>42522</v>
      </c>
      <c r="FP9" s="453">
        <v>42614</v>
      </c>
      <c r="FQ9" s="453">
        <v>42705</v>
      </c>
      <c r="FR9" s="453">
        <v>42795</v>
      </c>
      <c r="FS9" s="453">
        <v>42887</v>
      </c>
      <c r="FT9" s="453">
        <v>42979</v>
      </c>
      <c r="FU9" s="453">
        <v>43070</v>
      </c>
      <c r="FV9" s="453">
        <v>43160</v>
      </c>
      <c r="FW9" s="453">
        <v>43252</v>
      </c>
      <c r="FX9" s="453">
        <v>43344</v>
      </c>
      <c r="FY9" s="453">
        <v>43435</v>
      </c>
      <c r="FZ9" s="453">
        <v>43525</v>
      </c>
      <c r="GA9" s="453">
        <v>43617</v>
      </c>
      <c r="GB9" s="453">
        <v>43709</v>
      </c>
      <c r="GC9" s="453">
        <v>43800</v>
      </c>
      <c r="GD9" s="453">
        <v>43891</v>
      </c>
      <c r="GE9" s="453">
        <v>43983</v>
      </c>
      <c r="GF9" s="453">
        <v>44075</v>
      </c>
      <c r="GG9" s="453">
        <v>44166</v>
      </c>
      <c r="GH9" s="453">
        <v>44256</v>
      </c>
      <c r="GI9" s="453">
        <v>44348</v>
      </c>
      <c r="GJ9" s="453">
        <v>44440</v>
      </c>
      <c r="GK9" s="453">
        <v>44531</v>
      </c>
      <c r="GL9" s="453">
        <v>44621</v>
      </c>
      <c r="GM9" s="453">
        <v>44713</v>
      </c>
      <c r="GN9" s="453">
        <v>44805</v>
      </c>
      <c r="GO9" s="453">
        <v>44896</v>
      </c>
      <c r="GP9" s="453">
        <v>44986</v>
      </c>
      <c r="GQ9" s="453">
        <v>45078</v>
      </c>
      <c r="GR9" s="453">
        <v>45170</v>
      </c>
      <c r="GS9" s="464" t="s">
        <v>2090</v>
      </c>
    </row>
    <row r="10" spans="1:201" ht="14.25" customHeight="1">
      <c r="A10" s="538"/>
      <c r="B10" s="522"/>
      <c r="C10" s="522"/>
      <c r="D10" s="522"/>
      <c r="E10" s="522"/>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2"/>
      <c r="AZ10" s="522"/>
      <c r="BA10" s="522"/>
      <c r="BB10" s="522"/>
      <c r="BC10" s="522"/>
      <c r="BD10" s="522"/>
      <c r="BE10" s="522"/>
      <c r="BF10" s="522"/>
      <c r="BG10" s="522"/>
      <c r="BH10" s="522"/>
      <c r="BI10" s="522"/>
      <c r="BJ10" s="522"/>
      <c r="BK10" s="522"/>
      <c r="BL10" s="522"/>
      <c r="BM10" s="522"/>
      <c r="BN10" s="529"/>
      <c r="BO10" s="529"/>
      <c r="BP10" s="529"/>
      <c r="BQ10" s="529"/>
      <c r="BR10" s="529"/>
      <c r="BS10" s="529"/>
      <c r="BT10" s="529"/>
      <c r="BU10" s="529"/>
      <c r="BV10" s="529"/>
      <c r="BW10" s="529"/>
      <c r="BX10" s="529"/>
      <c r="BY10" s="529"/>
      <c r="BZ10" s="529"/>
      <c r="CA10" s="529"/>
      <c r="CB10" s="529"/>
      <c r="CC10" s="529"/>
      <c r="CD10" s="529"/>
      <c r="CE10" s="529"/>
      <c r="CF10" s="529"/>
      <c r="CG10" s="529"/>
      <c r="CH10" s="529"/>
      <c r="CI10" s="529"/>
      <c r="CJ10" s="529"/>
      <c r="CK10" s="529"/>
      <c r="CL10" s="529"/>
      <c r="CM10" s="529"/>
      <c r="CN10" s="529"/>
      <c r="CO10" s="529"/>
      <c r="CP10" s="529"/>
      <c r="CQ10" s="529"/>
      <c r="CR10" s="529"/>
      <c r="CS10" s="529"/>
      <c r="CT10" s="529"/>
      <c r="CU10" s="529"/>
      <c r="CV10" s="529"/>
      <c r="CW10" s="529"/>
      <c r="CX10" s="529"/>
      <c r="CY10" s="529"/>
      <c r="CZ10" s="529"/>
      <c r="DA10" s="529"/>
      <c r="DB10" s="529"/>
      <c r="DC10" s="529"/>
      <c r="DD10" s="529"/>
      <c r="DE10" s="529"/>
      <c r="DF10" s="529"/>
      <c r="DG10" s="529"/>
      <c r="DH10" s="529"/>
      <c r="DI10" s="529"/>
      <c r="DJ10" s="529"/>
      <c r="DK10" s="529"/>
      <c r="DL10" s="529"/>
      <c r="DM10" s="529"/>
      <c r="DN10" s="529"/>
      <c r="DO10" s="529"/>
      <c r="DP10" s="529"/>
      <c r="DQ10" s="529"/>
      <c r="DR10" s="529"/>
      <c r="DS10" s="529"/>
      <c r="DT10" s="529"/>
      <c r="DU10" s="529"/>
      <c r="DV10" s="529"/>
      <c r="DW10" s="529"/>
      <c r="DX10" s="529"/>
      <c r="DY10" s="529"/>
      <c r="DZ10" s="529"/>
      <c r="EA10" s="529"/>
      <c r="EB10" s="529"/>
      <c r="EC10" s="529"/>
      <c r="ED10" s="529"/>
      <c r="EE10" s="529"/>
      <c r="EF10" s="529"/>
      <c r="EG10" s="529"/>
      <c r="EH10" s="529"/>
      <c r="EI10" s="529"/>
      <c r="EJ10" s="529"/>
      <c r="EK10" s="529"/>
      <c r="EL10" s="529"/>
      <c r="EM10" s="529"/>
      <c r="EN10" s="529"/>
      <c r="EO10" s="529"/>
      <c r="EP10" s="529"/>
      <c r="EQ10" s="529"/>
      <c r="ER10" s="529"/>
      <c r="ES10" s="529"/>
      <c r="ET10" s="529"/>
      <c r="EU10" s="529"/>
      <c r="EV10" s="529"/>
      <c r="EW10" s="529"/>
      <c r="EX10" s="529"/>
      <c r="EY10" s="529"/>
      <c r="EZ10" s="529"/>
      <c r="FA10" s="529"/>
      <c r="FB10" s="529"/>
      <c r="FC10" s="529"/>
      <c r="FD10" s="529"/>
      <c r="FE10" s="529"/>
      <c r="FF10" s="529"/>
      <c r="FG10" s="529"/>
      <c r="FH10" s="529"/>
      <c r="FI10" s="529"/>
      <c r="FJ10" s="529"/>
      <c r="FK10" s="529"/>
      <c r="FL10" s="529"/>
      <c r="FM10" s="529"/>
      <c r="FN10" s="529"/>
      <c r="FO10" s="529"/>
      <c r="FP10" s="529"/>
      <c r="FQ10" s="529"/>
      <c r="FR10" s="529"/>
      <c r="FS10" s="529"/>
      <c r="FT10" s="529"/>
      <c r="FU10" s="529"/>
      <c r="FV10" s="529"/>
      <c r="FW10" s="529"/>
      <c r="FX10" s="529"/>
      <c r="FY10" s="529"/>
      <c r="FZ10" s="529"/>
      <c r="GA10" s="529"/>
      <c r="GB10" s="529"/>
      <c r="GC10" s="529"/>
      <c r="GD10" s="529"/>
      <c r="GE10" s="529"/>
      <c r="GF10" s="529"/>
      <c r="GG10" s="529"/>
      <c r="GH10" s="529"/>
      <c r="GI10" s="529"/>
      <c r="GJ10" s="529"/>
      <c r="GK10" s="529"/>
      <c r="GL10" s="529"/>
      <c r="GM10" s="529"/>
      <c r="GN10" s="529"/>
      <c r="GO10" s="529"/>
      <c r="GP10" s="529"/>
      <c r="GQ10" s="529"/>
      <c r="GR10" s="529"/>
      <c r="GS10" s="529"/>
    </row>
    <row r="11" spans="1:201" ht="14.25" customHeight="1">
      <c r="A11" s="539" t="s">
        <v>2143</v>
      </c>
      <c r="B11" s="574">
        <v>14.834453292115118</v>
      </c>
      <c r="C11" s="574">
        <v>17.581006546610983</v>
      </c>
      <c r="D11" s="574">
        <v>20.624679929245914</v>
      </c>
      <c r="E11" s="574">
        <v>20.684925219031321</v>
      </c>
      <c r="F11" s="574">
        <v>15.140453292115117</v>
      </c>
      <c r="G11" s="574">
        <v>19.367146546610982</v>
      </c>
      <c r="H11" s="574">
        <v>21.464019929245911</v>
      </c>
      <c r="I11" s="574">
        <v>17.55346521903132</v>
      </c>
      <c r="J11" s="574">
        <v>16.65299329211512</v>
      </c>
      <c r="K11" s="574">
        <v>20.328346546610987</v>
      </c>
      <c r="L11" s="574">
        <v>22.079619929245911</v>
      </c>
      <c r="M11" s="574">
        <v>18.424665219031318</v>
      </c>
      <c r="N11" s="574">
        <v>17.297393292115117</v>
      </c>
      <c r="O11" s="574">
        <v>21.195946546610983</v>
      </c>
      <c r="P11" s="574">
        <v>22.569219929245914</v>
      </c>
      <c r="Q11" s="574">
        <v>18.482265219031319</v>
      </c>
      <c r="R11" s="574">
        <v>17.128193292115121</v>
      </c>
      <c r="S11" s="574">
        <v>20.688409546610981</v>
      </c>
      <c r="T11" s="574">
        <v>22.68448292924591</v>
      </c>
      <c r="U11" s="574">
        <v>19.267128219031321</v>
      </c>
      <c r="V11" s="574">
        <v>18.373856292115118</v>
      </c>
      <c r="W11" s="574">
        <v>20.937032746610985</v>
      </c>
      <c r="X11" s="574">
        <v>22.493906129245911</v>
      </c>
      <c r="Y11" s="574">
        <v>19.116151419031318</v>
      </c>
      <c r="Z11" s="574">
        <v>18.262479492115116</v>
      </c>
      <c r="AA11" s="574">
        <v>21.592232746610982</v>
      </c>
      <c r="AB11" s="574">
        <v>23.437106129245915</v>
      </c>
      <c r="AC11" s="574">
        <v>19.566151419031318</v>
      </c>
      <c r="AD11" s="574">
        <v>18.557679492115117</v>
      </c>
      <c r="AE11" s="574">
        <v>21.920732746610984</v>
      </c>
      <c r="AF11" s="574">
        <v>24.111206129245911</v>
      </c>
      <c r="AG11" s="574">
        <v>20.35185141903132</v>
      </c>
      <c r="AH11" s="574">
        <v>19.487379492115117</v>
      </c>
      <c r="AI11" s="574">
        <v>23.225282746610986</v>
      </c>
      <c r="AJ11" s="574">
        <v>24.947756129245914</v>
      </c>
      <c r="AK11" s="574">
        <v>21.904801419031326</v>
      </c>
      <c r="AL11" s="574">
        <v>20.719929492115117</v>
      </c>
      <c r="AM11" s="574">
        <v>24.647345746610984</v>
      </c>
      <c r="AN11" s="574">
        <v>26.956619129245912</v>
      </c>
      <c r="AO11" s="574">
        <v>22.876864419031321</v>
      </c>
      <c r="AP11" s="574">
        <v>22.275192492115121</v>
      </c>
      <c r="AQ11" s="574">
        <v>25.583534746610976</v>
      </c>
      <c r="AR11" s="574">
        <v>27.490040129245916</v>
      </c>
      <c r="AS11" s="574">
        <v>23.856285819031317</v>
      </c>
      <c r="AT11" s="574">
        <v>22.785737292115119</v>
      </c>
      <c r="AU11" s="574">
        <v>26.140173634006867</v>
      </c>
      <c r="AV11" s="574">
        <v>27.795883929302995</v>
      </c>
      <c r="AW11" s="574">
        <v>24.049723376109863</v>
      </c>
      <c r="AX11" s="574">
        <v>22.870452215758959</v>
      </c>
      <c r="AY11" s="574">
        <v>27.098112684693515</v>
      </c>
      <c r="AZ11" s="574">
        <v>29.372948290687077</v>
      </c>
      <c r="BA11" s="574">
        <v>24.898008156313495</v>
      </c>
      <c r="BB11" s="574">
        <v>23.901439266014894</v>
      </c>
      <c r="BC11" s="574">
        <v>27.173640782472287</v>
      </c>
      <c r="BD11" s="574">
        <v>28.913087860197663</v>
      </c>
      <c r="BE11" s="574">
        <v>25.578841223702188</v>
      </c>
      <c r="BF11" s="574">
        <v>25.240938439423807</v>
      </c>
      <c r="BG11" s="574">
        <v>28.559398613889527</v>
      </c>
      <c r="BH11" s="574">
        <v>29.618339152859221</v>
      </c>
      <c r="BI11" s="574">
        <v>26.837260100882578</v>
      </c>
      <c r="BJ11" s="574">
        <v>24.920825351175814</v>
      </c>
      <c r="BK11" s="574">
        <v>28.983186015972827</v>
      </c>
      <c r="BL11" s="574">
        <v>30.70057551787853</v>
      </c>
      <c r="BM11" s="574">
        <v>26.452781279523236</v>
      </c>
      <c r="BN11" s="574">
        <v>26.129874550402242</v>
      </c>
      <c r="BO11" s="574">
        <v>29.490546302898789</v>
      </c>
      <c r="BP11" s="574">
        <v>31.44634839168938</v>
      </c>
      <c r="BQ11" s="574">
        <v>27.365010084781776</v>
      </c>
      <c r="BR11" s="574">
        <v>26.625890790622076</v>
      </c>
      <c r="BS11" s="574">
        <v>30.480647985116459</v>
      </c>
      <c r="BT11" s="574">
        <v>31.726752367895575</v>
      </c>
      <c r="BU11" s="574">
        <v>28.993246721438453</v>
      </c>
      <c r="BV11" s="574">
        <v>28.029932237292321</v>
      </c>
      <c r="BW11" s="574">
        <v>31.284594775329307</v>
      </c>
      <c r="BX11" s="574">
        <v>27.613360562465719</v>
      </c>
      <c r="BY11" s="574">
        <v>29.097183059058413</v>
      </c>
      <c r="BZ11" s="574">
        <v>28.721597368950153</v>
      </c>
      <c r="CA11" s="574">
        <v>30.234181498857524</v>
      </c>
      <c r="CB11" s="574">
        <v>33.289986381047797</v>
      </c>
      <c r="CC11" s="574">
        <v>28.988903926841385</v>
      </c>
      <c r="CD11" s="574">
        <v>28.750942666023921</v>
      </c>
      <c r="CE11" s="574">
        <v>31.065599406508277</v>
      </c>
      <c r="CF11" s="574">
        <v>33.552721615493915</v>
      </c>
      <c r="CG11" s="574">
        <v>30.279973186704154</v>
      </c>
      <c r="CH11" s="574">
        <v>29.598671748089373</v>
      </c>
      <c r="CI11" s="574">
        <v>32.669124681465171</v>
      </c>
      <c r="CJ11" s="574">
        <v>34.617808728052403</v>
      </c>
      <c r="CK11" s="574">
        <v>31.186124653401176</v>
      </c>
      <c r="CL11" s="574">
        <v>30.199099360807381</v>
      </c>
      <c r="CM11" s="574">
        <v>33.02203035300785</v>
      </c>
      <c r="CN11" s="574">
        <v>34.699456012354943</v>
      </c>
      <c r="CO11" s="574">
        <v>31.210252447551525</v>
      </c>
      <c r="CP11" s="574">
        <v>29.458695836792995</v>
      </c>
      <c r="CQ11" s="574">
        <v>33.408221940103701</v>
      </c>
      <c r="CR11" s="574">
        <v>35.974059616430367</v>
      </c>
      <c r="CS11" s="574">
        <v>31.859524471838146</v>
      </c>
      <c r="CT11" s="574">
        <v>31.329241388558291</v>
      </c>
      <c r="CU11" s="574">
        <v>34.005887820341052</v>
      </c>
      <c r="CV11" s="574">
        <v>35.126449246446555</v>
      </c>
      <c r="CW11" s="574">
        <v>31.779472565579113</v>
      </c>
      <c r="CX11" s="574">
        <v>30.683603000439181</v>
      </c>
      <c r="CY11" s="574">
        <v>33.816963867014408</v>
      </c>
      <c r="CZ11" s="574">
        <v>35.497924852624301</v>
      </c>
      <c r="DA11" s="574">
        <v>32.393956977318666</v>
      </c>
      <c r="DB11" s="574">
        <v>31.715802933927197</v>
      </c>
      <c r="DC11" s="574">
        <v>34.586171082515214</v>
      </c>
      <c r="DD11" s="574">
        <v>37.003310441223178</v>
      </c>
      <c r="DE11" s="574">
        <v>34.214983695738525</v>
      </c>
      <c r="DF11" s="574">
        <v>33.071360520746019</v>
      </c>
      <c r="DG11" s="574">
        <v>35.991979116649787</v>
      </c>
      <c r="DH11" s="574">
        <v>35.898634396484042</v>
      </c>
      <c r="DI11" s="574">
        <v>33.076174596705407</v>
      </c>
      <c r="DJ11" s="574">
        <v>32.458351416540488</v>
      </c>
      <c r="DK11" s="574">
        <v>35.771962023386152</v>
      </c>
      <c r="DL11" s="574">
        <v>38.268679060562391</v>
      </c>
      <c r="DM11" s="574">
        <v>35.631191749973461</v>
      </c>
      <c r="DN11" s="574">
        <v>33.929169975207913</v>
      </c>
      <c r="DO11" s="574">
        <v>34.14241877070868</v>
      </c>
      <c r="DP11" s="574">
        <v>38.470354932908705</v>
      </c>
      <c r="DQ11" s="574">
        <v>35.752563742628681</v>
      </c>
      <c r="DR11" s="574">
        <v>35.08083684542644</v>
      </c>
      <c r="DS11" s="574">
        <v>37.449445755079289</v>
      </c>
      <c r="DT11" s="574">
        <v>40.755542795479293</v>
      </c>
      <c r="DU11" s="574">
        <v>36.212517638479262</v>
      </c>
      <c r="DV11" s="574">
        <v>34.933421842724741</v>
      </c>
      <c r="DW11" s="574">
        <v>38.388419571673566</v>
      </c>
      <c r="DX11" s="574">
        <v>39.595640884021734</v>
      </c>
      <c r="DY11" s="574">
        <v>36.576030202021791</v>
      </c>
      <c r="DZ11" s="574">
        <v>35.231288044285741</v>
      </c>
      <c r="EA11" s="574">
        <v>38.604379454860371</v>
      </c>
      <c r="EB11" s="574">
        <v>40.739332172533956</v>
      </c>
      <c r="EC11" s="574">
        <v>36.850338289193829</v>
      </c>
      <c r="ED11" s="574">
        <v>35.640177433120606</v>
      </c>
      <c r="EE11" s="574">
        <v>38.407415304641638</v>
      </c>
      <c r="EF11" s="574">
        <v>41.046943771631383</v>
      </c>
      <c r="EG11" s="574">
        <v>37.619893021413482</v>
      </c>
      <c r="EH11" s="574">
        <v>36.136846631401781</v>
      </c>
      <c r="EI11" s="574">
        <v>38.976822019309097</v>
      </c>
      <c r="EJ11" s="574">
        <v>41.099991177400014</v>
      </c>
      <c r="EK11" s="574">
        <v>36.397210623933752</v>
      </c>
      <c r="EL11" s="574">
        <v>34.590436773878906</v>
      </c>
      <c r="EM11" s="574">
        <v>38.957220561788773</v>
      </c>
      <c r="EN11" s="574">
        <v>40.430647613319202</v>
      </c>
      <c r="EO11" s="574">
        <v>37.834436730831023</v>
      </c>
      <c r="EP11" s="574">
        <v>36.63791210949968</v>
      </c>
      <c r="EQ11" s="574">
        <v>39.483466759625848</v>
      </c>
      <c r="ER11" s="574">
        <v>42.124520994427414</v>
      </c>
      <c r="ES11" s="574">
        <v>38.601113935980337</v>
      </c>
      <c r="ET11" s="574">
        <v>36.675933983914028</v>
      </c>
      <c r="EU11" s="574">
        <v>39.113788122504147</v>
      </c>
      <c r="EV11" s="574">
        <v>42.345451474797926</v>
      </c>
      <c r="EW11" s="574">
        <v>37.63069974017796</v>
      </c>
      <c r="EX11" s="574">
        <v>36.572527066984698</v>
      </c>
      <c r="EY11" s="574">
        <v>39.511029316152175</v>
      </c>
      <c r="EZ11" s="574">
        <v>41.26304230687019</v>
      </c>
      <c r="FA11" s="574">
        <v>37.988195658627824</v>
      </c>
      <c r="FB11" s="574">
        <v>36.432641661884013</v>
      </c>
      <c r="FC11" s="574">
        <v>38.302783513512111</v>
      </c>
      <c r="FD11" s="574">
        <v>40.429672378008775</v>
      </c>
      <c r="FE11" s="574">
        <v>37.322721671572779</v>
      </c>
      <c r="FF11" s="574">
        <v>36.236949797981417</v>
      </c>
      <c r="FG11" s="574">
        <v>38.015236199458741</v>
      </c>
      <c r="FH11" s="574">
        <v>41.110164639783697</v>
      </c>
      <c r="FI11" s="574">
        <v>38.182639699966174</v>
      </c>
      <c r="FJ11" s="574">
        <v>36.847948567918642</v>
      </c>
      <c r="FK11" s="574">
        <v>39.00275594780927</v>
      </c>
      <c r="FL11" s="574">
        <v>41.734094483220019</v>
      </c>
      <c r="FM11" s="574">
        <v>38.416073501494125</v>
      </c>
      <c r="FN11" s="574">
        <v>37.059296595743128</v>
      </c>
      <c r="FO11" s="574">
        <v>38.445405853189023</v>
      </c>
      <c r="FP11" s="574">
        <v>41.590023835764839</v>
      </c>
      <c r="FQ11" s="574">
        <v>37.414572185273926</v>
      </c>
      <c r="FR11" s="574">
        <v>36.898931737230612</v>
      </c>
      <c r="FS11" s="574">
        <v>39.174195846539241</v>
      </c>
      <c r="FT11" s="574">
        <v>41.600721542453975</v>
      </c>
      <c r="FU11" s="574">
        <v>38.246863298056056</v>
      </c>
      <c r="FV11" s="574">
        <v>36.339705228038284</v>
      </c>
      <c r="FW11" s="574">
        <v>40.189814174133602</v>
      </c>
      <c r="FX11" s="574">
        <v>41.99409511895437</v>
      </c>
      <c r="FY11" s="574">
        <v>37.784583325770235</v>
      </c>
      <c r="FZ11" s="574">
        <v>37.26699708879466</v>
      </c>
      <c r="GA11" s="574">
        <v>39.58091792013537</v>
      </c>
      <c r="GB11" s="574">
        <v>42.313516438519841</v>
      </c>
      <c r="GC11" s="574">
        <v>38.571680171766161</v>
      </c>
      <c r="GD11" s="574">
        <v>37.571205693687716</v>
      </c>
      <c r="GE11" s="574">
        <v>37.468086425051325</v>
      </c>
      <c r="GF11" s="574">
        <v>42.050864819173199</v>
      </c>
      <c r="GG11" s="574">
        <v>38.336634583626811</v>
      </c>
      <c r="GH11" s="574">
        <v>36.764237063618971</v>
      </c>
      <c r="GI11" s="574">
        <v>39.413785013212518</v>
      </c>
      <c r="GJ11" s="574">
        <v>41.753482300230203</v>
      </c>
      <c r="GK11" s="574">
        <v>37.842826259554663</v>
      </c>
      <c r="GL11" s="574">
        <v>36.904958222319443</v>
      </c>
      <c r="GM11" s="574">
        <v>38.939570591908016</v>
      </c>
      <c r="GN11" s="574">
        <v>42.48528787469477</v>
      </c>
      <c r="GO11" s="574">
        <v>38.183732958782223</v>
      </c>
      <c r="GP11" s="574">
        <v>36.452986950285663</v>
      </c>
      <c r="GQ11" s="574">
        <v>39.454668312253609</v>
      </c>
      <c r="GR11" s="574">
        <v>42.448290844590062</v>
      </c>
      <c r="GS11" s="562">
        <v>-8.7081980505410161E-4</v>
      </c>
    </row>
    <row r="12" spans="1:201" ht="14.25" customHeight="1" outlineLevel="1">
      <c r="A12" s="531" t="s">
        <v>2092</v>
      </c>
      <c r="B12" s="550">
        <v>11.5236</v>
      </c>
      <c r="C12" s="550">
        <v>12.3552</v>
      </c>
      <c r="D12" s="550">
        <v>15.026399999999999</v>
      </c>
      <c r="E12" s="550">
        <v>15.228</v>
      </c>
      <c r="F12" s="550">
        <v>11.671199999999999</v>
      </c>
      <c r="G12" s="550">
        <v>15.587999999999999</v>
      </c>
      <c r="H12" s="550">
        <v>17.4312</v>
      </c>
      <c r="I12" s="550">
        <v>14.6988</v>
      </c>
      <c r="J12" s="550">
        <v>12.974399999999999</v>
      </c>
      <c r="K12" s="550">
        <v>13.4892</v>
      </c>
      <c r="L12" s="550">
        <v>16.174800000000001</v>
      </c>
      <c r="M12" s="550">
        <v>12.6</v>
      </c>
      <c r="N12" s="550">
        <v>11.462399999999999</v>
      </c>
      <c r="O12" s="550">
        <v>13.6008</v>
      </c>
      <c r="P12" s="550">
        <v>14.8896</v>
      </c>
      <c r="Q12" s="550">
        <v>12.51</v>
      </c>
      <c r="R12" s="550">
        <v>11.5128</v>
      </c>
      <c r="S12" s="550">
        <v>14.065199999999999</v>
      </c>
      <c r="T12" s="550">
        <v>15.8292</v>
      </c>
      <c r="U12" s="550">
        <v>14.403599999999999</v>
      </c>
      <c r="V12" s="550">
        <v>14.054399999999999</v>
      </c>
      <c r="W12" s="550">
        <v>17.1144</v>
      </c>
      <c r="X12" s="550">
        <v>17.906399999999998</v>
      </c>
      <c r="Y12" s="550">
        <v>16.6572</v>
      </c>
      <c r="Z12" s="550">
        <v>15.663599999999999</v>
      </c>
      <c r="AA12" s="550">
        <v>17.4816</v>
      </c>
      <c r="AB12" s="550">
        <v>19.292400000000001</v>
      </c>
      <c r="AC12" s="550">
        <v>16.577999999999999</v>
      </c>
      <c r="AD12" s="550">
        <v>15.3108</v>
      </c>
      <c r="AE12" s="550">
        <v>17.575199999999999</v>
      </c>
      <c r="AF12" s="550">
        <v>19.785599999999999</v>
      </c>
      <c r="AG12" s="550">
        <v>17.467199999999998</v>
      </c>
      <c r="AH12" s="550">
        <v>15.469199999999999</v>
      </c>
      <c r="AI12" s="550">
        <v>17.225999999999999</v>
      </c>
      <c r="AJ12" s="550">
        <v>16.405200000000001</v>
      </c>
      <c r="AK12" s="550">
        <v>16.135200000000001</v>
      </c>
      <c r="AL12" s="550">
        <v>14.9724</v>
      </c>
      <c r="AM12" s="550">
        <v>17.967600000000001</v>
      </c>
      <c r="AN12" s="550">
        <v>18.558</v>
      </c>
      <c r="AO12" s="550">
        <v>18.8964</v>
      </c>
      <c r="AP12" s="550">
        <v>17.28</v>
      </c>
      <c r="AQ12" s="550">
        <v>18.165599999999998</v>
      </c>
      <c r="AR12" s="550">
        <v>19.537199999999999</v>
      </c>
      <c r="AS12" s="550">
        <v>17.64</v>
      </c>
      <c r="AT12" s="550">
        <v>17.0136</v>
      </c>
      <c r="AU12" s="550">
        <v>16.467237618243697</v>
      </c>
      <c r="AV12" s="550">
        <v>19.145601562468212</v>
      </c>
      <c r="AW12" s="550">
        <v>17.612393225464402</v>
      </c>
      <c r="AX12" s="550">
        <v>17.718407631023688</v>
      </c>
      <c r="AY12" s="550">
        <v>19.019950614673956</v>
      </c>
      <c r="AZ12" s="550">
        <v>22.793718570473953</v>
      </c>
      <c r="BA12" s="550">
        <v>19.224100352935189</v>
      </c>
      <c r="BB12" s="550">
        <v>17.398761516716867</v>
      </c>
      <c r="BC12" s="550">
        <v>20.844611833467493</v>
      </c>
      <c r="BD12" s="550">
        <v>21.023935403332967</v>
      </c>
      <c r="BE12" s="550">
        <v>18.886077872087725</v>
      </c>
      <c r="BF12" s="550">
        <v>18.685716341511782</v>
      </c>
      <c r="BG12" s="550">
        <v>18.496956292063885</v>
      </c>
      <c r="BH12" s="550">
        <v>22.422532602585783</v>
      </c>
      <c r="BI12" s="550">
        <v>22.233704828938702</v>
      </c>
      <c r="BJ12" s="550">
        <v>20.231109737611632</v>
      </c>
      <c r="BK12" s="550">
        <v>20.982523165935337</v>
      </c>
      <c r="BL12" s="550">
        <v>21.06682841696616</v>
      </c>
      <c r="BM12" s="550">
        <v>18.119306077800804</v>
      </c>
      <c r="BN12" s="550">
        <v>18.828524002097662</v>
      </c>
      <c r="BO12" s="550">
        <v>19.581446879291555</v>
      </c>
      <c r="BP12" s="550">
        <v>23.548501010764546</v>
      </c>
      <c r="BQ12" s="550">
        <v>20.673946724082697</v>
      </c>
      <c r="BR12" s="550">
        <v>19.390021446661162</v>
      </c>
      <c r="BS12" s="550">
        <v>19.428930295012403</v>
      </c>
      <c r="BT12" s="550">
        <v>20.800816288266347</v>
      </c>
      <c r="BU12" s="550">
        <v>21.976101296660303</v>
      </c>
      <c r="BV12" s="550">
        <v>20.214254009260944</v>
      </c>
      <c r="BW12" s="550">
        <v>16.549922542361038</v>
      </c>
      <c r="BX12" s="550">
        <v>16.281062998531631</v>
      </c>
      <c r="BY12" s="550">
        <v>22.129036976762603</v>
      </c>
      <c r="BZ12" s="550">
        <v>21.623670282344726</v>
      </c>
      <c r="CA12" s="550">
        <v>19.058577014055274</v>
      </c>
      <c r="CB12" s="550">
        <v>24.0919852827524</v>
      </c>
      <c r="CC12" s="550">
        <v>18.954437532633936</v>
      </c>
      <c r="CD12" s="550">
        <v>21.821954970558384</v>
      </c>
      <c r="CE12" s="550">
        <v>19.518287745354119</v>
      </c>
      <c r="CF12" s="550">
        <v>26.7342548173092</v>
      </c>
      <c r="CG12" s="550">
        <v>24.008856625881286</v>
      </c>
      <c r="CH12" s="550">
        <v>21.916215611455428</v>
      </c>
      <c r="CI12" s="550">
        <v>25.026712223761116</v>
      </c>
      <c r="CJ12" s="550">
        <v>25.369977953776861</v>
      </c>
      <c r="CK12" s="550">
        <v>25.820976312905181</v>
      </c>
      <c r="CL12" s="550">
        <v>24.596837909556839</v>
      </c>
      <c r="CM12" s="550">
        <v>22.9510188</v>
      </c>
      <c r="CN12" s="550">
        <v>22.0337496</v>
      </c>
      <c r="CO12" s="550">
        <v>23.734353599999999</v>
      </c>
      <c r="CP12" s="550">
        <v>20.061622799999999</v>
      </c>
      <c r="CQ12" s="550">
        <v>19.064404799999998</v>
      </c>
      <c r="CR12" s="550">
        <v>21.7467288</v>
      </c>
      <c r="CS12" s="550">
        <v>22.019345999999999</v>
      </c>
      <c r="CT12" s="550">
        <v>22.1751036</v>
      </c>
      <c r="CU12" s="550">
        <v>22.407318</v>
      </c>
      <c r="CV12" s="550">
        <v>23.881161599999999</v>
      </c>
      <c r="CW12" s="550">
        <v>21.774495599999998</v>
      </c>
      <c r="CX12" s="550">
        <v>19.333317600000001</v>
      </c>
      <c r="CY12" s="550">
        <v>21.835990799999998</v>
      </c>
      <c r="CZ12" s="550">
        <v>20.951949599999999</v>
      </c>
      <c r="DA12" s="550">
        <v>19.563937199999998</v>
      </c>
      <c r="DB12" s="550">
        <v>19.226502</v>
      </c>
      <c r="DC12" s="550">
        <v>21.103235999999999</v>
      </c>
      <c r="DD12" s="550">
        <v>23.736628799999998</v>
      </c>
      <c r="DE12" s="550">
        <v>23.019890399999998</v>
      </c>
      <c r="DF12" s="550">
        <v>20.570090399999998</v>
      </c>
      <c r="DG12" s="550">
        <v>19.2155472</v>
      </c>
      <c r="DH12" s="550">
        <v>17.21988</v>
      </c>
      <c r="DI12" s="550">
        <v>20.266167599999999</v>
      </c>
      <c r="DJ12" s="550">
        <v>20.73971906461782</v>
      </c>
      <c r="DK12" s="550">
        <v>19.102054069978234</v>
      </c>
      <c r="DL12" s="550">
        <v>24.805796280754464</v>
      </c>
      <c r="DM12" s="550">
        <v>23.999893609765536</v>
      </c>
      <c r="DN12" s="550">
        <v>20.154874156199998</v>
      </c>
      <c r="DO12" s="550">
        <v>18.293267057400001</v>
      </c>
      <c r="DP12" s="550">
        <v>21.7625343192</v>
      </c>
      <c r="DQ12" s="550">
        <v>23.980971966119998</v>
      </c>
      <c r="DR12" s="550">
        <v>24.316349641199999</v>
      </c>
      <c r="DS12" s="550">
        <v>22.637023424999999</v>
      </c>
      <c r="DT12" s="550">
        <v>27.6347151774</v>
      </c>
      <c r="DU12" s="550">
        <v>22.495581134999998</v>
      </c>
      <c r="DV12" s="550">
        <v>22.424351529599999</v>
      </c>
      <c r="DW12" s="550">
        <v>20.548192589999999</v>
      </c>
      <c r="DX12" s="550">
        <v>20.451826220400001</v>
      </c>
      <c r="DY12" s="550">
        <v>19.715032918800002</v>
      </c>
      <c r="DZ12" s="550">
        <v>18.525542306399998</v>
      </c>
      <c r="EA12" s="550">
        <v>20.616962605200001</v>
      </c>
      <c r="EB12" s="550">
        <v>22.335940792799999</v>
      </c>
      <c r="EC12" s="550">
        <v>22.536506825999997</v>
      </c>
      <c r="ED12" s="550">
        <v>21.808502989200001</v>
      </c>
      <c r="EE12" s="550">
        <v>19.193891223600001</v>
      </c>
      <c r="EF12" s="550">
        <v>22.370174816399999</v>
      </c>
      <c r="EG12" s="550">
        <v>20.882170393199999</v>
      </c>
      <c r="EH12" s="550">
        <v>18.970600330785601</v>
      </c>
      <c r="EI12" s="550">
        <v>17.193239147554557</v>
      </c>
      <c r="EJ12" s="550">
        <v>22.111777601346276</v>
      </c>
      <c r="EK12" s="550">
        <v>21.370294840860002</v>
      </c>
      <c r="EL12" s="550">
        <v>19.749928282919999</v>
      </c>
      <c r="EM12" s="550">
        <v>21.434185039125097</v>
      </c>
      <c r="EN12" s="550">
        <v>22.8206757966921</v>
      </c>
      <c r="EO12" s="550">
        <v>22.30617836073078</v>
      </c>
      <c r="EP12" s="550">
        <v>20.536127230744043</v>
      </c>
      <c r="EQ12" s="550">
        <v>21.489728974282979</v>
      </c>
      <c r="ER12" s="550">
        <v>23.911863361300547</v>
      </c>
      <c r="ES12" s="550">
        <v>22.187542154009005</v>
      </c>
      <c r="ET12" s="550">
        <v>22.163470674201214</v>
      </c>
      <c r="EU12" s="550">
        <v>23.410910656600993</v>
      </c>
      <c r="EV12" s="550">
        <v>22.498148336118732</v>
      </c>
      <c r="EW12" s="550">
        <v>21.421889240082553</v>
      </c>
      <c r="EX12" s="550">
        <v>18.75676102219116</v>
      </c>
      <c r="EY12" s="550">
        <v>17.570682411619966</v>
      </c>
      <c r="EZ12" s="550">
        <v>22.599382079384242</v>
      </c>
      <c r="FA12" s="550">
        <v>22.676860680809003</v>
      </c>
      <c r="FB12" s="550">
        <v>18.910226313258157</v>
      </c>
      <c r="FC12" s="550">
        <v>18.301507387464095</v>
      </c>
      <c r="FD12" s="550">
        <v>21.792040300063871</v>
      </c>
      <c r="FE12" s="550">
        <v>23.071851123926219</v>
      </c>
      <c r="FF12" s="550">
        <v>20.333240090017668</v>
      </c>
      <c r="FG12" s="550">
        <v>20.977728714413242</v>
      </c>
      <c r="FH12" s="550">
        <v>24.161690881889314</v>
      </c>
      <c r="FI12" s="550">
        <v>21.196910359629825</v>
      </c>
      <c r="FJ12" s="550">
        <v>19.09991108908746</v>
      </c>
      <c r="FK12" s="550">
        <v>21.967987260867297</v>
      </c>
      <c r="FL12" s="550">
        <v>24.515601326610227</v>
      </c>
      <c r="FM12" s="550">
        <v>21.841223759026992</v>
      </c>
      <c r="FN12" s="550">
        <v>20.865865717184541</v>
      </c>
      <c r="FO12" s="550">
        <v>22.302741828641796</v>
      </c>
      <c r="FP12" s="550">
        <v>25.768365537119436</v>
      </c>
      <c r="FQ12" s="550">
        <v>23.495542517786472</v>
      </c>
      <c r="FR12" s="550">
        <v>22.187700841111091</v>
      </c>
      <c r="FS12" s="550">
        <v>21.782260801821202</v>
      </c>
      <c r="FT12" s="550">
        <v>23.617154732252363</v>
      </c>
      <c r="FU12" s="550">
        <v>22.139628482596137</v>
      </c>
      <c r="FV12" s="550">
        <v>20.761551097175555</v>
      </c>
      <c r="FW12" s="550">
        <v>24.570493908864012</v>
      </c>
      <c r="FX12" s="550">
        <v>25.77085511602565</v>
      </c>
      <c r="FY12" s="550">
        <v>22.468420699862794</v>
      </c>
      <c r="FZ12" s="550">
        <v>20.639704416142752</v>
      </c>
      <c r="GA12" s="550">
        <v>23.228737772426605</v>
      </c>
      <c r="GB12" s="550">
        <v>24.099694274203486</v>
      </c>
      <c r="GC12" s="550">
        <v>23.265460219412592</v>
      </c>
      <c r="GD12" s="550">
        <v>21.122724171641615</v>
      </c>
      <c r="GE12" s="550">
        <v>20.407782817693437</v>
      </c>
      <c r="GF12" s="550">
        <v>22.419877281774806</v>
      </c>
      <c r="GG12" s="550">
        <v>22.53574743150438</v>
      </c>
      <c r="GH12" s="550">
        <v>19.135700641115999</v>
      </c>
      <c r="GI12" s="550">
        <v>19.352293947734939</v>
      </c>
      <c r="GJ12" s="550">
        <v>24.274531969416</v>
      </c>
      <c r="GK12" s="550">
        <v>23.610062052035641</v>
      </c>
      <c r="GL12" s="550">
        <v>20.173916595751521</v>
      </c>
      <c r="GM12" s="550">
        <v>20.814680576971476</v>
      </c>
      <c r="GN12" s="550">
        <v>26.880959732502529</v>
      </c>
      <c r="GO12" s="550">
        <v>25.778841563634838</v>
      </c>
      <c r="GP12" s="550">
        <v>21.679766321358386</v>
      </c>
      <c r="GQ12" s="550">
        <v>26.065590507889883</v>
      </c>
      <c r="GR12" s="550">
        <v>24.039501660469583</v>
      </c>
      <c r="GS12" s="561">
        <v>-0.10570523152107769</v>
      </c>
    </row>
    <row r="13" spans="1:201" ht="14.25" customHeight="1" outlineLevel="1">
      <c r="A13" s="531" t="s">
        <v>2093</v>
      </c>
      <c r="B13" s="550">
        <v>1.0782</v>
      </c>
      <c r="C13" s="550">
        <v>1.2294</v>
      </c>
      <c r="D13" s="550">
        <v>1.2906</v>
      </c>
      <c r="E13" s="550">
        <v>1.2906</v>
      </c>
      <c r="F13" s="550">
        <v>1.143</v>
      </c>
      <c r="G13" s="550">
        <v>1.2438</v>
      </c>
      <c r="H13" s="550">
        <v>1.2545999999999999</v>
      </c>
      <c r="I13" s="550">
        <v>1.2185999999999999</v>
      </c>
      <c r="J13" s="550">
        <v>1.0602</v>
      </c>
      <c r="K13" s="550">
        <v>1.1970000000000001</v>
      </c>
      <c r="L13" s="550">
        <v>1.2041999999999999</v>
      </c>
      <c r="M13" s="550">
        <v>1.1825999999999999</v>
      </c>
      <c r="N13" s="550">
        <v>1.0566</v>
      </c>
      <c r="O13" s="550">
        <v>1.1321999999999999</v>
      </c>
      <c r="P13" s="550">
        <v>1.1681999999999999</v>
      </c>
      <c r="Q13" s="550">
        <v>1.0242</v>
      </c>
      <c r="R13" s="550">
        <v>1.0386</v>
      </c>
      <c r="S13" s="550">
        <v>1.1394</v>
      </c>
      <c r="T13" s="550">
        <v>1.1681999999999999</v>
      </c>
      <c r="U13" s="550">
        <v>1.1142000000000001</v>
      </c>
      <c r="V13" s="550">
        <v>1.0458000000000001</v>
      </c>
      <c r="W13" s="550">
        <v>1.0638000000000001</v>
      </c>
      <c r="X13" s="550">
        <v>1.1357999999999999</v>
      </c>
      <c r="Y13" s="550">
        <v>0.77939999999999998</v>
      </c>
      <c r="Z13" s="550">
        <v>1.0349999999999999</v>
      </c>
      <c r="AA13" s="550">
        <v>1.0566</v>
      </c>
      <c r="AB13" s="550">
        <v>1.143</v>
      </c>
      <c r="AC13" s="550">
        <v>1.107</v>
      </c>
      <c r="AD13" s="550">
        <v>1.0493999999999999</v>
      </c>
      <c r="AE13" s="550">
        <v>1.0638000000000001</v>
      </c>
      <c r="AF13" s="550">
        <v>1.1321999999999999</v>
      </c>
      <c r="AG13" s="550">
        <v>0.86219999999999997</v>
      </c>
      <c r="AH13" s="550">
        <v>1.0206</v>
      </c>
      <c r="AI13" s="550">
        <v>1.0638000000000001</v>
      </c>
      <c r="AJ13" s="550">
        <v>1.1214</v>
      </c>
      <c r="AK13" s="550">
        <v>0.96299999999999997</v>
      </c>
      <c r="AL13" s="550">
        <v>1.0673999999999999</v>
      </c>
      <c r="AM13" s="550">
        <v>1.0997999999999999</v>
      </c>
      <c r="AN13" s="550">
        <v>1.1501999999999999</v>
      </c>
      <c r="AO13" s="550">
        <v>0.90539999999999998</v>
      </c>
      <c r="AP13" s="550">
        <v>1.1718</v>
      </c>
      <c r="AQ13" s="550">
        <v>1.2041999999999999</v>
      </c>
      <c r="AR13" s="550">
        <v>1.1537999999999999</v>
      </c>
      <c r="AS13" s="550">
        <v>1.1286</v>
      </c>
      <c r="AT13" s="550">
        <v>1.0458000000000001</v>
      </c>
      <c r="AU13" s="550">
        <v>1.1016541082164319</v>
      </c>
      <c r="AV13" s="550">
        <v>1.1306831663326644</v>
      </c>
      <c r="AW13" s="550">
        <v>0.91446673346693286</v>
      </c>
      <c r="AX13" s="550">
        <v>1.043595991983967</v>
      </c>
      <c r="AY13" s="550">
        <v>1.114668</v>
      </c>
      <c r="AZ13" s="550">
        <v>1.1513519999999999</v>
      </c>
      <c r="BA13" s="550">
        <v>1.132056</v>
      </c>
      <c r="BB13" s="550">
        <v>1.0226879999999998</v>
      </c>
      <c r="BC13" s="550">
        <v>1.159632</v>
      </c>
      <c r="BD13" s="550">
        <v>1.1806920000000001</v>
      </c>
      <c r="BE13" s="550">
        <v>1.0593359999999998</v>
      </c>
      <c r="BF13" s="550">
        <v>1.0545120000000001</v>
      </c>
      <c r="BG13" s="550">
        <v>1.1097359999999998</v>
      </c>
      <c r="BH13" s="550">
        <v>1.12788</v>
      </c>
      <c r="BI13" s="550">
        <v>1.1617199999999999</v>
      </c>
      <c r="BJ13" s="550">
        <v>1.2491999999999999</v>
      </c>
      <c r="BK13" s="550">
        <v>1.5173999999999999</v>
      </c>
      <c r="BL13" s="550">
        <v>1.7154</v>
      </c>
      <c r="BM13" s="550">
        <v>1.6577999999999999</v>
      </c>
      <c r="BN13" s="550">
        <v>1.8014399999999999</v>
      </c>
      <c r="BO13" s="550">
        <v>1.8557999999999999</v>
      </c>
      <c r="BP13" s="550">
        <v>1.9638</v>
      </c>
      <c r="BQ13" s="550">
        <v>1.6181999999999999</v>
      </c>
      <c r="BR13" s="550">
        <v>1.8774</v>
      </c>
      <c r="BS13" s="550">
        <v>1.8701999999999999</v>
      </c>
      <c r="BT13" s="550">
        <v>2.0358000000000001</v>
      </c>
      <c r="BU13" s="550">
        <v>1.9854000000000001</v>
      </c>
      <c r="BV13" s="550">
        <v>1.7982000000000036</v>
      </c>
      <c r="BW13" s="550">
        <v>1.9565999999999999</v>
      </c>
      <c r="BX13" s="550">
        <v>2.0213999999999999</v>
      </c>
      <c r="BY13" s="550">
        <v>1.8954</v>
      </c>
      <c r="BZ13" s="550">
        <v>1.9385999999999999</v>
      </c>
      <c r="CA13" s="550">
        <v>2.0537999999999998</v>
      </c>
      <c r="CB13" s="550">
        <v>2.1006</v>
      </c>
      <c r="CC13" s="550">
        <v>1.9961999999999962</v>
      </c>
      <c r="CD13" s="550">
        <v>1.7982</v>
      </c>
      <c r="CE13" s="550">
        <v>1.9458</v>
      </c>
      <c r="CF13" s="550">
        <v>1.9638</v>
      </c>
      <c r="CG13" s="550">
        <v>1.8557999999999999</v>
      </c>
      <c r="CH13" s="550">
        <v>1.8162</v>
      </c>
      <c r="CI13" s="550">
        <v>1.83854799472311</v>
      </c>
      <c r="CJ13" s="550">
        <v>1.8977704611771529</v>
      </c>
      <c r="CK13" s="550">
        <v>1.7874941443316892</v>
      </c>
      <c r="CL13" s="550">
        <v>1.7139765997680481</v>
      </c>
      <c r="CM13" s="550">
        <v>1.8754919999999999</v>
      </c>
      <c r="CN13" s="550">
        <v>1.9491912</v>
      </c>
      <c r="CO13" s="550">
        <v>1.7996795999999999</v>
      </c>
      <c r="CP13" s="550">
        <v>1.6606044</v>
      </c>
      <c r="CQ13" s="550">
        <v>1.9975464000000001</v>
      </c>
      <c r="CR13" s="550">
        <v>2.1374711999999998</v>
      </c>
      <c r="CS13" s="550">
        <v>1.8736596000000001</v>
      </c>
      <c r="CT13" s="550">
        <v>1.8282311999999998</v>
      </c>
      <c r="CU13" s="550">
        <v>2.3276880000000002</v>
      </c>
      <c r="CV13" s="550">
        <v>2.3209704000000002</v>
      </c>
      <c r="CW13" s="550">
        <v>2.1109140000000002</v>
      </c>
      <c r="CX13" s="550">
        <v>2.0061035999999999</v>
      </c>
      <c r="CY13" s="550">
        <v>2.4375312</v>
      </c>
      <c r="CZ13" s="550">
        <v>2.6639855999999997</v>
      </c>
      <c r="DA13" s="550">
        <v>2.3811228</v>
      </c>
      <c r="DB13" s="550">
        <v>2.3680979999999998</v>
      </c>
      <c r="DC13" s="550">
        <v>2.4668136000000001</v>
      </c>
      <c r="DD13" s="550">
        <v>2.6427491999999999</v>
      </c>
      <c r="DE13" s="550">
        <v>2.4440724</v>
      </c>
      <c r="DF13" s="550">
        <v>2.3687315999999998</v>
      </c>
      <c r="DG13" s="550">
        <v>2.4946487999999998</v>
      </c>
      <c r="DH13" s="550">
        <v>2.4883236000000002</v>
      </c>
      <c r="DI13" s="550">
        <v>2.2882931999999996</v>
      </c>
      <c r="DJ13" s="550">
        <v>2.1592683936000001</v>
      </c>
      <c r="DK13" s="550">
        <v>2.4420385331999999</v>
      </c>
      <c r="DL13" s="550">
        <v>2.5124974955999999</v>
      </c>
      <c r="DM13" s="550">
        <v>2.4430837787999997</v>
      </c>
      <c r="DN13" s="550">
        <v>2.3114444975999997</v>
      </c>
      <c r="DO13" s="550">
        <v>2.2861145450769227</v>
      </c>
      <c r="DP13" s="550">
        <v>2.4315873950769227</v>
      </c>
      <c r="DQ13" s="550">
        <v>2.3115288278769226</v>
      </c>
      <c r="DR13" s="550">
        <v>2.1753351794769227</v>
      </c>
      <c r="DS13" s="550">
        <v>2.4062268888</v>
      </c>
      <c r="DT13" s="550">
        <v>2.4827864039999996</v>
      </c>
      <c r="DU13" s="550">
        <v>2.4077785643999996</v>
      </c>
      <c r="DV13" s="550">
        <v>2.3563176191999999</v>
      </c>
      <c r="DW13" s="550">
        <v>2.75397129</v>
      </c>
      <c r="DX13" s="550">
        <v>2.7934161408000002</v>
      </c>
      <c r="DY13" s="550">
        <v>2.8266352775999999</v>
      </c>
      <c r="DZ13" s="550">
        <v>2.7051083999999999</v>
      </c>
      <c r="EA13" s="550">
        <v>2.840272632</v>
      </c>
      <c r="EB13" s="550">
        <v>3.0773891879999997</v>
      </c>
      <c r="EC13" s="550">
        <v>2.8154322972000001</v>
      </c>
      <c r="ED13" s="550">
        <v>2.8241122320000001</v>
      </c>
      <c r="EE13" s="550">
        <v>2.8746985247999999</v>
      </c>
      <c r="EF13" s="550">
        <v>3.1522679999999998</v>
      </c>
      <c r="EG13" s="550">
        <v>3.2222888315999998</v>
      </c>
      <c r="EH13" s="550">
        <v>3.0520336572</v>
      </c>
      <c r="EI13" s="550">
        <v>3.1789934459999998</v>
      </c>
      <c r="EJ13" s="550">
        <v>4.0576044141000001</v>
      </c>
      <c r="EK13" s="550">
        <v>3.9893567171400002</v>
      </c>
      <c r="EL13" s="550">
        <v>3.8828682480599999</v>
      </c>
      <c r="EM13" s="550">
        <v>4.2724468601999996</v>
      </c>
      <c r="EN13" s="550">
        <v>4.3734725970120003</v>
      </c>
      <c r="EO13" s="550">
        <v>3.9925322404199997</v>
      </c>
      <c r="EP13" s="550">
        <v>4.1777918383319994</v>
      </c>
      <c r="EQ13" s="550">
        <v>5.3413463160000001</v>
      </c>
      <c r="ER13" s="550">
        <v>5.2445992226399998</v>
      </c>
      <c r="ES13" s="550">
        <v>5.2470691367399995</v>
      </c>
      <c r="ET13" s="550">
        <v>5.0764879187999998</v>
      </c>
      <c r="EU13" s="550">
        <v>5.3700703001100001</v>
      </c>
      <c r="EV13" s="550">
        <v>5.46754857093</v>
      </c>
      <c r="EW13" s="550">
        <v>5.2686864411299998</v>
      </c>
      <c r="EX13" s="550">
        <v>5.3659294078499995</v>
      </c>
      <c r="EY13" s="550">
        <v>5.5145489188500001</v>
      </c>
      <c r="EZ13" s="550">
        <v>5.5100232074699997</v>
      </c>
      <c r="FA13" s="550">
        <v>5.5103128519500002</v>
      </c>
      <c r="FB13" s="550">
        <v>5.4086055952500001</v>
      </c>
      <c r="FC13" s="550">
        <v>5.6400293447999994</v>
      </c>
      <c r="FD13" s="550">
        <v>6.1619543999999999</v>
      </c>
      <c r="FE13" s="550">
        <v>6.0048397115999999</v>
      </c>
      <c r="FF13" s="550">
        <v>6.0574172709959999</v>
      </c>
      <c r="FG13" s="550">
        <v>6.5655606658319998</v>
      </c>
      <c r="FH13" s="550">
        <v>6.8998458872160002</v>
      </c>
      <c r="FI13" s="550">
        <v>6.3796879607759998</v>
      </c>
      <c r="FJ13" s="550">
        <v>6.8468076649440004</v>
      </c>
      <c r="FK13" s="550">
        <v>7.1129758813199997</v>
      </c>
      <c r="FL13" s="550">
        <v>6.9494997976919999</v>
      </c>
      <c r="FM13" s="550">
        <v>6.9857874024839992</v>
      </c>
      <c r="FN13" s="550">
        <v>7.1223270147359994</v>
      </c>
      <c r="FO13" s="550">
        <v>7.0824049999199996</v>
      </c>
      <c r="FP13" s="550">
        <v>7.0470115546320002</v>
      </c>
      <c r="FQ13" s="550">
        <v>6.6048412972320003</v>
      </c>
      <c r="FR13" s="550">
        <v>6.8694534579240001</v>
      </c>
      <c r="FS13" s="550">
        <v>7.0773900122520006</v>
      </c>
      <c r="FT13" s="550">
        <v>7.3027094883479995</v>
      </c>
      <c r="FU13" s="550">
        <v>6.7553487950040001</v>
      </c>
      <c r="FV13" s="550">
        <v>6.4734470325720004</v>
      </c>
      <c r="FW13" s="550">
        <v>7.0363741106519999</v>
      </c>
      <c r="FX13" s="550">
        <v>7.2974608058520003</v>
      </c>
      <c r="FY13" s="550">
        <v>7.0181444074679993</v>
      </c>
      <c r="FZ13" s="550">
        <v>6.7831882022879997</v>
      </c>
      <c r="GA13" s="550">
        <v>7.2537339557751839</v>
      </c>
      <c r="GB13" s="550">
        <v>7.298609836163183</v>
      </c>
      <c r="GC13" s="550">
        <v>6.720581636087184</v>
      </c>
      <c r="GD13" s="550">
        <v>7.0568623122351841</v>
      </c>
      <c r="GE13" s="550">
        <v>7.2502968143880002</v>
      </c>
      <c r="GF13" s="550">
        <v>7.1407886845319997</v>
      </c>
      <c r="GG13" s="550">
        <v>6.7529057425919996</v>
      </c>
      <c r="GH13" s="550">
        <v>7.2142893841319999</v>
      </c>
      <c r="GI13" s="550">
        <v>7.0471827921612959</v>
      </c>
      <c r="GJ13" s="550">
        <v>7.1954966840412959</v>
      </c>
      <c r="GK13" s="550">
        <v>7.2288864860412954</v>
      </c>
      <c r="GL13" s="550">
        <v>7.1720771549052955</v>
      </c>
      <c r="GM13" s="550">
        <v>7.389288784177416</v>
      </c>
      <c r="GN13" s="550">
        <v>7.5392193791774149</v>
      </c>
      <c r="GO13" s="550">
        <v>6.8171981087774158</v>
      </c>
      <c r="GP13" s="550">
        <v>6.9210106391774158</v>
      </c>
      <c r="GQ13" s="550">
        <v>6.5979513191774162</v>
      </c>
      <c r="GR13" s="550">
        <v>7.4731787435774164</v>
      </c>
      <c r="GS13" s="561">
        <v>-8.7596118747248486E-3</v>
      </c>
    </row>
    <row r="14" spans="1:201" ht="14.25" customHeight="1" outlineLevel="1">
      <c r="A14" s="531" t="s">
        <v>2094</v>
      </c>
      <c r="B14" s="550">
        <v>6.8364000000000003E-3</v>
      </c>
      <c r="C14" s="550">
        <v>6.8364000000000003E-3</v>
      </c>
      <c r="D14" s="550">
        <v>6.8364000000000003E-3</v>
      </c>
      <c r="E14" s="550">
        <v>6.8364000000000003E-3</v>
      </c>
      <c r="F14" s="550">
        <v>6.8364000000000003E-3</v>
      </c>
      <c r="G14" s="550">
        <v>4.7336399999999994E-2</v>
      </c>
      <c r="H14" s="550">
        <v>4.7336399999999994E-2</v>
      </c>
      <c r="I14" s="550">
        <v>4.7336399999999994E-2</v>
      </c>
      <c r="J14" s="550">
        <v>4.7336399999999994E-2</v>
      </c>
      <c r="K14" s="550">
        <v>4.7336399999999994E-2</v>
      </c>
      <c r="L14" s="550">
        <v>4.7336399999999994E-2</v>
      </c>
      <c r="M14" s="550">
        <v>4.7336399999999994E-2</v>
      </c>
      <c r="N14" s="550">
        <v>4.7336399999999994E-2</v>
      </c>
      <c r="O14" s="550">
        <v>4.7336399999999994E-2</v>
      </c>
      <c r="P14" s="550">
        <v>4.7336399999999994E-2</v>
      </c>
      <c r="Q14" s="550">
        <v>4.7336399999999994E-2</v>
      </c>
      <c r="R14" s="550">
        <v>4.7336399999999994E-2</v>
      </c>
      <c r="S14" s="550">
        <v>4.7336399999999994E-2</v>
      </c>
      <c r="T14" s="550">
        <v>4.7336399999999994E-2</v>
      </c>
      <c r="U14" s="550">
        <v>4.7336399999999994E-2</v>
      </c>
      <c r="V14" s="550">
        <v>4.7336399999999994E-2</v>
      </c>
      <c r="W14" s="550">
        <v>5.1656399999999998E-2</v>
      </c>
      <c r="X14" s="550">
        <v>5.1656399999999998E-2</v>
      </c>
      <c r="Y14" s="550">
        <v>5.1656399999999998E-2</v>
      </c>
      <c r="Z14" s="550">
        <v>5.1656399999999998E-2</v>
      </c>
      <c r="AA14" s="550">
        <v>5.1656399999999998E-2</v>
      </c>
      <c r="AB14" s="550">
        <v>5.1656399999999998E-2</v>
      </c>
      <c r="AC14" s="550">
        <v>5.1656399999999998E-2</v>
      </c>
      <c r="AD14" s="550">
        <v>5.1656399999999998E-2</v>
      </c>
      <c r="AE14" s="550">
        <v>9.2156399999999999E-2</v>
      </c>
      <c r="AF14" s="550">
        <v>9.2156399999999999E-2</v>
      </c>
      <c r="AG14" s="550">
        <v>9.2156399999999999E-2</v>
      </c>
      <c r="AH14" s="550">
        <v>9.2156399999999999E-2</v>
      </c>
      <c r="AI14" s="550">
        <v>9.2156399999999999E-2</v>
      </c>
      <c r="AJ14" s="550">
        <v>9.2156399999999999E-2</v>
      </c>
      <c r="AK14" s="550">
        <v>9.2156399999999999E-2</v>
      </c>
      <c r="AL14" s="550">
        <v>9.2156399999999999E-2</v>
      </c>
      <c r="AM14" s="550">
        <v>9.4748399999999997E-2</v>
      </c>
      <c r="AN14" s="550">
        <v>9.4748399999999997E-2</v>
      </c>
      <c r="AO14" s="550">
        <v>9.4748399999999997E-2</v>
      </c>
      <c r="AP14" s="550">
        <v>9.4748399999999997E-2</v>
      </c>
      <c r="AQ14" s="550">
        <v>9.4748399999999997E-2</v>
      </c>
      <c r="AR14" s="550">
        <v>9.4748399999999997E-2</v>
      </c>
      <c r="AS14" s="550">
        <v>9.4748399999999997E-2</v>
      </c>
      <c r="AT14" s="550">
        <v>9.4748399999999997E-2</v>
      </c>
      <c r="AU14" s="550">
        <v>9.4748399999999997E-2</v>
      </c>
      <c r="AV14" s="550">
        <v>9.4748399999999997E-2</v>
      </c>
      <c r="AW14" s="550">
        <v>9.4748399999999997E-2</v>
      </c>
      <c r="AX14" s="550">
        <v>9.4748399999999997E-2</v>
      </c>
      <c r="AY14" s="550">
        <v>9.4748399999999997E-2</v>
      </c>
      <c r="AZ14" s="550">
        <v>9.4748399999999997E-2</v>
      </c>
      <c r="BA14" s="550">
        <v>9.4748399999999997E-2</v>
      </c>
      <c r="BB14" s="550">
        <v>9.4748399999999997E-2</v>
      </c>
      <c r="BC14" s="550">
        <v>9.5337000000000005E-2</v>
      </c>
      <c r="BD14" s="550">
        <v>9.5337000000000005E-2</v>
      </c>
      <c r="BE14" s="550">
        <v>9.5337000000000005E-2</v>
      </c>
      <c r="BF14" s="550">
        <v>9.5337000000000005E-2</v>
      </c>
      <c r="BG14" s="550">
        <v>9.5337000000000005E-2</v>
      </c>
      <c r="BH14" s="550">
        <v>9.5337000000000005E-2</v>
      </c>
      <c r="BI14" s="550">
        <v>9.5337000000000005E-2</v>
      </c>
      <c r="BJ14" s="550">
        <v>9.5337000000000005E-2</v>
      </c>
      <c r="BK14" s="550">
        <v>9.5337000000000005E-2</v>
      </c>
      <c r="BL14" s="550">
        <v>9.5337000000000005E-2</v>
      </c>
      <c r="BM14" s="550">
        <v>9.5337000000000005E-2</v>
      </c>
      <c r="BN14" s="550">
        <v>9.5337000000000005E-2</v>
      </c>
      <c r="BO14" s="550">
        <v>0.12514500000000001</v>
      </c>
      <c r="BP14" s="550">
        <v>0.12514500000000001</v>
      </c>
      <c r="BQ14" s="550">
        <v>0.12514500000000001</v>
      </c>
      <c r="BR14" s="550">
        <v>0.12514500000000001</v>
      </c>
      <c r="BS14" s="550">
        <v>0.14004900000000001</v>
      </c>
      <c r="BT14" s="550">
        <v>0.14004900000000001</v>
      </c>
      <c r="BU14" s="550">
        <v>0.14004900000000001</v>
      </c>
      <c r="BV14" s="550">
        <v>0.14004900000000001</v>
      </c>
      <c r="BW14" s="550">
        <v>0.14004900000000001</v>
      </c>
      <c r="BX14" s="550">
        <v>0.14004900000000001</v>
      </c>
      <c r="BY14" s="550">
        <v>0.14004900000000001</v>
      </c>
      <c r="BZ14" s="550">
        <v>0.14004900000000001</v>
      </c>
      <c r="CA14" s="550">
        <v>0.14004900000000001</v>
      </c>
      <c r="CB14" s="550">
        <v>0.14004900000000001</v>
      </c>
      <c r="CC14" s="550">
        <v>0.14004900000000001</v>
      </c>
      <c r="CD14" s="550">
        <v>0.14004900000000001</v>
      </c>
      <c r="CE14" s="550">
        <v>0.148149</v>
      </c>
      <c r="CF14" s="550">
        <v>0.148149</v>
      </c>
      <c r="CG14" s="550">
        <v>0.148149</v>
      </c>
      <c r="CH14" s="550">
        <v>0.148149</v>
      </c>
      <c r="CI14" s="550">
        <v>0.15727679999999999</v>
      </c>
      <c r="CJ14" s="550">
        <v>0.15727679999999999</v>
      </c>
      <c r="CK14" s="550">
        <v>0.15727679999999999</v>
      </c>
      <c r="CL14" s="550">
        <v>0.15727679999999999</v>
      </c>
      <c r="CM14" s="550">
        <v>0.12014120441328875</v>
      </c>
      <c r="CN14" s="550">
        <v>0.12830909859189288</v>
      </c>
      <c r="CO14" s="550">
        <v>0.11926186935690347</v>
      </c>
      <c r="CP14" s="550">
        <v>0.1175184</v>
      </c>
      <c r="CQ14" s="550">
        <v>0.12775320000000001</v>
      </c>
      <c r="CR14" s="550">
        <v>0.13670279999999999</v>
      </c>
      <c r="CS14" s="550">
        <v>0.11982599999999999</v>
      </c>
      <c r="CT14" s="550">
        <v>0.11691971999999999</v>
      </c>
      <c r="CU14" s="550">
        <v>0.12920184000000001</v>
      </c>
      <c r="CV14" s="550">
        <v>0.12883104000000001</v>
      </c>
      <c r="CW14" s="550">
        <v>0.11717208000000001</v>
      </c>
      <c r="CX14" s="550">
        <v>0.11766239999999999</v>
      </c>
      <c r="CY14" s="550">
        <v>9.7779600000000008E-2</v>
      </c>
      <c r="CZ14" s="550">
        <v>0.10686599999999999</v>
      </c>
      <c r="DA14" s="550">
        <v>9.5518800000000001E-2</v>
      </c>
      <c r="DB14" s="550">
        <v>9.4996800000000006E-2</v>
      </c>
      <c r="DC14" s="550">
        <v>8.9816400000000005E-2</v>
      </c>
      <c r="DD14" s="550">
        <v>9.6224399999999988E-2</v>
      </c>
      <c r="DE14" s="550">
        <v>8.8988399999999995E-2</v>
      </c>
      <c r="DF14" s="550">
        <v>8.6245199999999994E-2</v>
      </c>
      <c r="DG14" s="550">
        <v>9.5007599999999998E-2</v>
      </c>
      <c r="DH14" s="550">
        <v>9.4766400000000001E-2</v>
      </c>
      <c r="DI14" s="550">
        <v>8.7148799999999998E-2</v>
      </c>
      <c r="DJ14" s="550">
        <v>7.7681098800000001E-2</v>
      </c>
      <c r="DK14" s="550">
        <v>0.12901411439999999</v>
      </c>
      <c r="DL14" s="550">
        <v>0.13795487640000001</v>
      </c>
      <c r="DM14" s="550">
        <v>0.12665004120000001</v>
      </c>
      <c r="DN14" s="550">
        <v>0.12550958999999998</v>
      </c>
      <c r="DO14" s="550">
        <v>0.15646139279999999</v>
      </c>
      <c r="DP14" s="550">
        <v>0.16138202399999999</v>
      </c>
      <c r="DQ14" s="550">
        <v>0.1590531768</v>
      </c>
      <c r="DR14" s="550">
        <v>0.15408257039999998</v>
      </c>
      <c r="DS14" s="550">
        <v>0.16987752</v>
      </c>
      <c r="DT14" s="550">
        <v>0.1750733964</v>
      </c>
      <c r="DU14" s="550">
        <v>0.17006630759999999</v>
      </c>
      <c r="DV14" s="550">
        <v>0.15507870119999997</v>
      </c>
      <c r="DW14" s="550">
        <v>0.17095737959999999</v>
      </c>
      <c r="DX14" s="550">
        <v>0.1795270716</v>
      </c>
      <c r="DY14" s="550">
        <v>0.17895026519999999</v>
      </c>
      <c r="DZ14" s="550">
        <v>0.16968463919999999</v>
      </c>
      <c r="EA14" s="550">
        <v>0.20398444919999997</v>
      </c>
      <c r="EB14" s="550">
        <v>0.20465607599999999</v>
      </c>
      <c r="EC14" s="550">
        <v>0.2067856884</v>
      </c>
      <c r="ED14" s="550">
        <v>0.19106206919999999</v>
      </c>
      <c r="EE14" s="550">
        <v>0.18829040399999999</v>
      </c>
      <c r="EF14" s="550">
        <v>0.19122295319999999</v>
      </c>
      <c r="EG14" s="550">
        <v>0.18707343479999999</v>
      </c>
      <c r="EH14" s="550">
        <v>0.17177504760000001</v>
      </c>
      <c r="EI14" s="550">
        <v>0.18680170770000001</v>
      </c>
      <c r="EJ14" s="550">
        <v>0.1850888997</v>
      </c>
      <c r="EK14" s="550">
        <v>0.18572840730000001</v>
      </c>
      <c r="EL14" s="550">
        <v>0.18182286089999999</v>
      </c>
      <c r="EM14" s="550">
        <v>0.1918983024</v>
      </c>
      <c r="EN14" s="550">
        <v>0.19639927799999998</v>
      </c>
      <c r="EO14" s="550">
        <v>0.2040183612</v>
      </c>
      <c r="EP14" s="550">
        <v>0.20181971519999997</v>
      </c>
      <c r="EQ14" s="550">
        <v>0.19441198142999999</v>
      </c>
      <c r="ER14" s="550">
        <v>0.19344774123</v>
      </c>
      <c r="ES14" s="550">
        <v>0.19334140082999998</v>
      </c>
      <c r="ET14" s="550">
        <v>0.19360184283000001</v>
      </c>
      <c r="EU14" s="550">
        <v>0.19745146799999999</v>
      </c>
      <c r="EV14" s="550">
        <v>0.1978354836</v>
      </c>
      <c r="EW14" s="550">
        <v>0.196791102</v>
      </c>
      <c r="EX14" s="550">
        <v>0.1974045636</v>
      </c>
      <c r="EY14" s="550">
        <v>0.18933773766657408</v>
      </c>
      <c r="EZ14" s="550">
        <v>0.18728304126657408</v>
      </c>
      <c r="FA14" s="550">
        <v>0.18553644006657408</v>
      </c>
      <c r="FB14" s="550">
        <v>0.18624647166657407</v>
      </c>
      <c r="FC14" s="550">
        <v>0.17979215699610648</v>
      </c>
      <c r="FD14" s="550">
        <v>0.18166258379610647</v>
      </c>
      <c r="FE14" s="550">
        <v>0.18196727699610646</v>
      </c>
      <c r="FF14" s="550">
        <v>0.19285063499610647</v>
      </c>
      <c r="FG14" s="550">
        <v>0.20738314025099999</v>
      </c>
      <c r="FH14" s="550">
        <v>0.20865705065100001</v>
      </c>
      <c r="FI14" s="550">
        <v>0.21119095385100001</v>
      </c>
      <c r="FJ14" s="550">
        <v>0.20650506065099999</v>
      </c>
      <c r="FK14" s="550">
        <v>0.22206782431799998</v>
      </c>
      <c r="FL14" s="550">
        <v>0.224824101966</v>
      </c>
      <c r="FM14" s="550">
        <v>0.22491985951799998</v>
      </c>
      <c r="FN14" s="550">
        <v>0.22593008421216002</v>
      </c>
      <c r="FO14" s="550">
        <v>0.24208946972069148</v>
      </c>
      <c r="FP14" s="550">
        <v>0.24222729231626541</v>
      </c>
      <c r="FQ14" s="550">
        <v>0.24260380049460348</v>
      </c>
      <c r="FR14" s="550">
        <v>0.24132689155583389</v>
      </c>
      <c r="FS14" s="550">
        <v>0.23695446963548411</v>
      </c>
      <c r="FT14" s="550">
        <v>0.2379797437106041</v>
      </c>
      <c r="FU14" s="550">
        <v>0.2353256608970041</v>
      </c>
      <c r="FV14" s="550">
        <v>0.23735380413872409</v>
      </c>
      <c r="FW14" s="550">
        <v>0.23407398294390003</v>
      </c>
      <c r="FX14" s="550">
        <v>0.23119163460628919</v>
      </c>
      <c r="FY14" s="550">
        <v>0.23881976689194001</v>
      </c>
      <c r="FZ14" s="550">
        <v>0.23606427129318</v>
      </c>
      <c r="GA14" s="550">
        <v>0.24267672926549999</v>
      </c>
      <c r="GB14" s="550">
        <v>0.24159204859337996</v>
      </c>
      <c r="GC14" s="550">
        <v>0.2409073065855</v>
      </c>
      <c r="GD14" s="550">
        <v>0.23363999343773997</v>
      </c>
      <c r="GE14" s="550">
        <v>0.24494041040687137</v>
      </c>
      <c r="GF14" s="550">
        <v>0.24979717777787136</v>
      </c>
      <c r="GG14" s="550">
        <v>0.24859963685123135</v>
      </c>
      <c r="GH14" s="550">
        <v>0.24299976971087134</v>
      </c>
      <c r="GI14" s="550">
        <v>0.24016946971068001</v>
      </c>
      <c r="GJ14" s="550">
        <v>0.23560573123799999</v>
      </c>
      <c r="GK14" s="550">
        <v>0.23677516020599998</v>
      </c>
      <c r="GL14" s="550">
        <v>0.23650298631000002</v>
      </c>
      <c r="GM14" s="550">
        <v>0.23109041032199998</v>
      </c>
      <c r="GN14" s="550">
        <v>0.24206652495</v>
      </c>
      <c r="GO14" s="550">
        <v>0.24619191881399999</v>
      </c>
      <c r="GP14" s="550">
        <v>0.23257382203799998</v>
      </c>
      <c r="GQ14" s="550">
        <v>0.22957918295400001</v>
      </c>
      <c r="GR14" s="550">
        <v>0.22957918295400001</v>
      </c>
      <c r="GS14" s="561">
        <v>-5.1586405838557448E-2</v>
      </c>
    </row>
    <row r="15" spans="1:201" ht="14.25" customHeight="1" outlineLevel="1">
      <c r="A15" s="531" t="s">
        <v>39</v>
      </c>
      <c r="B15" s="550">
        <v>0.52564489211511711</v>
      </c>
      <c r="C15" s="550">
        <v>0.56859814661098318</v>
      </c>
      <c r="D15" s="550">
        <v>0.56667152924591402</v>
      </c>
      <c r="E15" s="550">
        <v>0.53331681903131878</v>
      </c>
      <c r="F15" s="550">
        <v>0.52564489211511711</v>
      </c>
      <c r="G15" s="550">
        <v>0.56859814661098318</v>
      </c>
      <c r="H15" s="550">
        <v>0.56667152924591402</v>
      </c>
      <c r="I15" s="550">
        <v>0.53331681903131878</v>
      </c>
      <c r="J15" s="550">
        <v>0.52564489211511711</v>
      </c>
      <c r="K15" s="550">
        <v>0.56859814661098318</v>
      </c>
      <c r="L15" s="550">
        <v>0.56667152924591402</v>
      </c>
      <c r="M15" s="550">
        <v>0.53331681903131878</v>
      </c>
      <c r="N15" s="550">
        <v>0.52564489211511711</v>
      </c>
      <c r="O15" s="550">
        <v>0.56859814661098318</v>
      </c>
      <c r="P15" s="550">
        <v>0.56667152924591402</v>
      </c>
      <c r="Q15" s="550">
        <v>0.53331681903131878</v>
      </c>
      <c r="R15" s="550">
        <v>0.52564489211511711</v>
      </c>
      <c r="S15" s="550">
        <v>0.56859814661098318</v>
      </c>
      <c r="T15" s="550">
        <v>0.56667152924591402</v>
      </c>
      <c r="U15" s="550">
        <v>0.53331681903131878</v>
      </c>
      <c r="V15" s="550">
        <v>0.52564489211511711</v>
      </c>
      <c r="W15" s="550">
        <v>0.56859814661098318</v>
      </c>
      <c r="X15" s="550">
        <v>0.56667152924591402</v>
      </c>
      <c r="Y15" s="550">
        <v>0.53331681903131878</v>
      </c>
      <c r="Z15" s="550">
        <v>0.52564489211511711</v>
      </c>
      <c r="AA15" s="550">
        <v>0.56859814661098318</v>
      </c>
      <c r="AB15" s="550">
        <v>0.56667152924591402</v>
      </c>
      <c r="AC15" s="550">
        <v>0.53331681903131878</v>
      </c>
      <c r="AD15" s="550">
        <v>0.52564489211511711</v>
      </c>
      <c r="AE15" s="550">
        <v>0.56859814661098318</v>
      </c>
      <c r="AF15" s="550">
        <v>0.56667152924591402</v>
      </c>
      <c r="AG15" s="550">
        <v>0.53331681903131878</v>
      </c>
      <c r="AH15" s="550">
        <v>0.52564489211511711</v>
      </c>
      <c r="AI15" s="550">
        <v>0.56859814661098318</v>
      </c>
      <c r="AJ15" s="550">
        <v>0.56667152924591402</v>
      </c>
      <c r="AK15" s="550">
        <v>0.53331681903131878</v>
      </c>
      <c r="AL15" s="550">
        <v>0.52564489211511711</v>
      </c>
      <c r="AM15" s="550">
        <v>0.56859814661098318</v>
      </c>
      <c r="AN15" s="550">
        <v>0.56667152924591402</v>
      </c>
      <c r="AO15" s="550">
        <v>0.53331681903131878</v>
      </c>
      <c r="AP15" s="550">
        <v>0.52564489211511711</v>
      </c>
      <c r="AQ15" s="550">
        <v>0.5958681466109832</v>
      </c>
      <c r="AR15" s="550">
        <v>0.59394152924591392</v>
      </c>
      <c r="AS15" s="550">
        <v>0.56058681903131879</v>
      </c>
      <c r="AT15" s="550">
        <v>0.55291489211511724</v>
      </c>
      <c r="AU15" s="550">
        <v>0.5958681466109832</v>
      </c>
      <c r="AV15" s="550">
        <v>0.59394152924591392</v>
      </c>
      <c r="AW15" s="550">
        <v>0.56058681903131879</v>
      </c>
      <c r="AX15" s="550">
        <v>0.55291489211511724</v>
      </c>
      <c r="AY15" s="550">
        <v>0.5958681466109832</v>
      </c>
      <c r="AZ15" s="550">
        <v>0.59394152924591392</v>
      </c>
      <c r="BA15" s="550">
        <v>0.56058681903131879</v>
      </c>
      <c r="BB15" s="550">
        <v>0.55291489211511724</v>
      </c>
      <c r="BC15" s="550">
        <v>0.5958681466109832</v>
      </c>
      <c r="BD15" s="550">
        <v>0.59394152924591392</v>
      </c>
      <c r="BE15" s="550">
        <v>0.56058681903131879</v>
      </c>
      <c r="BF15" s="550">
        <v>0.55291489211511724</v>
      </c>
      <c r="BG15" s="550">
        <v>0.5958681466109832</v>
      </c>
      <c r="BH15" s="550">
        <v>0.59394152924591392</v>
      </c>
      <c r="BI15" s="550">
        <v>0.56058681903131879</v>
      </c>
      <c r="BJ15" s="550">
        <v>0.55249170541513559</v>
      </c>
      <c r="BK15" s="550">
        <v>0.5934900500375111</v>
      </c>
      <c r="BL15" s="550">
        <v>0.59157999328783684</v>
      </c>
      <c r="BM15" s="550">
        <v>0.55851198999150964</v>
      </c>
      <c r="BN15" s="550">
        <v>0.55632710415149644</v>
      </c>
      <c r="BO15" s="550">
        <v>0.62460551907736916</v>
      </c>
      <c r="BP15" s="550">
        <v>0.62247779774723888</v>
      </c>
      <c r="BQ15" s="550">
        <v>0.58564145978482685</v>
      </c>
      <c r="BR15" s="550">
        <v>0.57856137992842682</v>
      </c>
      <c r="BS15" s="550">
        <v>0.60725735078786636</v>
      </c>
      <c r="BT15" s="550">
        <v>0.60530168052612709</v>
      </c>
      <c r="BU15" s="550">
        <v>0.57144398981990396</v>
      </c>
      <c r="BV15" s="550">
        <v>0.56230912627836116</v>
      </c>
      <c r="BW15" s="550">
        <v>0.57864967150139635</v>
      </c>
      <c r="BX15" s="550">
        <v>0.57694233611521795</v>
      </c>
      <c r="BY15" s="550">
        <v>0.54738396190061633</v>
      </c>
      <c r="BZ15" s="550">
        <v>0.54297566789763241</v>
      </c>
      <c r="CA15" s="550">
        <v>0.61760001685497479</v>
      </c>
      <c r="CB15" s="550">
        <v>0.61556402165987167</v>
      </c>
      <c r="CC15" s="550">
        <v>0.58031569941262917</v>
      </c>
      <c r="CD15" s="550">
        <v>0.57177889164574913</v>
      </c>
      <c r="CE15" s="550">
        <v>0.6112532470586256</v>
      </c>
      <c r="CF15" s="550">
        <v>0.60926709269567159</v>
      </c>
      <c r="CG15" s="550">
        <v>0.57488164365998518</v>
      </c>
      <c r="CH15" s="550">
        <v>0.56795322559605843</v>
      </c>
      <c r="CI15" s="550">
        <v>0.61847684908475398</v>
      </c>
      <c r="CJ15" s="550">
        <v>0.61643811168156237</v>
      </c>
      <c r="CK15" s="550">
        <v>0.58114231474748768</v>
      </c>
      <c r="CL15" s="550">
        <v>0.56952521436923642</v>
      </c>
      <c r="CM15" s="550">
        <v>0.56516828088371396</v>
      </c>
      <c r="CN15" s="550">
        <v>0.58220720542571047</v>
      </c>
      <c r="CO15" s="550">
        <v>0.51373448529519239</v>
      </c>
      <c r="CP15" s="550">
        <v>0.50054978237014081</v>
      </c>
      <c r="CQ15" s="550">
        <v>0.59423066595843121</v>
      </c>
      <c r="CR15" s="550">
        <v>0.61264663137821151</v>
      </c>
      <c r="CS15" s="550">
        <v>0.54029058307516442</v>
      </c>
      <c r="CT15" s="550">
        <v>0.52406890722217081</v>
      </c>
      <c r="CU15" s="550">
        <v>0.58744821638051992</v>
      </c>
      <c r="CV15" s="550">
        <v>0.54969728130658435</v>
      </c>
      <c r="CW15" s="550">
        <v>0.57191045965217635</v>
      </c>
      <c r="CX15" s="550">
        <v>0.37093706540077681</v>
      </c>
      <c r="CY15" s="550">
        <v>0.62349839135077678</v>
      </c>
      <c r="CZ15" s="550">
        <v>0.66961318425883554</v>
      </c>
      <c r="DA15" s="550">
        <v>0.59163941982494161</v>
      </c>
      <c r="DB15" s="550">
        <v>0.61523697525208199</v>
      </c>
      <c r="DC15" s="550">
        <v>0.64889022510552596</v>
      </c>
      <c r="DD15" s="550">
        <v>0.6035404173191532</v>
      </c>
      <c r="DE15" s="550">
        <v>0.63440187638490719</v>
      </c>
      <c r="DF15" s="550">
        <v>0.57293595789837126</v>
      </c>
      <c r="DG15" s="550">
        <v>0.52071564348780841</v>
      </c>
      <c r="DH15" s="550">
        <v>0.49103112646807917</v>
      </c>
      <c r="DI15" s="550">
        <v>0.4839191751807792</v>
      </c>
      <c r="DJ15" s="550">
        <v>0.38793140661188874</v>
      </c>
      <c r="DK15" s="550">
        <v>0.39005404653784675</v>
      </c>
      <c r="DL15" s="550">
        <v>0.33946214793442236</v>
      </c>
      <c r="DM15" s="550">
        <v>0.36950724103528437</v>
      </c>
      <c r="DN15" s="550">
        <v>0.32509320989419438</v>
      </c>
      <c r="DO15" s="550">
        <v>0.19142216129797776</v>
      </c>
      <c r="DP15" s="550">
        <v>0.39727947339276121</v>
      </c>
      <c r="DQ15" s="550">
        <v>0.34921361833599235</v>
      </c>
      <c r="DR15" s="550">
        <v>0.37762873669860481</v>
      </c>
      <c r="DS15" s="550">
        <v>0.3497676971821484</v>
      </c>
      <c r="DT15" s="550">
        <v>0.35074610568132336</v>
      </c>
      <c r="DU15" s="550">
        <v>0.390523623519348</v>
      </c>
      <c r="DV15" s="550">
        <v>0.38251075601965318</v>
      </c>
      <c r="DW15" s="550">
        <v>0.40153510797407999</v>
      </c>
      <c r="DX15" s="550">
        <v>0.39593476320700682</v>
      </c>
      <c r="DY15" s="550">
        <v>0.42696445226233321</v>
      </c>
      <c r="DZ15" s="550">
        <v>0.42050158446799801</v>
      </c>
      <c r="EA15" s="550">
        <v>0.43300905877145879</v>
      </c>
      <c r="EB15" s="550">
        <v>0.40495831505776436</v>
      </c>
      <c r="EC15" s="550">
        <v>0.44294427253871638</v>
      </c>
      <c r="ED15" s="550">
        <v>0.43331612231917799</v>
      </c>
      <c r="EE15" s="550">
        <v>0.4321525005616032</v>
      </c>
      <c r="EF15" s="550">
        <v>0.42185642860878481</v>
      </c>
      <c r="EG15" s="550">
        <v>0.44529458066871841</v>
      </c>
      <c r="EH15" s="550">
        <v>0.43816402461677761</v>
      </c>
      <c r="EI15" s="550">
        <v>0.42889349499824875</v>
      </c>
      <c r="EJ15" s="550">
        <v>0.42312623319191878</v>
      </c>
      <c r="EK15" s="550">
        <v>0.43650248179521239</v>
      </c>
      <c r="EL15" s="550">
        <v>0.41297520923913239</v>
      </c>
      <c r="EM15" s="550">
        <v>0.46611828181900439</v>
      </c>
      <c r="EN15" s="550">
        <v>0.445466644262694</v>
      </c>
      <c r="EO15" s="550">
        <v>0.47237204805451199</v>
      </c>
      <c r="EP15" s="550">
        <v>0.47842316949856323</v>
      </c>
      <c r="EQ15" s="550">
        <v>0.46164054998544474</v>
      </c>
      <c r="ER15" s="550">
        <v>0.4460678097748344</v>
      </c>
      <c r="ES15" s="550">
        <v>0.42194887934695918</v>
      </c>
      <c r="ET15" s="550">
        <v>0.42484840301959559</v>
      </c>
      <c r="EU15" s="550">
        <v>0.43708973784483596</v>
      </c>
      <c r="EV15" s="550">
        <v>0.44110398054138839</v>
      </c>
      <c r="EW15" s="550">
        <v>0.45432806905340639</v>
      </c>
      <c r="EX15" s="550">
        <v>0.46686912296565597</v>
      </c>
      <c r="EY15" s="550">
        <v>0.47653033655459526</v>
      </c>
      <c r="EZ15" s="550">
        <v>0.47345532338080082</v>
      </c>
      <c r="FA15" s="550">
        <v>0.5012132820201215</v>
      </c>
      <c r="FB15" s="550">
        <v>0.49482377525802956</v>
      </c>
      <c r="FC15" s="550">
        <v>0.48206353780641958</v>
      </c>
      <c r="FD15" s="550">
        <v>0.4905794102657472</v>
      </c>
      <c r="FE15" s="550">
        <v>0.50512234534912437</v>
      </c>
      <c r="FF15" s="550">
        <v>0.50062669241837032</v>
      </c>
      <c r="FG15" s="550">
        <v>0.44751595176805681</v>
      </c>
      <c r="FH15" s="550">
        <v>0.44800040104033678</v>
      </c>
      <c r="FI15" s="550">
        <v>0.48345177848042165</v>
      </c>
      <c r="FJ15" s="550">
        <v>0.46663042338106198</v>
      </c>
      <c r="FK15" s="550">
        <v>0.46278929657401197</v>
      </c>
      <c r="FL15" s="550">
        <v>0.4530237891749424</v>
      </c>
      <c r="FM15" s="550">
        <v>0.48526797900623403</v>
      </c>
      <c r="FN15" s="550">
        <v>0.4689467514427248</v>
      </c>
      <c r="FO15" s="550">
        <v>0.42928997641377481</v>
      </c>
      <c r="FP15" s="550">
        <v>0.45759095428240082</v>
      </c>
      <c r="FQ15" s="550">
        <v>0.42995467929942721</v>
      </c>
      <c r="FR15" s="550">
        <v>0.45398498441830915</v>
      </c>
      <c r="FS15" s="550">
        <v>0.4372168361089212</v>
      </c>
      <c r="FT15" s="550">
        <v>0.45714990793530597</v>
      </c>
      <c r="FU15" s="550">
        <v>0.39787518986042036</v>
      </c>
      <c r="FV15" s="550">
        <v>0.44329475998429202</v>
      </c>
      <c r="FW15" s="550">
        <v>0.42712984980026997</v>
      </c>
      <c r="FX15" s="550">
        <v>0.35257205792943219</v>
      </c>
      <c r="FY15" s="550">
        <v>0.44298757830287883</v>
      </c>
      <c r="FZ15" s="550">
        <v>0.44372317373485198</v>
      </c>
      <c r="GA15" s="550">
        <v>0.40704908731371719</v>
      </c>
      <c r="GB15" s="550">
        <v>0.44433613133707323</v>
      </c>
      <c r="GC15" s="550">
        <v>0.40542436590940079</v>
      </c>
      <c r="GD15" s="550">
        <v>0.42290056944296639</v>
      </c>
      <c r="GE15" s="550">
        <v>0.42500330888522042</v>
      </c>
      <c r="GF15" s="550">
        <v>0.42301776409822084</v>
      </c>
      <c r="GG15" s="550">
        <v>0.38346733985881681</v>
      </c>
      <c r="GH15" s="550">
        <v>0.4365452200541724</v>
      </c>
      <c r="GI15" s="550">
        <v>0.43590976715715118</v>
      </c>
      <c r="GJ15" s="550">
        <v>0.45639592964275322</v>
      </c>
      <c r="GK15" s="550">
        <v>0.4105269090394344</v>
      </c>
      <c r="GL15" s="550">
        <v>0.43936304797673637</v>
      </c>
      <c r="GM15" s="550">
        <v>0.3607948497017916</v>
      </c>
      <c r="GN15" s="550">
        <v>0.41360925896474759</v>
      </c>
      <c r="GO15" s="550">
        <v>0.36593305497335515</v>
      </c>
      <c r="GP15" s="550">
        <v>0.37536976955291762</v>
      </c>
      <c r="GQ15" s="550">
        <v>0.37756245978170283</v>
      </c>
      <c r="GR15" s="550">
        <v>0.37038162595706636</v>
      </c>
      <c r="GS15" s="561">
        <v>-0.10451321403171387</v>
      </c>
    </row>
    <row r="16" spans="1:201" ht="14.25" customHeight="1" outlineLevel="1">
      <c r="A16" s="531" t="s">
        <v>2095</v>
      </c>
      <c r="B16" s="550">
        <v>0</v>
      </c>
      <c r="C16" s="550">
        <v>0</v>
      </c>
      <c r="D16" s="550">
        <v>0</v>
      </c>
      <c r="E16" s="550">
        <v>0</v>
      </c>
      <c r="F16" s="550">
        <v>0</v>
      </c>
      <c r="G16" s="550">
        <v>0</v>
      </c>
      <c r="H16" s="550">
        <v>0</v>
      </c>
      <c r="I16" s="550">
        <v>0</v>
      </c>
      <c r="J16" s="550">
        <v>0</v>
      </c>
      <c r="K16" s="550">
        <v>0</v>
      </c>
      <c r="L16" s="550">
        <v>0</v>
      </c>
      <c r="M16" s="550">
        <v>0</v>
      </c>
      <c r="N16" s="550">
        <v>0</v>
      </c>
      <c r="O16" s="550">
        <v>0</v>
      </c>
      <c r="P16" s="550">
        <v>0</v>
      </c>
      <c r="Q16" s="550">
        <v>0</v>
      </c>
      <c r="R16" s="550">
        <v>0</v>
      </c>
      <c r="S16" s="550">
        <v>0</v>
      </c>
      <c r="T16" s="550">
        <v>0</v>
      </c>
      <c r="U16" s="550">
        <v>0</v>
      </c>
      <c r="V16" s="550">
        <v>0</v>
      </c>
      <c r="W16" s="550">
        <v>0</v>
      </c>
      <c r="X16" s="550">
        <v>0</v>
      </c>
      <c r="Y16" s="550">
        <v>0</v>
      </c>
      <c r="Z16" s="550">
        <v>0</v>
      </c>
      <c r="AA16" s="550">
        <v>0</v>
      </c>
      <c r="AB16" s="550">
        <v>0</v>
      </c>
      <c r="AC16" s="550">
        <v>0</v>
      </c>
      <c r="AD16" s="550">
        <v>0</v>
      </c>
      <c r="AE16" s="550">
        <v>0</v>
      </c>
      <c r="AF16" s="550">
        <v>0</v>
      </c>
      <c r="AG16" s="550">
        <v>0</v>
      </c>
      <c r="AH16" s="550">
        <v>0</v>
      </c>
      <c r="AI16" s="550">
        <v>0</v>
      </c>
      <c r="AJ16" s="550">
        <v>0</v>
      </c>
      <c r="AK16" s="550">
        <v>0</v>
      </c>
      <c r="AL16" s="550">
        <v>0</v>
      </c>
      <c r="AM16" s="550">
        <v>0</v>
      </c>
      <c r="AN16" s="550">
        <v>0</v>
      </c>
      <c r="AO16" s="550">
        <v>0</v>
      </c>
      <c r="AP16" s="550">
        <v>0</v>
      </c>
      <c r="AQ16" s="550">
        <v>0</v>
      </c>
      <c r="AR16" s="550">
        <v>0</v>
      </c>
      <c r="AS16" s="550">
        <v>0</v>
      </c>
      <c r="AT16" s="550">
        <v>0</v>
      </c>
      <c r="AU16" s="550">
        <v>0</v>
      </c>
      <c r="AV16" s="550">
        <v>0</v>
      </c>
      <c r="AW16" s="550">
        <v>0</v>
      </c>
      <c r="AX16" s="550">
        <v>0</v>
      </c>
      <c r="AY16" s="550">
        <v>0</v>
      </c>
      <c r="AZ16" s="550">
        <v>0</v>
      </c>
      <c r="BA16" s="550">
        <v>0</v>
      </c>
      <c r="BB16" s="550">
        <v>0</v>
      </c>
      <c r="BC16" s="550">
        <v>0</v>
      </c>
      <c r="BD16" s="550">
        <v>0</v>
      </c>
      <c r="BE16" s="550">
        <v>0</v>
      </c>
      <c r="BF16" s="550">
        <v>0</v>
      </c>
      <c r="BG16" s="550">
        <v>0</v>
      </c>
      <c r="BH16" s="550">
        <v>0</v>
      </c>
      <c r="BI16" s="550">
        <v>0</v>
      </c>
      <c r="BJ16" s="550">
        <v>0</v>
      </c>
      <c r="BK16" s="550">
        <v>0</v>
      </c>
      <c r="BL16" s="550">
        <v>0</v>
      </c>
      <c r="BM16" s="550">
        <v>0</v>
      </c>
      <c r="BN16" s="550">
        <v>0</v>
      </c>
      <c r="BO16" s="550">
        <v>0</v>
      </c>
      <c r="BP16" s="550">
        <v>0</v>
      </c>
      <c r="BQ16" s="550">
        <v>0</v>
      </c>
      <c r="BR16" s="550">
        <v>0</v>
      </c>
      <c r="BS16" s="550">
        <v>0</v>
      </c>
      <c r="BT16" s="550">
        <v>0</v>
      </c>
      <c r="BU16" s="550">
        <v>0</v>
      </c>
      <c r="BV16" s="550">
        <v>0</v>
      </c>
      <c r="BW16" s="550">
        <v>6.8039999999999995E-4</v>
      </c>
      <c r="BX16" s="550">
        <v>9.3959999999999996E-4</v>
      </c>
      <c r="BY16" s="550">
        <v>8.4239999999999998E-4</v>
      </c>
      <c r="BZ16" s="550">
        <v>7.7759999999999993E-4</v>
      </c>
      <c r="CA16" s="550">
        <v>7.5599999999999994E-4</v>
      </c>
      <c r="CB16" s="550">
        <v>1.044E-3</v>
      </c>
      <c r="CC16" s="550">
        <v>9.3599999999999998E-4</v>
      </c>
      <c r="CD16" s="550">
        <v>8.6399999999999997E-4</v>
      </c>
      <c r="CE16" s="550">
        <v>7.5599999999999994E-4</v>
      </c>
      <c r="CF16" s="550">
        <v>1.044E-3</v>
      </c>
      <c r="CG16" s="550">
        <v>9.3599999999999998E-4</v>
      </c>
      <c r="CH16" s="550">
        <v>8.6399999999999997E-4</v>
      </c>
      <c r="CI16" s="550">
        <v>7.5599999999999994E-4</v>
      </c>
      <c r="CJ16" s="550">
        <v>1.044E-3</v>
      </c>
      <c r="CK16" s="550">
        <v>9.3599999999999998E-4</v>
      </c>
      <c r="CL16" s="550">
        <v>8.6399999999999997E-4</v>
      </c>
      <c r="CM16" s="550">
        <v>9.7272000000000001E-3</v>
      </c>
      <c r="CN16" s="550">
        <v>1.0101600000000001E-2</v>
      </c>
      <c r="CO16" s="550">
        <v>8.9820000000000004E-3</v>
      </c>
      <c r="CP16" s="550">
        <v>8.6062320000000001E-3</v>
      </c>
      <c r="CQ16" s="550">
        <v>1.3244399999999998E-2</v>
      </c>
      <c r="CR16" s="550">
        <v>1.4173199999999999E-2</v>
      </c>
      <c r="CS16" s="550">
        <v>1.24236E-2</v>
      </c>
      <c r="CT16" s="550">
        <v>1.21212E-2</v>
      </c>
      <c r="CU16" s="550">
        <v>2.2910399999999997E-2</v>
      </c>
      <c r="CV16" s="550">
        <v>2.2845600000000001E-2</v>
      </c>
      <c r="CW16" s="550">
        <v>2.0779200000000001E-2</v>
      </c>
      <c r="CX16" s="550">
        <v>1.9097999999999997E-2</v>
      </c>
      <c r="CY16" s="550">
        <v>3.9049199999999999E-2</v>
      </c>
      <c r="CZ16" s="550">
        <v>4.2678000000000001E-2</v>
      </c>
      <c r="DA16" s="550">
        <v>3.8145600000000002E-2</v>
      </c>
      <c r="DB16" s="550">
        <v>3.79368E-2</v>
      </c>
      <c r="DC16" s="550">
        <v>0.12752279999999999</v>
      </c>
      <c r="DD16" s="550">
        <v>0.1366164</v>
      </c>
      <c r="DE16" s="550">
        <v>0.12634559999999997</v>
      </c>
      <c r="DF16" s="550">
        <v>0.1224504</v>
      </c>
      <c r="DG16" s="550">
        <v>0.12793679999999999</v>
      </c>
      <c r="DH16" s="550">
        <v>0.1276128</v>
      </c>
      <c r="DI16" s="550">
        <v>0.11735279999999999</v>
      </c>
      <c r="DJ16" s="550">
        <v>0.12311403839999999</v>
      </c>
      <c r="DK16" s="550">
        <v>0.12534338520000002</v>
      </c>
      <c r="DL16" s="550">
        <v>0.14648944680000001</v>
      </c>
      <c r="DM16" s="550">
        <v>0.15919511039999998</v>
      </c>
      <c r="DN16" s="550">
        <v>0.1217858364</v>
      </c>
      <c r="DO16" s="550">
        <v>0.12621346920000001</v>
      </c>
      <c r="DP16" s="550">
        <v>0.11815159679999999</v>
      </c>
      <c r="DQ16" s="550">
        <v>0.15612101639999998</v>
      </c>
      <c r="DR16" s="550">
        <v>0.15239209680000002</v>
      </c>
      <c r="DS16" s="550">
        <v>0.22183717319999963</v>
      </c>
      <c r="DT16" s="550">
        <v>0.30975350400000001</v>
      </c>
      <c r="DU16" s="550">
        <v>0.60453356219999999</v>
      </c>
      <c r="DV16" s="550">
        <v>0.53460790920000001</v>
      </c>
      <c r="DW16" s="550">
        <v>0.54363108599999999</v>
      </c>
      <c r="DX16" s="550">
        <v>0.54213830640000005</v>
      </c>
      <c r="DY16" s="550">
        <v>0.56929426559999996</v>
      </c>
      <c r="DZ16" s="550">
        <v>0.56998523808000001</v>
      </c>
      <c r="EA16" s="550">
        <v>0.37513575504000002</v>
      </c>
      <c r="EB16" s="550">
        <v>0.58090030415999994</v>
      </c>
      <c r="EC16" s="550">
        <v>0.6915592331999999</v>
      </c>
      <c r="ED16" s="550">
        <v>0.52609822559999997</v>
      </c>
      <c r="EE16" s="550">
        <v>0.72066647880000001</v>
      </c>
      <c r="EF16" s="550">
        <v>1.0195284996</v>
      </c>
      <c r="EG16" s="550">
        <v>1.0477998972</v>
      </c>
      <c r="EH16" s="550">
        <v>0.92833310880000008</v>
      </c>
      <c r="EI16" s="550">
        <v>0.79466977116899995</v>
      </c>
      <c r="EJ16" s="550">
        <v>0.9505426761089999</v>
      </c>
      <c r="EK16" s="550">
        <v>1.0987988644889999</v>
      </c>
      <c r="EL16" s="550">
        <v>1.0779490732336414</v>
      </c>
      <c r="EM16" s="550">
        <v>0.98740227493505162</v>
      </c>
      <c r="EN16" s="550">
        <v>1.358516907353142</v>
      </c>
      <c r="EO16" s="550">
        <v>1.8382390298894196</v>
      </c>
      <c r="EP16" s="550">
        <v>1.4886754459321354</v>
      </c>
      <c r="EQ16" s="550">
        <v>1.4579878173784486</v>
      </c>
      <c r="ER16" s="550">
        <v>1.3962359950625809</v>
      </c>
      <c r="ES16" s="550">
        <v>1.4888022413474988</v>
      </c>
      <c r="ET16" s="550">
        <v>1.5546174969815496</v>
      </c>
      <c r="EU16" s="550">
        <v>1.7434048037114951</v>
      </c>
      <c r="EV16" s="550">
        <v>1.9637870846808456</v>
      </c>
      <c r="EW16" s="550">
        <v>1.7094612679897356</v>
      </c>
      <c r="EX16" s="550">
        <v>1.7906105377613268</v>
      </c>
      <c r="EY16" s="550">
        <v>1.8136121483313719</v>
      </c>
      <c r="EZ16" s="550">
        <v>1.6526967411060001</v>
      </c>
      <c r="FA16" s="550">
        <v>2.1490778799414216</v>
      </c>
      <c r="FB16" s="550">
        <v>1.5720689363763527</v>
      </c>
      <c r="FC16" s="550">
        <v>1.6446857661920771</v>
      </c>
      <c r="FD16" s="550">
        <v>2.1138298482358366</v>
      </c>
      <c r="FE16" s="550">
        <v>1.8711022388448169</v>
      </c>
      <c r="FF16" s="550">
        <v>1.8075733146995472</v>
      </c>
      <c r="FG16" s="550">
        <v>1.763825635882422</v>
      </c>
      <c r="FH16" s="550">
        <v>1.9497318372054253</v>
      </c>
      <c r="FI16" s="550">
        <v>2.358605947034635</v>
      </c>
      <c r="FJ16" s="550">
        <v>1.653004124427067</v>
      </c>
      <c r="FK16" s="550">
        <v>2.2289718546031678</v>
      </c>
      <c r="FL16" s="550">
        <v>2.1137615527481493</v>
      </c>
      <c r="FM16" s="550">
        <v>2.4300215474381495</v>
      </c>
      <c r="FN16" s="550">
        <v>1.885915768213771</v>
      </c>
      <c r="FO16" s="550">
        <v>2.0910788467705799</v>
      </c>
      <c r="FP16" s="550">
        <v>2.1016960461584784</v>
      </c>
      <c r="FQ16" s="550">
        <v>2.2637974317482841</v>
      </c>
      <c r="FR16" s="550">
        <v>2.1376895212264211</v>
      </c>
      <c r="FS16" s="550">
        <v>1.5422530857026326</v>
      </c>
      <c r="FT16" s="550">
        <v>1.9459444567637845</v>
      </c>
      <c r="FU16" s="550">
        <v>1.8266116783714883</v>
      </c>
      <c r="FV16" s="550">
        <v>1.6360313050876822</v>
      </c>
      <c r="FW16" s="550">
        <v>2.0409961032240118</v>
      </c>
      <c r="FX16" s="550">
        <v>1.9573692734339567</v>
      </c>
      <c r="FY16" s="550">
        <v>1.735833193230276</v>
      </c>
      <c r="FZ16" s="550">
        <v>1.7617780038797135</v>
      </c>
      <c r="GA16" s="550">
        <v>1.8188561682959437</v>
      </c>
      <c r="GB16" s="550">
        <v>2.1809014299816769</v>
      </c>
      <c r="GC16" s="550">
        <v>2.2776631924396247</v>
      </c>
      <c r="GD16" s="550">
        <v>1.9059792692241888</v>
      </c>
      <c r="GE16" s="550">
        <v>1.9021089989371678</v>
      </c>
      <c r="GF16" s="550">
        <v>2.1866687963646694</v>
      </c>
      <c r="GG16" s="550">
        <v>2.221209721094886</v>
      </c>
      <c r="GH16" s="550">
        <v>1.8557943796288943</v>
      </c>
      <c r="GI16" s="550">
        <v>2.3479456848821028</v>
      </c>
      <c r="GJ16" s="550">
        <v>2.5960400359559999</v>
      </c>
      <c r="GK16" s="550">
        <v>2.6188676286328585</v>
      </c>
      <c r="GL16" s="550">
        <v>2.2497112877869618</v>
      </c>
      <c r="GM16" s="550">
        <v>2.5352261492144685</v>
      </c>
      <c r="GN16" s="550">
        <v>2.7809878356655449</v>
      </c>
      <c r="GO16" s="550">
        <v>2.6467600781282146</v>
      </c>
      <c r="GP16" s="550">
        <v>2.3087942117517128</v>
      </c>
      <c r="GQ16" s="550">
        <v>2.3668298979840001</v>
      </c>
      <c r="GR16" s="550">
        <v>3.3132845824559998</v>
      </c>
      <c r="GS16" s="561">
        <v>0.19140563650220566</v>
      </c>
    </row>
    <row r="17" spans="1:201" ht="14.25" customHeight="1" outlineLevel="1">
      <c r="A17" s="531" t="s">
        <v>2096</v>
      </c>
      <c r="B17" s="550">
        <v>0</v>
      </c>
      <c r="C17" s="550">
        <v>0</v>
      </c>
      <c r="D17" s="550">
        <v>0</v>
      </c>
      <c r="E17" s="550">
        <v>0</v>
      </c>
      <c r="F17" s="550">
        <v>0</v>
      </c>
      <c r="G17" s="550">
        <v>0</v>
      </c>
      <c r="H17" s="550">
        <v>0</v>
      </c>
      <c r="I17" s="550">
        <v>0</v>
      </c>
      <c r="J17" s="550">
        <v>0</v>
      </c>
      <c r="K17" s="550">
        <v>0</v>
      </c>
      <c r="L17" s="550">
        <v>0</v>
      </c>
      <c r="M17" s="550">
        <v>0</v>
      </c>
      <c r="N17" s="550">
        <v>0</v>
      </c>
      <c r="O17" s="550">
        <v>0</v>
      </c>
      <c r="P17" s="550">
        <v>0</v>
      </c>
      <c r="Q17" s="550">
        <v>0</v>
      </c>
      <c r="R17" s="550">
        <v>0</v>
      </c>
      <c r="S17" s="550">
        <v>0</v>
      </c>
      <c r="T17" s="550">
        <v>0</v>
      </c>
      <c r="U17" s="550">
        <v>0</v>
      </c>
      <c r="V17" s="550">
        <v>0</v>
      </c>
      <c r="W17" s="550">
        <v>0</v>
      </c>
      <c r="X17" s="550">
        <v>0</v>
      </c>
      <c r="Y17" s="550">
        <v>0</v>
      </c>
      <c r="Z17" s="550">
        <v>0</v>
      </c>
      <c r="AA17" s="550">
        <v>0</v>
      </c>
      <c r="AB17" s="550">
        <v>0</v>
      </c>
      <c r="AC17" s="550">
        <v>0</v>
      </c>
      <c r="AD17" s="550">
        <v>0</v>
      </c>
      <c r="AE17" s="550">
        <v>0</v>
      </c>
      <c r="AF17" s="550">
        <v>0</v>
      </c>
      <c r="AG17" s="550">
        <v>0</v>
      </c>
      <c r="AH17" s="550">
        <v>0</v>
      </c>
      <c r="AI17" s="550">
        <v>0</v>
      </c>
      <c r="AJ17" s="550">
        <v>0</v>
      </c>
      <c r="AK17" s="550">
        <v>0</v>
      </c>
      <c r="AL17" s="550">
        <v>0</v>
      </c>
      <c r="AM17" s="550">
        <v>0</v>
      </c>
      <c r="AN17" s="550">
        <v>0</v>
      </c>
      <c r="AO17" s="550">
        <v>0</v>
      </c>
      <c r="AP17" s="550">
        <v>0</v>
      </c>
      <c r="AQ17" s="550">
        <v>0</v>
      </c>
      <c r="AR17" s="550">
        <v>0</v>
      </c>
      <c r="AS17" s="550">
        <v>0</v>
      </c>
      <c r="AT17" s="550">
        <v>0</v>
      </c>
      <c r="AU17" s="550">
        <v>0</v>
      </c>
      <c r="AV17" s="550">
        <v>0</v>
      </c>
      <c r="AW17" s="550">
        <v>0</v>
      </c>
      <c r="AX17" s="550">
        <v>0</v>
      </c>
      <c r="AY17" s="550">
        <v>0</v>
      </c>
      <c r="AZ17" s="550">
        <v>0</v>
      </c>
      <c r="BA17" s="550">
        <v>0</v>
      </c>
      <c r="BB17" s="550">
        <v>0</v>
      </c>
      <c r="BC17" s="550">
        <v>0</v>
      </c>
      <c r="BD17" s="550">
        <v>0</v>
      </c>
      <c r="BE17" s="550">
        <v>0</v>
      </c>
      <c r="BF17" s="550">
        <v>0</v>
      </c>
      <c r="BG17" s="550">
        <v>0</v>
      </c>
      <c r="BH17" s="550">
        <v>0</v>
      </c>
      <c r="BI17" s="550">
        <v>0</v>
      </c>
      <c r="BJ17" s="550">
        <v>0</v>
      </c>
      <c r="BK17" s="550">
        <v>0</v>
      </c>
      <c r="BL17" s="550">
        <v>0</v>
      </c>
      <c r="BM17" s="550">
        <v>0</v>
      </c>
      <c r="BN17" s="550">
        <v>0</v>
      </c>
      <c r="BO17" s="550">
        <v>0</v>
      </c>
      <c r="BP17" s="550">
        <v>0</v>
      </c>
      <c r="BQ17" s="550">
        <v>0</v>
      </c>
      <c r="BR17" s="550">
        <v>0</v>
      </c>
      <c r="BS17" s="550">
        <v>0</v>
      </c>
      <c r="BT17" s="550">
        <v>0</v>
      </c>
      <c r="BU17" s="550">
        <v>0</v>
      </c>
      <c r="BV17" s="550">
        <v>0</v>
      </c>
      <c r="BW17" s="550">
        <v>0</v>
      </c>
      <c r="BX17" s="550">
        <v>0</v>
      </c>
      <c r="BY17" s="550">
        <v>0</v>
      </c>
      <c r="BZ17" s="550">
        <v>0</v>
      </c>
      <c r="CA17" s="550">
        <v>0</v>
      </c>
      <c r="CB17" s="550">
        <v>0</v>
      </c>
      <c r="CC17" s="550">
        <v>0</v>
      </c>
      <c r="CD17" s="550">
        <v>0</v>
      </c>
      <c r="CE17" s="550">
        <v>0</v>
      </c>
      <c r="CF17" s="550">
        <v>0</v>
      </c>
      <c r="CG17" s="550">
        <v>0</v>
      </c>
      <c r="CH17" s="550">
        <v>0</v>
      </c>
      <c r="CI17" s="550">
        <v>0</v>
      </c>
      <c r="CJ17" s="550">
        <v>0</v>
      </c>
      <c r="CK17" s="550">
        <v>0</v>
      </c>
      <c r="CL17" s="550">
        <v>0</v>
      </c>
      <c r="CM17" s="550">
        <v>0</v>
      </c>
      <c r="CN17" s="550">
        <v>0</v>
      </c>
      <c r="CO17" s="550">
        <v>0</v>
      </c>
      <c r="CP17" s="550">
        <v>0</v>
      </c>
      <c r="CQ17" s="550">
        <v>0</v>
      </c>
      <c r="CR17" s="550">
        <v>0</v>
      </c>
      <c r="CS17" s="550">
        <v>0</v>
      </c>
      <c r="CT17" s="550">
        <v>0</v>
      </c>
      <c r="CU17" s="550">
        <v>0</v>
      </c>
      <c r="CV17" s="550">
        <v>0</v>
      </c>
      <c r="CW17" s="550">
        <v>0</v>
      </c>
      <c r="CX17" s="550">
        <v>0</v>
      </c>
      <c r="CY17" s="550">
        <v>0</v>
      </c>
      <c r="CZ17" s="550">
        <v>0</v>
      </c>
      <c r="DA17" s="550">
        <v>0</v>
      </c>
      <c r="DB17" s="550">
        <v>0</v>
      </c>
      <c r="DC17" s="550">
        <v>0</v>
      </c>
      <c r="DD17" s="550">
        <v>0</v>
      </c>
      <c r="DE17" s="550">
        <v>0</v>
      </c>
      <c r="DF17" s="550">
        <v>0</v>
      </c>
      <c r="DG17" s="550">
        <v>0</v>
      </c>
      <c r="DH17" s="550">
        <v>0</v>
      </c>
      <c r="DI17" s="550">
        <v>0</v>
      </c>
      <c r="DJ17" s="550">
        <v>0</v>
      </c>
      <c r="DK17" s="550">
        <v>0</v>
      </c>
      <c r="DL17" s="550">
        <v>0</v>
      </c>
      <c r="DM17" s="550">
        <v>0</v>
      </c>
      <c r="DN17" s="550">
        <v>0</v>
      </c>
      <c r="DO17" s="550">
        <v>0</v>
      </c>
      <c r="DP17" s="550">
        <v>0</v>
      </c>
      <c r="DQ17" s="550">
        <v>0</v>
      </c>
      <c r="DR17" s="550">
        <v>0</v>
      </c>
      <c r="DS17" s="550">
        <v>0</v>
      </c>
      <c r="DT17" s="550">
        <v>0</v>
      </c>
      <c r="DU17" s="550">
        <v>0</v>
      </c>
      <c r="DV17" s="550">
        <v>0</v>
      </c>
      <c r="DW17" s="550">
        <v>0</v>
      </c>
      <c r="DX17" s="550">
        <v>0</v>
      </c>
      <c r="DY17" s="550">
        <v>0</v>
      </c>
      <c r="DZ17" s="550">
        <v>0</v>
      </c>
      <c r="EA17" s="550">
        <v>0</v>
      </c>
      <c r="EB17" s="550">
        <v>0</v>
      </c>
      <c r="EC17" s="550">
        <v>0</v>
      </c>
      <c r="ED17" s="550">
        <v>3.0346520023307954E-3</v>
      </c>
      <c r="EE17" s="550">
        <v>3.0346520023307954E-3</v>
      </c>
      <c r="EF17" s="550">
        <v>3.0346520023307954E-3</v>
      </c>
      <c r="EG17" s="550">
        <v>3.0346520023307954E-3</v>
      </c>
      <c r="EH17" s="550">
        <v>3.0789534914159185E-3</v>
      </c>
      <c r="EI17" s="550">
        <v>3.0789534914159185E-3</v>
      </c>
      <c r="EJ17" s="550">
        <v>3.0789534914159185E-3</v>
      </c>
      <c r="EK17" s="550">
        <v>3.0789534914159185E-3</v>
      </c>
      <c r="EL17" s="550">
        <v>3.1985675119457456E-3</v>
      </c>
      <c r="EM17" s="550">
        <v>3.1985675119457456E-3</v>
      </c>
      <c r="EN17" s="550">
        <v>3.1985675119457456E-3</v>
      </c>
      <c r="EO17" s="550">
        <v>3.1985675119457456E-3</v>
      </c>
      <c r="EP17" s="550">
        <v>3.4112146595543279E-3</v>
      </c>
      <c r="EQ17" s="550">
        <v>3.4112146595543279E-3</v>
      </c>
      <c r="ER17" s="550">
        <v>3.4112146595543279E-3</v>
      </c>
      <c r="ES17" s="550">
        <v>3.4112146595543279E-3</v>
      </c>
      <c r="ET17" s="550">
        <v>3.6770235940650599E-3</v>
      </c>
      <c r="EU17" s="550">
        <v>3.6770235940650599E-3</v>
      </c>
      <c r="EV17" s="550">
        <v>3.6770235940650599E-3</v>
      </c>
      <c r="EW17" s="550">
        <v>3.6770235940650599E-3</v>
      </c>
      <c r="EX17" s="550">
        <v>4.2972444412567564E-3</v>
      </c>
      <c r="EY17" s="550">
        <v>4.2972444412567564E-3</v>
      </c>
      <c r="EZ17" s="550">
        <v>4.2972444412567564E-3</v>
      </c>
      <c r="FA17" s="550">
        <v>4.2972444412567564E-3</v>
      </c>
      <c r="FB17" s="550">
        <v>5.0772513086283595E-3</v>
      </c>
      <c r="FC17" s="550">
        <v>5.0772513086283595E-3</v>
      </c>
      <c r="FD17" s="550">
        <v>3.6164416869133558E-3</v>
      </c>
      <c r="FE17" s="550">
        <v>1.0114820001515196E-2</v>
      </c>
      <c r="FF17" s="550">
        <v>1.3978276774299863E-2</v>
      </c>
      <c r="FG17" s="550">
        <v>1.081205553377286E-2</v>
      </c>
      <c r="FH17" s="550">
        <v>1.602376151406595E-2</v>
      </c>
      <c r="FI17" s="550">
        <v>2.6180962374798073E-2</v>
      </c>
      <c r="FJ17" s="550">
        <v>3.2294338282982664E-2</v>
      </c>
      <c r="FK17" s="550">
        <v>2.2384641140476415E-2</v>
      </c>
      <c r="FL17" s="550">
        <v>2.7752816671098191E-2</v>
      </c>
      <c r="FM17" s="550">
        <v>4.8749896659504958E-2</v>
      </c>
      <c r="FN17" s="550">
        <v>4.9838747738285519E-2</v>
      </c>
      <c r="FO17" s="550">
        <v>3.9903640133057999E-2</v>
      </c>
      <c r="FP17" s="550">
        <v>4.2328084988050199E-2</v>
      </c>
      <c r="FQ17" s="550">
        <v>7.0191480535341841E-2</v>
      </c>
      <c r="FR17" s="550">
        <v>6.5863055393017192E-2</v>
      </c>
      <c r="FS17" s="550">
        <v>5.3818959295928878E-2</v>
      </c>
      <c r="FT17" s="550">
        <v>5.5347061435454516E-2</v>
      </c>
      <c r="FU17" s="550">
        <v>9.9971426990843992E-2</v>
      </c>
      <c r="FV17" s="550">
        <v>8.9062088648147991E-2</v>
      </c>
      <c r="FW17" s="550">
        <v>6.8823717726758396E-2</v>
      </c>
      <c r="FX17" s="550">
        <v>8.2547691756348587E-2</v>
      </c>
      <c r="FY17" s="550">
        <v>0.11890311852589164</v>
      </c>
      <c r="FZ17" s="550">
        <v>0.12647594159316253</v>
      </c>
      <c r="GA17" s="550">
        <v>8.8965982523452683E-2</v>
      </c>
      <c r="GB17" s="550">
        <v>9.5114592394313038E-2</v>
      </c>
      <c r="GC17" s="550">
        <v>0.14581081944335197</v>
      </c>
      <c r="GD17" s="550">
        <v>0.15721386868222956</v>
      </c>
      <c r="GE17" s="550">
        <v>0.10912600587875328</v>
      </c>
      <c r="GF17" s="550">
        <v>0.12758659424908525</v>
      </c>
      <c r="GG17" s="550">
        <v>0.18057327886606211</v>
      </c>
      <c r="GH17" s="550">
        <v>0.20554911551932992</v>
      </c>
      <c r="GI17" s="550">
        <v>0.13951468074856391</v>
      </c>
      <c r="GJ17" s="550">
        <v>0.16905379546103758</v>
      </c>
      <c r="GK17" s="550">
        <v>0.2287074845542561</v>
      </c>
      <c r="GL17" s="550">
        <v>0.28065266439703235</v>
      </c>
      <c r="GM17" s="550">
        <v>0.20118317737631111</v>
      </c>
      <c r="GN17" s="550">
        <v>0.20343601881535966</v>
      </c>
      <c r="GO17" s="550">
        <v>0.31554689789068813</v>
      </c>
      <c r="GP17" s="550">
        <v>0.37112268333151438</v>
      </c>
      <c r="GQ17" s="550">
        <v>0.25747971843777118</v>
      </c>
      <c r="GR17" s="550">
        <v>0.25640509728160621</v>
      </c>
      <c r="GS17" s="561">
        <v>0.26037217388884182</v>
      </c>
    </row>
    <row r="18" spans="1:201" ht="14.25" customHeight="1" outlineLevel="1">
      <c r="A18" s="531" t="s">
        <v>2097</v>
      </c>
      <c r="B18" s="550">
        <v>0.4824</v>
      </c>
      <c r="C18" s="550">
        <v>1.9763999999999999</v>
      </c>
      <c r="D18" s="550">
        <v>2.3111999999999999</v>
      </c>
      <c r="E18" s="550">
        <v>2.2248000000000001</v>
      </c>
      <c r="F18" s="550">
        <v>0.84960000000000002</v>
      </c>
      <c r="G18" s="550">
        <v>0.62639999999999996</v>
      </c>
      <c r="H18" s="550">
        <v>1.1088</v>
      </c>
      <c r="I18" s="550">
        <v>0.24839999999999998</v>
      </c>
      <c r="J18" s="550">
        <v>0.99</v>
      </c>
      <c r="K18" s="550">
        <v>1.1124000000000001</v>
      </c>
      <c r="L18" s="550">
        <v>1.5264</v>
      </c>
      <c r="M18" s="550">
        <v>0.97919999999999996</v>
      </c>
      <c r="N18" s="550">
        <v>0.7056</v>
      </c>
      <c r="O18" s="550">
        <v>1.0475999999999999</v>
      </c>
      <c r="P18" s="550">
        <v>0.80640000000000001</v>
      </c>
      <c r="Q18" s="550">
        <v>6.4799999999999996E-2</v>
      </c>
      <c r="R18" s="550">
        <v>0.28439999999999999</v>
      </c>
      <c r="S18" s="550">
        <v>0.3024</v>
      </c>
      <c r="T18" s="550">
        <v>0.10439999999999999</v>
      </c>
      <c r="U18" s="550">
        <v>2.52E-2</v>
      </c>
      <c r="V18" s="550">
        <v>3.2399999999999998E-2</v>
      </c>
      <c r="W18" s="550">
        <v>6.8400000000000002E-2</v>
      </c>
      <c r="X18" s="550">
        <v>5.04E-2</v>
      </c>
      <c r="Y18" s="550">
        <v>2.1600000000000001E-2</v>
      </c>
      <c r="Z18" s="550">
        <v>0</v>
      </c>
      <c r="AA18" s="550">
        <v>0</v>
      </c>
      <c r="AB18" s="550">
        <v>0</v>
      </c>
      <c r="AC18" s="550">
        <v>1.0800000000000001E-2</v>
      </c>
      <c r="AD18" s="550">
        <v>0</v>
      </c>
      <c r="AE18" s="550">
        <v>0</v>
      </c>
      <c r="AF18" s="550">
        <v>1.0800000000000001E-2</v>
      </c>
      <c r="AG18" s="550">
        <v>0</v>
      </c>
      <c r="AH18" s="550">
        <v>3.9599999999999996E-2</v>
      </c>
      <c r="AI18" s="550">
        <v>0</v>
      </c>
      <c r="AJ18" s="550">
        <v>1.44E-2</v>
      </c>
      <c r="AK18" s="550">
        <v>0</v>
      </c>
      <c r="AL18" s="550">
        <v>7.1999999999999995E-2</v>
      </c>
      <c r="AM18" s="550">
        <v>0.39239999999999997</v>
      </c>
      <c r="AN18" s="550">
        <v>6.1199999999999997E-2</v>
      </c>
      <c r="AO18" s="550">
        <v>0</v>
      </c>
      <c r="AP18" s="550">
        <v>0</v>
      </c>
      <c r="AQ18" s="550">
        <v>0</v>
      </c>
      <c r="AR18" s="550">
        <v>1.0800000000000001E-2</v>
      </c>
      <c r="AS18" s="550">
        <v>7.1999999999999998E-3</v>
      </c>
      <c r="AT18" s="550">
        <v>2.8799999999999999E-2</v>
      </c>
      <c r="AU18" s="550">
        <v>8.2025316455696273E-2</v>
      </c>
      <c r="AV18" s="550">
        <v>4.4088607594936796E-2</v>
      </c>
      <c r="AW18" s="550">
        <v>1.6405063291139256E-2</v>
      </c>
      <c r="AX18" s="550">
        <v>1.9481012658227843E-2</v>
      </c>
      <c r="AY18" s="550">
        <v>1.8648916645152885E-3</v>
      </c>
      <c r="AZ18" s="550">
        <v>8.1617196415082751E-4</v>
      </c>
      <c r="BA18" s="550">
        <v>6.5973496427483038E-4</v>
      </c>
      <c r="BB18" s="550">
        <v>5.2559952733550878E-4</v>
      </c>
      <c r="BC18" s="550">
        <v>1.0800000000000001E-2</v>
      </c>
      <c r="BD18" s="550">
        <v>1.0800000000000001E-2</v>
      </c>
      <c r="BE18" s="550">
        <v>1.0800000000000001E-2</v>
      </c>
      <c r="BF18" s="550">
        <v>1.0800000000000001E-2</v>
      </c>
      <c r="BG18" s="550">
        <v>7.1987580910532151E-4</v>
      </c>
      <c r="BH18" s="550">
        <v>1.0776283289938261E-3</v>
      </c>
      <c r="BI18" s="550">
        <v>1.1999999999999988E-2</v>
      </c>
      <c r="BJ18" s="550">
        <v>3.6000000000000002E-4</v>
      </c>
      <c r="BK18" s="550">
        <v>0</v>
      </c>
      <c r="BL18" s="550">
        <v>7.2030762453199676E-4</v>
      </c>
      <c r="BM18" s="550">
        <v>7.9201173094484406E-4</v>
      </c>
      <c r="BN18" s="550">
        <v>6.1191821156624286E-4</v>
      </c>
      <c r="BO18" s="550">
        <v>1.0800000000000001E-2</v>
      </c>
      <c r="BP18" s="550">
        <v>1.0800000000000001E-2</v>
      </c>
      <c r="BQ18" s="550">
        <v>1.0800000000000001E-2</v>
      </c>
      <c r="BR18" s="550">
        <v>1.0800000000000001E-2</v>
      </c>
      <c r="BS18" s="550">
        <v>1.2223429889896978E-3</v>
      </c>
      <c r="BT18" s="550">
        <v>4.0421052631578955E-2</v>
      </c>
      <c r="BU18" s="550">
        <v>3.2336842105263129E-2</v>
      </c>
      <c r="BV18" s="550">
        <v>3.2402665832569234E-4</v>
      </c>
      <c r="BW18" s="550">
        <v>0.37342372881355923</v>
      </c>
      <c r="BX18" s="550">
        <v>0.31777627118644075</v>
      </c>
      <c r="BY18" s="550">
        <v>0</v>
      </c>
      <c r="BZ18" s="550">
        <v>0</v>
      </c>
      <c r="CA18" s="550">
        <v>7.5600000000000001E-2</v>
      </c>
      <c r="CB18" s="550">
        <v>6.8400000000000002E-2</v>
      </c>
      <c r="CC18" s="550">
        <v>6.8400000000000002E-2</v>
      </c>
      <c r="CD18" s="550">
        <v>6.8400000000000002E-2</v>
      </c>
      <c r="CE18" s="550">
        <v>3.5999999999999999E-3</v>
      </c>
      <c r="CF18" s="550">
        <v>0</v>
      </c>
      <c r="CG18" s="550">
        <v>0</v>
      </c>
      <c r="CH18" s="550">
        <v>4.3200000000000001E-3</v>
      </c>
      <c r="CI18" s="550">
        <v>6.3E-2</v>
      </c>
      <c r="CJ18" s="550">
        <v>5.2597198800000002E-2</v>
      </c>
      <c r="CK18" s="550">
        <v>5.2597198800000002E-2</v>
      </c>
      <c r="CL18" s="550">
        <v>5.2597198800000002E-2</v>
      </c>
      <c r="CM18" s="550">
        <v>0</v>
      </c>
      <c r="CN18" s="550">
        <v>0</v>
      </c>
      <c r="CO18" s="550">
        <v>0</v>
      </c>
      <c r="CP18" s="550">
        <v>0</v>
      </c>
      <c r="CQ18" s="550">
        <v>0</v>
      </c>
      <c r="CR18" s="550">
        <v>0</v>
      </c>
      <c r="CS18" s="550">
        <v>0</v>
      </c>
      <c r="CT18" s="550">
        <v>0</v>
      </c>
      <c r="CU18" s="550">
        <v>3.5999999999999999E-3</v>
      </c>
      <c r="CV18" s="550">
        <v>0</v>
      </c>
      <c r="CW18" s="550">
        <v>0</v>
      </c>
      <c r="CX18" s="550">
        <v>0</v>
      </c>
      <c r="CY18" s="550">
        <v>5.6120399999999999E-5</v>
      </c>
      <c r="CZ18" s="550">
        <v>6.1333200000000004E-5</v>
      </c>
      <c r="DA18" s="550">
        <v>5.4820800000000002E-5</v>
      </c>
      <c r="DB18" s="550">
        <v>5.4521999999999997E-5</v>
      </c>
      <c r="DC18" s="550">
        <v>0</v>
      </c>
      <c r="DD18" s="550">
        <v>0</v>
      </c>
      <c r="DE18" s="550">
        <v>0</v>
      </c>
      <c r="DF18" s="550">
        <v>0</v>
      </c>
      <c r="DG18" s="550">
        <v>0</v>
      </c>
      <c r="DH18" s="550">
        <v>0</v>
      </c>
      <c r="DI18" s="550">
        <v>0</v>
      </c>
      <c r="DJ18" s="550">
        <v>1.7999999999999999E-6</v>
      </c>
      <c r="DK18" s="550">
        <v>4.5000000000000001E-6</v>
      </c>
      <c r="DL18" s="550">
        <v>4.5000000000000001E-6</v>
      </c>
      <c r="DM18" s="550">
        <v>4.5000000000000001E-6</v>
      </c>
      <c r="DN18" s="550">
        <v>4.5000000000000001E-6</v>
      </c>
      <c r="DO18" s="550">
        <v>1.296E-6</v>
      </c>
      <c r="DP18" s="550">
        <v>5.5837296000000002E-2</v>
      </c>
      <c r="DQ18" s="550">
        <v>1.2961295999999999E-2</v>
      </c>
      <c r="DR18" s="550">
        <v>1.296E-6</v>
      </c>
      <c r="DS18" s="550">
        <v>7.9068635999999998E-2</v>
      </c>
      <c r="DT18" s="550">
        <v>2.063016E-3</v>
      </c>
      <c r="DU18" s="550">
        <v>4.26492E-4</v>
      </c>
      <c r="DV18" s="550">
        <v>3.4228079999999998E-3</v>
      </c>
      <c r="DW18" s="550">
        <v>6.8090541644120399E-4</v>
      </c>
      <c r="DX18" s="550">
        <v>6.3860399999999997E-4</v>
      </c>
      <c r="DY18" s="550">
        <v>8.1762480000000005E-3</v>
      </c>
      <c r="DZ18" s="550">
        <v>7.2699994800000001E-2</v>
      </c>
      <c r="EA18" s="550">
        <v>5.0930298615245043E-3</v>
      </c>
      <c r="EB18" s="550">
        <v>1.4987195999999999E-3</v>
      </c>
      <c r="EC18" s="550">
        <v>2.0421215999999998E-3</v>
      </c>
      <c r="ED18" s="550">
        <v>2.0611619999999996E-3</v>
      </c>
      <c r="EE18" s="550">
        <v>1.0920795951887244E-3</v>
      </c>
      <c r="EF18" s="550">
        <v>7.4757600000000001E-4</v>
      </c>
      <c r="EG18" s="550">
        <v>5.7826799999999995E-4</v>
      </c>
      <c r="EH18" s="550">
        <v>9.3242804400000004E-2</v>
      </c>
      <c r="EI18" s="550">
        <v>0.34740116357070422</v>
      </c>
      <c r="EJ18" s="550">
        <v>2.5474203E-3</v>
      </c>
      <c r="EK18" s="550">
        <v>2.6617922999999997E-3</v>
      </c>
      <c r="EL18" s="550">
        <v>1.0307043E-3</v>
      </c>
      <c r="EM18" s="550">
        <v>8.2171682999999992E-3</v>
      </c>
      <c r="EN18" s="550">
        <v>1.2599429836408884E-2</v>
      </c>
      <c r="EO18" s="550">
        <v>1.0616604300000001E-2</v>
      </c>
      <c r="EP18" s="550">
        <v>2.7391563000000001E-3</v>
      </c>
      <c r="EQ18" s="550">
        <v>1.9360689599569824E-3</v>
      </c>
      <c r="ER18" s="550">
        <v>1.120215828491107E-3</v>
      </c>
      <c r="ES18" s="550">
        <v>1.5564482999999999E-3</v>
      </c>
      <c r="ET18" s="550">
        <v>6.6137900094346679E-4</v>
      </c>
      <c r="EU18" s="550">
        <v>1.6285253140965131E-3</v>
      </c>
      <c r="EV18" s="550">
        <v>1.4363982111016908E-3</v>
      </c>
      <c r="EW18" s="550">
        <v>3.7700914681530716E-3</v>
      </c>
      <c r="EX18" s="550">
        <v>5.8202919582476761E-4</v>
      </c>
      <c r="EY18" s="550">
        <v>2.7737072347953492E-3</v>
      </c>
      <c r="EZ18" s="550">
        <v>2.7133892999999997E-3</v>
      </c>
      <c r="FA18" s="550">
        <v>6.2765105673792242E-3</v>
      </c>
      <c r="FB18" s="550">
        <v>5.5309280958613432E-3</v>
      </c>
      <c r="FC18" s="550">
        <v>2.7392235430576716E-3</v>
      </c>
      <c r="FD18" s="550">
        <v>2.4408439473250334E-3</v>
      </c>
      <c r="FE18" s="550">
        <v>1.5110506279712122E-3</v>
      </c>
      <c r="FF18" s="550">
        <v>2.450895361824103E-3</v>
      </c>
      <c r="FG18" s="550">
        <v>2.87671113521703E-3</v>
      </c>
      <c r="FH18" s="550">
        <v>3.8248788814231678E-3</v>
      </c>
      <c r="FI18" s="550">
        <v>2.1532106870556264E-3</v>
      </c>
      <c r="FJ18" s="550">
        <v>1.101842433020844E-3</v>
      </c>
      <c r="FK18" s="550">
        <v>2.6275621121990135E-3</v>
      </c>
      <c r="FL18" s="550">
        <v>1.3257859410960192E-3</v>
      </c>
      <c r="FM18" s="550">
        <v>1.5498574021217051E-4</v>
      </c>
      <c r="FN18" s="550">
        <v>6.6332003885131682E-4</v>
      </c>
      <c r="FO18" s="550">
        <v>5.0934361236097672E-3</v>
      </c>
      <c r="FP18" s="550">
        <v>3.8574673769453762E-3</v>
      </c>
      <c r="FQ18" s="550">
        <v>1.5911177600263786E-3</v>
      </c>
      <c r="FR18" s="550">
        <v>1.6020381327334378E-3</v>
      </c>
      <c r="FS18" s="550">
        <v>3.8716982828387999E-3</v>
      </c>
      <c r="FT18" s="550">
        <v>1.2068914777400736E-2</v>
      </c>
      <c r="FU18" s="550">
        <v>2.2841627396045544E-3</v>
      </c>
      <c r="FV18" s="550">
        <v>2.0388881150006219E-3</v>
      </c>
      <c r="FW18" s="550">
        <v>9.9172338752954517E-3</v>
      </c>
      <c r="FX18" s="550">
        <v>4.3358093641570686E-3</v>
      </c>
      <c r="FY18" s="550">
        <v>2.2958269731544571E-2</v>
      </c>
      <c r="FZ18" s="550">
        <v>4.2818311769337357E-3</v>
      </c>
      <c r="GA18" s="550">
        <v>2.6812579041372094E-3</v>
      </c>
      <c r="GB18" s="550">
        <v>3.8761495825647961E-3</v>
      </c>
      <c r="GC18" s="550">
        <v>3.290110870663616E-3</v>
      </c>
      <c r="GD18" s="550">
        <v>1.74548659890609E-3</v>
      </c>
      <c r="GE18" s="550">
        <v>1.1601301196182643E-2</v>
      </c>
      <c r="GF18" s="550">
        <v>2.8527498521806534E-2</v>
      </c>
      <c r="GG18" s="550">
        <v>5.0626893485252516E-3</v>
      </c>
      <c r="GH18" s="550">
        <v>2.3072283865928054E-2</v>
      </c>
      <c r="GI18" s="550">
        <v>5.6341044954971636E-2</v>
      </c>
      <c r="GJ18" s="550">
        <v>1.1496856500000001E-2</v>
      </c>
      <c r="GK18" s="550">
        <v>1.4679103357169748E-3</v>
      </c>
      <c r="GL18" s="550">
        <v>8.0199231820756202E-3</v>
      </c>
      <c r="GM18" s="550">
        <v>4.2145054480748163E-3</v>
      </c>
      <c r="GN18" s="550">
        <v>5.7452450064690236E-3</v>
      </c>
      <c r="GO18" s="550">
        <v>6.4944250787154238E-3</v>
      </c>
      <c r="GP18" s="550">
        <v>3.8258677282504315E-3</v>
      </c>
      <c r="GQ18" s="550">
        <v>5.9265236124471593E-3</v>
      </c>
      <c r="GR18" s="550">
        <v>3.3463811656004832E-3</v>
      </c>
      <c r="GS18" s="561">
        <v>-0.41753899758277857</v>
      </c>
    </row>
    <row r="19" spans="1:201" ht="14.25" customHeight="1" outlineLevel="1">
      <c r="A19" s="531" t="s">
        <v>2098</v>
      </c>
      <c r="B19" s="550">
        <v>0.97919999999999996</v>
      </c>
      <c r="C19" s="550">
        <v>1.1916</v>
      </c>
      <c r="D19" s="550">
        <v>1.2527999999999999</v>
      </c>
      <c r="E19" s="550">
        <v>1.2456</v>
      </c>
      <c r="F19" s="550">
        <v>0.88919999999999999</v>
      </c>
      <c r="G19" s="550">
        <v>1.1843999999999999</v>
      </c>
      <c r="H19" s="550">
        <v>0.98639999999999994</v>
      </c>
      <c r="I19" s="550">
        <v>0.7056</v>
      </c>
      <c r="J19" s="550">
        <v>0.70919999999999994</v>
      </c>
      <c r="K19" s="550">
        <v>1.0007999999999999</v>
      </c>
      <c r="L19" s="550">
        <v>1.2167999999999999</v>
      </c>
      <c r="M19" s="550">
        <v>1.0224</v>
      </c>
      <c r="N19" s="550">
        <v>0.79920000000000002</v>
      </c>
      <c r="O19" s="550">
        <v>1.0151999999999999</v>
      </c>
      <c r="P19" s="550">
        <v>0.79199999999999993</v>
      </c>
      <c r="Q19" s="550">
        <v>0.66959999999999997</v>
      </c>
      <c r="R19" s="550">
        <v>0.72</v>
      </c>
      <c r="S19" s="550">
        <v>0.80286299999999999</v>
      </c>
      <c r="T19" s="550">
        <v>0.82446300000000006</v>
      </c>
      <c r="U19" s="550">
        <v>0.32406299999999999</v>
      </c>
      <c r="V19" s="550">
        <v>0.36006299999999997</v>
      </c>
      <c r="W19" s="550">
        <v>0.39916619999999997</v>
      </c>
      <c r="X19" s="550">
        <v>0.42796619999999996</v>
      </c>
      <c r="Y19" s="550">
        <v>0.2227662</v>
      </c>
      <c r="Z19" s="550">
        <v>0.27676619999999996</v>
      </c>
      <c r="AA19" s="550">
        <v>0.41356619999999994</v>
      </c>
      <c r="AB19" s="550">
        <v>0.55396619999999996</v>
      </c>
      <c r="AC19" s="550">
        <v>0.28756619999999999</v>
      </c>
      <c r="AD19" s="550">
        <v>0.33436619999999995</v>
      </c>
      <c r="AE19" s="550">
        <v>0.38116619999999996</v>
      </c>
      <c r="AF19" s="550">
        <v>0.40276619999999996</v>
      </c>
      <c r="AG19" s="550">
        <v>0.28396619999999995</v>
      </c>
      <c r="AH19" s="550">
        <v>5.3566200000000001E-2</v>
      </c>
      <c r="AI19" s="550">
        <v>0.37036619999999998</v>
      </c>
      <c r="AJ19" s="550">
        <v>0.75916620000000001</v>
      </c>
      <c r="AK19" s="550">
        <v>0.33436619999999995</v>
      </c>
      <c r="AL19" s="550">
        <v>0.49636620000000004</v>
      </c>
      <c r="AM19" s="550">
        <v>0.57916619999999996</v>
      </c>
      <c r="AN19" s="550">
        <v>0.77356619999999998</v>
      </c>
      <c r="AO19" s="550">
        <v>0.49276619999999999</v>
      </c>
      <c r="AP19" s="550">
        <v>0.27316619999999997</v>
      </c>
      <c r="AQ19" s="550">
        <v>0.67996619999999997</v>
      </c>
      <c r="AR19" s="550">
        <v>0.83476620000000001</v>
      </c>
      <c r="AS19" s="550">
        <v>0.83476620000000001</v>
      </c>
      <c r="AT19" s="550">
        <v>0.6552</v>
      </c>
      <c r="AU19" s="550">
        <v>0.73672999999999922</v>
      </c>
      <c r="AV19" s="550">
        <v>0.88197166666666793</v>
      </c>
      <c r="AW19" s="550">
        <v>0.30901833333333323</v>
      </c>
      <c r="AX19" s="550">
        <v>0.59567093097535795</v>
      </c>
      <c r="AY19" s="550">
        <v>0.43574308146983159</v>
      </c>
      <c r="AZ19" s="550">
        <v>0.5463335285094636</v>
      </c>
      <c r="BA19" s="550">
        <v>0.4225336925271444</v>
      </c>
      <c r="BB19" s="550">
        <v>0.42663725527898161</v>
      </c>
      <c r="BC19" s="550">
        <v>1.1710761629707367</v>
      </c>
      <c r="BD19" s="550">
        <v>0.81155389877264517</v>
      </c>
      <c r="BE19" s="550">
        <v>0.63323075758314951</v>
      </c>
      <c r="BF19" s="550">
        <v>0.63646224906613313</v>
      </c>
      <c r="BG19" s="550">
        <v>1.0251880061610961</v>
      </c>
      <c r="BH19" s="550">
        <v>0.55796572168974001</v>
      </c>
      <c r="BI19" s="550">
        <v>0.38237275466862841</v>
      </c>
      <c r="BJ19" s="550">
        <v>0.3349008</v>
      </c>
      <c r="BK19" s="550">
        <v>0.36630777225306599</v>
      </c>
      <c r="BL19" s="550">
        <v>0.37704970119185638</v>
      </c>
      <c r="BM19" s="550">
        <v>0.52819200882858597</v>
      </c>
      <c r="BN19" s="550">
        <v>0.65442752742519361</v>
      </c>
      <c r="BO19" s="550">
        <v>0.44396134375870799</v>
      </c>
      <c r="BP19" s="550">
        <v>0.78937165372032003</v>
      </c>
      <c r="BQ19" s="550">
        <v>0.34593791248172412</v>
      </c>
      <c r="BR19" s="550">
        <v>0.35894615263266993</v>
      </c>
      <c r="BS19" s="550">
        <v>0.35916879632720938</v>
      </c>
      <c r="BT19" s="550">
        <v>0.52611774647151965</v>
      </c>
      <c r="BU19" s="550">
        <v>0.37840379285298237</v>
      </c>
      <c r="BV19" s="550">
        <v>2.2415946750946798</v>
      </c>
      <c r="BW19" s="550">
        <v>0.50868688705920362</v>
      </c>
      <c r="BX19" s="550">
        <v>0.76009750923809882</v>
      </c>
      <c r="BY19" s="550">
        <v>0.703685802433896</v>
      </c>
      <c r="BZ19" s="550">
        <v>0.32402140888281228</v>
      </c>
      <c r="CA19" s="550">
        <v>0.46396559645435875</v>
      </c>
      <c r="CB19" s="550">
        <v>1.3577962825094148</v>
      </c>
      <c r="CC19" s="550">
        <v>0.35921880328114764</v>
      </c>
      <c r="CD19" s="550">
        <v>0.40326054957663837</v>
      </c>
      <c r="CE19" s="550">
        <v>1.0341289824869773</v>
      </c>
      <c r="CF19" s="550">
        <v>0.4538502636065388</v>
      </c>
      <c r="CG19" s="550">
        <v>0.43636776648236281</v>
      </c>
      <c r="CH19" s="550">
        <v>1.2854316971705975</v>
      </c>
      <c r="CI19" s="550">
        <v>1.0118076699286656</v>
      </c>
      <c r="CJ19" s="550">
        <v>0.36557657515729802</v>
      </c>
      <c r="CK19" s="550">
        <v>0.36713682574079759</v>
      </c>
      <c r="CL19" s="550">
        <v>0.33823548862156516</v>
      </c>
      <c r="CM19" s="550">
        <v>0.35287365712255631</v>
      </c>
      <c r="CN19" s="550">
        <v>0.90396860331857398</v>
      </c>
      <c r="CO19" s="550">
        <v>1.5594885557389331</v>
      </c>
      <c r="CP19" s="550">
        <v>0.39464741648258278</v>
      </c>
      <c r="CQ19" s="550">
        <v>1.8634452858646309</v>
      </c>
      <c r="CR19" s="550">
        <v>1.8128442152816713</v>
      </c>
      <c r="CS19" s="550">
        <v>1.4541480710280359</v>
      </c>
      <c r="CT19" s="550">
        <v>1.1552112501583751</v>
      </c>
      <c r="CU19" s="550">
        <v>2.1427961183019613</v>
      </c>
      <c r="CV19" s="550">
        <v>1.0538438479900236</v>
      </c>
      <c r="CW19" s="550">
        <v>0.56309348221042321</v>
      </c>
      <c r="CX19" s="550">
        <v>0.69089438165317918</v>
      </c>
      <c r="CY19" s="550">
        <v>1.8925029362314512</v>
      </c>
      <c r="CZ19" s="550">
        <v>1.9647607674561012</v>
      </c>
      <c r="DA19" s="550">
        <v>1.4932269901986588</v>
      </c>
      <c r="DB19" s="550">
        <v>1.5015911029726932</v>
      </c>
      <c r="DC19" s="550">
        <v>1.4346224798804279</v>
      </c>
      <c r="DD19" s="550">
        <v>1.3473090689252329</v>
      </c>
      <c r="DE19" s="550">
        <v>0.91922993865465474</v>
      </c>
      <c r="DF19" s="550">
        <v>1.236757934016864</v>
      </c>
      <c r="DG19" s="550">
        <v>1.8478444121386739</v>
      </c>
      <c r="DH19" s="550">
        <v>2.4210781817442122</v>
      </c>
      <c r="DI19" s="550">
        <v>1.6208229989735352</v>
      </c>
      <c r="DJ19" s="550">
        <v>1.1785796399999988</v>
      </c>
      <c r="DK19" s="550">
        <v>2.2863622799999987</v>
      </c>
      <c r="DL19" s="550">
        <v>1.4320433999999986</v>
      </c>
      <c r="DM19" s="550">
        <v>2.0363457600000001</v>
      </c>
      <c r="DN19" s="550">
        <v>2.8333083599999997</v>
      </c>
      <c r="DO19" s="550">
        <v>3.7962917874472679</v>
      </c>
      <c r="DP19" s="550">
        <v>3.7202690400000122</v>
      </c>
      <c r="DQ19" s="550">
        <v>2.9724459599999986</v>
      </c>
      <c r="DR19" s="550">
        <v>2.5410763200000024</v>
      </c>
      <c r="DS19" s="550">
        <v>5.0097813599999883</v>
      </c>
      <c r="DT19" s="550">
        <v>4.4191934399999875</v>
      </c>
      <c r="DU19" s="550">
        <v>4.1019614759999881</v>
      </c>
      <c r="DV19" s="550">
        <v>2.904095675999999</v>
      </c>
      <c r="DW19" s="550">
        <v>5.3139311708518076</v>
      </c>
      <c r="DX19" s="550">
        <v>6.1855346711999877</v>
      </c>
      <c r="DY19" s="550">
        <v>5.2923771600000116</v>
      </c>
      <c r="DZ19" s="550">
        <v>4.0521738700628278</v>
      </c>
      <c r="EA19" s="550">
        <v>5.051442218290128</v>
      </c>
      <c r="EB19" s="550">
        <v>5.4814728793317835</v>
      </c>
      <c r="EC19" s="550">
        <v>4.0153464085954678</v>
      </c>
      <c r="ED19" s="550">
        <v>2.6825655879125421</v>
      </c>
      <c r="EE19" s="550">
        <v>3.5769519527070273</v>
      </c>
      <c r="EF19" s="550">
        <v>2.1964077490795595</v>
      </c>
      <c r="EG19" s="550">
        <v>2.1782524560000009</v>
      </c>
      <c r="EH19" s="550">
        <v>3.7309961211532561</v>
      </c>
      <c r="EI19" s="550">
        <v>5.8767167860465674</v>
      </c>
      <c r="EJ19" s="550">
        <v>3.9507717075940074</v>
      </c>
      <c r="EK19" s="550">
        <v>2.6972972160000013</v>
      </c>
      <c r="EL19" s="550">
        <v>2.192236112999999</v>
      </c>
      <c r="EM19" s="550">
        <v>3.7168292559379315</v>
      </c>
      <c r="EN19" s="550">
        <v>3.0765684356306209</v>
      </c>
      <c r="EO19" s="550">
        <v>2.1086003114325105</v>
      </c>
      <c r="EP19" s="550">
        <v>2.2907420673462791</v>
      </c>
      <c r="EQ19" s="550">
        <v>1.5990482145059819</v>
      </c>
      <c r="ER19" s="550">
        <v>1.2761863004376288</v>
      </c>
      <c r="ES19" s="550">
        <v>1.7779927356789409</v>
      </c>
      <c r="ET19" s="550">
        <v>1.2324286926926495</v>
      </c>
      <c r="EU19" s="550">
        <v>1.4320434683460492</v>
      </c>
      <c r="EV19" s="550">
        <v>2.413776868487989</v>
      </c>
      <c r="EW19" s="550">
        <v>2.2222106172293041</v>
      </c>
      <c r="EX19" s="550">
        <v>2.309946760902589</v>
      </c>
      <c r="EY19" s="550">
        <v>4.6923899561134554</v>
      </c>
      <c r="EZ19" s="550">
        <v>2.9615018197652678</v>
      </c>
      <c r="FA19" s="550">
        <v>1.9791271411057114</v>
      </c>
      <c r="FB19" s="550">
        <v>2.0604500681500473</v>
      </c>
      <c r="FC19" s="550">
        <v>3.3729706695614077</v>
      </c>
      <c r="FD19" s="550">
        <v>1.8637665035320945</v>
      </c>
      <c r="FE19" s="550">
        <v>0.75673798049874241</v>
      </c>
      <c r="FF19" s="550">
        <v>1.2513443186645747</v>
      </c>
      <c r="FG19" s="550">
        <v>1.8311284923115752</v>
      </c>
      <c r="FH19" s="550">
        <v>1.4974179596582831</v>
      </c>
      <c r="FI19" s="550">
        <v>2.0127713618020646</v>
      </c>
      <c r="FJ19" s="550">
        <v>2.4069188881878372</v>
      </c>
      <c r="FK19" s="550">
        <v>1.153307513360448</v>
      </c>
      <c r="FL19" s="550">
        <v>1.0863455836257396</v>
      </c>
      <c r="FM19" s="550">
        <v>1.6642855277753543</v>
      </c>
      <c r="FN19" s="550">
        <v>1.0959938384853491</v>
      </c>
      <c r="FO19" s="550">
        <v>1.1696482696912416</v>
      </c>
      <c r="FP19" s="550">
        <v>0.66656554263083878</v>
      </c>
      <c r="FQ19" s="550">
        <v>0.59390862000000122</v>
      </c>
      <c r="FR19" s="550">
        <v>0.51995970732226315</v>
      </c>
      <c r="FS19" s="550">
        <v>1.0889514750033793</v>
      </c>
      <c r="FT19" s="550">
        <v>1.1905714801750895</v>
      </c>
      <c r="FU19" s="550">
        <v>1.2798110357268948</v>
      </c>
      <c r="FV19" s="550">
        <v>1.0249626710200463</v>
      </c>
      <c r="FW19" s="550">
        <v>1.0404422817199093</v>
      </c>
      <c r="FX19" s="550">
        <v>0.90777459992981047</v>
      </c>
      <c r="FY19" s="550">
        <v>2.3527533079518332</v>
      </c>
      <c r="FZ19" s="550">
        <v>2.4350462386408767</v>
      </c>
      <c r="GA19" s="550">
        <v>1.6409640325144212</v>
      </c>
      <c r="GB19" s="550">
        <v>1.9015734369910677</v>
      </c>
      <c r="GC19" s="550">
        <v>1.6476180877722815</v>
      </c>
      <c r="GD19" s="550">
        <v>1.8837995833908432</v>
      </c>
      <c r="GE19" s="550">
        <v>1.435767154310059</v>
      </c>
      <c r="GF19" s="550">
        <v>2.6326053883684799</v>
      </c>
      <c r="GG19" s="550">
        <v>1.8198656910025308</v>
      </c>
      <c r="GH19" s="550">
        <v>3.6978037738246439</v>
      </c>
      <c r="GI19" s="550">
        <v>4.8525962347830234</v>
      </c>
      <c r="GJ19" s="550">
        <v>1.8190082637470557</v>
      </c>
      <c r="GK19" s="550">
        <v>0.50346206776256752</v>
      </c>
      <c r="GL19" s="550">
        <v>1.5885329225747975</v>
      </c>
      <c r="GM19" s="550">
        <v>1.8495478406836152</v>
      </c>
      <c r="GN19" s="550">
        <v>0.65572429909089958</v>
      </c>
      <c r="GO19" s="550">
        <v>0.42031142566729918</v>
      </c>
      <c r="GP19" s="550">
        <v>0.6178687723769436</v>
      </c>
      <c r="GQ19" s="550">
        <v>0.52313610767660279</v>
      </c>
      <c r="GR19" s="550">
        <v>1.2456788755337136</v>
      </c>
      <c r="GS19" s="561">
        <v>0.89969912242192462</v>
      </c>
    </row>
    <row r="20" spans="1:201" ht="14.25" customHeight="1" outlineLevel="1">
      <c r="A20" s="531" t="s">
        <v>37</v>
      </c>
      <c r="B20" s="550">
        <v>0.22198499999999999</v>
      </c>
      <c r="C20" s="550">
        <v>0.23638499999999998</v>
      </c>
      <c r="D20" s="550">
        <v>0.153585</v>
      </c>
      <c r="E20" s="550">
        <v>0.139185</v>
      </c>
      <c r="F20" s="550">
        <v>3.8384999999999996E-2</v>
      </c>
      <c r="G20" s="550">
        <v>6.3585000000000003E-2</v>
      </c>
      <c r="H20" s="550">
        <v>2.3984999999999999E-2</v>
      </c>
      <c r="I20" s="550">
        <v>5.6384999999999998E-2</v>
      </c>
      <c r="J20" s="550">
        <v>0.30118499999999998</v>
      </c>
      <c r="K20" s="550">
        <v>2.867985</v>
      </c>
      <c r="L20" s="550">
        <v>1.2983850000000001</v>
      </c>
      <c r="M20" s="550">
        <v>2.0147849999999998</v>
      </c>
      <c r="N20" s="550">
        <v>2.6555849999999999</v>
      </c>
      <c r="O20" s="550">
        <v>3.7391849999999995</v>
      </c>
      <c r="P20" s="550">
        <v>4.2539849999999992</v>
      </c>
      <c r="Q20" s="550">
        <v>3.5879850000000002</v>
      </c>
      <c r="R20" s="550">
        <v>2.9543849999999998</v>
      </c>
      <c r="S20" s="550">
        <v>3.7175849999999997</v>
      </c>
      <c r="T20" s="550">
        <v>4.0991849999999994</v>
      </c>
      <c r="U20" s="550">
        <v>2.7743850000000001</v>
      </c>
      <c r="V20" s="550">
        <v>2.263185</v>
      </c>
      <c r="W20" s="550">
        <v>1.625985</v>
      </c>
      <c r="X20" s="550">
        <v>2.3099850000000002</v>
      </c>
      <c r="Y20" s="550">
        <v>0.80518499999999993</v>
      </c>
      <c r="Z20" s="550">
        <v>0.66478499999999996</v>
      </c>
      <c r="AA20" s="550">
        <v>1.975185</v>
      </c>
      <c r="AB20" s="550">
        <v>1.7843850000000001</v>
      </c>
      <c r="AC20" s="550">
        <v>0.9527850000000001</v>
      </c>
      <c r="AD20" s="550">
        <v>1.240785</v>
      </c>
      <c r="AE20" s="550">
        <v>2.1767850000000002</v>
      </c>
      <c r="AF20" s="550">
        <v>2.057985</v>
      </c>
      <c r="AG20" s="550">
        <v>1.0499849999999999</v>
      </c>
      <c r="AH20" s="550">
        <v>2.2235849999999999</v>
      </c>
      <c r="AI20" s="550">
        <v>3.8413349999999995</v>
      </c>
      <c r="AJ20" s="550">
        <v>5.9257349999999995</v>
      </c>
      <c r="AK20" s="550">
        <v>3.7837349999999996</v>
      </c>
      <c r="AL20" s="550">
        <v>3.4309349999999998</v>
      </c>
      <c r="AM20" s="550">
        <v>3.8820060000000001</v>
      </c>
      <c r="AN20" s="550">
        <v>5.6892059999999995</v>
      </c>
      <c r="AO20" s="550">
        <v>1.8912060000000002</v>
      </c>
      <c r="AP20" s="550">
        <v>2.866806</v>
      </c>
      <c r="AQ20" s="550">
        <v>4.7856059999999996</v>
      </c>
      <c r="AR20" s="550">
        <v>5.2032059999999998</v>
      </c>
      <c r="AS20" s="550">
        <v>3.5364059999999999</v>
      </c>
      <c r="AT20" s="550">
        <v>3.342006</v>
      </c>
      <c r="AU20" s="550">
        <v>7.0043640444800639</v>
      </c>
      <c r="AV20" s="550">
        <v>5.8432709969946002</v>
      </c>
      <c r="AW20" s="550">
        <v>4.4881624015227359</v>
      </c>
      <c r="AX20" s="550">
        <v>2.7930265570026034</v>
      </c>
      <c r="AY20" s="550">
        <v>5.7777235502742359</v>
      </c>
      <c r="AZ20" s="550">
        <v>4.130460090493596</v>
      </c>
      <c r="BA20" s="550">
        <v>3.4093447568555759</v>
      </c>
      <c r="BB20" s="550">
        <v>4.3524956023765915</v>
      </c>
      <c r="BC20" s="550">
        <v>3.2387696394230767</v>
      </c>
      <c r="BD20" s="550">
        <v>5.1352680288461396</v>
      </c>
      <c r="BE20" s="550">
        <v>4.2794943749999996</v>
      </c>
      <c r="BF20" s="550">
        <v>4.152527956730772</v>
      </c>
      <c r="BG20" s="550">
        <v>7.1780472932444637</v>
      </c>
      <c r="BH20" s="550">
        <v>4.7579006710087919</v>
      </c>
      <c r="BI20" s="550">
        <v>2.3375602982439285</v>
      </c>
      <c r="BJ20" s="550">
        <v>2.4047581081490459</v>
      </c>
      <c r="BK20" s="550">
        <v>5.3708880277469166</v>
      </c>
      <c r="BL20" s="550">
        <v>6.7920820988081401</v>
      </c>
      <c r="BM20" s="550">
        <v>5.4388637911713955</v>
      </c>
      <c r="BN20" s="550">
        <v>4.1405389985163232</v>
      </c>
      <c r="BO20" s="550">
        <v>6.7912415607711596</v>
      </c>
      <c r="BP20" s="550">
        <v>4.3247649294572756</v>
      </c>
      <c r="BQ20" s="550">
        <v>3.9513605884325282</v>
      </c>
      <c r="BR20" s="550">
        <v>4.2323488113998167</v>
      </c>
      <c r="BS20" s="550">
        <v>8.0165009999999892</v>
      </c>
      <c r="BT20" s="550">
        <v>7.5167009999999994</v>
      </c>
      <c r="BU20" s="550">
        <v>3.8555010000000003</v>
      </c>
      <c r="BV20" s="550">
        <v>3.0205010000000012</v>
      </c>
      <c r="BW20" s="550">
        <v>11.119036545594108</v>
      </c>
      <c r="BX20" s="550">
        <v>7.4535148473943318</v>
      </c>
      <c r="BY20" s="550">
        <v>3.6268065179612998</v>
      </c>
      <c r="BZ20" s="550">
        <v>4.09882100982498</v>
      </c>
      <c r="CA20" s="550">
        <v>7.7662878714929162</v>
      </c>
      <c r="CB20" s="550">
        <v>4.8529697941261078</v>
      </c>
      <c r="CC20" s="550">
        <v>6.8353684915136759</v>
      </c>
      <c r="CD20" s="550">
        <v>3.8936232542431437</v>
      </c>
      <c r="CE20" s="550">
        <v>7.7460784316085594</v>
      </c>
      <c r="CF20" s="550">
        <v>3.5808144418825019</v>
      </c>
      <c r="CG20" s="550">
        <v>3.2010037506805249</v>
      </c>
      <c r="CH20" s="550">
        <v>3.8068702138672923</v>
      </c>
      <c r="CI20" s="550">
        <v>3.8950011439675198</v>
      </c>
      <c r="CJ20" s="550">
        <v>6.095603627459532</v>
      </c>
      <c r="CK20" s="550">
        <v>2.3645866568760252</v>
      </c>
      <c r="CL20" s="550">
        <v>2.7121861496916901</v>
      </c>
      <c r="CM20" s="550">
        <v>7.091180110588283</v>
      </c>
      <c r="CN20" s="550">
        <v>9.0354996050187601</v>
      </c>
      <c r="CO20" s="550">
        <v>3.4183232371604952</v>
      </c>
      <c r="CP20" s="550">
        <v>6.6587177059402682</v>
      </c>
      <c r="CQ20" s="550">
        <v>9.6911680882806355</v>
      </c>
      <c r="CR20" s="550">
        <v>9.4570636697704806</v>
      </c>
      <c r="CS20" s="550">
        <v>5.7834015177349443</v>
      </c>
      <c r="CT20" s="550">
        <v>5.4611564111777522</v>
      </c>
      <c r="CU20" s="550">
        <v>6.3284961456585718</v>
      </c>
      <c r="CV20" s="550">
        <v>7.1126703771499438</v>
      </c>
      <c r="CW20" s="550">
        <v>6.5646786437165163</v>
      </c>
      <c r="CX20" s="550">
        <v>8.0891608533852235</v>
      </c>
      <c r="CY20" s="550">
        <v>6.8341265190321838</v>
      </c>
      <c r="CZ20" s="550">
        <v>9.041581267709363</v>
      </c>
      <c r="DA20" s="550">
        <v>8.1738822464950669</v>
      </c>
      <c r="DB20" s="550">
        <v>7.8149576337024236</v>
      </c>
      <c r="DC20" s="550">
        <v>8.6588404775292602</v>
      </c>
      <c r="DD20" s="550">
        <v>8.3838130549787877</v>
      </c>
      <c r="DE20" s="550">
        <v>6.9256259806989595</v>
      </c>
      <c r="DF20" s="550">
        <v>8.0716402288307876</v>
      </c>
      <c r="DG20" s="550">
        <v>11.647769861023308</v>
      </c>
      <c r="DH20" s="550">
        <v>13.013433488271744</v>
      </c>
      <c r="DI20" s="550">
        <v>8.1699612225510965</v>
      </c>
      <c r="DJ20" s="550">
        <v>7.7096129145107763</v>
      </c>
      <c r="DK20" s="550">
        <v>11.212809154070076</v>
      </c>
      <c r="DL20" s="550">
        <v>8.8101489730735079</v>
      </c>
      <c r="DM20" s="550">
        <v>6.4122297687726473</v>
      </c>
      <c r="DN20" s="550">
        <v>7.97286788511372</v>
      </c>
      <c r="DO20" s="550">
        <v>9.2193975014865117</v>
      </c>
      <c r="DP20" s="550">
        <v>9.7500642284390029</v>
      </c>
      <c r="DQ20" s="550">
        <v>5.7370183210957677</v>
      </c>
      <c r="DR20" s="550">
        <v>5.2907214448509121</v>
      </c>
      <c r="DS20" s="550">
        <v>6.5007389748971516</v>
      </c>
      <c r="DT20" s="550">
        <v>5.3060876719979762</v>
      </c>
      <c r="DU20" s="550">
        <v>5.966522397759924</v>
      </c>
      <c r="DV20" s="550">
        <v>6.0979127635050832</v>
      </c>
      <c r="DW20" s="550">
        <v>8.5895995418312392</v>
      </c>
      <c r="DX20" s="550">
        <v>8.9807046064147436</v>
      </c>
      <c r="DY20" s="550">
        <v>7.4926791145594427</v>
      </c>
      <c r="DZ20" s="550">
        <v>8.6496715112749207</v>
      </c>
      <c r="EA20" s="550">
        <v>9.0149118064972562</v>
      </c>
      <c r="EB20" s="550">
        <v>8.5889479975844036</v>
      </c>
      <c r="EC20" s="550">
        <v>6.0761535416596439</v>
      </c>
      <c r="ED20" s="550">
        <v>7.1058564928865522</v>
      </c>
      <c r="EE20" s="550">
        <v>11.374324258575491</v>
      </c>
      <c r="EF20" s="550">
        <v>11.649389866740719</v>
      </c>
      <c r="EG20" s="550">
        <v>9.6110872779424312</v>
      </c>
      <c r="EH20" s="550">
        <v>8.7063093533547349</v>
      </c>
      <c r="EI20" s="550">
        <v>10.913817028778604</v>
      </c>
      <c r="EJ20" s="550">
        <v>9.3622427515674005</v>
      </c>
      <c r="EK20" s="550">
        <v>6.5602808305581242</v>
      </c>
      <c r="EL20" s="550">
        <v>7.0352171947141917</v>
      </c>
      <c r="EM20" s="550">
        <v>7.8307526515597559</v>
      </c>
      <c r="EN20" s="550">
        <v>8.0975777970202909</v>
      </c>
      <c r="EO20" s="550">
        <v>6.8525090472918597</v>
      </c>
      <c r="EP20" s="550">
        <v>7.4120101114871151</v>
      </c>
      <c r="EQ20" s="550">
        <v>8.8807601324234877</v>
      </c>
      <c r="ER20" s="550">
        <v>9.5983936434937789</v>
      </c>
      <c r="ES20" s="550">
        <v>7.2262542350683798</v>
      </c>
      <c r="ET20" s="550">
        <v>5.9729450627940119</v>
      </c>
      <c r="EU20" s="550">
        <v>6.4797146589826085</v>
      </c>
      <c r="EV20" s="550">
        <v>9.3203402486338067</v>
      </c>
      <c r="EW20" s="550">
        <v>6.3120884076307435</v>
      </c>
      <c r="EX20" s="550">
        <v>7.6423288980768849</v>
      </c>
      <c r="EY20" s="550">
        <v>9.2170514167401603</v>
      </c>
      <c r="EZ20" s="550">
        <v>7.8418840221560524</v>
      </c>
      <c r="FA20" s="550">
        <v>4.9456881891263516</v>
      </c>
      <c r="FB20" s="550">
        <v>7.7598068839203593</v>
      </c>
      <c r="FC20" s="550">
        <v>8.630757970240321</v>
      </c>
      <c r="FD20" s="550">
        <v>7.776621840880872</v>
      </c>
      <c r="FE20" s="550">
        <v>4.8763149181282799</v>
      </c>
      <c r="FF20" s="550">
        <v>6.0343080984530273</v>
      </c>
      <c r="FG20" s="550">
        <v>6.1659243076314603</v>
      </c>
      <c r="FH20" s="550">
        <v>5.8824914570278555</v>
      </c>
      <c r="FI20" s="550">
        <v>5.4692066406303725</v>
      </c>
      <c r="FJ20" s="550">
        <v>6.0922946118242161</v>
      </c>
      <c r="FK20" s="550">
        <v>5.7849904335136682</v>
      </c>
      <c r="FL20" s="550">
        <v>6.3173060487907557</v>
      </c>
      <c r="FM20" s="550">
        <v>4.6910088638456759</v>
      </c>
      <c r="FN20" s="550">
        <v>5.2991616736914473</v>
      </c>
      <c r="FO20" s="550">
        <v>5.0368710857742718</v>
      </c>
      <c r="FP20" s="550">
        <v>5.2140970562604121</v>
      </c>
      <c r="FQ20" s="550">
        <v>3.6658569404177639</v>
      </c>
      <c r="FR20" s="550">
        <v>4.3750669401469438</v>
      </c>
      <c r="FS20" s="550">
        <v>6.9111432084368518</v>
      </c>
      <c r="FT20" s="550">
        <v>6.7414604570559717</v>
      </c>
      <c r="FU20" s="550">
        <v>5.4696715658696515</v>
      </c>
      <c r="FV20" s="550">
        <v>5.6316282812968312</v>
      </c>
      <c r="FW20" s="550">
        <v>4.7157952853274478</v>
      </c>
      <c r="FX20" s="550">
        <v>5.344220430056736</v>
      </c>
      <c r="FY20" s="550">
        <v>3.3399952838050715</v>
      </c>
      <c r="FZ20" s="550">
        <v>4.7909673100451879</v>
      </c>
      <c r="GA20" s="550">
        <v>4.8579778341164159</v>
      </c>
      <c r="GB20" s="550">
        <v>6.0085434392731081</v>
      </c>
      <c r="GC20" s="550">
        <v>3.8256493332455639</v>
      </c>
      <c r="GD20" s="550">
        <v>4.7470653390340436</v>
      </c>
      <c r="GE20" s="550">
        <v>5.6470544133556313</v>
      </c>
      <c r="GF20" s="550">
        <v>6.8075904334862516</v>
      </c>
      <c r="GG20" s="550">
        <v>4.1547978525083762</v>
      </c>
      <c r="GH20" s="550">
        <v>3.9180772957671359</v>
      </c>
      <c r="GI20" s="550">
        <v>4.9015558945972444</v>
      </c>
      <c r="GJ20" s="550">
        <v>4.955577537745512</v>
      </c>
      <c r="GK20" s="550">
        <v>2.9637950644643505</v>
      </c>
      <c r="GL20" s="550">
        <v>4.7159061429524751</v>
      </c>
      <c r="GM20" s="550">
        <v>5.5193118494128557</v>
      </c>
      <c r="GN20" s="550">
        <v>3.7293071319218156</v>
      </c>
      <c r="GO20" s="550">
        <v>1.5522230372176944</v>
      </c>
      <c r="GP20" s="550">
        <v>3.9084224143705195</v>
      </c>
      <c r="GQ20" s="550">
        <v>2.9963801461398014</v>
      </c>
      <c r="GR20" s="550">
        <v>5.4827022465950765</v>
      </c>
      <c r="GS20" s="561">
        <v>0.47016645522829004</v>
      </c>
    </row>
    <row r="21" spans="1:201" ht="14.25" customHeight="1" outlineLevel="1">
      <c r="A21" s="531" t="s">
        <v>2099</v>
      </c>
      <c r="B21" s="550">
        <v>1.6586999999999998E-2</v>
      </c>
      <c r="C21" s="550">
        <v>1.6586999999999998E-2</v>
      </c>
      <c r="D21" s="550">
        <v>1.6586999999999998E-2</v>
      </c>
      <c r="E21" s="550">
        <v>1.6586999999999998E-2</v>
      </c>
      <c r="F21" s="550">
        <v>1.6586999999999998E-2</v>
      </c>
      <c r="G21" s="550">
        <v>4.5026999999999998E-2</v>
      </c>
      <c r="H21" s="550">
        <v>4.5026999999999998E-2</v>
      </c>
      <c r="I21" s="550">
        <v>4.5026999999999998E-2</v>
      </c>
      <c r="J21" s="550">
        <v>4.5026999999999998E-2</v>
      </c>
      <c r="K21" s="550">
        <v>4.5026999999999998E-2</v>
      </c>
      <c r="L21" s="550">
        <v>4.5026999999999998E-2</v>
      </c>
      <c r="M21" s="550">
        <v>4.5026999999999998E-2</v>
      </c>
      <c r="N21" s="550">
        <v>4.5026999999999998E-2</v>
      </c>
      <c r="O21" s="550">
        <v>4.5026999999999998E-2</v>
      </c>
      <c r="P21" s="550">
        <v>4.5026999999999998E-2</v>
      </c>
      <c r="Q21" s="550">
        <v>4.5026999999999998E-2</v>
      </c>
      <c r="R21" s="550">
        <v>4.5026999999999998E-2</v>
      </c>
      <c r="S21" s="550">
        <v>4.5026999999999998E-2</v>
      </c>
      <c r="T21" s="550">
        <v>4.5026999999999998E-2</v>
      </c>
      <c r="U21" s="550">
        <v>4.5026999999999998E-2</v>
      </c>
      <c r="V21" s="550">
        <v>4.5026999999999998E-2</v>
      </c>
      <c r="W21" s="550">
        <v>4.5026999999999998E-2</v>
      </c>
      <c r="X21" s="550">
        <v>4.5026999999999998E-2</v>
      </c>
      <c r="Y21" s="550">
        <v>4.5026999999999998E-2</v>
      </c>
      <c r="Z21" s="550">
        <v>4.5026999999999998E-2</v>
      </c>
      <c r="AA21" s="550">
        <v>4.5026999999999998E-2</v>
      </c>
      <c r="AB21" s="550">
        <v>4.5026999999999998E-2</v>
      </c>
      <c r="AC21" s="550">
        <v>4.5026999999999998E-2</v>
      </c>
      <c r="AD21" s="550">
        <v>4.5026999999999998E-2</v>
      </c>
      <c r="AE21" s="550">
        <v>6.3027E-2</v>
      </c>
      <c r="AF21" s="550">
        <v>6.3027E-2</v>
      </c>
      <c r="AG21" s="550">
        <v>6.3027E-2</v>
      </c>
      <c r="AH21" s="550">
        <v>6.3027E-2</v>
      </c>
      <c r="AI21" s="550">
        <v>6.3027E-2</v>
      </c>
      <c r="AJ21" s="550">
        <v>6.3027E-2</v>
      </c>
      <c r="AK21" s="550">
        <v>6.3027E-2</v>
      </c>
      <c r="AL21" s="550">
        <v>6.3027E-2</v>
      </c>
      <c r="AM21" s="550">
        <v>6.3027E-2</v>
      </c>
      <c r="AN21" s="550">
        <v>6.3027E-2</v>
      </c>
      <c r="AO21" s="550">
        <v>6.3027E-2</v>
      </c>
      <c r="AP21" s="550">
        <v>6.3027E-2</v>
      </c>
      <c r="AQ21" s="550">
        <v>5.7545999999999993E-2</v>
      </c>
      <c r="AR21" s="550">
        <v>6.1578000000000001E-2</v>
      </c>
      <c r="AS21" s="550">
        <v>5.3978399999999996E-2</v>
      </c>
      <c r="AT21" s="550">
        <v>5.2668E-2</v>
      </c>
      <c r="AU21" s="550">
        <v>5.7545999999999993E-2</v>
      </c>
      <c r="AV21" s="550">
        <v>6.1578000000000001E-2</v>
      </c>
      <c r="AW21" s="550">
        <v>5.3942400000000001E-2</v>
      </c>
      <c r="AX21" s="550">
        <v>5.2606799999999995E-2</v>
      </c>
      <c r="AY21" s="550">
        <v>5.7545999999999993E-2</v>
      </c>
      <c r="AZ21" s="550">
        <v>6.1578000000000001E-2</v>
      </c>
      <c r="BA21" s="550">
        <v>5.3978399999999996E-2</v>
      </c>
      <c r="BB21" s="550">
        <v>5.2668E-2</v>
      </c>
      <c r="BC21" s="550">
        <v>5.7545999999999993E-2</v>
      </c>
      <c r="BD21" s="550">
        <v>6.1560000000000004E-2</v>
      </c>
      <c r="BE21" s="550">
        <v>5.3978399999999996E-2</v>
      </c>
      <c r="BF21" s="550">
        <v>5.2668E-2</v>
      </c>
      <c r="BG21" s="550">
        <v>5.7545999999999993E-2</v>
      </c>
      <c r="BH21" s="550">
        <v>6.1704000000000002E-2</v>
      </c>
      <c r="BI21" s="550">
        <v>5.3978399999999996E-2</v>
      </c>
      <c r="BJ21" s="550">
        <v>5.2668E-2</v>
      </c>
      <c r="BK21" s="550">
        <v>5.7239999999999999E-2</v>
      </c>
      <c r="BL21" s="550">
        <v>6.1578000000000001E-2</v>
      </c>
      <c r="BM21" s="550">
        <v>5.3978399999999996E-2</v>
      </c>
      <c r="BN21" s="550">
        <v>5.2668E-2</v>
      </c>
      <c r="BO21" s="550">
        <v>5.7545999999999993E-2</v>
      </c>
      <c r="BP21" s="550">
        <v>6.1487999999999994E-2</v>
      </c>
      <c r="BQ21" s="550">
        <v>5.3978399999999996E-2</v>
      </c>
      <c r="BR21" s="550">
        <v>5.2668E-2</v>
      </c>
      <c r="BS21" s="550">
        <v>5.7319200000000001E-2</v>
      </c>
      <c r="BT21" s="550">
        <v>6.1545599999999999E-2</v>
      </c>
      <c r="BU21" s="550">
        <v>5.4010799999999998E-2</v>
      </c>
      <c r="BV21" s="550">
        <v>5.2700399999999994E-2</v>
      </c>
      <c r="BW21" s="550">
        <v>5.7545999999999993E-2</v>
      </c>
      <c r="BX21" s="550">
        <v>6.1578000000000001E-2</v>
      </c>
      <c r="BY21" s="550">
        <v>5.3978399999999996E-2</v>
      </c>
      <c r="BZ21" s="550">
        <v>5.2682399999999997E-2</v>
      </c>
      <c r="CA21" s="550">
        <v>5.7545999999999993E-2</v>
      </c>
      <c r="CB21" s="550">
        <v>6.1578000000000001E-2</v>
      </c>
      <c r="CC21" s="550">
        <v>5.3978399999999996E-2</v>
      </c>
      <c r="CD21" s="550">
        <v>5.2811999999999998E-2</v>
      </c>
      <c r="CE21" s="550">
        <v>5.7545999999999993E-2</v>
      </c>
      <c r="CF21" s="550">
        <v>6.1541999999999993E-2</v>
      </c>
      <c r="CG21" s="550">
        <v>5.3978399999999996E-2</v>
      </c>
      <c r="CH21" s="550">
        <v>5.2668E-2</v>
      </c>
      <c r="CI21" s="550">
        <v>5.7545999999999993E-2</v>
      </c>
      <c r="CJ21" s="550">
        <v>6.1523999999999995E-2</v>
      </c>
      <c r="CK21" s="550">
        <v>5.3978399999999996E-2</v>
      </c>
      <c r="CL21" s="550">
        <v>5.7599999999999998E-2</v>
      </c>
      <c r="CM21" s="550">
        <v>5.6429099999999996E-2</v>
      </c>
      <c r="CN21" s="550">
        <v>5.6429099999999996E-2</v>
      </c>
      <c r="CO21" s="550">
        <v>5.6429099999999996E-2</v>
      </c>
      <c r="CP21" s="550">
        <v>5.6429099999999996E-2</v>
      </c>
      <c r="CQ21" s="550">
        <v>5.6429099999999996E-2</v>
      </c>
      <c r="CR21" s="550">
        <v>5.6429099999999996E-2</v>
      </c>
      <c r="CS21" s="550">
        <v>5.6429099999999996E-2</v>
      </c>
      <c r="CT21" s="550">
        <v>5.6429099999999996E-2</v>
      </c>
      <c r="CU21" s="550">
        <v>5.6429099999999996E-2</v>
      </c>
      <c r="CV21" s="550">
        <v>5.6429099999999996E-2</v>
      </c>
      <c r="CW21" s="550">
        <v>5.6429099999999996E-2</v>
      </c>
      <c r="CX21" s="550">
        <v>5.6429099999999996E-2</v>
      </c>
      <c r="CY21" s="550">
        <v>5.6429099999999996E-2</v>
      </c>
      <c r="CZ21" s="550">
        <v>5.6429099999999996E-2</v>
      </c>
      <c r="DA21" s="550">
        <v>5.6429099999999996E-2</v>
      </c>
      <c r="DB21" s="550">
        <v>5.6429099999999996E-2</v>
      </c>
      <c r="DC21" s="550">
        <v>5.6429099999999996E-2</v>
      </c>
      <c r="DD21" s="550">
        <v>5.6429099999999996E-2</v>
      </c>
      <c r="DE21" s="550">
        <v>5.6429099999999996E-2</v>
      </c>
      <c r="DF21" s="550">
        <v>4.2508799999999999E-2</v>
      </c>
      <c r="DG21" s="550">
        <v>4.2508799999999999E-2</v>
      </c>
      <c r="DH21" s="550">
        <v>4.2508799999999999E-2</v>
      </c>
      <c r="DI21" s="550">
        <v>4.2508799999999999E-2</v>
      </c>
      <c r="DJ21" s="550">
        <v>8.2443059999999999E-2</v>
      </c>
      <c r="DK21" s="550">
        <v>8.428194E-2</v>
      </c>
      <c r="DL21" s="550">
        <v>8.428194E-2</v>
      </c>
      <c r="DM21" s="550">
        <v>8.428194E-2</v>
      </c>
      <c r="DN21" s="550">
        <v>8.428194E-2</v>
      </c>
      <c r="DO21" s="550">
        <v>7.3249560000000005E-2</v>
      </c>
      <c r="DP21" s="550">
        <v>7.3249560000000005E-2</v>
      </c>
      <c r="DQ21" s="550">
        <v>7.3249560000000005E-2</v>
      </c>
      <c r="DR21" s="550">
        <v>7.3249560000000005E-2</v>
      </c>
      <c r="DS21" s="550">
        <v>7.5124079999999996E-2</v>
      </c>
      <c r="DT21" s="550">
        <v>7.5124079999999996E-2</v>
      </c>
      <c r="DU21" s="550">
        <v>7.5124079999999996E-2</v>
      </c>
      <c r="DV21" s="550">
        <v>7.5124079999999996E-2</v>
      </c>
      <c r="DW21" s="550">
        <v>6.5920500000000007E-2</v>
      </c>
      <c r="DX21" s="550">
        <v>6.5920500000000007E-2</v>
      </c>
      <c r="DY21" s="550">
        <v>6.5920500000000007E-2</v>
      </c>
      <c r="DZ21" s="550">
        <v>6.5920500000000007E-2</v>
      </c>
      <c r="EA21" s="550">
        <v>6.3567899999999997E-2</v>
      </c>
      <c r="EB21" s="550">
        <v>6.3567899999999997E-2</v>
      </c>
      <c r="EC21" s="550">
        <v>6.3567899999999997E-2</v>
      </c>
      <c r="ED21" s="550">
        <v>6.3567899999999997E-2</v>
      </c>
      <c r="EE21" s="550">
        <v>4.2313229999999993E-2</v>
      </c>
      <c r="EF21" s="550">
        <v>4.2313229999999993E-2</v>
      </c>
      <c r="EG21" s="550">
        <v>4.2313229999999993E-2</v>
      </c>
      <c r="EH21" s="550">
        <v>4.2313229999999993E-2</v>
      </c>
      <c r="EI21" s="550">
        <v>5.3210519999999997E-2</v>
      </c>
      <c r="EJ21" s="550">
        <v>5.3210519999999997E-2</v>
      </c>
      <c r="EK21" s="550">
        <v>5.3210519999999997E-2</v>
      </c>
      <c r="EL21" s="550">
        <v>5.3210519999999997E-2</v>
      </c>
      <c r="EM21" s="550">
        <v>4.6172159999999997E-2</v>
      </c>
      <c r="EN21" s="550">
        <v>4.6172159999999997E-2</v>
      </c>
      <c r="EO21" s="550">
        <v>4.6172159999999997E-2</v>
      </c>
      <c r="EP21" s="550">
        <v>4.6172159999999997E-2</v>
      </c>
      <c r="EQ21" s="550">
        <v>5.3195489999999998E-2</v>
      </c>
      <c r="ER21" s="550">
        <v>5.3195489999999998E-2</v>
      </c>
      <c r="ES21" s="550">
        <v>5.3195489999999998E-2</v>
      </c>
      <c r="ET21" s="550">
        <v>5.3195489999999998E-2</v>
      </c>
      <c r="EU21" s="550">
        <v>3.7797480000000001E-2</v>
      </c>
      <c r="EV21" s="550">
        <v>3.7797480000000001E-2</v>
      </c>
      <c r="EW21" s="550">
        <v>3.7797480000000001E-2</v>
      </c>
      <c r="EX21" s="550">
        <v>3.7797480000000001E-2</v>
      </c>
      <c r="EY21" s="550">
        <v>2.9805438599999998E-2</v>
      </c>
      <c r="EZ21" s="550">
        <v>2.9805438599999998E-2</v>
      </c>
      <c r="FA21" s="550">
        <v>2.9805438599999998E-2</v>
      </c>
      <c r="FB21" s="550">
        <v>2.9805438599999998E-2</v>
      </c>
      <c r="FC21" s="550">
        <v>4.3160205600000001E-2</v>
      </c>
      <c r="FD21" s="550">
        <v>4.3160205600000001E-2</v>
      </c>
      <c r="FE21" s="550">
        <v>4.3160205600000001E-2</v>
      </c>
      <c r="FF21" s="550">
        <v>4.3160205600000001E-2</v>
      </c>
      <c r="FG21" s="550">
        <v>4.2480524700000001E-2</v>
      </c>
      <c r="FH21" s="550">
        <v>4.2480524700000001E-2</v>
      </c>
      <c r="FI21" s="550">
        <v>4.2480524700000001E-2</v>
      </c>
      <c r="FJ21" s="550">
        <v>4.2480524700000001E-2</v>
      </c>
      <c r="FK21" s="550">
        <v>4.4653680000000001E-2</v>
      </c>
      <c r="FL21" s="550">
        <v>4.4653680000000001E-2</v>
      </c>
      <c r="FM21" s="550">
        <v>4.4653680000000001E-2</v>
      </c>
      <c r="FN21" s="550">
        <v>4.4653680000000001E-2</v>
      </c>
      <c r="FO21" s="550">
        <v>4.62843E-2</v>
      </c>
      <c r="FP21" s="550">
        <v>4.62843E-2</v>
      </c>
      <c r="FQ21" s="550">
        <v>4.62843E-2</v>
      </c>
      <c r="FR21" s="550">
        <v>4.62843E-2</v>
      </c>
      <c r="FS21" s="550">
        <v>4.0335299999999998E-2</v>
      </c>
      <c r="FT21" s="550">
        <v>4.0335299999999998E-2</v>
      </c>
      <c r="FU21" s="550">
        <v>4.0335299999999998E-2</v>
      </c>
      <c r="FV21" s="550">
        <v>4.0335299999999998E-2</v>
      </c>
      <c r="FW21" s="550">
        <v>4.5767700000000001E-2</v>
      </c>
      <c r="FX21" s="550">
        <v>4.5767700000000001E-2</v>
      </c>
      <c r="FY21" s="550">
        <v>4.5767700000000001E-2</v>
      </c>
      <c r="FZ21" s="550">
        <v>4.5767700000000001E-2</v>
      </c>
      <c r="GA21" s="550">
        <v>3.92751E-2</v>
      </c>
      <c r="GB21" s="550">
        <v>3.92751E-2</v>
      </c>
      <c r="GC21" s="550">
        <v>3.92751E-2</v>
      </c>
      <c r="GD21" s="550">
        <v>3.92751E-2</v>
      </c>
      <c r="GE21" s="550">
        <v>3.4405200000000004E-2</v>
      </c>
      <c r="GF21" s="550">
        <v>3.4405200000000004E-2</v>
      </c>
      <c r="GG21" s="550">
        <v>3.4405200000000004E-2</v>
      </c>
      <c r="GH21" s="550">
        <v>3.4405200000000004E-2</v>
      </c>
      <c r="GI21" s="550">
        <v>4.0275496482545164E-2</v>
      </c>
      <c r="GJ21" s="550">
        <v>4.0275496482545164E-2</v>
      </c>
      <c r="GK21" s="550">
        <v>4.0275496482545164E-2</v>
      </c>
      <c r="GL21" s="550">
        <v>4.0275496482545164E-2</v>
      </c>
      <c r="GM21" s="550">
        <v>3.42324486E-2</v>
      </c>
      <c r="GN21" s="550">
        <v>3.42324486E-2</v>
      </c>
      <c r="GO21" s="550">
        <v>3.42324486E-2</v>
      </c>
      <c r="GP21" s="550">
        <v>3.42324486E-2</v>
      </c>
      <c r="GQ21" s="550">
        <v>3.42324486E-2</v>
      </c>
      <c r="GR21" s="550">
        <v>3.42324486E-2</v>
      </c>
      <c r="GS21" s="561">
        <v>0</v>
      </c>
    </row>
    <row r="22" spans="1:201" ht="14.25" customHeight="1">
      <c r="A22" s="543" t="s">
        <v>2100</v>
      </c>
      <c r="B22" s="544">
        <v>0.88539031627787157</v>
      </c>
      <c r="C22" s="544">
        <v>0.80541660166439977</v>
      </c>
      <c r="D22" s="544">
        <v>0.81894642666890927</v>
      </c>
      <c r="E22" s="544">
        <v>0.82469494273715271</v>
      </c>
      <c r="F22" s="544">
        <v>0.88152455112198225</v>
      </c>
      <c r="G22" s="544">
        <v>0.90089340237186999</v>
      </c>
      <c r="H22" s="544">
        <v>0.89917023897973836</v>
      </c>
      <c r="I22" s="544">
        <v>0.93987443579768337</v>
      </c>
      <c r="J22" s="544">
        <v>0.87717451366725363</v>
      </c>
      <c r="K22" s="544">
        <v>0.75274860705097812</v>
      </c>
      <c r="L22" s="544">
        <v>0.8149147488455174</v>
      </c>
      <c r="M22" s="544">
        <v>0.77956657818645947</v>
      </c>
      <c r="N22" s="544">
        <v>0.7568759680155388</v>
      </c>
      <c r="O22" s="544">
        <v>0.7241448034820186</v>
      </c>
      <c r="P22" s="544">
        <v>0.7386966843121614</v>
      </c>
      <c r="Q22" s="544">
        <v>0.76369714706275049</v>
      </c>
      <c r="R22" s="544">
        <v>0.76624434745005265</v>
      </c>
      <c r="S22" s="544">
        <v>0.76470520901895933</v>
      </c>
      <c r="T22" s="544">
        <v>0.77636364841009664</v>
      </c>
      <c r="U22" s="544">
        <v>0.8355398394624215</v>
      </c>
      <c r="V22" s="544">
        <v>0.8530153410877086</v>
      </c>
      <c r="W22" s="544">
        <v>0.89785667215206666</v>
      </c>
      <c r="X22" s="544">
        <v>0.87403796460606153</v>
      </c>
      <c r="Y22" s="544">
        <v>0.94274066071111573</v>
      </c>
      <c r="Z22" s="544">
        <v>0.94597786130706085</v>
      </c>
      <c r="AA22" s="544">
        <v>0.88728455141435092</v>
      </c>
      <c r="AB22" s="544">
        <v>0.8983074878418581</v>
      </c>
      <c r="AC22" s="544">
        <v>0.93375405452810445</v>
      </c>
      <c r="AD22" s="544">
        <v>0.91269500043427354</v>
      </c>
      <c r="AE22" s="544">
        <v>0.88043382352694344</v>
      </c>
      <c r="AF22" s="544">
        <v>0.89487965942418535</v>
      </c>
      <c r="AG22" s="544">
        <v>0.93135866751200513</v>
      </c>
      <c r="AH22" s="544">
        <v>0.87788105625166823</v>
      </c>
      <c r="AI22" s="544">
        <v>0.81594505235361381</v>
      </c>
      <c r="AJ22" s="544">
        <v>0.72894042394167013</v>
      </c>
      <c r="AK22" s="544">
        <v>0.80912275258668376</v>
      </c>
      <c r="AL22" s="544">
        <v>0.80394102202201501</v>
      </c>
      <c r="AM22" s="544">
        <v>0.80052216370291984</v>
      </c>
      <c r="AN22" s="544">
        <v>0.75564446088665471</v>
      </c>
      <c r="AO22" s="544">
        <v>0.8930360754350436</v>
      </c>
      <c r="AP22" s="544">
        <v>0.85620778805239128</v>
      </c>
      <c r="AQ22" s="544">
        <v>0.78411434327965035</v>
      </c>
      <c r="AR22" s="544">
        <v>0.77772494433358919</v>
      </c>
      <c r="AS22" s="544">
        <v>0.8142061746902739</v>
      </c>
      <c r="AT22" s="544">
        <v>0.82099881396370677</v>
      </c>
      <c r="AU22" s="544">
        <v>0.69852283801652104</v>
      </c>
      <c r="AV22" s="544">
        <v>0.75424745301749796</v>
      </c>
      <c r="AW22" s="544">
        <v>0.79760564718251858</v>
      </c>
      <c r="AX22" s="544">
        <v>0.84867875510342883</v>
      </c>
      <c r="AY22" s="544">
        <v>0.7685123832645423</v>
      </c>
      <c r="AZ22" s="544">
        <v>0.83865467830923168</v>
      </c>
      <c r="BA22" s="544">
        <v>0.84390250979327963</v>
      </c>
      <c r="BB22" s="544">
        <v>0.79782278366583859</v>
      </c>
      <c r="BC22" s="544">
        <v>0.83520089051584268</v>
      </c>
      <c r="BD22" s="544">
        <v>0.7918180874791686</v>
      </c>
      <c r="BE22" s="544">
        <v>0.80540543298846434</v>
      </c>
      <c r="BF22" s="544">
        <v>0.80775444552339404</v>
      </c>
      <c r="BG22" s="544">
        <v>0.71072566033667184</v>
      </c>
      <c r="BH22" s="544">
        <v>0.81840143050329373</v>
      </c>
      <c r="BI22" s="544">
        <v>0.89619240405167366</v>
      </c>
      <c r="BJ22" s="544">
        <v>0.88793762370244766</v>
      </c>
      <c r="BK22" s="544">
        <v>0.80007595449283497</v>
      </c>
      <c r="BL22" s="544">
        <v>0.76445294638163064</v>
      </c>
      <c r="BM22" s="544">
        <v>0.7723556495591507</v>
      </c>
      <c r="BN22" s="544">
        <v>0.81445580862620526</v>
      </c>
      <c r="BO22" s="544">
        <v>0.75234270570932216</v>
      </c>
      <c r="BP22" s="544">
        <v>0.83507068869884238</v>
      </c>
      <c r="BQ22" s="544">
        <v>0.84059655423477853</v>
      </c>
      <c r="BR22" s="544">
        <v>0.82517907097884058</v>
      </c>
      <c r="BS22" s="544">
        <v>0.72329291216398783</v>
      </c>
      <c r="BT22" s="544">
        <v>0.74328335580464777</v>
      </c>
      <c r="BU22" s="544">
        <v>0.85099107814773556</v>
      </c>
      <c r="BV22" s="544">
        <v>0.81037699068421121</v>
      </c>
      <c r="BW22" s="544">
        <v>0.61454852626135903</v>
      </c>
      <c r="BX22" s="544">
        <v>0.68881126915428337</v>
      </c>
      <c r="BY22" s="544">
        <v>0.8493163165830846</v>
      </c>
      <c r="BZ22" s="544">
        <v>0.84417562988519168</v>
      </c>
      <c r="CA22" s="544">
        <v>0.72337933248620245</v>
      </c>
      <c r="CB22" s="544">
        <v>0.80952998886640126</v>
      </c>
      <c r="CC22" s="544">
        <v>0.74759426181615973</v>
      </c>
      <c r="CD22" s="544">
        <v>0.8463321409965171</v>
      </c>
      <c r="CE22" s="544">
        <v>0.71539730174196281</v>
      </c>
      <c r="CF22" s="544">
        <v>0.87791730422257297</v>
      </c>
      <c r="CG22" s="544">
        <v>0.87809269531375456</v>
      </c>
      <c r="CH22" s="544">
        <v>0.82602969637074064</v>
      </c>
      <c r="CI22" s="544">
        <v>0.84611296253222057</v>
      </c>
      <c r="CJ22" s="544">
        <v>0.81006014987631036</v>
      </c>
      <c r="CK22" s="544">
        <v>0.90898840067621944</v>
      </c>
      <c r="CL22" s="544">
        <v>0.89534062591233665</v>
      </c>
      <c r="CM22" s="544">
        <v>0.77286427310706973</v>
      </c>
      <c r="CN22" s="544">
        <v>0.71192927909941173</v>
      </c>
      <c r="CO22" s="544">
        <v>0.83869912935310553</v>
      </c>
      <c r="CP22" s="544">
        <v>0.75865210524550986</v>
      </c>
      <c r="CQ22" s="544">
        <v>0.65244955283875172</v>
      </c>
      <c r="CR22" s="544">
        <v>0.68515265983828244</v>
      </c>
      <c r="CS22" s="544">
        <v>0.77105814321835198</v>
      </c>
      <c r="CT22" s="544">
        <v>0.78701058609822938</v>
      </c>
      <c r="CU22" s="544">
        <v>0.7491222282143325</v>
      </c>
      <c r="CV22" s="544">
        <v>0.76590451065953347</v>
      </c>
      <c r="CW22" s="544">
        <v>0.77393579421112646</v>
      </c>
      <c r="CX22" s="544">
        <v>0.71201281886902512</v>
      </c>
      <c r="CY22" s="544">
        <v>0.7402748895435044</v>
      </c>
      <c r="CZ22" s="544">
        <v>0.68835269908608165</v>
      </c>
      <c r="DA22" s="544">
        <v>0.69983311503741541</v>
      </c>
      <c r="DB22" s="544">
        <v>0.70446807296029246</v>
      </c>
      <c r="DC22" s="544">
        <v>0.70653322586087319</v>
      </c>
      <c r="DD22" s="544">
        <v>0.7354952541489288</v>
      </c>
      <c r="DE22" s="544">
        <v>0.76906944952489564</v>
      </c>
      <c r="DF22" s="544">
        <v>0.71725061153798841</v>
      </c>
      <c r="DG22" s="544">
        <v>0.62385722026329793</v>
      </c>
      <c r="DH22" s="544">
        <v>0.56886882383660264</v>
      </c>
      <c r="DI22" s="544">
        <v>0.70270766975259324</v>
      </c>
      <c r="DJ22" s="544">
        <v>0.72362621565741558</v>
      </c>
      <c r="DK22" s="544">
        <v>0.6202764090717251</v>
      </c>
      <c r="DL22" s="544">
        <v>0.73015847250093857</v>
      </c>
      <c r="DM22" s="544">
        <v>0.7605226895398749</v>
      </c>
      <c r="DN22" s="544">
        <v>0.6790236043772544</v>
      </c>
      <c r="DO22" s="544">
        <v>0.61663699830889007</v>
      </c>
      <c r="DP22" s="544">
        <v>0.64649610984468298</v>
      </c>
      <c r="DQ22" s="544">
        <v>0.75398477154217436</v>
      </c>
      <c r="DR22" s="544">
        <v>0.77466191426156039</v>
      </c>
      <c r="DS22" s="544">
        <v>0.68852107646172445</v>
      </c>
      <c r="DT22" s="544">
        <v>0.75948134816437074</v>
      </c>
      <c r="DU22" s="544">
        <v>0.7198749187496174</v>
      </c>
      <c r="DV22" s="544">
        <v>0.74006109769643957</v>
      </c>
      <c r="DW22" s="544">
        <v>0.63608472883296541</v>
      </c>
      <c r="DX22" s="544">
        <v>0.61529102594316865</v>
      </c>
      <c r="DY22" s="544">
        <v>0.64842677153496431</v>
      </c>
      <c r="DZ22" s="544">
        <v>0.63553799509125886</v>
      </c>
      <c r="EA22" s="544">
        <v>0.63384944521186226</v>
      </c>
      <c r="EB22" s="544">
        <v>0.65302603791708214</v>
      </c>
      <c r="EC22" s="544">
        <v>0.72436860980368167</v>
      </c>
      <c r="ED22" s="544">
        <v>0.72351284834957985</v>
      </c>
      <c r="EE22" s="544">
        <v>0.60958889313581177</v>
      </c>
      <c r="EF22" s="544">
        <v>0.66163477361208012</v>
      </c>
      <c r="EG22" s="544">
        <v>0.68547940247444472</v>
      </c>
      <c r="EH22" s="544">
        <v>0.65207640729829019</v>
      </c>
      <c r="EI22" s="544">
        <v>0.55893927191192261</v>
      </c>
      <c r="EJ22" s="544">
        <v>0.67472566254922695</v>
      </c>
      <c r="EK22" s="544">
        <v>0.74411637047994361</v>
      </c>
      <c r="EL22" s="544">
        <v>0.73166876750676657</v>
      </c>
      <c r="EM22" s="544">
        <v>0.70218688426716236</v>
      </c>
      <c r="EN22" s="544">
        <v>0.72216824400342228</v>
      </c>
      <c r="EO22" s="544">
        <v>0.76164841075390599</v>
      </c>
      <c r="EP22" s="544">
        <v>0.73383681182517702</v>
      </c>
      <c r="EQ22" s="544">
        <v>0.73318098002827814</v>
      </c>
      <c r="ER22" s="544">
        <v>0.74055739052307168</v>
      </c>
      <c r="ES22" s="544">
        <v>0.76531768165883496</v>
      </c>
      <c r="ET22" s="544">
        <v>0.80207100853460234</v>
      </c>
      <c r="EU22" s="544">
        <v>0.7967165924266989</v>
      </c>
      <c r="EV22" s="544">
        <v>0.72196893443585419</v>
      </c>
      <c r="EW22" s="544">
        <v>0.77210451425191473</v>
      </c>
      <c r="EX22" s="544">
        <v>0.72682622806247887</v>
      </c>
      <c r="EY22" s="544">
        <v>0.64713598304084452</v>
      </c>
      <c r="EZ22" s="544">
        <v>0.73739443182023523</v>
      </c>
      <c r="FA22" s="544">
        <v>0.81676157135885197</v>
      </c>
      <c r="FB22" s="544">
        <v>0.72948452625994364</v>
      </c>
      <c r="FC22" s="544">
        <v>0.68541116431671267</v>
      </c>
      <c r="FD22" s="544">
        <v>0.76042374760303832</v>
      </c>
      <c r="FE22" s="544">
        <v>0.84787486280295865</v>
      </c>
      <c r="FF22" s="544">
        <v>0.79768541339845833</v>
      </c>
      <c r="FG22" s="544">
        <v>0.78844245518872369</v>
      </c>
      <c r="FH22" s="544">
        <v>0.81935818342403421</v>
      </c>
      <c r="FI22" s="544">
        <v>0.80287869573810111</v>
      </c>
      <c r="FJ22" s="544">
        <v>0.76816088278567607</v>
      </c>
      <c r="FK22" s="544">
        <v>0.82089524139437919</v>
      </c>
      <c r="FL22" s="544">
        <v>0.82149771809825978</v>
      </c>
      <c r="FM22" s="544">
        <v>0.83340038494271618</v>
      </c>
      <c r="FN22" s="544">
        <v>0.82621169034936726</v>
      </c>
      <c r="FO22" s="544">
        <v>0.83722640058773001</v>
      </c>
      <c r="FP22" s="544">
        <v>0.85739838982328065</v>
      </c>
      <c r="FQ22" s="544">
        <v>0.88486729296684974</v>
      </c>
      <c r="FR22" s="544">
        <v>0.86604184043044807</v>
      </c>
      <c r="FS22" s="544">
        <v>0.79465304882745336</v>
      </c>
      <c r="FT22" s="544">
        <v>0.80806976763948046</v>
      </c>
      <c r="FU22" s="544">
        <v>0.82241414122236334</v>
      </c>
      <c r="FV22" s="544">
        <v>0.81565714145465262</v>
      </c>
      <c r="FW22" s="544">
        <v>0.85538817184521254</v>
      </c>
      <c r="FX22" s="544">
        <v>0.84992893592541774</v>
      </c>
      <c r="FY22" s="544">
        <v>0.84751784843531797</v>
      </c>
      <c r="FZ22" s="544">
        <v>0.80475853574875911</v>
      </c>
      <c r="GA22" s="544">
        <v>0.83474617143207985</v>
      </c>
      <c r="GB22" s="544">
        <v>0.81203953735675516</v>
      </c>
      <c r="GC22" s="544">
        <v>0.85699786456473814</v>
      </c>
      <c r="GD22" s="544">
        <v>0.82242024481677134</v>
      </c>
      <c r="GE22" s="544">
        <v>0.8097359980440445</v>
      </c>
      <c r="GF22" s="544">
        <v>0.77400872583139912</v>
      </c>
      <c r="GG22" s="544">
        <v>0.84312312496444297</v>
      </c>
      <c r="GH22" s="544">
        <v>0.79128198580105757</v>
      </c>
      <c r="GI22" s="544">
        <v>0.75006793517761483</v>
      </c>
      <c r="GJ22" s="544">
        <v>0.8365080520616246</v>
      </c>
      <c r="GK22" s="544">
        <v>0.90727435326902361</v>
      </c>
      <c r="GL22" s="544">
        <v>0.82786230384214665</v>
      </c>
      <c r="GM22" s="544">
        <v>0.80977431102735753</v>
      </c>
      <c r="GN22" s="544">
        <v>0.89584608352730921</v>
      </c>
      <c r="GO22" s="544">
        <v>0.94727437103289658</v>
      </c>
      <c r="GP22" s="544">
        <v>0.8747880520929453</v>
      </c>
      <c r="GQ22" s="544">
        <v>0.90977809779424001</v>
      </c>
      <c r="GR22" s="544">
        <v>0.84060701108872338</v>
      </c>
      <c r="GS22" s="564">
        <v>-6.1661342784563145E-2</v>
      </c>
    </row>
    <row r="23" spans="1:201" ht="14.25" customHeight="1">
      <c r="A23" s="543" t="s">
        <v>2144</v>
      </c>
      <c r="B23" s="544"/>
      <c r="C23" s="544"/>
      <c r="D23" s="544"/>
      <c r="E23" s="544">
        <v>0.83070224485796895</v>
      </c>
      <c r="F23" s="544">
        <v>0.83013768608883776</v>
      </c>
      <c r="G23" s="544">
        <v>0.85394439162063207</v>
      </c>
      <c r="H23" s="544">
        <v>0.87602404984973847</v>
      </c>
      <c r="I23" s="544">
        <v>0.90570826268034232</v>
      </c>
      <c r="J23" s="544">
        <v>0.90425539186182424</v>
      </c>
      <c r="K23" s="544">
        <v>0.86458674852196804</v>
      </c>
      <c r="L23" s="544">
        <v>0.84058291892066173</v>
      </c>
      <c r="M23" s="544">
        <v>0.80358101257423176</v>
      </c>
      <c r="N23" s="544">
        <v>0.77755481323740716</v>
      </c>
      <c r="O23" s="544">
        <v>0.76960765588846081</v>
      </c>
      <c r="P23" s="544">
        <v>0.748245733785876</v>
      </c>
      <c r="Q23" s="544">
        <v>0.74458114650048435</v>
      </c>
      <c r="R23" s="544">
        <v>0.74657650880489235</v>
      </c>
      <c r="S23" s="544">
        <v>0.75736053087589106</v>
      </c>
      <c r="T23" s="544">
        <v>0.76815146773130394</v>
      </c>
      <c r="U23" s="544">
        <v>0.78546044665374737</v>
      </c>
      <c r="V23" s="544">
        <v>0.80484454530504201</v>
      </c>
      <c r="W23" s="544">
        <v>0.83902780286235767</v>
      </c>
      <c r="X23" s="544">
        <v>0.86627545089502611</v>
      </c>
      <c r="Y23" s="544">
        <v>0.89165710523944719</v>
      </c>
      <c r="Z23" s="544">
        <v>0.91271933734345434</v>
      </c>
      <c r="AA23" s="544">
        <v>0.90979766076534907</v>
      </c>
      <c r="AB23" s="544">
        <v>0.91629070807314117</v>
      </c>
      <c r="AC23" s="544">
        <v>0.91431225242120684</v>
      </c>
      <c r="AD23" s="544">
        <v>0.90699677691410474</v>
      </c>
      <c r="AE23" s="544">
        <v>0.90512033575503381</v>
      </c>
      <c r="AF23" s="544">
        <v>0.90408366746059254</v>
      </c>
      <c r="AG23" s="544">
        <v>0.90378418432723528</v>
      </c>
      <c r="AH23" s="544">
        <v>0.89598007314729777</v>
      </c>
      <c r="AI23" s="544">
        <v>0.87856638493074657</v>
      </c>
      <c r="AJ23" s="544">
        <v>0.83168468628464354</v>
      </c>
      <c r="AK23" s="544">
        <v>0.80351789632348258</v>
      </c>
      <c r="AL23" s="544">
        <v>0.78765433506539884</v>
      </c>
      <c r="AM23" s="544">
        <v>0.78396855429120083</v>
      </c>
      <c r="AN23" s="544">
        <v>0.79043480719889492</v>
      </c>
      <c r="AO23" s="544">
        <v>0.81079010262616591</v>
      </c>
      <c r="AP23" s="544">
        <v>0.8227128763338204</v>
      </c>
      <c r="AQ23" s="544">
        <v>0.81820335872301952</v>
      </c>
      <c r="AR23" s="544">
        <v>0.82404321066136565</v>
      </c>
      <c r="AS23" s="544">
        <v>0.80576777511849196</v>
      </c>
      <c r="AT23" s="544">
        <v>0.79798052253945684</v>
      </c>
      <c r="AU23" s="544">
        <v>0.77559052373468274</v>
      </c>
      <c r="AV23" s="544">
        <v>0.76910874539993312</v>
      </c>
      <c r="AW23" s="544">
        <v>0.76523349806060725</v>
      </c>
      <c r="AX23" s="544">
        <v>0.7715571223493356</v>
      </c>
      <c r="AY23" s="544">
        <v>0.78949786823279267</v>
      </c>
      <c r="AZ23" s="544">
        <v>0.81293986361620196</v>
      </c>
      <c r="BA23" s="544">
        <v>0.82387325879823259</v>
      </c>
      <c r="BB23" s="544">
        <v>0.81256945885201881</v>
      </c>
      <c r="BC23" s="544">
        <v>0.82973993866718299</v>
      </c>
      <c r="BD23" s="544">
        <v>0.81678980498217291</v>
      </c>
      <c r="BE23" s="544">
        <v>0.80763683761929572</v>
      </c>
      <c r="BF23" s="544">
        <v>0.80985876547152558</v>
      </c>
      <c r="BG23" s="544">
        <v>0.77735580109974078</v>
      </c>
      <c r="BH23" s="544">
        <v>0.78467297707287598</v>
      </c>
      <c r="BI23" s="544">
        <v>0.8070079528807188</v>
      </c>
      <c r="BJ23" s="544">
        <v>0.82518211994417523</v>
      </c>
      <c r="BK23" s="544">
        <v>0.84820821596014129</v>
      </c>
      <c r="BL23" s="544">
        <v>0.83305674868222179</v>
      </c>
      <c r="BM23" s="544">
        <v>0.80334146767151693</v>
      </c>
      <c r="BN23" s="544">
        <v>0.7871497182805921</v>
      </c>
      <c r="BO23" s="544">
        <v>0.77472554172366059</v>
      </c>
      <c r="BP23" s="544">
        <v>0.79422006134047329</v>
      </c>
      <c r="BQ23" s="544">
        <v>0.81036476964813808</v>
      </c>
      <c r="BR23" s="544">
        <v>0.81286673736331827</v>
      </c>
      <c r="BS23" s="544">
        <v>0.80471112464896799</v>
      </c>
      <c r="BT23" s="544">
        <v>0.77972279858849902</v>
      </c>
      <c r="BU23" s="544">
        <v>0.78312176017025259</v>
      </c>
      <c r="BV23" s="544">
        <v>0.78013719780233637</v>
      </c>
      <c r="BW23" s="544">
        <v>0.75141442994545971</v>
      </c>
      <c r="BX23" s="544">
        <v>0.73872726047932824</v>
      </c>
      <c r="BY23" s="544">
        <v>0.73840782474385613</v>
      </c>
      <c r="BZ23" s="544">
        <v>0.74715146774148189</v>
      </c>
      <c r="CA23" s="544">
        <v>0.77680312575641686</v>
      </c>
      <c r="CB23" s="544">
        <v>0.80580545130739223</v>
      </c>
      <c r="CC23" s="544">
        <v>0.78144342506774433</v>
      </c>
      <c r="CD23" s="544">
        <v>0.78196990130873301</v>
      </c>
      <c r="CE23" s="544">
        <v>0.77954000027226267</v>
      </c>
      <c r="CF23" s="544">
        <v>0.79835737900343295</v>
      </c>
      <c r="CG23" s="544">
        <v>0.82978458765669472</v>
      </c>
      <c r="CH23" s="544">
        <v>0.82507043621173026</v>
      </c>
      <c r="CI23" s="544">
        <v>0.85754059185566023</v>
      </c>
      <c r="CJ23" s="544">
        <v>0.83923876012923926</v>
      </c>
      <c r="CK23" s="544">
        <v>0.8470369281598954</v>
      </c>
      <c r="CL23" s="544">
        <v>0.86320603861579848</v>
      </c>
      <c r="CM23" s="544">
        <v>0.84441238232268778</v>
      </c>
      <c r="CN23" s="544">
        <v>0.81801644526839434</v>
      </c>
      <c r="CO23" s="544">
        <v>0.80104489160445103</v>
      </c>
      <c r="CP23" s="544">
        <v>0.76913844577098289</v>
      </c>
      <c r="CQ23" s="544">
        <v>0.73791070721373531</v>
      </c>
      <c r="CR23" s="544">
        <v>0.73024926702005954</v>
      </c>
      <c r="CS23" s="544">
        <v>0.71429985472507529</v>
      </c>
      <c r="CT23" s="544">
        <v>0.72162734150214203</v>
      </c>
      <c r="CU23" s="544">
        <v>0.74600314922595901</v>
      </c>
      <c r="CV23" s="544">
        <v>0.76782962460564341</v>
      </c>
      <c r="CW23" s="544">
        <v>0.76851921215054597</v>
      </c>
      <c r="CX23" s="544">
        <v>0.75094154428073667</v>
      </c>
      <c r="CY23" s="544">
        <v>0.74866733071053804</v>
      </c>
      <c r="CZ23" s="544">
        <v>0.72782526350728993</v>
      </c>
      <c r="DA23" s="544">
        <v>0.70990774009819724</v>
      </c>
      <c r="DB23" s="544">
        <v>0.70813059610948303</v>
      </c>
      <c r="DC23" s="544">
        <v>0.69961851242960782</v>
      </c>
      <c r="DD23" s="544">
        <v>0.71234865880820408</v>
      </c>
      <c r="DE23" s="544">
        <v>0.72940889980062673</v>
      </c>
      <c r="DF23" s="544">
        <v>0.73220943914975645</v>
      </c>
      <c r="DG23" s="544">
        <v>0.71073999362926832</v>
      </c>
      <c r="DH23" s="544">
        <v>0.66756468685525061</v>
      </c>
      <c r="DI23" s="544">
        <v>0.65082592018427965</v>
      </c>
      <c r="DJ23" s="544">
        <v>0.65203547077327739</v>
      </c>
      <c r="DK23" s="544">
        <v>0.65114707139703099</v>
      </c>
      <c r="DL23" s="544">
        <v>0.69397230172445512</v>
      </c>
      <c r="DM23" s="544">
        <v>0.70862321547794493</v>
      </c>
      <c r="DN23" s="544">
        <v>0.69823844894295617</v>
      </c>
      <c r="DO23" s="544">
        <v>0.69825806013595582</v>
      </c>
      <c r="DP23" s="544">
        <v>0.67566527400422838</v>
      </c>
      <c r="DQ23" s="544">
        <v>0.67409495326317592</v>
      </c>
      <c r="DR23" s="544">
        <v>0.69752358861034924</v>
      </c>
      <c r="DS23" s="544">
        <v>0.71404469157475581</v>
      </c>
      <c r="DT23" s="544">
        <v>0.74390554515894824</v>
      </c>
      <c r="DU23" s="544">
        <v>0.73567423207897265</v>
      </c>
      <c r="DV23" s="544">
        <v>0.72754256322059041</v>
      </c>
      <c r="DW23" s="544">
        <v>0.7139049958077236</v>
      </c>
      <c r="DX23" s="544">
        <v>0.67526640988754705</v>
      </c>
      <c r="DY23" s="544">
        <v>0.6578939246636033</v>
      </c>
      <c r="DZ23" s="544">
        <v>0.63347323541473421</v>
      </c>
      <c r="EA23" s="544">
        <v>0.63290174497904406</v>
      </c>
      <c r="EB23" s="544">
        <v>0.64293910934673471</v>
      </c>
      <c r="EC23" s="544">
        <v>0.66142998926371954</v>
      </c>
      <c r="ED23" s="544">
        <v>0.6820106743480463</v>
      </c>
      <c r="EE23" s="544">
        <v>0.67592840245738894</v>
      </c>
      <c r="EF23" s="544">
        <v>0.67820763206284385</v>
      </c>
      <c r="EG23" s="544">
        <v>0.66886022183491134</v>
      </c>
      <c r="EH23" s="544">
        <v>0.65218816961965187</v>
      </c>
      <c r="EI23" s="544">
        <v>0.6391929100443754</v>
      </c>
      <c r="EJ23" s="544">
        <v>0.64269816551352132</v>
      </c>
      <c r="EK23" s="544">
        <v>0.65634014398663865</v>
      </c>
      <c r="EL23" s="544">
        <v>0.67460868959332076</v>
      </c>
      <c r="EM23" s="544">
        <v>0.71156986887838369</v>
      </c>
      <c r="EN23" s="544">
        <v>0.72448949690172881</v>
      </c>
      <c r="EO23" s="544">
        <v>0.7290446028563361</v>
      </c>
      <c r="EP23" s="544">
        <v>0.72959578841444106</v>
      </c>
      <c r="EQ23" s="544">
        <v>0.73742892671532712</v>
      </c>
      <c r="ER23" s="544">
        <v>0.74222635565962281</v>
      </c>
      <c r="ES23" s="544">
        <v>0.74322432423670493</v>
      </c>
      <c r="ET23" s="544">
        <v>0.75917355707713086</v>
      </c>
      <c r="EU23" s="544">
        <v>0.77511274304120881</v>
      </c>
      <c r="EV23" s="544">
        <v>0.77004199070648438</v>
      </c>
      <c r="EW23" s="544">
        <v>0.77171101993938862</v>
      </c>
      <c r="EX23" s="544">
        <v>0.75401226912988917</v>
      </c>
      <c r="EY23" s="544">
        <v>0.7162503123960724</v>
      </c>
      <c r="EZ23" s="544">
        <v>0.72031744396074093</v>
      </c>
      <c r="FA23" s="544">
        <v>0.73135782095010582</v>
      </c>
      <c r="FB23" s="544">
        <v>0.73198595192443405</v>
      </c>
      <c r="FC23" s="544">
        <v>0.74217232501099528</v>
      </c>
      <c r="FD23" s="544">
        <v>0.74827764227245575</v>
      </c>
      <c r="FE23" s="544">
        <v>0.75559401973255036</v>
      </c>
      <c r="FF23" s="544">
        <v>0.77185554015236646</v>
      </c>
      <c r="FG23" s="544">
        <v>0.79778644108510066</v>
      </c>
      <c r="FH23" s="544">
        <v>0.81348790619566302</v>
      </c>
      <c r="FI23" s="544">
        <v>0.80249111322129929</v>
      </c>
      <c r="FJ23" s="544">
        <v>0.79541480909253703</v>
      </c>
      <c r="FK23" s="544">
        <v>0.80352899171171321</v>
      </c>
      <c r="FL23" s="544">
        <v>0.80416563213014325</v>
      </c>
      <c r="FM23" s="544">
        <v>0.81167984036905305</v>
      </c>
      <c r="FN23" s="544">
        <v>0.82539275247044264</v>
      </c>
      <c r="FO23" s="544">
        <v>0.82944251159271787</v>
      </c>
      <c r="FP23" s="544">
        <v>0.83905119733261924</v>
      </c>
      <c r="FQ23" s="544">
        <v>0.85155058514029436</v>
      </c>
      <c r="FR23" s="544">
        <v>0.86109877846253247</v>
      </c>
      <c r="FS23" s="544">
        <v>0.8502321321729096</v>
      </c>
      <c r="FT23" s="544">
        <v>0.83700077940223905</v>
      </c>
      <c r="FU23" s="544">
        <v>0.82193672378740146</v>
      </c>
      <c r="FV23" s="544">
        <v>0.80999277353311638</v>
      </c>
      <c r="FW23" s="544">
        <v>0.82550242255828077</v>
      </c>
      <c r="FX23" s="544">
        <v>0.83667149197201474</v>
      </c>
      <c r="FY23" s="544">
        <v>0.84278200964056726</v>
      </c>
      <c r="FZ23" s="544">
        <v>0.84003892042191652</v>
      </c>
      <c r="GA23" s="544">
        <v>0.83476283411031948</v>
      </c>
      <c r="GB23" s="544">
        <v>0.82457850853036796</v>
      </c>
      <c r="GC23" s="544">
        <v>0.82701119769953824</v>
      </c>
      <c r="GD23" s="544">
        <v>0.83116719232231306</v>
      </c>
      <c r="GE23" s="544">
        <v>0.82510884237682447</v>
      </c>
      <c r="GF23" s="544">
        <v>0.81485715917739954</v>
      </c>
      <c r="GG23" s="544">
        <v>0.81137117195744979</v>
      </c>
      <c r="GH23" s="544">
        <v>0.80390970569900855</v>
      </c>
      <c r="GI23" s="544">
        <v>0.78896128045784297</v>
      </c>
      <c r="GJ23" s="544">
        <v>0.80568900984193137</v>
      </c>
      <c r="GK23" s="544">
        <v>0.82115483466409367</v>
      </c>
      <c r="GL23" s="544">
        <v>0.82978640263436609</v>
      </c>
      <c r="GM23" s="544">
        <v>0.84498668284396927</v>
      </c>
      <c r="GN23" s="544">
        <v>0.86108930230400271</v>
      </c>
      <c r="GO23" s="544">
        <v>0.87094847931068209</v>
      </c>
      <c r="GP23" s="544">
        <v>0.88203421495528611</v>
      </c>
      <c r="GQ23" s="544">
        <v>0.90699575726491033</v>
      </c>
      <c r="GR23" s="544">
        <v>0.89201941566236698</v>
      </c>
      <c r="GS23" s="564">
        <v>3.5919751035816017E-2</v>
      </c>
    </row>
    <row r="24" spans="1:201" ht="14.25" customHeight="1">
      <c r="A24" s="531"/>
      <c r="B24" s="532"/>
      <c r="C24" s="532"/>
      <c r="D24" s="532"/>
      <c r="E24" s="532"/>
      <c r="F24" s="532"/>
      <c r="G24" s="532"/>
      <c r="H24" s="532"/>
      <c r="I24" s="532"/>
      <c r="J24" s="532"/>
      <c r="K24" s="532"/>
      <c r="L24" s="532"/>
      <c r="M24" s="532"/>
      <c r="N24" s="532"/>
      <c r="O24" s="532"/>
      <c r="P24" s="532"/>
      <c r="Q24" s="532"/>
      <c r="R24" s="532"/>
      <c r="S24" s="532"/>
      <c r="T24" s="532"/>
      <c r="U24" s="532"/>
      <c r="V24" s="532"/>
      <c r="W24" s="532"/>
      <c r="X24" s="532"/>
      <c r="Y24" s="532"/>
      <c r="Z24" s="532"/>
      <c r="AA24" s="532"/>
      <c r="AB24" s="532"/>
      <c r="AC24" s="532"/>
      <c r="AD24" s="532"/>
      <c r="AE24" s="532"/>
      <c r="AF24" s="532"/>
      <c r="AG24" s="532"/>
      <c r="AH24" s="532"/>
      <c r="AI24" s="532"/>
      <c r="AJ24" s="532"/>
      <c r="AK24" s="532"/>
      <c r="AL24" s="532"/>
      <c r="AM24" s="532"/>
      <c r="AN24" s="532"/>
      <c r="AO24" s="532"/>
      <c r="AP24" s="532"/>
      <c r="AQ24" s="532"/>
      <c r="AR24" s="532"/>
      <c r="AS24" s="532"/>
      <c r="AT24" s="532"/>
      <c r="AU24" s="532"/>
      <c r="AV24" s="532"/>
      <c r="AW24" s="532"/>
      <c r="AX24" s="532"/>
      <c r="AY24" s="532"/>
      <c r="AZ24" s="532"/>
      <c r="BA24" s="532"/>
      <c r="BB24" s="532"/>
      <c r="BC24" s="532"/>
      <c r="BD24" s="532"/>
      <c r="BE24" s="532"/>
      <c r="BF24" s="532"/>
      <c r="BG24" s="532"/>
      <c r="BH24" s="532"/>
      <c r="BI24" s="532"/>
      <c r="BJ24" s="532"/>
      <c r="BK24" s="532"/>
      <c r="BL24" s="532"/>
      <c r="BM24" s="532"/>
      <c r="BN24" s="546"/>
      <c r="BO24" s="546"/>
      <c r="BP24" s="546"/>
      <c r="BQ24" s="546"/>
      <c r="BR24" s="546"/>
      <c r="BS24" s="546"/>
      <c r="BT24" s="546"/>
      <c r="BU24" s="546"/>
      <c r="BV24" s="546"/>
      <c r="BW24" s="546"/>
      <c r="BX24" s="546"/>
      <c r="BY24" s="546"/>
      <c r="BZ24" s="546"/>
      <c r="CA24" s="546"/>
      <c r="CB24" s="546"/>
      <c r="CC24" s="546"/>
      <c r="CD24" s="546"/>
      <c r="CE24" s="546"/>
      <c r="CF24" s="546"/>
      <c r="CG24" s="546"/>
      <c r="CH24" s="546"/>
      <c r="CI24" s="546"/>
      <c r="CJ24" s="546"/>
      <c r="CK24" s="546"/>
      <c r="CL24" s="546"/>
      <c r="CM24" s="546"/>
      <c r="CN24" s="546"/>
      <c r="CO24" s="546"/>
      <c r="CP24" s="546"/>
      <c r="CQ24" s="546"/>
      <c r="CR24" s="546"/>
      <c r="CS24" s="546"/>
      <c r="CT24" s="546"/>
      <c r="CU24" s="546"/>
      <c r="CV24" s="546"/>
      <c r="CW24" s="546"/>
      <c r="CX24" s="546"/>
      <c r="CY24" s="546"/>
      <c r="CZ24" s="546"/>
      <c r="DA24" s="546"/>
      <c r="DB24" s="546"/>
      <c r="DC24" s="546"/>
      <c r="DD24" s="546"/>
      <c r="DE24" s="546"/>
      <c r="DF24" s="546"/>
      <c r="DG24" s="546"/>
      <c r="DH24" s="546"/>
      <c r="DI24" s="546"/>
      <c r="DJ24" s="546"/>
      <c r="DK24" s="546"/>
      <c r="DL24" s="546"/>
      <c r="DM24" s="546"/>
      <c r="DN24" s="546"/>
      <c r="DO24" s="546"/>
      <c r="DP24" s="546"/>
      <c r="DQ24" s="546"/>
      <c r="DR24" s="546"/>
      <c r="DS24" s="546"/>
      <c r="DT24" s="546"/>
      <c r="DU24" s="546"/>
      <c r="DV24" s="546"/>
      <c r="DW24" s="546"/>
      <c r="DX24" s="546"/>
      <c r="DY24" s="546"/>
      <c r="DZ24" s="546"/>
      <c r="EA24" s="546"/>
      <c r="EB24" s="546"/>
      <c r="EC24" s="546"/>
      <c r="ED24" s="546"/>
      <c r="EE24" s="546"/>
      <c r="EF24" s="546"/>
      <c r="EG24" s="546"/>
      <c r="EH24" s="546"/>
      <c r="EI24" s="546"/>
      <c r="EJ24" s="546"/>
      <c r="EK24" s="546"/>
      <c r="EL24" s="546"/>
      <c r="EM24" s="546"/>
      <c r="EN24" s="546"/>
      <c r="EO24" s="546"/>
      <c r="EP24" s="546"/>
      <c r="EQ24" s="546"/>
      <c r="ER24" s="546"/>
      <c r="ES24" s="546"/>
      <c r="ET24" s="546"/>
      <c r="EU24" s="546"/>
      <c r="EV24" s="546"/>
      <c r="EW24" s="546"/>
      <c r="EX24" s="546"/>
      <c r="EY24" s="546"/>
      <c r="EZ24" s="546"/>
      <c r="FA24" s="546"/>
      <c r="FB24" s="546"/>
      <c r="FC24" s="546"/>
      <c r="FD24" s="546"/>
      <c r="FE24" s="546"/>
      <c r="FF24" s="546"/>
      <c r="FG24" s="546"/>
      <c r="FH24" s="546"/>
      <c r="FI24" s="546"/>
      <c r="FJ24" s="546"/>
      <c r="FK24" s="546"/>
      <c r="FL24" s="546"/>
      <c r="FM24" s="546"/>
      <c r="FN24" s="546"/>
      <c r="FO24" s="546"/>
      <c r="FP24" s="546"/>
      <c r="FQ24" s="546"/>
      <c r="FR24" s="546"/>
      <c r="FS24" s="546"/>
      <c r="FT24" s="546"/>
      <c r="FU24" s="546"/>
      <c r="FV24" s="546"/>
      <c r="FW24" s="546"/>
      <c r="FX24" s="546"/>
      <c r="FY24" s="546"/>
      <c r="FZ24" s="546"/>
      <c r="GA24" s="546"/>
      <c r="GB24" s="546"/>
      <c r="GC24" s="546"/>
      <c r="GD24" s="546"/>
      <c r="GE24" s="546"/>
      <c r="GF24" s="546"/>
      <c r="GG24" s="546"/>
      <c r="GH24" s="546"/>
      <c r="GI24" s="546"/>
      <c r="GJ24" s="546"/>
      <c r="GK24" s="546"/>
      <c r="GL24" s="546"/>
      <c r="GM24" s="546"/>
      <c r="GN24" s="546"/>
      <c r="GO24" s="546"/>
      <c r="GP24" s="546"/>
      <c r="GQ24" s="546"/>
      <c r="GR24" s="546"/>
      <c r="GS24" s="529"/>
    </row>
    <row r="25" spans="1:201" ht="14.25" customHeight="1">
      <c r="A25" s="547" t="s">
        <v>2145</v>
      </c>
      <c r="B25" s="542"/>
      <c r="C25" s="542"/>
      <c r="D25" s="542"/>
      <c r="E25" s="542"/>
      <c r="F25" s="542"/>
      <c r="G25" s="542"/>
      <c r="H25" s="542"/>
      <c r="I25" s="542"/>
      <c r="J25" s="542"/>
      <c r="K25" s="542"/>
      <c r="L25" s="542"/>
      <c r="M25" s="542"/>
      <c r="N25" s="542"/>
      <c r="O25" s="542"/>
      <c r="P25" s="542"/>
      <c r="Q25" s="542"/>
      <c r="R25" s="542"/>
      <c r="S25" s="542"/>
      <c r="T25" s="542"/>
      <c r="U25" s="542"/>
      <c r="V25" s="542"/>
      <c r="W25" s="542"/>
      <c r="X25" s="542"/>
      <c r="Y25" s="542"/>
      <c r="Z25" s="542"/>
      <c r="AA25" s="542"/>
      <c r="AB25" s="542"/>
      <c r="AC25" s="542"/>
      <c r="AD25" s="542"/>
      <c r="AE25" s="542"/>
      <c r="AF25" s="542"/>
      <c r="AG25" s="542"/>
      <c r="AH25" s="542"/>
      <c r="AI25" s="542"/>
      <c r="AJ25" s="542"/>
      <c r="AK25" s="542"/>
      <c r="AL25" s="542"/>
      <c r="AM25" s="542"/>
      <c r="AN25" s="542"/>
      <c r="AO25" s="542"/>
      <c r="AP25" s="542"/>
      <c r="AQ25" s="542"/>
      <c r="AR25" s="542"/>
      <c r="AS25" s="542"/>
      <c r="AT25" s="542"/>
      <c r="AU25" s="542"/>
      <c r="AV25" s="542"/>
      <c r="AW25" s="542"/>
      <c r="AX25" s="542"/>
      <c r="AY25" s="542"/>
      <c r="AZ25" s="542"/>
      <c r="BA25" s="542"/>
      <c r="BB25" s="542"/>
      <c r="BC25" s="542"/>
      <c r="BD25" s="542"/>
      <c r="BE25" s="542"/>
      <c r="BF25" s="542"/>
      <c r="BG25" s="542"/>
      <c r="BH25" s="542"/>
      <c r="BI25" s="542"/>
      <c r="BJ25" s="548"/>
      <c r="BK25" s="575">
        <v>0</v>
      </c>
      <c r="BL25" s="575">
        <v>0</v>
      </c>
      <c r="BM25" s="575">
        <v>0</v>
      </c>
      <c r="BN25" s="575">
        <v>0</v>
      </c>
      <c r="BO25" s="575">
        <v>0</v>
      </c>
      <c r="BP25" s="575">
        <v>0</v>
      </c>
      <c r="BQ25" s="575">
        <v>0</v>
      </c>
      <c r="BR25" s="575">
        <v>0</v>
      </c>
      <c r="BS25" s="575">
        <v>0</v>
      </c>
      <c r="BT25" s="575">
        <v>0</v>
      </c>
      <c r="BU25" s="575">
        <v>0</v>
      </c>
      <c r="BV25" s="575">
        <v>0</v>
      </c>
      <c r="BW25" s="575">
        <v>0</v>
      </c>
      <c r="BX25" s="575">
        <v>0</v>
      </c>
      <c r="BY25" s="575">
        <v>0</v>
      </c>
      <c r="BZ25" s="575">
        <v>0</v>
      </c>
      <c r="CA25" s="575">
        <v>0</v>
      </c>
      <c r="CB25" s="575">
        <v>0</v>
      </c>
      <c r="CC25" s="575">
        <v>0</v>
      </c>
      <c r="CD25" s="575">
        <v>0</v>
      </c>
      <c r="CE25" s="575">
        <v>0</v>
      </c>
      <c r="CF25" s="575">
        <v>0</v>
      </c>
      <c r="CG25" s="575">
        <v>0</v>
      </c>
      <c r="CH25" s="575">
        <v>0</v>
      </c>
      <c r="CI25" s="575">
        <v>0</v>
      </c>
      <c r="CJ25" s="575">
        <v>0</v>
      </c>
      <c r="CK25" s="575">
        <v>0</v>
      </c>
      <c r="CL25" s="575">
        <v>0</v>
      </c>
      <c r="CM25" s="575">
        <v>0</v>
      </c>
      <c r="CN25" s="575">
        <v>0</v>
      </c>
      <c r="CO25" s="575">
        <v>0</v>
      </c>
      <c r="CP25" s="575">
        <v>0</v>
      </c>
      <c r="CQ25" s="575">
        <v>0</v>
      </c>
      <c r="CR25" s="575">
        <v>0</v>
      </c>
      <c r="CS25" s="575">
        <v>0</v>
      </c>
      <c r="CT25" s="575">
        <v>0</v>
      </c>
      <c r="CU25" s="575">
        <v>0</v>
      </c>
      <c r="CV25" s="575">
        <v>0</v>
      </c>
      <c r="CW25" s="575">
        <v>0</v>
      </c>
      <c r="CX25" s="575">
        <v>0</v>
      </c>
      <c r="CY25" s="575">
        <v>0</v>
      </c>
      <c r="CZ25" s="575">
        <v>0</v>
      </c>
      <c r="DA25" s="575">
        <v>0</v>
      </c>
      <c r="DB25" s="575">
        <v>0</v>
      </c>
      <c r="DC25" s="575">
        <v>0</v>
      </c>
      <c r="DD25" s="575">
        <v>0</v>
      </c>
      <c r="DE25" s="575">
        <v>0</v>
      </c>
      <c r="DF25" s="575">
        <v>0</v>
      </c>
      <c r="DG25" s="575">
        <v>0</v>
      </c>
      <c r="DH25" s="575">
        <v>0</v>
      </c>
      <c r="DI25" s="575">
        <v>0</v>
      </c>
      <c r="DJ25" s="575">
        <v>0</v>
      </c>
      <c r="DK25" s="575">
        <v>0</v>
      </c>
      <c r="DL25" s="575">
        <v>0</v>
      </c>
      <c r="DM25" s="575">
        <v>0</v>
      </c>
      <c r="DN25" s="575">
        <v>0</v>
      </c>
      <c r="DO25" s="575">
        <v>0</v>
      </c>
      <c r="DP25" s="575">
        <v>0</v>
      </c>
      <c r="DQ25" s="575">
        <v>0</v>
      </c>
      <c r="DR25" s="575">
        <v>0</v>
      </c>
      <c r="DS25" s="575">
        <v>0</v>
      </c>
      <c r="DT25" s="575">
        <v>0</v>
      </c>
      <c r="DU25" s="575">
        <v>0</v>
      </c>
      <c r="DV25" s="575">
        <v>0</v>
      </c>
      <c r="DW25" s="575">
        <v>0</v>
      </c>
      <c r="DX25" s="575">
        <v>0</v>
      </c>
      <c r="DY25" s="575">
        <v>0</v>
      </c>
      <c r="DZ25" s="575">
        <v>0</v>
      </c>
      <c r="EA25" s="575">
        <v>0</v>
      </c>
      <c r="EB25" s="575">
        <v>0</v>
      </c>
      <c r="EC25" s="575">
        <v>0</v>
      </c>
      <c r="ED25" s="575">
        <v>0</v>
      </c>
      <c r="EE25" s="575">
        <v>0</v>
      </c>
      <c r="EF25" s="575">
        <v>0</v>
      </c>
      <c r="EG25" s="575">
        <v>0</v>
      </c>
      <c r="EH25" s="575">
        <v>0</v>
      </c>
      <c r="EI25" s="575">
        <v>0</v>
      </c>
      <c r="EJ25" s="575">
        <v>0</v>
      </c>
      <c r="EK25" s="575">
        <v>0</v>
      </c>
      <c r="EL25" s="575">
        <v>0</v>
      </c>
      <c r="EM25" s="575">
        <v>0</v>
      </c>
      <c r="EN25" s="575">
        <v>0</v>
      </c>
      <c r="EO25" s="575">
        <v>0</v>
      </c>
      <c r="EP25" s="575">
        <v>0</v>
      </c>
      <c r="EQ25" s="575">
        <v>0</v>
      </c>
      <c r="ER25" s="575">
        <v>0</v>
      </c>
      <c r="ES25" s="575">
        <v>0</v>
      </c>
      <c r="ET25" s="575">
        <v>0</v>
      </c>
      <c r="EU25" s="575">
        <v>0</v>
      </c>
      <c r="EV25" s="575">
        <v>0</v>
      </c>
      <c r="EW25" s="575">
        <v>0</v>
      </c>
      <c r="EX25" s="575">
        <v>0</v>
      </c>
      <c r="EY25" s="575">
        <v>0</v>
      </c>
      <c r="EZ25" s="575">
        <v>0</v>
      </c>
      <c r="FA25" s="575">
        <v>0</v>
      </c>
      <c r="FB25" s="575">
        <v>0</v>
      </c>
      <c r="FC25" s="575">
        <v>35.211785733889776</v>
      </c>
      <c r="FD25" s="575">
        <v>38.511538928621341</v>
      </c>
      <c r="FE25" s="575">
        <v>34.849269108870793</v>
      </c>
      <c r="FF25" s="575">
        <v>34.281836612653578</v>
      </c>
      <c r="FG25" s="575">
        <v>35.706693278771539</v>
      </c>
      <c r="FH25" s="575">
        <v>38.803655748819153</v>
      </c>
      <c r="FI25" s="575">
        <v>36.239864845989715</v>
      </c>
      <c r="FJ25" s="575">
        <v>34.49621547208082</v>
      </c>
      <c r="FK25" s="575">
        <v>36.389718159067549</v>
      </c>
      <c r="FL25" s="575">
        <v>39.976559818470754</v>
      </c>
      <c r="FM25" s="575">
        <v>36.352068775576448</v>
      </c>
      <c r="FN25" s="575">
        <v>34.531595591517075</v>
      </c>
      <c r="FO25" s="575">
        <v>36.046522316656414</v>
      </c>
      <c r="FP25" s="575">
        <v>39.084386280396977</v>
      </c>
      <c r="FQ25" s="575">
        <v>35.148440589498193</v>
      </c>
      <c r="FR25" s="575">
        <v>33.697599557343182</v>
      </c>
      <c r="FS25" s="575">
        <v>35.997372585795091</v>
      </c>
      <c r="FT25" s="575">
        <v>38.846217813500957</v>
      </c>
      <c r="FU25" s="575">
        <v>35.264191580770756</v>
      </c>
      <c r="FV25" s="575">
        <v>33.953441155269395</v>
      </c>
      <c r="FW25" s="575">
        <v>36.291617095449134</v>
      </c>
      <c r="FX25" s="575">
        <v>39.02764850830377</v>
      </c>
      <c r="FY25" s="575">
        <v>35.856761509117128</v>
      </c>
      <c r="FZ25" s="575">
        <v>34.16929459931049</v>
      </c>
      <c r="GA25" s="575">
        <v>36.163767350234188</v>
      </c>
      <c r="GB25" s="575">
        <v>39.70116085266212</v>
      </c>
      <c r="GC25" s="575">
        <v>35.889559114899164</v>
      </c>
      <c r="GD25" s="575">
        <v>34.862288200589035</v>
      </c>
      <c r="GE25" s="575">
        <v>34.254931776151714</v>
      </c>
      <c r="GF25" s="575">
        <v>38.92620387629772</v>
      </c>
      <c r="GG25" s="575">
        <v>35.820224823411984</v>
      </c>
      <c r="GH25" s="575">
        <v>33.832168989968707</v>
      </c>
      <c r="GI25" s="575">
        <v>36.201954787597685</v>
      </c>
      <c r="GJ25" s="575">
        <v>38.996001078935848</v>
      </c>
      <c r="GK25" s="575">
        <v>34.692580608661821</v>
      </c>
      <c r="GL25" s="575">
        <v>33.483124770057771</v>
      </c>
      <c r="GM25" s="575">
        <v>35.097183802572609</v>
      </c>
      <c r="GN25" s="575">
        <v>38.391683774162409</v>
      </c>
      <c r="GO25" s="575">
        <v>34.974678704892987</v>
      </c>
      <c r="GP25" s="575">
        <v>33.226133469552373</v>
      </c>
      <c r="GQ25" s="575">
        <v>35.209754022544089</v>
      </c>
      <c r="GR25" s="575">
        <v>38.830463411011131</v>
      </c>
      <c r="GS25" s="562">
        <v>1.1429028209073211E-2</v>
      </c>
    </row>
    <row r="26" spans="1:201" ht="14.25" customHeight="1">
      <c r="A26" s="531" t="s">
        <v>2103</v>
      </c>
      <c r="B26" s="529"/>
      <c r="C26" s="529"/>
      <c r="D26" s="529"/>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c r="AH26" s="529"/>
      <c r="AI26" s="529"/>
      <c r="AJ26" s="529"/>
      <c r="AK26" s="529"/>
      <c r="AL26" s="529"/>
      <c r="AM26" s="529"/>
      <c r="AN26" s="529"/>
      <c r="AO26" s="529"/>
      <c r="AP26" s="529"/>
      <c r="AQ26" s="529"/>
      <c r="AR26" s="529"/>
      <c r="AS26" s="529"/>
      <c r="AT26" s="529"/>
      <c r="AU26" s="529"/>
      <c r="AV26" s="529"/>
      <c r="AW26" s="529"/>
      <c r="AX26" s="529"/>
      <c r="AY26" s="529"/>
      <c r="AZ26" s="529"/>
      <c r="BA26" s="529"/>
      <c r="BB26" s="529"/>
      <c r="BC26" s="529"/>
      <c r="BD26" s="529"/>
      <c r="BE26" s="529"/>
      <c r="BF26" s="529"/>
      <c r="BG26" s="529"/>
      <c r="BH26" s="529"/>
      <c r="BI26" s="529"/>
      <c r="BJ26" s="533"/>
      <c r="BK26" s="533"/>
      <c r="BL26" s="533"/>
      <c r="BM26" s="533"/>
      <c r="BN26" s="533"/>
      <c r="BO26" s="533"/>
      <c r="BP26" s="533"/>
      <c r="BQ26" s="533"/>
      <c r="BR26" s="533"/>
      <c r="BS26" s="533"/>
      <c r="BT26" s="533"/>
      <c r="BU26" s="533"/>
      <c r="BV26" s="533"/>
      <c r="BW26" s="533"/>
      <c r="BX26" s="533"/>
      <c r="BY26" s="533"/>
      <c r="BZ26" s="533"/>
      <c r="CA26" s="533"/>
      <c r="CB26" s="533"/>
      <c r="CC26" s="533"/>
      <c r="CD26" s="533"/>
      <c r="CE26" s="533"/>
      <c r="CF26" s="533"/>
      <c r="CG26" s="533"/>
      <c r="CH26" s="533"/>
      <c r="CI26" s="533"/>
      <c r="CJ26" s="533"/>
      <c r="CK26" s="533"/>
      <c r="CL26" s="533"/>
      <c r="CM26" s="533"/>
      <c r="CN26" s="533"/>
      <c r="CO26" s="533"/>
      <c r="CP26" s="533"/>
      <c r="CQ26" s="533"/>
      <c r="CR26" s="533"/>
      <c r="CS26" s="533"/>
      <c r="CT26" s="533"/>
      <c r="CU26" s="533"/>
      <c r="CV26" s="533"/>
      <c r="CW26" s="533"/>
      <c r="CX26" s="533"/>
      <c r="CY26" s="533"/>
      <c r="CZ26" s="533"/>
      <c r="DA26" s="533"/>
      <c r="DB26" s="533"/>
      <c r="DC26" s="533"/>
      <c r="DD26" s="533"/>
      <c r="DE26" s="533"/>
      <c r="DF26" s="533"/>
      <c r="DG26" s="533"/>
      <c r="DH26" s="533"/>
      <c r="DI26" s="533"/>
      <c r="DJ26" s="533"/>
      <c r="DK26" s="533"/>
      <c r="DL26" s="533"/>
      <c r="DM26" s="533"/>
      <c r="DN26" s="533"/>
      <c r="DO26" s="533"/>
      <c r="DP26" s="533"/>
      <c r="DQ26" s="533"/>
      <c r="DR26" s="533"/>
      <c r="DS26" s="533"/>
      <c r="DT26" s="533"/>
      <c r="DU26" s="533"/>
      <c r="DV26" s="533"/>
      <c r="DW26" s="533"/>
      <c r="DX26" s="533"/>
      <c r="DY26" s="533"/>
      <c r="DZ26" s="533"/>
      <c r="EA26" s="533"/>
      <c r="EB26" s="533"/>
      <c r="EC26" s="533"/>
      <c r="ED26" s="533"/>
      <c r="EE26" s="533"/>
      <c r="EF26" s="533"/>
      <c r="EG26" s="533"/>
      <c r="EH26" s="533"/>
      <c r="EI26" s="533"/>
      <c r="EJ26" s="533"/>
      <c r="EK26" s="533"/>
      <c r="EL26" s="533"/>
      <c r="EM26" s="533"/>
      <c r="EN26" s="533"/>
      <c r="EO26" s="533"/>
      <c r="EP26" s="533"/>
      <c r="EQ26" s="533"/>
      <c r="ER26" s="533"/>
      <c r="ES26" s="533"/>
      <c r="ET26" s="533"/>
      <c r="EU26" s="533"/>
      <c r="EV26" s="533"/>
      <c r="EW26" s="533"/>
      <c r="EX26" s="533"/>
      <c r="EY26" s="533"/>
      <c r="EZ26" s="533"/>
      <c r="FA26" s="533"/>
      <c r="FB26" s="533"/>
      <c r="FC26" s="550">
        <v>1.7988112182270131</v>
      </c>
      <c r="FD26" s="550">
        <v>1.4259702036308002</v>
      </c>
      <c r="FE26" s="550">
        <v>2.3656533032876506</v>
      </c>
      <c r="FF26" s="550">
        <v>2.942569940825484</v>
      </c>
      <c r="FG26" s="550">
        <v>1.7817693959172636</v>
      </c>
      <c r="FH26" s="550">
        <v>1.6769093529620231</v>
      </c>
      <c r="FI26" s="550">
        <v>2.9602470008450843</v>
      </c>
      <c r="FJ26" s="550">
        <v>3.5596748578492652</v>
      </c>
      <c r="FK26" s="550">
        <v>1.9884746570933733</v>
      </c>
      <c r="FL26" s="550">
        <v>1.6792427123679672</v>
      </c>
      <c r="FM26" s="550">
        <v>3.0115316446170945</v>
      </c>
      <c r="FN26" s="550">
        <v>3.2636090485663991</v>
      </c>
      <c r="FO26" s="550">
        <v>2.2005647693275967</v>
      </c>
      <c r="FP26" s="550">
        <v>1.5900346908858565</v>
      </c>
      <c r="FQ26" s="550">
        <v>2.2078564851371039</v>
      </c>
      <c r="FR26" s="550">
        <v>3.0226674402968867</v>
      </c>
      <c r="FS26" s="550">
        <v>1.8167871551420411</v>
      </c>
      <c r="FT26" s="550">
        <v>1.6448208767029799</v>
      </c>
      <c r="FU26" s="550">
        <v>2.6189350206292041</v>
      </c>
      <c r="FV26" s="550">
        <v>2.9151221892464019</v>
      </c>
      <c r="FW26" s="550">
        <v>1.7639218876420693</v>
      </c>
      <c r="FX26" s="550">
        <v>1.5142574341163844</v>
      </c>
      <c r="FY26" s="550">
        <v>2.2098344152331304</v>
      </c>
      <c r="FZ26" s="550">
        <v>2.9476269339529284</v>
      </c>
      <c r="GA26" s="550">
        <v>1.9411609734040247</v>
      </c>
      <c r="GB26" s="550">
        <v>1.5266876442235775</v>
      </c>
      <c r="GC26" s="550">
        <v>2.3462934828888709</v>
      </c>
      <c r="GD26" s="550">
        <v>3.5253345715526807</v>
      </c>
      <c r="GE26" s="550">
        <v>2.0177885634260506</v>
      </c>
      <c r="GF26" s="550">
        <v>1.6225439483078568</v>
      </c>
      <c r="GG26" s="550">
        <v>2.7849198380910085</v>
      </c>
      <c r="GH26" s="550">
        <v>3.1854979559924819</v>
      </c>
      <c r="GI26" s="550">
        <v>2.3180988075084108</v>
      </c>
      <c r="GJ26" s="550">
        <v>1.6541655877186379</v>
      </c>
      <c r="GK26" s="550">
        <v>2.4244534000000404</v>
      </c>
      <c r="GL26" s="550">
        <v>2.6453090036830029</v>
      </c>
      <c r="GM26" s="550">
        <v>2.030544834792678</v>
      </c>
      <c r="GN26" s="550">
        <v>1.5872527400340131</v>
      </c>
      <c r="GO26" s="550">
        <v>2.4560663626944645</v>
      </c>
      <c r="GP26" s="550">
        <v>2.8397928310363079</v>
      </c>
      <c r="GQ26" s="550">
        <v>1.87977937954248</v>
      </c>
      <c r="GR26" s="550">
        <v>1.6010297944623864</v>
      </c>
      <c r="GS26" s="561">
        <v>8.6798114004693616E-3</v>
      </c>
    </row>
    <row r="27" spans="1:201" ht="14.25" customHeight="1">
      <c r="A27" s="551" t="s">
        <v>2104</v>
      </c>
      <c r="B27" s="529"/>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c r="AF27" s="529"/>
      <c r="AG27" s="529"/>
      <c r="AH27" s="529"/>
      <c r="AI27" s="529"/>
      <c r="AJ27" s="529"/>
      <c r="AK27" s="529"/>
      <c r="AL27" s="529"/>
      <c r="AM27" s="529"/>
      <c r="AN27" s="529"/>
      <c r="AO27" s="529"/>
      <c r="AP27" s="529"/>
      <c r="AQ27" s="529"/>
      <c r="AR27" s="529"/>
      <c r="AS27" s="529"/>
      <c r="AT27" s="529"/>
      <c r="AU27" s="529"/>
      <c r="AV27" s="529"/>
      <c r="AW27" s="529"/>
      <c r="AX27" s="529"/>
      <c r="AY27" s="529"/>
      <c r="AZ27" s="529"/>
      <c r="BA27" s="529"/>
      <c r="BB27" s="529"/>
      <c r="BC27" s="529"/>
      <c r="BD27" s="529"/>
      <c r="BE27" s="529"/>
      <c r="BF27" s="529"/>
      <c r="BG27" s="529"/>
      <c r="BH27" s="529"/>
      <c r="BI27" s="529"/>
      <c r="BJ27" s="533"/>
      <c r="BK27" s="533"/>
      <c r="BL27" s="533"/>
      <c r="BM27" s="533"/>
      <c r="BN27" s="533"/>
      <c r="BO27" s="533"/>
      <c r="BP27" s="533"/>
      <c r="BQ27" s="533"/>
      <c r="BR27" s="533"/>
      <c r="BS27" s="533"/>
      <c r="BT27" s="533"/>
      <c r="BU27" s="533"/>
      <c r="BV27" s="533"/>
      <c r="BW27" s="533"/>
      <c r="BX27" s="533"/>
      <c r="BY27" s="533"/>
      <c r="BZ27" s="533"/>
      <c r="CA27" s="533"/>
      <c r="CB27" s="533"/>
      <c r="CC27" s="533"/>
      <c r="CD27" s="533"/>
      <c r="CE27" s="533"/>
      <c r="CF27" s="533"/>
      <c r="CG27" s="533"/>
      <c r="CH27" s="533"/>
      <c r="CI27" s="533"/>
      <c r="CJ27" s="533"/>
      <c r="CK27" s="533"/>
      <c r="CL27" s="533"/>
      <c r="CM27" s="533"/>
      <c r="CN27" s="533"/>
      <c r="CO27" s="533"/>
      <c r="CP27" s="533"/>
      <c r="CQ27" s="533"/>
      <c r="CR27" s="533"/>
      <c r="CS27" s="533"/>
      <c r="CT27" s="533"/>
      <c r="CU27" s="533"/>
      <c r="CV27" s="533"/>
      <c r="CW27" s="533"/>
      <c r="CX27" s="533"/>
      <c r="CY27" s="533"/>
      <c r="CZ27" s="533"/>
      <c r="DA27" s="533"/>
      <c r="DB27" s="533"/>
      <c r="DC27" s="533"/>
      <c r="DD27" s="533"/>
      <c r="DE27" s="533"/>
      <c r="DF27" s="533"/>
      <c r="DG27" s="533"/>
      <c r="DH27" s="533"/>
      <c r="DI27" s="533"/>
      <c r="DJ27" s="533"/>
      <c r="DK27" s="533"/>
      <c r="DL27" s="533"/>
      <c r="DM27" s="533"/>
      <c r="DN27" s="533"/>
      <c r="DO27" s="533"/>
      <c r="DP27" s="533"/>
      <c r="DQ27" s="533"/>
      <c r="DR27" s="533"/>
      <c r="DS27" s="533"/>
      <c r="DT27" s="533"/>
      <c r="DU27" s="533"/>
      <c r="DV27" s="533"/>
      <c r="DW27" s="533"/>
      <c r="DX27" s="533"/>
      <c r="DY27" s="533"/>
      <c r="DZ27" s="533"/>
      <c r="EA27" s="533"/>
      <c r="EB27" s="533"/>
      <c r="EC27" s="533"/>
      <c r="ED27" s="533"/>
      <c r="EE27" s="533"/>
      <c r="EF27" s="533"/>
      <c r="EG27" s="533"/>
      <c r="EH27" s="533"/>
      <c r="EI27" s="533"/>
      <c r="EJ27" s="533"/>
      <c r="EK27" s="533"/>
      <c r="EL27" s="533"/>
      <c r="EM27" s="533"/>
      <c r="EN27" s="533"/>
      <c r="EO27" s="533"/>
      <c r="EP27" s="533"/>
      <c r="EQ27" s="533"/>
      <c r="ER27" s="533"/>
      <c r="ES27" s="533"/>
      <c r="ET27" s="533"/>
      <c r="EU27" s="533"/>
      <c r="EV27" s="533"/>
      <c r="EW27" s="533"/>
      <c r="EX27" s="533"/>
      <c r="EY27" s="533"/>
      <c r="EZ27" s="533"/>
      <c r="FA27" s="533"/>
      <c r="FB27" s="533"/>
      <c r="FC27" s="550">
        <v>12.743694027465372</v>
      </c>
      <c r="FD27" s="550">
        <v>12.873929935164588</v>
      </c>
      <c r="FE27" s="550">
        <v>13.296675496997052</v>
      </c>
      <c r="FF27" s="550">
        <v>13.326445207057787</v>
      </c>
      <c r="FG27" s="550">
        <v>12.906535989953626</v>
      </c>
      <c r="FH27" s="550">
        <v>12.739997627602632</v>
      </c>
      <c r="FI27" s="550">
        <v>13.213899570321539</v>
      </c>
      <c r="FJ27" s="550">
        <v>12.987887349998088</v>
      </c>
      <c r="FK27" s="550">
        <v>13.176163012980311</v>
      </c>
      <c r="FL27" s="550">
        <v>13.002958621938923</v>
      </c>
      <c r="FM27" s="550">
        <v>13.360603704904584</v>
      </c>
      <c r="FN27" s="550">
        <v>13.370939516133431</v>
      </c>
      <c r="FO27" s="550">
        <v>13.2012909552447</v>
      </c>
      <c r="FP27" s="550">
        <v>12.719892961442483</v>
      </c>
      <c r="FQ27" s="550">
        <v>13.240189667805732</v>
      </c>
      <c r="FR27" s="550">
        <v>12.867984334991233</v>
      </c>
      <c r="FS27" s="550">
        <v>13.171677882922404</v>
      </c>
      <c r="FT27" s="550">
        <v>12.767710407012682</v>
      </c>
      <c r="FU27" s="550">
        <v>13.432513667979526</v>
      </c>
      <c r="FV27" s="550">
        <v>13.184097394585104</v>
      </c>
      <c r="FW27" s="550">
        <v>13.252426733608091</v>
      </c>
      <c r="FX27" s="550">
        <v>12.737569241085515</v>
      </c>
      <c r="FY27" s="550">
        <v>13.613857220669111</v>
      </c>
      <c r="FZ27" s="550">
        <v>13.417132600454723</v>
      </c>
      <c r="GA27" s="550">
        <v>13.515297014468736</v>
      </c>
      <c r="GB27" s="550">
        <v>12.877963528514112</v>
      </c>
      <c r="GC27" s="550">
        <v>13.509971757693936</v>
      </c>
      <c r="GD27" s="550">
        <v>13.260781231130627</v>
      </c>
      <c r="GE27" s="550">
        <v>12.08448784895508</v>
      </c>
      <c r="GF27" s="550">
        <v>12.303466399859831</v>
      </c>
      <c r="GG27" s="550">
        <v>13.100287323783744</v>
      </c>
      <c r="GH27" s="550">
        <v>12.478189750532136</v>
      </c>
      <c r="GI27" s="550">
        <v>12.626316147915251</v>
      </c>
      <c r="GJ27" s="550">
        <v>11.668281219488879</v>
      </c>
      <c r="GK27" s="550">
        <v>12.6418409140833</v>
      </c>
      <c r="GL27" s="550">
        <v>12.436688214405972</v>
      </c>
      <c r="GM27" s="550">
        <v>12.25061952623064</v>
      </c>
      <c r="GN27" s="550">
        <v>11.652660716334733</v>
      </c>
      <c r="GO27" s="550">
        <v>12.260563853153904</v>
      </c>
      <c r="GP27" s="550">
        <v>11.928488781221676</v>
      </c>
      <c r="GQ27" s="550">
        <v>11.404224153189217</v>
      </c>
      <c r="GR27" s="550">
        <v>11.28360003253578</v>
      </c>
      <c r="GS27" s="561">
        <v>-3.1671795204815556E-2</v>
      </c>
    </row>
    <row r="28" spans="1:201" ht="14.25" customHeight="1">
      <c r="A28" s="551" t="s">
        <v>2105</v>
      </c>
      <c r="B28" s="529"/>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529"/>
      <c r="AI28" s="529"/>
      <c r="AJ28" s="529"/>
      <c r="AK28" s="529"/>
      <c r="AL28" s="529"/>
      <c r="AM28" s="529"/>
      <c r="AN28" s="529"/>
      <c r="AO28" s="529"/>
      <c r="AP28" s="529"/>
      <c r="AQ28" s="529"/>
      <c r="AR28" s="529"/>
      <c r="AS28" s="529"/>
      <c r="AT28" s="529"/>
      <c r="AU28" s="529"/>
      <c r="AV28" s="529"/>
      <c r="AW28" s="529"/>
      <c r="AX28" s="529"/>
      <c r="AY28" s="529"/>
      <c r="AZ28" s="529"/>
      <c r="BA28" s="529"/>
      <c r="BB28" s="529"/>
      <c r="BC28" s="529"/>
      <c r="BD28" s="529"/>
      <c r="BE28" s="529"/>
      <c r="BF28" s="529"/>
      <c r="BG28" s="529"/>
      <c r="BH28" s="529"/>
      <c r="BI28" s="529"/>
      <c r="BJ28" s="533"/>
      <c r="BK28" s="533"/>
      <c r="BL28" s="533"/>
      <c r="BM28" s="533"/>
      <c r="BN28" s="533"/>
      <c r="BO28" s="533"/>
      <c r="BP28" s="533"/>
      <c r="BQ28" s="533"/>
      <c r="BR28" s="533"/>
      <c r="BS28" s="533"/>
      <c r="BT28" s="533"/>
      <c r="BU28" s="533"/>
      <c r="BV28" s="533"/>
      <c r="BW28" s="533"/>
      <c r="BX28" s="533"/>
      <c r="BY28" s="533"/>
      <c r="BZ28" s="533"/>
      <c r="CA28" s="533"/>
      <c r="CB28" s="533"/>
      <c r="CC28" s="533"/>
      <c r="CD28" s="533"/>
      <c r="CE28" s="533"/>
      <c r="CF28" s="533"/>
      <c r="CG28" s="533"/>
      <c r="CH28" s="533"/>
      <c r="CI28" s="533"/>
      <c r="CJ28" s="533"/>
      <c r="CK28" s="533"/>
      <c r="CL28" s="533"/>
      <c r="CM28" s="533"/>
      <c r="CN28" s="533"/>
      <c r="CO28" s="533"/>
      <c r="CP28" s="533"/>
      <c r="CQ28" s="533"/>
      <c r="CR28" s="533"/>
      <c r="CS28" s="533"/>
      <c r="CT28" s="533"/>
      <c r="CU28" s="533"/>
      <c r="CV28" s="533"/>
      <c r="CW28" s="533"/>
      <c r="CX28" s="533"/>
      <c r="CY28" s="533"/>
      <c r="CZ28" s="533"/>
      <c r="DA28" s="533"/>
      <c r="DB28" s="533"/>
      <c r="DC28" s="533"/>
      <c r="DD28" s="533"/>
      <c r="DE28" s="533"/>
      <c r="DF28" s="533"/>
      <c r="DG28" s="533"/>
      <c r="DH28" s="533"/>
      <c r="DI28" s="533"/>
      <c r="DJ28" s="533"/>
      <c r="DK28" s="533"/>
      <c r="DL28" s="533"/>
      <c r="DM28" s="533"/>
      <c r="DN28" s="533"/>
      <c r="DO28" s="533"/>
      <c r="DP28" s="533"/>
      <c r="DQ28" s="533"/>
      <c r="DR28" s="533"/>
      <c r="DS28" s="533"/>
      <c r="DT28" s="533"/>
      <c r="DU28" s="533"/>
      <c r="DV28" s="533"/>
      <c r="DW28" s="533"/>
      <c r="DX28" s="533"/>
      <c r="DY28" s="533"/>
      <c r="DZ28" s="533"/>
      <c r="EA28" s="533"/>
      <c r="EB28" s="533"/>
      <c r="EC28" s="533"/>
      <c r="ED28" s="533"/>
      <c r="EE28" s="533"/>
      <c r="EF28" s="533"/>
      <c r="EG28" s="533"/>
      <c r="EH28" s="533"/>
      <c r="EI28" s="533"/>
      <c r="EJ28" s="533"/>
      <c r="EK28" s="533"/>
      <c r="EL28" s="533"/>
      <c r="EM28" s="533"/>
      <c r="EN28" s="533"/>
      <c r="EO28" s="533"/>
      <c r="EP28" s="533"/>
      <c r="EQ28" s="533"/>
      <c r="ER28" s="533"/>
      <c r="ES28" s="533"/>
      <c r="ET28" s="533"/>
      <c r="EU28" s="533"/>
      <c r="EV28" s="533"/>
      <c r="EW28" s="533"/>
      <c r="EX28" s="533"/>
      <c r="EY28" s="533"/>
      <c r="EZ28" s="533"/>
      <c r="FA28" s="533"/>
      <c r="FB28" s="533"/>
      <c r="FC28" s="550">
        <v>8.6881199689927797</v>
      </c>
      <c r="FD28" s="550">
        <v>9.0330243223555797</v>
      </c>
      <c r="FE28" s="550">
        <v>8.056903940971452</v>
      </c>
      <c r="FF28" s="550">
        <v>7.8446236256427246</v>
      </c>
      <c r="FG28" s="550">
        <v>8.4176787714282373</v>
      </c>
      <c r="FH28" s="550">
        <v>9.0661923919167471</v>
      </c>
      <c r="FI28" s="550">
        <v>8.1942001600938479</v>
      </c>
      <c r="FJ28" s="550">
        <v>8.0402879723475955</v>
      </c>
      <c r="FK28" s="550">
        <v>8.6764739520181688</v>
      </c>
      <c r="FL28" s="550">
        <v>9.1661706327409558</v>
      </c>
      <c r="FM28" s="550">
        <v>8.2854528851633749</v>
      </c>
      <c r="FN28" s="550">
        <v>8.008658245227311</v>
      </c>
      <c r="FO28" s="550">
        <v>8.6341988366185323</v>
      </c>
      <c r="FP28" s="550">
        <v>9.2558598088551829</v>
      </c>
      <c r="FQ28" s="550">
        <v>8.2854366577586642</v>
      </c>
      <c r="FR28" s="550">
        <v>7.8990526862277477</v>
      </c>
      <c r="FS28" s="550">
        <v>8.5936364386124762</v>
      </c>
      <c r="FT28" s="550">
        <v>9.0281704084238168</v>
      </c>
      <c r="FU28" s="550">
        <v>8.205597001832869</v>
      </c>
      <c r="FV28" s="550">
        <v>8.15735385162486</v>
      </c>
      <c r="FW28" s="550">
        <v>8.5925059316405275</v>
      </c>
      <c r="FX28" s="550">
        <v>9.107955398399076</v>
      </c>
      <c r="FY28" s="550">
        <v>8.3201304904442654</v>
      </c>
      <c r="FZ28" s="550">
        <v>8.1143674794483474</v>
      </c>
      <c r="GA28" s="550">
        <v>8.5876706531235598</v>
      </c>
      <c r="GB28" s="550">
        <v>9.3116264065811993</v>
      </c>
      <c r="GC28" s="550">
        <v>8.4725132128965353</v>
      </c>
      <c r="GD28" s="550">
        <v>8.276263783371828</v>
      </c>
      <c r="GE28" s="550">
        <v>7.22700382432176</v>
      </c>
      <c r="GF28" s="550">
        <v>8.9843445356658478</v>
      </c>
      <c r="GG28" s="550">
        <v>8.3963166431327636</v>
      </c>
      <c r="GH28" s="550">
        <v>8.1239564261260444</v>
      </c>
      <c r="GI28" s="550">
        <v>8.5606295640653869</v>
      </c>
      <c r="GJ28" s="550">
        <v>8.9489982479240524</v>
      </c>
      <c r="GK28" s="550">
        <v>7.8116180813428322</v>
      </c>
      <c r="GL28" s="550">
        <v>8.0331938269687786</v>
      </c>
      <c r="GM28" s="550">
        <v>8.3702219654203205</v>
      </c>
      <c r="GN28" s="550">
        <v>8.8097103320729406</v>
      </c>
      <c r="GO28" s="550">
        <v>8.4460822799566326</v>
      </c>
      <c r="GP28" s="550">
        <v>8.0027846069928117</v>
      </c>
      <c r="GQ28" s="550">
        <v>8.8992361544905076</v>
      </c>
      <c r="GR28" s="550">
        <v>9.2766623238655193</v>
      </c>
      <c r="GS28" s="561">
        <v>5.3004238980773E-2</v>
      </c>
    </row>
    <row r="29" spans="1:201" ht="14.25" customHeight="1">
      <c r="A29" s="551" t="s">
        <v>2106</v>
      </c>
      <c r="B29" s="529"/>
      <c r="C29" s="529"/>
      <c r="D29" s="529"/>
      <c r="E29" s="529"/>
      <c r="F29" s="529"/>
      <c r="G29" s="529"/>
      <c r="H29" s="529"/>
      <c r="I29" s="529"/>
      <c r="J29" s="529"/>
      <c r="K29" s="529"/>
      <c r="L29" s="529"/>
      <c r="M29" s="529"/>
      <c r="N29" s="529"/>
      <c r="O29" s="529"/>
      <c r="P29" s="529"/>
      <c r="Q29" s="529"/>
      <c r="R29" s="529"/>
      <c r="S29" s="529"/>
      <c r="T29" s="529"/>
      <c r="U29" s="529"/>
      <c r="V29" s="529"/>
      <c r="W29" s="529"/>
      <c r="X29" s="529"/>
      <c r="Y29" s="529"/>
      <c r="Z29" s="529"/>
      <c r="AA29" s="529"/>
      <c r="AB29" s="529"/>
      <c r="AC29" s="529"/>
      <c r="AD29" s="529"/>
      <c r="AE29" s="529"/>
      <c r="AF29" s="529"/>
      <c r="AG29" s="529"/>
      <c r="AH29" s="529"/>
      <c r="AI29" s="529"/>
      <c r="AJ29" s="529"/>
      <c r="AK29" s="529"/>
      <c r="AL29" s="529"/>
      <c r="AM29" s="529"/>
      <c r="AN29" s="529"/>
      <c r="AO29" s="529"/>
      <c r="AP29" s="529"/>
      <c r="AQ29" s="529"/>
      <c r="AR29" s="529"/>
      <c r="AS29" s="529"/>
      <c r="AT29" s="529"/>
      <c r="AU29" s="529"/>
      <c r="AV29" s="529"/>
      <c r="AW29" s="529"/>
      <c r="AX29" s="529"/>
      <c r="AY29" s="529"/>
      <c r="AZ29" s="529"/>
      <c r="BA29" s="529"/>
      <c r="BB29" s="529"/>
      <c r="BC29" s="529"/>
      <c r="BD29" s="529"/>
      <c r="BE29" s="529"/>
      <c r="BF29" s="529"/>
      <c r="BG29" s="529"/>
      <c r="BH29" s="529"/>
      <c r="BI29" s="529"/>
      <c r="BJ29" s="533"/>
      <c r="BK29" s="533"/>
      <c r="BL29" s="533"/>
      <c r="BM29" s="533"/>
      <c r="BN29" s="533"/>
      <c r="BO29" s="533"/>
      <c r="BP29" s="533"/>
      <c r="BQ29" s="533"/>
      <c r="BR29" s="533"/>
      <c r="BS29" s="533"/>
      <c r="BT29" s="533"/>
      <c r="BU29" s="533"/>
      <c r="BV29" s="533"/>
      <c r="BW29" s="533"/>
      <c r="BX29" s="533"/>
      <c r="BY29" s="533"/>
      <c r="BZ29" s="533"/>
      <c r="CA29" s="533"/>
      <c r="CB29" s="533"/>
      <c r="CC29" s="533"/>
      <c r="CD29" s="533"/>
      <c r="CE29" s="533"/>
      <c r="CF29" s="533"/>
      <c r="CG29" s="533"/>
      <c r="CH29" s="533"/>
      <c r="CI29" s="533"/>
      <c r="CJ29" s="533"/>
      <c r="CK29" s="533"/>
      <c r="CL29" s="533"/>
      <c r="CM29" s="533"/>
      <c r="CN29" s="533"/>
      <c r="CO29" s="533"/>
      <c r="CP29" s="533"/>
      <c r="CQ29" s="533"/>
      <c r="CR29" s="533"/>
      <c r="CS29" s="533"/>
      <c r="CT29" s="533"/>
      <c r="CU29" s="533"/>
      <c r="CV29" s="533"/>
      <c r="CW29" s="533"/>
      <c r="CX29" s="533"/>
      <c r="CY29" s="533"/>
      <c r="CZ29" s="533"/>
      <c r="DA29" s="533"/>
      <c r="DB29" s="533"/>
      <c r="DC29" s="533"/>
      <c r="DD29" s="533"/>
      <c r="DE29" s="533"/>
      <c r="DF29" s="533"/>
      <c r="DG29" s="533"/>
      <c r="DH29" s="533"/>
      <c r="DI29" s="533"/>
      <c r="DJ29" s="533"/>
      <c r="DK29" s="533"/>
      <c r="DL29" s="533"/>
      <c r="DM29" s="533"/>
      <c r="DN29" s="533"/>
      <c r="DO29" s="533"/>
      <c r="DP29" s="533"/>
      <c r="DQ29" s="533"/>
      <c r="DR29" s="533"/>
      <c r="DS29" s="533"/>
      <c r="DT29" s="533"/>
      <c r="DU29" s="533"/>
      <c r="DV29" s="533"/>
      <c r="DW29" s="533"/>
      <c r="DX29" s="533"/>
      <c r="DY29" s="533"/>
      <c r="DZ29" s="533"/>
      <c r="EA29" s="533"/>
      <c r="EB29" s="533"/>
      <c r="EC29" s="533"/>
      <c r="ED29" s="533"/>
      <c r="EE29" s="533"/>
      <c r="EF29" s="533"/>
      <c r="EG29" s="533"/>
      <c r="EH29" s="533"/>
      <c r="EI29" s="533"/>
      <c r="EJ29" s="533"/>
      <c r="EK29" s="533"/>
      <c r="EL29" s="533"/>
      <c r="EM29" s="533"/>
      <c r="EN29" s="533"/>
      <c r="EO29" s="533"/>
      <c r="EP29" s="533"/>
      <c r="EQ29" s="533"/>
      <c r="ER29" s="533"/>
      <c r="ES29" s="533"/>
      <c r="ET29" s="533"/>
      <c r="EU29" s="533"/>
      <c r="EV29" s="533"/>
      <c r="EW29" s="533"/>
      <c r="EX29" s="533"/>
      <c r="EY29" s="533"/>
      <c r="EZ29" s="533"/>
      <c r="FA29" s="533"/>
      <c r="FB29" s="533"/>
      <c r="FC29" s="550">
        <v>11.054165375511721</v>
      </c>
      <c r="FD29" s="550">
        <v>14.196145798523521</v>
      </c>
      <c r="FE29" s="550">
        <v>10.226015242359084</v>
      </c>
      <c r="FF29" s="550">
        <v>8.9931303791578081</v>
      </c>
      <c r="FG29" s="550">
        <v>11.34146576259792</v>
      </c>
      <c r="FH29" s="550">
        <v>13.977221261153831</v>
      </c>
      <c r="FI29" s="550">
        <v>10.611816685627428</v>
      </c>
      <c r="FJ29" s="550">
        <v>8.7410897115863389</v>
      </c>
      <c r="FK29" s="550">
        <v>11.308646954270914</v>
      </c>
      <c r="FL29" s="550">
        <v>14.772029257825812</v>
      </c>
      <c r="FM29" s="550">
        <v>10.443866216042808</v>
      </c>
      <c r="FN29" s="550">
        <v>8.7398307541132922</v>
      </c>
      <c r="FO29" s="550">
        <v>10.827592940163168</v>
      </c>
      <c r="FP29" s="550">
        <v>14.239861738684164</v>
      </c>
      <c r="FQ29" s="550">
        <v>10.25757161025505</v>
      </c>
      <c r="FR29" s="550">
        <v>9.1287075637571746</v>
      </c>
      <c r="FS29" s="550">
        <v>11.587413478358123</v>
      </c>
      <c r="FT29" s="550">
        <v>14.533230145622507</v>
      </c>
      <c r="FU29" s="550">
        <v>10.202463236928311</v>
      </c>
      <c r="FV29" s="550">
        <v>8.9676314238041623</v>
      </c>
      <c r="FW29" s="550">
        <v>11.897162018603856</v>
      </c>
      <c r="FX29" s="550">
        <v>14.833847856994774</v>
      </c>
      <c r="FY29" s="550">
        <v>10.953994231632095</v>
      </c>
      <c r="FZ29" s="550">
        <v>9.033961861050372</v>
      </c>
      <c r="GA29" s="550">
        <v>11.43183354828991</v>
      </c>
      <c r="GB29" s="550">
        <v>15.248352653344512</v>
      </c>
      <c r="GC29" s="550">
        <v>10.875728865280607</v>
      </c>
      <c r="GD29" s="550">
        <v>9.1981825640308799</v>
      </c>
      <c r="GE29" s="550">
        <v>12.352628665907712</v>
      </c>
      <c r="GF29" s="550">
        <v>15.350390748881171</v>
      </c>
      <c r="GG29" s="550">
        <v>10.921151172901608</v>
      </c>
      <c r="GH29" s="550">
        <v>9.4477215586212715</v>
      </c>
      <c r="GI29" s="550">
        <v>12.063821612141268</v>
      </c>
      <c r="GJ29" s="550">
        <v>16.077996740164931</v>
      </c>
      <c r="GK29" s="550">
        <v>11.22415561588914</v>
      </c>
      <c r="GL29" s="550">
        <v>9.7287461712940324</v>
      </c>
      <c r="GM29" s="550">
        <v>11.775246353959176</v>
      </c>
      <c r="GN29" s="550">
        <v>15.631709086831174</v>
      </c>
      <c r="GO29" s="550">
        <v>11.146407028603306</v>
      </c>
      <c r="GP29" s="550">
        <v>9.8156083609955882</v>
      </c>
      <c r="GQ29" s="550">
        <v>12.347897711952097</v>
      </c>
      <c r="GR29" s="550">
        <v>15.959721776057892</v>
      </c>
      <c r="GS29" s="561">
        <v>2.0983802052908507E-2</v>
      </c>
    </row>
    <row r="30" spans="1:201" ht="14.25" customHeight="1">
      <c r="A30" s="531" t="s">
        <v>879</v>
      </c>
      <c r="B30" s="529"/>
      <c r="C30" s="529"/>
      <c r="D30" s="529"/>
      <c r="E30" s="529"/>
      <c r="F30" s="529"/>
      <c r="G30" s="529"/>
      <c r="H30" s="529"/>
      <c r="I30" s="529"/>
      <c r="J30" s="529"/>
      <c r="K30" s="529"/>
      <c r="L30" s="529"/>
      <c r="M30" s="529"/>
      <c r="N30" s="529"/>
      <c r="O30" s="529"/>
      <c r="P30" s="529"/>
      <c r="Q30" s="529"/>
      <c r="R30" s="529"/>
      <c r="S30" s="529"/>
      <c r="T30" s="529"/>
      <c r="U30" s="529"/>
      <c r="V30" s="529"/>
      <c r="W30" s="529"/>
      <c r="X30" s="529"/>
      <c r="Y30" s="529"/>
      <c r="Z30" s="529"/>
      <c r="AA30" s="529"/>
      <c r="AB30" s="529"/>
      <c r="AC30" s="529"/>
      <c r="AD30" s="529"/>
      <c r="AE30" s="529"/>
      <c r="AF30" s="529"/>
      <c r="AG30" s="529"/>
      <c r="AH30" s="529"/>
      <c r="AI30" s="529"/>
      <c r="AJ30" s="529"/>
      <c r="AK30" s="529"/>
      <c r="AL30" s="529"/>
      <c r="AM30" s="529"/>
      <c r="AN30" s="529"/>
      <c r="AO30" s="529"/>
      <c r="AP30" s="529"/>
      <c r="AQ30" s="529"/>
      <c r="AR30" s="529"/>
      <c r="AS30" s="529"/>
      <c r="AT30" s="529"/>
      <c r="AU30" s="529"/>
      <c r="AV30" s="529"/>
      <c r="AW30" s="529"/>
      <c r="AX30" s="529"/>
      <c r="AY30" s="529"/>
      <c r="AZ30" s="529"/>
      <c r="BA30" s="529"/>
      <c r="BB30" s="529"/>
      <c r="BC30" s="529"/>
      <c r="BD30" s="529"/>
      <c r="BE30" s="529"/>
      <c r="BF30" s="529"/>
      <c r="BG30" s="529"/>
      <c r="BH30" s="529"/>
      <c r="BI30" s="529"/>
      <c r="BJ30" s="533"/>
      <c r="BK30" s="533"/>
      <c r="BL30" s="533"/>
      <c r="BM30" s="533"/>
      <c r="BN30" s="533"/>
      <c r="BO30" s="533"/>
      <c r="BP30" s="533"/>
      <c r="BQ30" s="533"/>
      <c r="BR30" s="533"/>
      <c r="BS30" s="533"/>
      <c r="BT30" s="533"/>
      <c r="BU30" s="533"/>
      <c r="BV30" s="533"/>
      <c r="BW30" s="533"/>
      <c r="BX30" s="533"/>
      <c r="BY30" s="533"/>
      <c r="BZ30" s="533"/>
      <c r="CA30" s="533"/>
      <c r="CB30" s="533"/>
      <c r="CC30" s="533"/>
      <c r="CD30" s="533"/>
      <c r="CE30" s="533"/>
      <c r="CF30" s="533"/>
      <c r="CG30" s="533"/>
      <c r="CH30" s="533"/>
      <c r="CI30" s="533"/>
      <c r="CJ30" s="533"/>
      <c r="CK30" s="533"/>
      <c r="CL30" s="533"/>
      <c r="CM30" s="533"/>
      <c r="CN30" s="533"/>
      <c r="CO30" s="533"/>
      <c r="CP30" s="533"/>
      <c r="CQ30" s="533"/>
      <c r="CR30" s="533"/>
      <c r="CS30" s="533"/>
      <c r="CT30" s="533"/>
      <c r="CU30" s="533"/>
      <c r="CV30" s="533"/>
      <c r="CW30" s="533"/>
      <c r="CX30" s="533"/>
      <c r="CY30" s="533"/>
      <c r="CZ30" s="533"/>
      <c r="DA30" s="533"/>
      <c r="DB30" s="533"/>
      <c r="DC30" s="533"/>
      <c r="DD30" s="533"/>
      <c r="DE30" s="533"/>
      <c r="DF30" s="533"/>
      <c r="DG30" s="533"/>
      <c r="DH30" s="533"/>
      <c r="DI30" s="533"/>
      <c r="DJ30" s="533"/>
      <c r="DK30" s="533"/>
      <c r="DL30" s="533"/>
      <c r="DM30" s="533"/>
      <c r="DN30" s="533"/>
      <c r="DO30" s="533"/>
      <c r="DP30" s="533"/>
      <c r="DQ30" s="533"/>
      <c r="DR30" s="533"/>
      <c r="DS30" s="533"/>
      <c r="DT30" s="533"/>
      <c r="DU30" s="533"/>
      <c r="DV30" s="533"/>
      <c r="DW30" s="533"/>
      <c r="DX30" s="533"/>
      <c r="DY30" s="533"/>
      <c r="DZ30" s="533"/>
      <c r="EA30" s="533"/>
      <c r="EB30" s="533"/>
      <c r="EC30" s="533"/>
      <c r="ED30" s="533"/>
      <c r="EE30" s="533"/>
      <c r="EF30" s="533"/>
      <c r="EG30" s="533"/>
      <c r="EH30" s="533"/>
      <c r="EI30" s="533"/>
      <c r="EJ30" s="533"/>
      <c r="EK30" s="533"/>
      <c r="EL30" s="533"/>
      <c r="EM30" s="533"/>
      <c r="EN30" s="533"/>
      <c r="EO30" s="533"/>
      <c r="EP30" s="533"/>
      <c r="EQ30" s="533"/>
      <c r="ER30" s="533"/>
      <c r="ES30" s="533"/>
      <c r="ET30" s="533"/>
      <c r="EU30" s="533"/>
      <c r="EV30" s="533"/>
      <c r="EW30" s="533"/>
      <c r="EX30" s="533"/>
      <c r="EY30" s="533"/>
      <c r="EZ30" s="533"/>
      <c r="FA30" s="533"/>
      <c r="FB30" s="533"/>
      <c r="FC30" s="550">
        <v>5.8187011052893318E-2</v>
      </c>
      <c r="FD30" s="550">
        <v>5.9607311746860354E-2</v>
      </c>
      <c r="FE30" s="550">
        <v>6.069674209555799E-2</v>
      </c>
      <c r="FF30" s="550">
        <v>5.7835722489767642E-2</v>
      </c>
      <c r="FG30" s="550">
        <v>5.8739198794490161E-2</v>
      </c>
      <c r="FH30" s="550">
        <v>6.3111252983922367E-2</v>
      </c>
      <c r="FI30" s="550">
        <v>6.7885708461819849E-2</v>
      </c>
      <c r="FJ30" s="550">
        <v>6.894849869953415E-2</v>
      </c>
      <c r="FK30" s="550">
        <v>6.9393800584786683E-2</v>
      </c>
      <c r="FL30" s="550">
        <v>7.645996887709644E-2</v>
      </c>
      <c r="FM30" s="550">
        <v>8.5582676568582719E-2</v>
      </c>
      <c r="FN30" s="550">
        <v>8.3448567436641127E-2</v>
      </c>
      <c r="FO30" s="550">
        <v>8.2531703822422309E-2</v>
      </c>
      <c r="FP30" s="550">
        <v>8.1842768609290559E-2</v>
      </c>
      <c r="FQ30" s="550">
        <v>7.9783402061645997E-2</v>
      </c>
      <c r="FR30" s="550">
        <v>8.4003895910142345E-2</v>
      </c>
      <c r="FS30" s="550">
        <v>8.2271628680050071E-2</v>
      </c>
      <c r="FT30" s="550">
        <v>8.2836118898965805E-2</v>
      </c>
      <c r="FU30" s="550">
        <v>7.8340740040842113E-2</v>
      </c>
      <c r="FV30" s="550">
        <v>8.4713939928866874E-2</v>
      </c>
      <c r="FW30" s="550">
        <v>7.9863460434592914E-2</v>
      </c>
      <c r="FX30" s="550">
        <v>8.330742014802299E-2</v>
      </c>
      <c r="FY30" s="550">
        <v>9.0067956618517561E-2</v>
      </c>
      <c r="FZ30" s="550">
        <v>0.10115859164411592</v>
      </c>
      <c r="GA30" s="550">
        <v>9.5395482907950593E-2</v>
      </c>
      <c r="GB30" s="550">
        <v>9.4429720398721689E-2</v>
      </c>
      <c r="GC30" s="550">
        <v>9.9343006179211449E-2</v>
      </c>
      <c r="GD30" s="550">
        <v>0.10694003702301647</v>
      </c>
      <c r="GE30" s="550">
        <v>8.2905999581116441E-2</v>
      </c>
      <c r="GF30" s="550">
        <v>0.10123857362301444</v>
      </c>
      <c r="GG30" s="550">
        <v>0.11040527610285228</v>
      </c>
      <c r="GH30" s="550">
        <v>0.12647112077677392</v>
      </c>
      <c r="GI30" s="550">
        <v>0.12858251684736852</v>
      </c>
      <c r="GJ30" s="550">
        <v>0.11152220727935125</v>
      </c>
      <c r="GK30" s="550">
        <v>0.11072053742650632</v>
      </c>
      <c r="GL30" s="550">
        <v>0.16885537578598464</v>
      </c>
      <c r="GM30" s="550">
        <v>0.1660449830497884</v>
      </c>
      <c r="GN30" s="550">
        <v>0.17531382252954672</v>
      </c>
      <c r="GO30" s="550">
        <v>0.18576712056468062</v>
      </c>
      <c r="GP30" s="550">
        <v>0.16912671138598465</v>
      </c>
      <c r="GQ30" s="550">
        <v>0.17411048424978839</v>
      </c>
      <c r="GR30" s="550">
        <v>0.17441240772954672</v>
      </c>
      <c r="GS30" s="561">
        <v>-5.1417212116749988E-3</v>
      </c>
    </row>
    <row r="31" spans="1:201" ht="14.25" customHeight="1">
      <c r="A31" s="551" t="s">
        <v>2107</v>
      </c>
      <c r="B31" s="529"/>
      <c r="C31" s="529"/>
      <c r="D31" s="529"/>
      <c r="E31" s="529"/>
      <c r="F31" s="529"/>
      <c r="G31" s="529"/>
      <c r="H31" s="529"/>
      <c r="I31" s="529"/>
      <c r="J31" s="529"/>
      <c r="K31" s="529"/>
      <c r="L31" s="529"/>
      <c r="M31" s="529"/>
      <c r="N31" s="529"/>
      <c r="O31" s="529"/>
      <c r="P31" s="529"/>
      <c r="Q31" s="529"/>
      <c r="R31" s="529"/>
      <c r="S31" s="529"/>
      <c r="T31" s="529"/>
      <c r="U31" s="529"/>
      <c r="V31" s="529"/>
      <c r="W31" s="529"/>
      <c r="X31" s="529"/>
      <c r="Y31" s="529"/>
      <c r="Z31" s="529"/>
      <c r="AA31" s="529"/>
      <c r="AB31" s="529"/>
      <c r="AC31" s="529"/>
      <c r="AD31" s="529"/>
      <c r="AE31" s="529"/>
      <c r="AF31" s="529"/>
      <c r="AG31" s="529"/>
      <c r="AH31" s="529"/>
      <c r="AI31" s="529"/>
      <c r="AJ31" s="529"/>
      <c r="AK31" s="529"/>
      <c r="AL31" s="529"/>
      <c r="AM31" s="529"/>
      <c r="AN31" s="529"/>
      <c r="AO31" s="529"/>
      <c r="AP31" s="529"/>
      <c r="AQ31" s="529"/>
      <c r="AR31" s="529"/>
      <c r="AS31" s="529"/>
      <c r="AT31" s="529"/>
      <c r="AU31" s="529"/>
      <c r="AV31" s="529"/>
      <c r="AW31" s="529"/>
      <c r="AX31" s="529"/>
      <c r="AY31" s="529"/>
      <c r="AZ31" s="529"/>
      <c r="BA31" s="529"/>
      <c r="BB31" s="529"/>
      <c r="BC31" s="529"/>
      <c r="BD31" s="529"/>
      <c r="BE31" s="529"/>
      <c r="BF31" s="529"/>
      <c r="BG31" s="529"/>
      <c r="BH31" s="529"/>
      <c r="BI31" s="529"/>
      <c r="BJ31" s="533"/>
      <c r="BK31" s="533"/>
      <c r="BL31" s="533"/>
      <c r="BM31" s="533"/>
      <c r="BN31" s="533"/>
      <c r="BO31" s="533"/>
      <c r="BP31" s="533"/>
      <c r="BQ31" s="533"/>
      <c r="BR31" s="533"/>
      <c r="BS31" s="533"/>
      <c r="BT31" s="533"/>
      <c r="BU31" s="533"/>
      <c r="BV31" s="533"/>
      <c r="BW31" s="533"/>
      <c r="BX31" s="533"/>
      <c r="BY31" s="533"/>
      <c r="BZ31" s="533"/>
      <c r="CA31" s="533"/>
      <c r="CB31" s="533"/>
      <c r="CC31" s="533"/>
      <c r="CD31" s="533"/>
      <c r="CE31" s="533"/>
      <c r="CF31" s="533"/>
      <c r="CG31" s="533"/>
      <c r="CH31" s="533"/>
      <c r="CI31" s="533"/>
      <c r="CJ31" s="533"/>
      <c r="CK31" s="533"/>
      <c r="CL31" s="533"/>
      <c r="CM31" s="533"/>
      <c r="CN31" s="533"/>
      <c r="CO31" s="533"/>
      <c r="CP31" s="533"/>
      <c r="CQ31" s="533"/>
      <c r="CR31" s="533"/>
      <c r="CS31" s="533"/>
      <c r="CT31" s="533"/>
      <c r="CU31" s="533"/>
      <c r="CV31" s="533"/>
      <c r="CW31" s="533"/>
      <c r="CX31" s="533"/>
      <c r="CY31" s="533"/>
      <c r="CZ31" s="533"/>
      <c r="DA31" s="533"/>
      <c r="DB31" s="533"/>
      <c r="DC31" s="533"/>
      <c r="DD31" s="533"/>
      <c r="DE31" s="533"/>
      <c r="DF31" s="533"/>
      <c r="DG31" s="533"/>
      <c r="DH31" s="533"/>
      <c r="DI31" s="533"/>
      <c r="DJ31" s="533"/>
      <c r="DK31" s="533"/>
      <c r="DL31" s="533"/>
      <c r="DM31" s="533"/>
      <c r="DN31" s="533"/>
      <c r="DO31" s="533"/>
      <c r="DP31" s="533"/>
      <c r="DQ31" s="533"/>
      <c r="DR31" s="533"/>
      <c r="DS31" s="533"/>
      <c r="DT31" s="533"/>
      <c r="DU31" s="533"/>
      <c r="DV31" s="533"/>
      <c r="DW31" s="533"/>
      <c r="DX31" s="533"/>
      <c r="DY31" s="533"/>
      <c r="DZ31" s="533"/>
      <c r="EA31" s="533"/>
      <c r="EB31" s="533"/>
      <c r="EC31" s="533"/>
      <c r="ED31" s="533"/>
      <c r="EE31" s="533"/>
      <c r="EF31" s="533"/>
      <c r="EG31" s="533"/>
      <c r="EH31" s="533"/>
      <c r="EI31" s="533"/>
      <c r="EJ31" s="533"/>
      <c r="EK31" s="533"/>
      <c r="EL31" s="533"/>
      <c r="EM31" s="533"/>
      <c r="EN31" s="533"/>
      <c r="EO31" s="533"/>
      <c r="EP31" s="533"/>
      <c r="EQ31" s="533"/>
      <c r="ER31" s="533"/>
      <c r="ES31" s="533"/>
      <c r="ET31" s="533"/>
      <c r="EU31" s="533"/>
      <c r="EV31" s="533"/>
      <c r="EW31" s="533"/>
      <c r="EX31" s="533"/>
      <c r="EY31" s="533"/>
      <c r="EZ31" s="533"/>
      <c r="FA31" s="533"/>
      <c r="FB31" s="533"/>
      <c r="FC31" s="550">
        <v>0.86880813264000001</v>
      </c>
      <c r="FD31" s="550">
        <v>0.92286135719999995</v>
      </c>
      <c r="FE31" s="550">
        <v>0.84332438316000002</v>
      </c>
      <c r="FF31" s="550">
        <v>1.11723173748</v>
      </c>
      <c r="FG31" s="550">
        <v>1.2005041600799999</v>
      </c>
      <c r="FH31" s="550">
        <v>1.2802238622000002</v>
      </c>
      <c r="FI31" s="550">
        <v>1.19181572064</v>
      </c>
      <c r="FJ31" s="550">
        <v>1.0983270815999999</v>
      </c>
      <c r="FK31" s="550">
        <v>1.17056578212</v>
      </c>
      <c r="FL31" s="550">
        <v>1.27969862472</v>
      </c>
      <c r="FM31" s="550">
        <v>1.1650316482799998</v>
      </c>
      <c r="FN31" s="550">
        <v>1.06510946004</v>
      </c>
      <c r="FO31" s="550">
        <v>1.10034311148</v>
      </c>
      <c r="FP31" s="550">
        <v>1.19689431192</v>
      </c>
      <c r="FQ31" s="550">
        <v>1.0776027664799999</v>
      </c>
      <c r="FR31" s="550">
        <v>0.69518363616000001</v>
      </c>
      <c r="FS31" s="550">
        <v>0.74558600207999992</v>
      </c>
      <c r="FT31" s="550">
        <v>0.78944985684000002</v>
      </c>
      <c r="FU31" s="550">
        <v>0.72634191335999998</v>
      </c>
      <c r="FV31" s="550">
        <v>0.64452235607999997</v>
      </c>
      <c r="FW31" s="550">
        <v>0.70573706351999999</v>
      </c>
      <c r="FX31" s="550">
        <v>0.75071115755999995</v>
      </c>
      <c r="FY31" s="550">
        <v>0.66887719452000005</v>
      </c>
      <c r="FZ31" s="550">
        <v>0.55504713276000006</v>
      </c>
      <c r="GA31" s="550">
        <v>0.59240967804</v>
      </c>
      <c r="GB31" s="550">
        <v>0.64210089959999994</v>
      </c>
      <c r="GC31" s="550">
        <v>0.58570878995999998</v>
      </c>
      <c r="GD31" s="550">
        <v>0.49478601347999995</v>
      </c>
      <c r="GE31" s="550">
        <v>0.49011687395999998</v>
      </c>
      <c r="GF31" s="550">
        <v>0.56421966995999995</v>
      </c>
      <c r="GG31" s="550">
        <v>0.50714456939999997</v>
      </c>
      <c r="GH31" s="550">
        <v>0.47033217791999998</v>
      </c>
      <c r="GI31" s="550">
        <v>0.50450613911999997</v>
      </c>
      <c r="GJ31" s="550">
        <v>0.53503707635999997</v>
      </c>
      <c r="GK31" s="550">
        <v>0.47979205991999996</v>
      </c>
      <c r="GL31" s="550">
        <v>0.47033217791999998</v>
      </c>
      <c r="GM31" s="550">
        <v>0.50450613911999997</v>
      </c>
      <c r="GN31" s="550">
        <v>0.53503707635999997</v>
      </c>
      <c r="GO31" s="550">
        <v>0.47979205991999996</v>
      </c>
      <c r="GP31" s="550">
        <v>0.47033217791999998</v>
      </c>
      <c r="GQ31" s="550">
        <v>0.50450613911999997</v>
      </c>
      <c r="GR31" s="550">
        <v>0.53503707635999997</v>
      </c>
      <c r="GS31" s="561">
        <v>0</v>
      </c>
    </row>
    <row r="33" spans="1:1" ht="14.25" customHeight="1">
      <c r="A33" s="547" t="s">
        <v>1617</v>
      </c>
    </row>
    <row r="34" spans="1:1" ht="14.25" customHeight="1">
      <c r="A34" s="572" t="s">
        <v>2113</v>
      </c>
    </row>
    <row r="35" spans="1:1" ht="14.25" customHeight="1">
      <c r="A35" s="572" t="s">
        <v>2114</v>
      </c>
    </row>
    <row r="36" spans="1:1" ht="14.25" customHeight="1">
      <c r="A36" s="573" t="s">
        <v>2139</v>
      </c>
    </row>
    <row r="37" spans="1:1" ht="14.25" customHeight="1">
      <c r="A37" s="572" t="s">
        <v>2116</v>
      </c>
    </row>
    <row r="38" spans="1:1" ht="14.25" customHeight="1">
      <c r="A38" s="573" t="s">
        <v>2146</v>
      </c>
    </row>
  </sheetData>
  <hyperlinks>
    <hyperlink ref="A1" location="null!A1" display="Return to contents" xr:uid="{00000000-0004-0000-1700-000000000000}"/>
  </hyperlinks>
  <pageMargins left="0.7" right="0.7" top="0.75" bottom="0.75" header="0" footer="0"/>
  <pageSetup paperSize="9"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1F497D"/>
  </sheetPr>
  <dimension ref="A1:AY63"/>
  <sheetViews>
    <sheetView workbookViewId="0">
      <pane xSplit="1" ySplit="9" topLeftCell="B10" activePane="bottomRight" state="frozen"/>
      <selection pane="bottomRight" activeCell="B10" sqref="B10"/>
      <selection pane="bottomLeft" activeCell="A10" sqref="A10"/>
      <selection pane="topRight" activeCell="B1" sqref="B1"/>
    </sheetView>
  </sheetViews>
  <sheetFormatPr defaultColWidth="12.5703125" defaultRowHeight="15.75" customHeight="1" outlineLevelRow="1"/>
  <cols>
    <col min="1" max="1" width="73.28515625" customWidth="1"/>
    <col min="2" max="50" width="9.7109375" customWidth="1"/>
    <col min="51" max="51" width="14" customWidth="1"/>
  </cols>
  <sheetData>
    <row r="1" spans="1:51" ht="14.25" customHeight="1">
      <c r="A1" s="527" t="s">
        <v>1594</v>
      </c>
      <c r="B1" s="528"/>
      <c r="C1" s="528"/>
      <c r="D1" s="528"/>
      <c r="E1" s="528"/>
      <c r="F1" s="528"/>
      <c r="G1" s="528"/>
      <c r="H1" s="528"/>
      <c r="I1" s="528"/>
      <c r="J1" s="528"/>
      <c r="K1" s="528"/>
      <c r="L1" s="528"/>
      <c r="M1" s="528"/>
      <c r="N1" s="528"/>
      <c r="O1" s="528"/>
      <c r="P1" s="528"/>
      <c r="Q1" s="528"/>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row>
    <row r="2" spans="1:51" ht="14.25" customHeight="1">
      <c r="A2" s="531"/>
      <c r="B2" s="532"/>
      <c r="C2" s="532"/>
      <c r="D2" s="532"/>
      <c r="E2" s="532"/>
      <c r="F2" s="532"/>
      <c r="G2" s="532"/>
      <c r="H2" s="532"/>
      <c r="I2" s="532"/>
      <c r="J2" s="532"/>
      <c r="K2" s="532"/>
      <c r="L2" s="532"/>
      <c r="M2" s="532"/>
      <c r="N2" s="532"/>
      <c r="O2" s="532"/>
      <c r="P2" s="532"/>
      <c r="Q2" s="532"/>
      <c r="R2" s="529"/>
      <c r="S2" s="529"/>
      <c r="T2" s="529"/>
      <c r="U2" s="529"/>
      <c r="V2" s="529"/>
      <c r="W2" s="529"/>
      <c r="X2" s="529"/>
      <c r="Y2" s="529"/>
      <c r="Z2" s="529"/>
      <c r="AA2" s="529"/>
      <c r="AB2" s="529"/>
      <c r="AC2" s="529"/>
      <c r="AD2" s="529"/>
      <c r="AE2" s="529"/>
      <c r="AF2" s="529"/>
      <c r="AG2" s="529"/>
      <c r="AH2" s="529"/>
      <c r="AI2" s="529"/>
      <c r="AJ2" s="529"/>
      <c r="AK2" s="529"/>
      <c r="AL2" s="529"/>
      <c r="AM2" s="529"/>
      <c r="AN2" s="529"/>
      <c r="AO2" s="529"/>
      <c r="AP2" s="529"/>
      <c r="AQ2" s="529"/>
      <c r="AR2" s="529"/>
      <c r="AS2" s="529"/>
      <c r="AT2" s="529"/>
      <c r="AU2" s="529"/>
      <c r="AV2" s="529"/>
      <c r="AW2" s="529"/>
      <c r="AX2" s="529"/>
      <c r="AY2" s="529"/>
    </row>
    <row r="3" spans="1:51" ht="14.25" customHeight="1">
      <c r="A3" s="531"/>
      <c r="B3" s="532"/>
      <c r="C3" s="532"/>
      <c r="D3" s="532"/>
      <c r="E3" s="532"/>
      <c r="F3" s="532"/>
      <c r="G3" s="532"/>
      <c r="H3" s="532"/>
      <c r="I3" s="532"/>
      <c r="J3" s="532"/>
      <c r="K3" s="532"/>
      <c r="L3" s="532"/>
      <c r="M3" s="532"/>
      <c r="N3" s="532"/>
      <c r="O3" s="532"/>
      <c r="P3" s="532"/>
      <c r="Q3" s="532"/>
      <c r="R3" s="529"/>
      <c r="S3" s="529"/>
      <c r="T3" s="529"/>
      <c r="U3" s="529"/>
      <c r="V3" s="529"/>
      <c r="W3" s="529"/>
      <c r="X3" s="529"/>
      <c r="Y3" s="529"/>
      <c r="Z3" s="529"/>
      <c r="AA3" s="529"/>
      <c r="AB3" s="529"/>
      <c r="AC3" s="529"/>
      <c r="AD3" s="529"/>
      <c r="AE3" s="529"/>
      <c r="AF3" s="529"/>
      <c r="AG3" s="529"/>
      <c r="AH3" s="529"/>
      <c r="AI3" s="529"/>
      <c r="AJ3" s="529"/>
      <c r="AK3" s="529"/>
      <c r="AL3" s="529"/>
      <c r="AM3" s="529"/>
      <c r="AN3" s="529"/>
      <c r="AO3" s="529"/>
      <c r="AP3" s="529"/>
      <c r="AQ3" s="529"/>
      <c r="AR3" s="529"/>
      <c r="AS3" s="529"/>
      <c r="AT3" s="529"/>
      <c r="AU3" s="529"/>
      <c r="AV3" s="529"/>
      <c r="AW3" s="529"/>
      <c r="AX3" s="529"/>
      <c r="AY3" s="529"/>
    </row>
    <row r="4" spans="1:51" ht="14.25" customHeight="1">
      <c r="A4" s="531"/>
      <c r="B4" s="532"/>
      <c r="C4" s="532"/>
      <c r="D4" s="532"/>
      <c r="E4" s="532"/>
      <c r="F4" s="532"/>
      <c r="G4" s="532"/>
      <c r="H4" s="532"/>
      <c r="I4" s="532"/>
      <c r="J4" s="532"/>
      <c r="K4" s="532"/>
      <c r="L4" s="532"/>
      <c r="M4" s="532"/>
      <c r="N4" s="532"/>
      <c r="O4" s="532"/>
      <c r="P4" s="532"/>
      <c r="Q4" s="532"/>
      <c r="R4" s="529"/>
      <c r="S4" s="529"/>
      <c r="T4" s="529"/>
      <c r="U4" s="529"/>
      <c r="V4" s="529"/>
      <c r="W4" s="529"/>
      <c r="X4" s="529"/>
      <c r="Y4" s="529"/>
      <c r="Z4" s="529"/>
      <c r="AA4" s="529"/>
      <c r="AB4" s="529"/>
      <c r="AC4" s="529"/>
      <c r="AD4" s="529"/>
      <c r="AE4" s="529"/>
      <c r="AF4" s="529"/>
      <c r="AG4" s="529"/>
      <c r="AH4" s="529"/>
      <c r="AI4" s="529"/>
      <c r="AJ4" s="529"/>
      <c r="AK4" s="529"/>
      <c r="AL4" s="529"/>
      <c r="AM4" s="529"/>
      <c r="AN4" s="529"/>
      <c r="AO4" s="529"/>
      <c r="AP4" s="529"/>
      <c r="AQ4" s="529"/>
      <c r="AR4" s="529"/>
      <c r="AS4" s="529"/>
      <c r="AT4" s="529"/>
      <c r="AU4" s="529"/>
      <c r="AV4" s="529"/>
      <c r="AW4" s="529"/>
      <c r="AX4" s="529"/>
      <c r="AY4" s="529"/>
    </row>
    <row r="5" spans="1:51" ht="14.25" customHeight="1">
      <c r="A5" s="531"/>
      <c r="B5" s="532"/>
      <c r="C5" s="532"/>
      <c r="D5" s="532"/>
      <c r="E5" s="532"/>
      <c r="F5" s="532"/>
      <c r="G5" s="532"/>
      <c r="H5" s="532"/>
      <c r="I5" s="532"/>
      <c r="J5" s="532"/>
      <c r="K5" s="532"/>
      <c r="L5" s="532"/>
      <c r="M5" s="532"/>
      <c r="N5" s="532"/>
      <c r="O5" s="532"/>
      <c r="P5" s="532"/>
      <c r="Q5" s="532"/>
      <c r="R5" s="529"/>
      <c r="S5" s="529"/>
      <c r="T5" s="529"/>
      <c r="U5" s="529"/>
      <c r="V5" s="529"/>
      <c r="W5" s="529"/>
      <c r="X5" s="529"/>
      <c r="Y5" s="529"/>
      <c r="Z5" s="529"/>
      <c r="AA5" s="529"/>
      <c r="AB5" s="529"/>
      <c r="AC5" s="529"/>
      <c r="AD5" s="529"/>
      <c r="AE5" s="529"/>
      <c r="AF5" s="529"/>
      <c r="AG5" s="529"/>
      <c r="AH5" s="529"/>
      <c r="AI5" s="529"/>
      <c r="AJ5" s="529"/>
      <c r="AK5" s="529"/>
      <c r="AL5" s="529"/>
      <c r="AM5" s="529"/>
      <c r="AN5" s="529"/>
      <c r="AO5" s="530"/>
      <c r="AP5" s="529"/>
      <c r="AQ5" s="529"/>
      <c r="AR5" s="529"/>
      <c r="AS5" s="529"/>
      <c r="AT5" s="529"/>
      <c r="AU5" s="529"/>
      <c r="AV5" s="529"/>
      <c r="AW5" s="529"/>
      <c r="AX5" s="529"/>
      <c r="AY5" s="529"/>
    </row>
    <row r="6" spans="1:51" ht="14.25" customHeight="1">
      <c r="A6" s="531"/>
      <c r="B6" s="532"/>
      <c r="C6" s="532"/>
      <c r="D6" s="532"/>
      <c r="E6" s="532"/>
      <c r="F6" s="532"/>
      <c r="G6" s="532"/>
      <c r="H6" s="532"/>
      <c r="I6" s="532"/>
      <c r="J6" s="532"/>
      <c r="K6" s="532"/>
      <c r="L6" s="532"/>
      <c r="M6" s="532"/>
      <c r="N6" s="532"/>
      <c r="O6" s="532"/>
      <c r="P6" s="532"/>
      <c r="Q6" s="532"/>
      <c r="R6" s="529"/>
      <c r="S6" s="529"/>
      <c r="T6" s="529"/>
      <c r="U6" s="529"/>
      <c r="V6" s="529"/>
      <c r="W6" s="529"/>
      <c r="X6" s="529"/>
      <c r="Y6" s="529"/>
      <c r="Z6" s="529"/>
      <c r="AA6" s="529"/>
      <c r="AB6" s="529"/>
      <c r="AC6" s="529"/>
      <c r="AD6" s="529"/>
      <c r="AE6" s="529"/>
      <c r="AF6" s="529"/>
      <c r="AG6" s="529"/>
      <c r="AH6" s="529"/>
      <c r="AI6" s="529"/>
      <c r="AJ6" s="529"/>
      <c r="AK6" s="529"/>
      <c r="AL6" s="529"/>
      <c r="AM6" s="529"/>
      <c r="AN6" s="529"/>
      <c r="AO6" s="529"/>
      <c r="AP6" s="529"/>
      <c r="AQ6" s="529"/>
      <c r="AR6" s="529"/>
      <c r="AS6" s="529"/>
      <c r="AT6" s="529"/>
      <c r="AU6" s="529"/>
      <c r="AV6" s="529"/>
      <c r="AW6" s="529"/>
      <c r="AX6" s="529"/>
      <c r="AY6" s="529"/>
    </row>
    <row r="7" spans="1:51" ht="14.25" customHeight="1">
      <c r="A7" s="534" t="s">
        <v>2147</v>
      </c>
      <c r="B7" s="535"/>
      <c r="C7" s="535"/>
      <c r="D7" s="535"/>
      <c r="E7" s="535"/>
      <c r="F7" s="535"/>
      <c r="G7" s="535"/>
      <c r="H7" s="535"/>
      <c r="I7" s="535"/>
      <c r="J7" s="535"/>
      <c r="K7" s="535"/>
      <c r="L7" s="535"/>
      <c r="M7" s="535"/>
      <c r="N7" s="535"/>
      <c r="O7" s="535"/>
      <c r="P7" s="535"/>
      <c r="Q7" s="535"/>
      <c r="R7" s="529"/>
      <c r="S7" s="529"/>
      <c r="T7" s="529"/>
      <c r="U7" s="529"/>
      <c r="V7" s="529"/>
      <c r="W7" s="529"/>
      <c r="X7" s="529"/>
      <c r="Y7" s="529"/>
      <c r="Z7" s="529"/>
      <c r="AA7" s="529"/>
      <c r="AB7" s="529"/>
      <c r="AC7" s="529"/>
      <c r="AD7" s="529"/>
      <c r="AE7" s="529"/>
      <c r="AF7" s="529"/>
      <c r="AG7" s="529"/>
      <c r="AH7" s="529"/>
      <c r="AI7" s="529"/>
      <c r="AJ7" s="529"/>
      <c r="AK7" s="529"/>
      <c r="AL7" s="529"/>
      <c r="AM7" s="529"/>
      <c r="AN7" s="529"/>
      <c r="AO7" s="529"/>
      <c r="AP7" s="529"/>
      <c r="AQ7" s="529"/>
      <c r="AR7" s="529"/>
      <c r="AS7" s="529"/>
      <c r="AT7" s="529"/>
      <c r="AU7" s="529"/>
      <c r="AV7" s="529"/>
      <c r="AW7" s="529"/>
      <c r="AX7" s="529"/>
      <c r="AY7" s="529"/>
    </row>
    <row r="8" spans="1:51" ht="14.25" customHeight="1">
      <c r="A8" s="557" t="s">
        <v>2142</v>
      </c>
      <c r="B8" s="558"/>
      <c r="C8" s="558"/>
      <c r="D8" s="558"/>
      <c r="E8" s="558"/>
      <c r="F8" s="558"/>
      <c r="G8" s="558"/>
      <c r="H8" s="558"/>
      <c r="I8" s="558"/>
      <c r="J8" s="558"/>
      <c r="K8" s="558"/>
      <c r="L8" s="558"/>
      <c r="M8" s="558"/>
      <c r="N8" s="558"/>
      <c r="O8" s="558"/>
      <c r="P8" s="558"/>
      <c r="Q8" s="558"/>
      <c r="R8" s="529"/>
      <c r="S8" s="529"/>
      <c r="T8" s="529"/>
      <c r="U8" s="529"/>
      <c r="V8" s="529"/>
      <c r="W8" s="529"/>
      <c r="X8" s="529"/>
      <c r="Y8" s="529"/>
      <c r="Z8" s="529"/>
      <c r="AA8" s="529"/>
      <c r="AB8" s="529"/>
      <c r="AC8" s="529"/>
      <c r="AD8" s="529"/>
      <c r="AE8" s="529"/>
      <c r="AF8" s="529"/>
      <c r="AG8" s="529"/>
      <c r="AH8" s="529"/>
      <c r="AI8" s="529"/>
      <c r="AJ8" s="529"/>
      <c r="AK8" s="529"/>
      <c r="AL8" s="529"/>
      <c r="AM8" s="529"/>
      <c r="AN8" s="529"/>
      <c r="AO8" s="529"/>
      <c r="AP8" s="529"/>
      <c r="AQ8" s="529"/>
      <c r="AR8" s="529"/>
      <c r="AS8" s="529"/>
      <c r="AT8" s="529"/>
      <c r="AU8" s="529"/>
      <c r="AV8" s="529"/>
      <c r="AW8" s="529"/>
      <c r="AX8" s="529"/>
      <c r="AY8" s="529"/>
    </row>
    <row r="9" spans="1:51" ht="14.25" customHeight="1">
      <c r="A9" s="461" t="s">
        <v>2119</v>
      </c>
      <c r="B9" s="462">
        <v>1974</v>
      </c>
      <c r="C9" s="462">
        <v>1975</v>
      </c>
      <c r="D9" s="462">
        <v>1976</v>
      </c>
      <c r="E9" s="462">
        <v>1977</v>
      </c>
      <c r="F9" s="462">
        <v>1978</v>
      </c>
      <c r="G9" s="462">
        <v>1979</v>
      </c>
      <c r="H9" s="462">
        <v>1980</v>
      </c>
      <c r="I9" s="462">
        <v>1981</v>
      </c>
      <c r="J9" s="462">
        <v>1982</v>
      </c>
      <c r="K9" s="462">
        <v>1983</v>
      </c>
      <c r="L9" s="462">
        <v>1984</v>
      </c>
      <c r="M9" s="462">
        <v>1985</v>
      </c>
      <c r="N9" s="462">
        <v>1986</v>
      </c>
      <c r="O9" s="462">
        <v>1987</v>
      </c>
      <c r="P9" s="462">
        <v>1988</v>
      </c>
      <c r="Q9" s="462">
        <v>1989</v>
      </c>
      <c r="R9" s="462">
        <v>1990</v>
      </c>
      <c r="S9" s="462">
        <v>1991</v>
      </c>
      <c r="T9" s="462">
        <v>1992</v>
      </c>
      <c r="U9" s="462">
        <v>1993</v>
      </c>
      <c r="V9" s="462">
        <v>1994</v>
      </c>
      <c r="W9" s="462">
        <v>1995</v>
      </c>
      <c r="X9" s="462">
        <v>1996</v>
      </c>
      <c r="Y9" s="462">
        <v>1997</v>
      </c>
      <c r="Z9" s="462">
        <v>1998</v>
      </c>
      <c r="AA9" s="462">
        <v>1999</v>
      </c>
      <c r="AB9" s="462">
        <v>2000</v>
      </c>
      <c r="AC9" s="462">
        <v>2001</v>
      </c>
      <c r="AD9" s="462">
        <v>2002</v>
      </c>
      <c r="AE9" s="462">
        <v>2003</v>
      </c>
      <c r="AF9" s="462">
        <v>2004</v>
      </c>
      <c r="AG9" s="462">
        <v>2005</v>
      </c>
      <c r="AH9" s="462">
        <v>2006</v>
      </c>
      <c r="AI9" s="462">
        <v>2007</v>
      </c>
      <c r="AJ9" s="462">
        <v>2008</v>
      </c>
      <c r="AK9" s="462">
        <v>2009</v>
      </c>
      <c r="AL9" s="462">
        <v>2010</v>
      </c>
      <c r="AM9" s="462">
        <v>2011</v>
      </c>
      <c r="AN9" s="462">
        <v>2012</v>
      </c>
      <c r="AO9" s="462">
        <v>2013</v>
      </c>
      <c r="AP9" s="462">
        <v>2014</v>
      </c>
      <c r="AQ9" s="462">
        <v>2015</v>
      </c>
      <c r="AR9" s="462">
        <v>2016</v>
      </c>
      <c r="AS9" s="462">
        <v>2017</v>
      </c>
      <c r="AT9" s="462">
        <v>2018</v>
      </c>
      <c r="AU9" s="462">
        <v>2019</v>
      </c>
      <c r="AV9" s="462">
        <v>2020</v>
      </c>
      <c r="AW9" s="462">
        <v>2021</v>
      </c>
      <c r="AX9" s="462">
        <v>2022</v>
      </c>
      <c r="AY9" s="465" t="s">
        <v>2120</v>
      </c>
    </row>
    <row r="10" spans="1:51" ht="14.25" customHeight="1">
      <c r="A10" s="538"/>
      <c r="B10" s="522"/>
      <c r="C10" s="522"/>
      <c r="D10" s="522"/>
      <c r="E10" s="522"/>
      <c r="F10" s="522"/>
      <c r="G10" s="522"/>
      <c r="H10" s="522"/>
      <c r="I10" s="522"/>
      <c r="J10" s="522"/>
      <c r="K10" s="522"/>
      <c r="L10" s="522"/>
      <c r="M10" s="522"/>
      <c r="N10" s="522"/>
      <c r="O10" s="522"/>
      <c r="P10" s="522"/>
      <c r="Q10" s="522"/>
      <c r="R10" s="559"/>
      <c r="S10" s="559"/>
      <c r="T10" s="559"/>
      <c r="U10" s="559"/>
      <c r="V10" s="559"/>
      <c r="W10" s="559"/>
      <c r="X10" s="559"/>
      <c r="Y10" s="559"/>
      <c r="Z10" s="559"/>
      <c r="AA10" s="559"/>
      <c r="AB10" s="559"/>
      <c r="AC10" s="559"/>
      <c r="AD10" s="559"/>
      <c r="AE10" s="559"/>
      <c r="AF10" s="559"/>
      <c r="AG10" s="559"/>
      <c r="AH10" s="559"/>
      <c r="AI10" s="559"/>
      <c r="AJ10" s="559"/>
      <c r="AK10" s="559"/>
      <c r="AL10" s="559"/>
      <c r="AM10" s="559"/>
      <c r="AN10" s="559"/>
      <c r="AO10" s="559"/>
      <c r="AP10" s="559"/>
      <c r="AQ10" s="529"/>
      <c r="AR10" s="529"/>
      <c r="AS10" s="529"/>
      <c r="AT10" s="529"/>
      <c r="AU10" s="529"/>
      <c r="AV10" s="529"/>
      <c r="AW10" s="529"/>
      <c r="AX10" s="529"/>
      <c r="AY10" s="561"/>
    </row>
    <row r="11" spans="1:51" ht="14.25" customHeight="1">
      <c r="A11" s="539" t="s">
        <v>2143</v>
      </c>
      <c r="B11" s="574">
        <v>73.725064987003336</v>
      </c>
      <c r="C11" s="574">
        <v>73.525084987003339</v>
      </c>
      <c r="D11" s="574">
        <v>77.485624987003334</v>
      </c>
      <c r="E11" s="574">
        <v>79.544824987003338</v>
      </c>
      <c r="F11" s="574">
        <v>79.76821398700335</v>
      </c>
      <c r="G11" s="574">
        <v>80.920946587003328</v>
      </c>
      <c r="H11" s="574">
        <v>82.857969787003313</v>
      </c>
      <c r="I11" s="574">
        <v>84.941469787003356</v>
      </c>
      <c r="J11" s="574">
        <v>89.565219787003343</v>
      </c>
      <c r="K11" s="574">
        <v>95.200758787003323</v>
      </c>
      <c r="L11" s="574">
        <v>99.205053187003315</v>
      </c>
      <c r="M11" s="574">
        <v>100.77151823153477</v>
      </c>
      <c r="N11" s="574">
        <v>104.23952134745291</v>
      </c>
      <c r="O11" s="574">
        <v>105.56700913238717</v>
      </c>
      <c r="P11" s="574">
        <v>110.25593630705502</v>
      </c>
      <c r="Q11" s="574">
        <v>111.05736816455057</v>
      </c>
      <c r="R11" s="574">
        <v>114.43177932977204</v>
      </c>
      <c r="S11" s="574">
        <v>117.82653786507275</v>
      </c>
      <c r="T11" s="574">
        <v>116.02507063414556</v>
      </c>
      <c r="U11" s="574">
        <v>121.23466917569706</v>
      </c>
      <c r="V11" s="574">
        <v>123.64923687473022</v>
      </c>
      <c r="W11" s="574">
        <v>128.07172981100805</v>
      </c>
      <c r="X11" s="574">
        <v>129.13083817372168</v>
      </c>
      <c r="Y11" s="574">
        <v>130.70050186516519</v>
      </c>
      <c r="Z11" s="574">
        <v>132.24105102092503</v>
      </c>
      <c r="AA11" s="574">
        <v>132.39244869739656</v>
      </c>
      <c r="AB11" s="574">
        <v>137.52026815340412</v>
      </c>
      <c r="AC11" s="574">
        <v>138.0381486305854</v>
      </c>
      <c r="AD11" s="574">
        <v>142.13018425046261</v>
      </c>
      <c r="AE11" s="574">
        <v>142.29450742145394</v>
      </c>
      <c r="AF11" s="574">
        <v>149.49834303446428</v>
      </c>
      <c r="AG11" s="574">
        <v>149.4935125004418</v>
      </c>
      <c r="AH11" s="574">
        <v>151.42533796087392</v>
      </c>
      <c r="AI11" s="574">
        <v>152.71442953239776</v>
      </c>
      <c r="AJ11" s="574">
        <v>152.61087045407893</v>
      </c>
      <c r="AK11" s="574">
        <v>151.81274168017029</v>
      </c>
      <c r="AL11" s="574">
        <v>156.8470138048952</v>
      </c>
      <c r="AM11" s="574">
        <v>155.7658733870179</v>
      </c>
      <c r="AN11" s="574">
        <v>155.33479436287007</v>
      </c>
      <c r="AO11" s="574">
        <v>152.48781924236025</v>
      </c>
      <c r="AP11" s="574">
        <v>153.5449903371902</v>
      </c>
      <c r="AQ11" s="574">
        <v>156.00087250044186</v>
      </c>
      <c r="AR11" s="574">
        <v>154.50929846997093</v>
      </c>
      <c r="AS11" s="574">
        <v>155.92071242427986</v>
      </c>
      <c r="AT11" s="574">
        <v>156.3081978468966</v>
      </c>
      <c r="AU11" s="574">
        <v>157.73311161921598</v>
      </c>
      <c r="AV11" s="574">
        <v>155.42679152153906</v>
      </c>
      <c r="AW11" s="574">
        <v>155.77433063661624</v>
      </c>
      <c r="AX11" s="574">
        <v>156.51354964770445</v>
      </c>
      <c r="AY11" s="562">
        <v>4.7454481625257561E-3</v>
      </c>
    </row>
    <row r="12" spans="1:51" ht="14.25" customHeight="1" outlineLevel="1">
      <c r="A12" s="531" t="s">
        <v>2092</v>
      </c>
      <c r="B12" s="550">
        <v>54.133199999999995</v>
      </c>
      <c r="C12" s="550">
        <v>59.389199999999995</v>
      </c>
      <c r="D12" s="550">
        <v>55.238399999999999</v>
      </c>
      <c r="E12" s="550">
        <v>52.462800000000001</v>
      </c>
      <c r="F12" s="550">
        <v>55.8108</v>
      </c>
      <c r="G12" s="550">
        <v>65.732399999999998</v>
      </c>
      <c r="H12" s="550">
        <v>69.015599999999992</v>
      </c>
      <c r="I12" s="550">
        <v>70.138800000000003</v>
      </c>
      <c r="J12" s="550">
        <v>65.235600000000005</v>
      </c>
      <c r="K12" s="550">
        <v>70.394400000000005</v>
      </c>
      <c r="L12" s="550">
        <v>72.622799999999998</v>
      </c>
      <c r="M12" s="550">
        <v>70.238832406176229</v>
      </c>
      <c r="N12" s="550">
        <v>78.75617716910665</v>
      </c>
      <c r="O12" s="550">
        <v>78.153386625605165</v>
      </c>
      <c r="P12" s="550">
        <v>81.838910065100038</v>
      </c>
      <c r="Q12" s="550">
        <v>80.39976739831404</v>
      </c>
      <c r="R12" s="550">
        <v>82.632418616236322</v>
      </c>
      <c r="S12" s="550">
        <v>81.595869326600408</v>
      </c>
      <c r="T12" s="550">
        <v>75.174276526916032</v>
      </c>
      <c r="U12" s="550">
        <v>83.728670111786514</v>
      </c>
      <c r="V12" s="550">
        <v>92.08335415910291</v>
      </c>
      <c r="W12" s="550">
        <v>98.133882101898479</v>
      </c>
      <c r="X12" s="550">
        <v>93.315959909556838</v>
      </c>
      <c r="Y12" s="550">
        <v>82.892102399999999</v>
      </c>
      <c r="Z12" s="550">
        <v>90.238078799999997</v>
      </c>
      <c r="AA12" s="550">
        <v>81.685195199999995</v>
      </c>
      <c r="AB12" s="550">
        <v>87.086257200000006</v>
      </c>
      <c r="AC12" s="550">
        <v>77.271685199999993</v>
      </c>
      <c r="AD12" s="550">
        <v>88.647463025116195</v>
      </c>
      <c r="AE12" s="550">
        <v>84.191647498919991</v>
      </c>
      <c r="AF12" s="550">
        <v>97.083669378599993</v>
      </c>
      <c r="AG12" s="550">
        <v>83.139403258800002</v>
      </c>
      <c r="AH12" s="550">
        <v>84.014952530399995</v>
      </c>
      <c r="AI12" s="550">
        <v>84.254739422399993</v>
      </c>
      <c r="AJ12" s="550">
        <v>79.645911920546396</v>
      </c>
      <c r="AK12" s="550">
        <v>86.310967479468118</v>
      </c>
      <c r="AL12" s="550">
        <v>88.125261720336724</v>
      </c>
      <c r="AM12" s="550">
        <v>89.494418907003592</v>
      </c>
      <c r="AN12" s="550">
        <v>81.603686194004524</v>
      </c>
      <c r="AO12" s="550">
        <v>82.075625124712204</v>
      </c>
      <c r="AP12" s="550">
        <v>86.669570045950195</v>
      </c>
      <c r="AQ12" s="550">
        <v>87.424723435591801</v>
      </c>
      <c r="AR12" s="550">
        <v>92.432515600732316</v>
      </c>
      <c r="AS12" s="550">
        <v>89.726744857780801</v>
      </c>
      <c r="AT12" s="550">
        <v>93.571320821928111</v>
      </c>
      <c r="AU12" s="550">
        <v>91.233596682185407</v>
      </c>
      <c r="AV12" s="550">
        <v>86.48613170261423</v>
      </c>
      <c r="AW12" s="550">
        <v>86.372588610302401</v>
      </c>
      <c r="AX12" s="550">
        <v>93.648398468860435</v>
      </c>
      <c r="AY12" s="561">
        <v>8.4237487559683855E-2</v>
      </c>
    </row>
    <row r="13" spans="1:51" ht="14.25" customHeight="1" outlineLevel="1">
      <c r="A13" s="531" t="s">
        <v>2093</v>
      </c>
      <c r="B13" s="550">
        <v>4.8887999999999998</v>
      </c>
      <c r="C13" s="550">
        <v>4.8599999999999994</v>
      </c>
      <c r="D13" s="550">
        <v>4.6440000000000001</v>
      </c>
      <c r="E13" s="550">
        <v>4.3811999999999998</v>
      </c>
      <c r="F13" s="550">
        <v>4.4603999999999999</v>
      </c>
      <c r="G13" s="550">
        <v>4.0247999999999999</v>
      </c>
      <c r="H13" s="550">
        <v>4.3415999999999997</v>
      </c>
      <c r="I13" s="550">
        <v>4.1075999999999997</v>
      </c>
      <c r="J13" s="550">
        <v>4.1688000000000001</v>
      </c>
      <c r="K13" s="550">
        <v>4.2227999999999994</v>
      </c>
      <c r="L13" s="550">
        <v>4.6583999999999994</v>
      </c>
      <c r="M13" s="550">
        <v>4.1926040080160396</v>
      </c>
      <c r="N13" s="550">
        <v>4.4416719919839593</v>
      </c>
      <c r="O13" s="550">
        <v>4.4223480000000004</v>
      </c>
      <c r="P13" s="550">
        <v>4.4538479999999998</v>
      </c>
      <c r="Q13" s="550">
        <v>6.1398000000000001</v>
      </c>
      <c r="R13" s="550">
        <v>7.2392400000000006</v>
      </c>
      <c r="S13" s="550">
        <v>7.7687999999999997</v>
      </c>
      <c r="T13" s="550">
        <v>7.6715999999999998</v>
      </c>
      <c r="U13" s="550">
        <v>8.0891999999999999</v>
      </c>
      <c r="V13" s="550">
        <v>7.5636000000000001</v>
      </c>
      <c r="W13" s="550">
        <v>7.3400126002319519</v>
      </c>
      <c r="X13" s="550">
        <v>7.3383393997680484</v>
      </c>
      <c r="Y13" s="550">
        <v>7.6692816000000006</v>
      </c>
      <c r="Z13" s="550">
        <v>8.5878036000000009</v>
      </c>
      <c r="AA13" s="550">
        <v>9.4887432</v>
      </c>
      <c r="AB13" s="550">
        <v>9.9217331999999985</v>
      </c>
      <c r="AC13" s="550">
        <v>9.6399971999999998</v>
      </c>
      <c r="AD13" s="550">
        <v>9.5568882011999996</v>
      </c>
      <c r="AE13" s="550">
        <v>9.3406752656307717</v>
      </c>
      <c r="AF13" s="550">
        <v>9.4721270366769108</v>
      </c>
      <c r="AG13" s="550">
        <v>10.7303403276</v>
      </c>
      <c r="AH13" s="550">
        <v>11.438202517199999</v>
      </c>
      <c r="AI13" s="550">
        <v>12.0733675884</v>
      </c>
      <c r="AJ13" s="550">
        <v>14.277988234439999</v>
      </c>
      <c r="AK13" s="550">
        <v>16.521319945691999</v>
      </c>
      <c r="AL13" s="550">
        <v>20.010806513711998</v>
      </c>
      <c r="AM13" s="550">
        <v>21.182793230969999</v>
      </c>
      <c r="AN13" s="550">
        <v>21.90081438612</v>
      </c>
      <c r="AO13" s="550">
        <v>23.215429051650002</v>
      </c>
      <c r="AP13" s="550">
        <v>25.90251178482</v>
      </c>
      <c r="AQ13" s="550">
        <v>27.895070746440002</v>
      </c>
      <c r="AR13" s="550">
        <v>27.856584866519999</v>
      </c>
      <c r="AS13" s="550">
        <v>28.004901753527999</v>
      </c>
      <c r="AT13" s="550">
        <v>27.825426356544</v>
      </c>
      <c r="AU13" s="550">
        <v>28.05611363031359</v>
      </c>
      <c r="AV13" s="550">
        <v>28.200853553747184</v>
      </c>
      <c r="AW13" s="550">
        <v>28.685855346375924</v>
      </c>
      <c r="AX13" s="550">
        <v>28.917783427037545</v>
      </c>
      <c r="AY13" s="561">
        <v>8.0851024960257867E-3</v>
      </c>
    </row>
    <row r="14" spans="1:51" ht="14.25" customHeight="1" outlineLevel="1">
      <c r="A14" s="531" t="s">
        <v>2094</v>
      </c>
      <c r="B14" s="550">
        <v>2.7345600000000001E-2</v>
      </c>
      <c r="C14" s="550">
        <v>0.14884559999999999</v>
      </c>
      <c r="D14" s="550">
        <v>0.18934559999999998</v>
      </c>
      <c r="E14" s="550">
        <v>0.18934559999999998</v>
      </c>
      <c r="F14" s="550">
        <v>0.18934559999999998</v>
      </c>
      <c r="G14" s="550">
        <v>0.20230559999999997</v>
      </c>
      <c r="H14" s="550">
        <v>0.20662559999999999</v>
      </c>
      <c r="I14" s="550">
        <v>0.32812560000000002</v>
      </c>
      <c r="J14" s="550">
        <v>0.3686256</v>
      </c>
      <c r="K14" s="550">
        <v>0.3764016</v>
      </c>
      <c r="L14" s="550">
        <v>0.37899359999999999</v>
      </c>
      <c r="M14" s="550">
        <v>0.37899359999999999</v>
      </c>
      <c r="N14" s="550">
        <v>0.37899359999999999</v>
      </c>
      <c r="O14" s="550">
        <v>0.38075939999999997</v>
      </c>
      <c r="P14" s="550">
        <v>0.38134800000000002</v>
      </c>
      <c r="Q14" s="550">
        <v>0.38134800000000002</v>
      </c>
      <c r="R14" s="550">
        <v>0.47077200000000002</v>
      </c>
      <c r="S14" s="550">
        <v>0.545292</v>
      </c>
      <c r="T14" s="550">
        <v>0.56019600000000003</v>
      </c>
      <c r="U14" s="550">
        <v>0.56019600000000003</v>
      </c>
      <c r="V14" s="550">
        <v>0.58449600000000002</v>
      </c>
      <c r="W14" s="550">
        <v>0.61997939999999996</v>
      </c>
      <c r="X14" s="550">
        <v>0.52498897236208442</v>
      </c>
      <c r="Y14" s="550">
        <v>0.50180040000000004</v>
      </c>
      <c r="Z14" s="550">
        <v>0.49212467999999998</v>
      </c>
      <c r="AA14" s="550">
        <v>0.4178268</v>
      </c>
      <c r="AB14" s="550">
        <v>0.37002599999999997</v>
      </c>
      <c r="AC14" s="550">
        <v>0.36316799999999999</v>
      </c>
      <c r="AD14" s="550">
        <v>0.47130013080000005</v>
      </c>
      <c r="AE14" s="550">
        <v>0.60240618359999998</v>
      </c>
      <c r="AF14" s="550">
        <v>0.6690997944</v>
      </c>
      <c r="AG14" s="550">
        <v>0.68451341759999995</v>
      </c>
      <c r="AH14" s="550">
        <v>0.78511085279999993</v>
      </c>
      <c r="AI14" s="550">
        <v>0.75764886120000008</v>
      </c>
      <c r="AJ14" s="550">
        <v>0.72939406230000003</v>
      </c>
      <c r="AK14" s="550">
        <v>0.7741388025</v>
      </c>
      <c r="AL14" s="550">
        <v>0.78302083869000005</v>
      </c>
      <c r="AM14" s="550">
        <v>0.78567989643000002</v>
      </c>
      <c r="AN14" s="550">
        <v>0.75956178259972085</v>
      </c>
      <c r="AO14" s="550">
        <v>0.72966848945489282</v>
      </c>
      <c r="AP14" s="550">
        <v>0.82008177974910712</v>
      </c>
      <c r="AQ14" s="550">
        <v>0.87831684645300001</v>
      </c>
      <c r="AR14" s="550">
        <v>0.95285064674372044</v>
      </c>
      <c r="AS14" s="550">
        <v>0.95158676579892476</v>
      </c>
      <c r="AT14" s="550">
        <v>0.9414391885808544</v>
      </c>
      <c r="AU14" s="550">
        <v>0.96124035573756006</v>
      </c>
      <c r="AV14" s="550">
        <v>0.97697721847371477</v>
      </c>
      <c r="AW14" s="550">
        <v>0.95555013086555274</v>
      </c>
      <c r="AX14" s="550">
        <v>0.95585184039599991</v>
      </c>
      <c r="AY14" s="561">
        <v>3.1574432434422484E-4</v>
      </c>
    </row>
    <row r="15" spans="1:51" ht="14.25" customHeight="1" outlineLevel="1">
      <c r="A15" s="531" t="s">
        <v>39</v>
      </c>
      <c r="B15" s="550">
        <v>2.1942313870033332</v>
      </c>
      <c r="C15" s="550">
        <v>2.1942313870033332</v>
      </c>
      <c r="D15" s="550">
        <v>2.1942313870033332</v>
      </c>
      <c r="E15" s="550">
        <v>2.1942313870033332</v>
      </c>
      <c r="F15" s="550">
        <v>2.1942313870033332</v>
      </c>
      <c r="G15" s="550">
        <v>2.1942313870033332</v>
      </c>
      <c r="H15" s="550">
        <v>2.1942313870033332</v>
      </c>
      <c r="I15" s="550">
        <v>2.1942313870033332</v>
      </c>
      <c r="J15" s="550">
        <v>2.1942313870033332</v>
      </c>
      <c r="K15" s="550">
        <v>2.1942313870033332</v>
      </c>
      <c r="L15" s="550">
        <v>2.2760413870033331</v>
      </c>
      <c r="M15" s="550">
        <v>2.3033113870033328</v>
      </c>
      <c r="N15" s="550">
        <v>2.3033113870033328</v>
      </c>
      <c r="O15" s="550">
        <v>2.3033113870033328</v>
      </c>
      <c r="P15" s="550">
        <v>2.3033113870033328</v>
      </c>
      <c r="Q15" s="550">
        <v>2.2960737387319967</v>
      </c>
      <c r="R15" s="550">
        <v>2.3890518807609276</v>
      </c>
      <c r="S15" s="550">
        <v>2.3625644010623246</v>
      </c>
      <c r="T15" s="550">
        <v>2.2652850957955919</v>
      </c>
      <c r="U15" s="550">
        <v>2.3564554058251117</v>
      </c>
      <c r="V15" s="550">
        <v>2.3671808750600314</v>
      </c>
      <c r="W15" s="550">
        <v>2.3840105011098625</v>
      </c>
      <c r="X15" s="550">
        <v>2.2306351859738567</v>
      </c>
      <c r="Y15" s="550">
        <v>2.2477176627819513</v>
      </c>
      <c r="Z15" s="550">
        <v>2.2331248645614479</v>
      </c>
      <c r="AA15" s="550">
        <v>2.2556880608353307</v>
      </c>
      <c r="AB15" s="550">
        <v>2.5020694940616646</v>
      </c>
      <c r="AC15" s="550">
        <v>2.0686019030350344</v>
      </c>
      <c r="AD15" s="550">
        <v>1.4869548421194421</v>
      </c>
      <c r="AE15" s="550">
        <v>1.2630084629209237</v>
      </c>
      <c r="AF15" s="550">
        <v>1.4686661630814264</v>
      </c>
      <c r="AG15" s="550">
        <v>1.6069450794630769</v>
      </c>
      <c r="AH15" s="550">
        <v>1.7014132308359375</v>
      </c>
      <c r="AI15" s="550">
        <v>1.7326196321582807</v>
      </c>
      <c r="AJ15" s="550">
        <v>1.7266862346021576</v>
      </c>
      <c r="AK15" s="550">
        <v>1.7969321833753462</v>
      </c>
      <c r="AL15" s="550">
        <v>1.8080804086058015</v>
      </c>
      <c r="AM15" s="550">
        <v>1.75737019045923</v>
      </c>
      <c r="AN15" s="550">
        <v>1.9180680649211734</v>
      </c>
      <c r="AO15" s="550">
        <v>1.9725890686793206</v>
      </c>
      <c r="AP15" s="550">
        <v>1.8795948237071856</v>
      </c>
      <c r="AQ15" s="550">
        <v>1.8677114881362469</v>
      </c>
      <c r="AR15" s="550">
        <v>1.7857823614383275</v>
      </c>
      <c r="AS15" s="550">
        <v>1.7462269183229604</v>
      </c>
      <c r="AT15" s="550">
        <v>1.6659842460168743</v>
      </c>
      <c r="AU15" s="550">
        <v>1.7005327582950396</v>
      </c>
      <c r="AV15" s="550">
        <v>1.654388982285228</v>
      </c>
      <c r="AW15" s="550">
        <v>1.7393778258935075</v>
      </c>
      <c r="AX15" s="550">
        <v>1.5797002116166343</v>
      </c>
      <c r="AY15" s="561">
        <v>-9.1801569446159803E-2</v>
      </c>
    </row>
    <row r="16" spans="1:51" ht="14.25" customHeight="1" outlineLevel="1">
      <c r="A16" s="531" t="s">
        <v>2095</v>
      </c>
      <c r="B16" s="550">
        <v>0</v>
      </c>
      <c r="C16" s="550">
        <v>0</v>
      </c>
      <c r="D16" s="550">
        <v>0</v>
      </c>
      <c r="E16" s="550">
        <v>0</v>
      </c>
      <c r="F16" s="550">
        <v>0</v>
      </c>
      <c r="G16" s="550">
        <v>0</v>
      </c>
      <c r="H16" s="550">
        <v>0</v>
      </c>
      <c r="I16" s="550">
        <v>0</v>
      </c>
      <c r="J16" s="550">
        <v>0</v>
      </c>
      <c r="K16" s="550">
        <v>0</v>
      </c>
      <c r="L16" s="550">
        <v>0</v>
      </c>
      <c r="M16" s="550">
        <v>0</v>
      </c>
      <c r="N16" s="550">
        <v>0</v>
      </c>
      <c r="O16" s="550">
        <v>0</v>
      </c>
      <c r="P16" s="550">
        <v>0</v>
      </c>
      <c r="Q16" s="550">
        <v>0</v>
      </c>
      <c r="R16" s="550">
        <v>0</v>
      </c>
      <c r="S16" s="550">
        <v>0</v>
      </c>
      <c r="T16" s="550">
        <v>2.4624E-3</v>
      </c>
      <c r="U16" s="550">
        <v>3.5136E-3</v>
      </c>
      <c r="V16" s="550">
        <v>3.5999999999999999E-3</v>
      </c>
      <c r="W16" s="550">
        <v>3.5999999999999999E-3</v>
      </c>
      <c r="X16" s="550">
        <v>2.9674800000000001E-2</v>
      </c>
      <c r="Y16" s="550">
        <v>4.8447431999999999E-2</v>
      </c>
      <c r="Z16" s="550">
        <v>7.8656400000000001E-2</v>
      </c>
      <c r="AA16" s="550">
        <v>0.13897080000000001</v>
      </c>
      <c r="AB16" s="550">
        <v>0.42842160000000001</v>
      </c>
      <c r="AC16" s="550">
        <v>0.49535280000000004</v>
      </c>
      <c r="AD16" s="550">
        <v>0.55414198079999999</v>
      </c>
      <c r="AE16" s="550">
        <v>0.52227191880000001</v>
      </c>
      <c r="AF16" s="550">
        <v>1.2885163361999998</v>
      </c>
      <c r="AG16" s="550">
        <v>2.1896715672</v>
      </c>
      <c r="AH16" s="550">
        <v>2.2175805304799998</v>
      </c>
      <c r="AI16" s="550">
        <v>3.3140931011999997</v>
      </c>
      <c r="AJ16" s="550">
        <v>3.7723444205669998</v>
      </c>
      <c r="AK16" s="550">
        <v>5.2621072854112443</v>
      </c>
      <c r="AL16" s="550">
        <v>5.8317014997206638</v>
      </c>
      <c r="AM16" s="550">
        <v>6.9712706533636437</v>
      </c>
      <c r="AN16" s="550">
        <v>7.4059973071401233</v>
      </c>
      <c r="AO16" s="550">
        <v>7.2016867896490799</v>
      </c>
      <c r="AP16" s="550">
        <v>7.8797367348220444</v>
      </c>
      <c r="AQ16" s="550">
        <v>8.4257590792165189</v>
      </c>
      <c r="AR16" s="550">
        <v>8.3424880928911325</v>
      </c>
      <c r="AS16" s="550">
        <v>7.4524987420643152</v>
      </c>
      <c r="AT16" s="550">
        <v>7.3702298749759194</v>
      </c>
      <c r="AU16" s="550">
        <v>8.039198794596949</v>
      </c>
      <c r="AV16" s="550">
        <v>8.2159667856209158</v>
      </c>
      <c r="AW16" s="550">
        <v>9.4186477290998525</v>
      </c>
      <c r="AX16" s="550">
        <v>10.21268535079518</v>
      </c>
      <c r="AY16" s="561">
        <v>8.4304843384477524E-2</v>
      </c>
    </row>
    <row r="17" spans="1:51" ht="14.25" customHeight="1" outlineLevel="1">
      <c r="A17" s="531" t="s">
        <v>2096</v>
      </c>
      <c r="B17" s="550">
        <v>0</v>
      </c>
      <c r="C17" s="550">
        <v>0</v>
      </c>
      <c r="D17" s="550">
        <v>0</v>
      </c>
      <c r="E17" s="550">
        <v>0</v>
      </c>
      <c r="F17" s="550">
        <v>0</v>
      </c>
      <c r="G17" s="550">
        <v>0</v>
      </c>
      <c r="H17" s="550">
        <v>0</v>
      </c>
      <c r="I17" s="550">
        <v>0</v>
      </c>
      <c r="J17" s="550">
        <v>0</v>
      </c>
      <c r="K17" s="550">
        <v>0</v>
      </c>
      <c r="L17" s="550">
        <v>0</v>
      </c>
      <c r="M17" s="550">
        <v>0</v>
      </c>
      <c r="N17" s="550">
        <v>0</v>
      </c>
      <c r="O17" s="550">
        <v>0</v>
      </c>
      <c r="P17" s="550">
        <v>0</v>
      </c>
      <c r="Q17" s="550">
        <v>0</v>
      </c>
      <c r="R17" s="550">
        <v>0</v>
      </c>
      <c r="S17" s="550">
        <v>0</v>
      </c>
      <c r="T17" s="550">
        <v>0</v>
      </c>
      <c r="U17" s="550">
        <v>0</v>
      </c>
      <c r="V17" s="550">
        <v>0</v>
      </c>
      <c r="W17" s="550">
        <v>0</v>
      </c>
      <c r="X17" s="550">
        <v>0</v>
      </c>
      <c r="Y17" s="550">
        <v>0</v>
      </c>
      <c r="Z17" s="550">
        <v>0</v>
      </c>
      <c r="AA17" s="550">
        <v>0</v>
      </c>
      <c r="AB17" s="550">
        <v>0</v>
      </c>
      <c r="AC17" s="550">
        <v>0</v>
      </c>
      <c r="AD17" s="550">
        <v>0</v>
      </c>
      <c r="AE17" s="550">
        <v>0</v>
      </c>
      <c r="AF17" s="550">
        <v>0</v>
      </c>
      <c r="AG17" s="550">
        <v>0</v>
      </c>
      <c r="AH17" s="550">
        <v>0</v>
      </c>
      <c r="AI17" s="550">
        <v>1.2138609599999999E-2</v>
      </c>
      <c r="AJ17" s="550">
        <v>1.2315816E-2</v>
      </c>
      <c r="AK17" s="550">
        <v>1.27942704E-2</v>
      </c>
      <c r="AL17" s="550">
        <v>1.3644864E-2</v>
      </c>
      <c r="AM17" s="550">
        <v>1.4708160000000001E-2</v>
      </c>
      <c r="AN17" s="550">
        <v>1.7188992E-2</v>
      </c>
      <c r="AO17" s="550">
        <v>2.3885781688428552E-2</v>
      </c>
      <c r="AP17" s="550">
        <v>6.6995056196936631E-2</v>
      </c>
      <c r="AQ17" s="550">
        <v>0.13118169275406216</v>
      </c>
      <c r="AR17" s="550">
        <v>0.20226195339473554</v>
      </c>
      <c r="AS17" s="550">
        <v>0.2750005031152446</v>
      </c>
      <c r="AT17" s="550">
        <v>0.35933661665714661</v>
      </c>
      <c r="AU17" s="550">
        <v>0.45636733595428197</v>
      </c>
      <c r="AV17" s="550">
        <v>0.57449974767612844</v>
      </c>
      <c r="AW17" s="550">
        <v>0.74282507628318717</v>
      </c>
      <c r="AX17" s="550">
        <v>1.0008187584793919</v>
      </c>
      <c r="AY17" s="561">
        <v>0.34731417992390168</v>
      </c>
    </row>
    <row r="18" spans="1:51" ht="14.25" customHeight="1" outlineLevel="1">
      <c r="A18" s="531" t="s">
        <v>2097</v>
      </c>
      <c r="B18" s="550">
        <v>6.9947999999999997</v>
      </c>
      <c r="C18" s="550">
        <v>2.8331999999999997</v>
      </c>
      <c r="D18" s="550">
        <v>4.6079999999999997</v>
      </c>
      <c r="E18" s="550">
        <v>2.6244000000000001</v>
      </c>
      <c r="F18" s="550">
        <v>0.71639999999999993</v>
      </c>
      <c r="G18" s="550">
        <v>0.17280000000000001</v>
      </c>
      <c r="H18" s="550">
        <v>1.0800000000000001E-2</v>
      </c>
      <c r="I18" s="550">
        <v>1.0800000000000001E-2</v>
      </c>
      <c r="J18" s="550">
        <v>5.3999999999999999E-2</v>
      </c>
      <c r="K18" s="550">
        <v>0.52559999999999996</v>
      </c>
      <c r="L18" s="550">
        <v>1.7999999999999999E-2</v>
      </c>
      <c r="M18" s="550">
        <v>0.17131898734177212</v>
      </c>
      <c r="N18" s="550">
        <v>2.2821811251168816E-2</v>
      </c>
      <c r="O18" s="550">
        <v>3.2925599527335515E-2</v>
      </c>
      <c r="P18" s="550">
        <v>2.4597504138099167E-2</v>
      </c>
      <c r="Q18" s="550">
        <v>1.8723193554768373E-3</v>
      </c>
      <c r="R18" s="550">
        <v>3.3011918211566231E-2</v>
      </c>
      <c r="S18" s="550">
        <v>8.4780237725831875E-2</v>
      </c>
      <c r="T18" s="550">
        <v>0.69152402665832402</v>
      </c>
      <c r="U18" s="550">
        <v>0.21240000000000001</v>
      </c>
      <c r="V18" s="550">
        <v>7.1999999999999995E-2</v>
      </c>
      <c r="W18" s="550">
        <v>0.17251439759999998</v>
      </c>
      <c r="X18" s="550">
        <v>5.2597198800000002E-2</v>
      </c>
      <c r="Y18" s="550">
        <v>0</v>
      </c>
      <c r="Z18" s="550">
        <v>3.5999999999999999E-3</v>
      </c>
      <c r="AA18" s="550">
        <v>1.7227439999999998E-4</v>
      </c>
      <c r="AB18" s="550">
        <v>5.4521999999999997E-5</v>
      </c>
      <c r="AC18" s="550">
        <v>0</v>
      </c>
      <c r="AD18" s="550">
        <v>1.5299999999999999E-5</v>
      </c>
      <c r="AE18" s="550">
        <v>6.8804387999999994E-2</v>
      </c>
      <c r="AF18" s="550">
        <v>8.1559439999999997E-2</v>
      </c>
      <c r="AG18" s="550">
        <v>1.2918565416441203E-2</v>
      </c>
      <c r="AH18" s="550">
        <v>8.1333865861524357E-2</v>
      </c>
      <c r="AI18" s="550">
        <v>4.479085595188728E-3</v>
      </c>
      <c r="AJ18" s="550">
        <v>0.44585318057070594</v>
      </c>
      <c r="AK18" s="550">
        <v>3.2463906736408879E-2</v>
      </c>
      <c r="AL18" s="550">
        <v>7.3518893884481039E-3</v>
      </c>
      <c r="AM18" s="550">
        <v>7.4963939942947313E-3</v>
      </c>
      <c r="AN18" s="550">
        <v>1.2345636297999313E-2</v>
      </c>
      <c r="AO18" s="550">
        <v>1.2222046214215273E-2</v>
      </c>
      <c r="AP18" s="550">
        <v>1.130569606551996E-2</v>
      </c>
      <c r="AQ18" s="550">
        <v>5.2101762265280519E-3</v>
      </c>
      <c r="AR18" s="550">
        <v>1.1205341299432837E-2</v>
      </c>
      <c r="AS18" s="550">
        <v>1.9826813932577493E-2</v>
      </c>
      <c r="AT18" s="550">
        <v>3.9250201085997839E-2</v>
      </c>
      <c r="AU18" s="550">
        <v>1.4129349534299375E-2</v>
      </c>
      <c r="AV18" s="550">
        <v>4.6936975665420357E-2</v>
      </c>
      <c r="AW18" s="550">
        <v>9.2378095656616796E-2</v>
      </c>
      <c r="AX18" s="550">
        <v>2.4474098715334885E-2</v>
      </c>
      <c r="AY18" s="561">
        <v>-0.73506599652899562</v>
      </c>
    </row>
    <row r="19" spans="1:51" ht="14.25" customHeight="1" outlineLevel="1">
      <c r="A19" s="531" t="s">
        <v>2098</v>
      </c>
      <c r="B19" s="550">
        <v>4.6692</v>
      </c>
      <c r="C19" s="550">
        <v>3.7656000000000001</v>
      </c>
      <c r="D19" s="550">
        <v>3.9491999999999998</v>
      </c>
      <c r="E19" s="550">
        <v>3.2759999999999998</v>
      </c>
      <c r="F19" s="550">
        <v>2.671389</v>
      </c>
      <c r="G19" s="550">
        <v>1.4099615999999999</v>
      </c>
      <c r="H19" s="550">
        <v>1.5318647999999999</v>
      </c>
      <c r="I19" s="550">
        <v>1.4022647999999998</v>
      </c>
      <c r="J19" s="550">
        <v>1.5174647999999999</v>
      </c>
      <c r="K19" s="550">
        <v>2.3418648000000002</v>
      </c>
      <c r="L19" s="550">
        <v>2.6226647999999999</v>
      </c>
      <c r="M19" s="550">
        <v>2.5829200000000005</v>
      </c>
      <c r="N19" s="550">
        <v>2.0002812334817976</v>
      </c>
      <c r="O19" s="550">
        <v>3.042498074605513</v>
      </c>
      <c r="P19" s="550">
        <v>2.6019887315855939</v>
      </c>
      <c r="Q19" s="550">
        <v>1.6064502822735083</v>
      </c>
      <c r="R19" s="550">
        <v>2.233698437385943</v>
      </c>
      <c r="S19" s="550">
        <v>1.6226364882843791</v>
      </c>
      <c r="T19" s="550">
        <v>4.2140648738258637</v>
      </c>
      <c r="U19" s="550">
        <v>2.5050020911277326</v>
      </c>
      <c r="V19" s="550">
        <v>2.327607562152517</v>
      </c>
      <c r="W19" s="550">
        <v>3.0299527679973624</v>
      </c>
      <c r="X19" s="550">
        <v>3.154566304801631</v>
      </c>
      <c r="Y19" s="550">
        <v>5.5250849886569275</v>
      </c>
      <c r="Z19" s="550">
        <v>4.9149446986607757</v>
      </c>
      <c r="AA19" s="550">
        <v>6.0413850755393756</v>
      </c>
      <c r="AB19" s="550">
        <v>5.2027525904330156</v>
      </c>
      <c r="AC19" s="550">
        <v>7.1265035268732957</v>
      </c>
      <c r="AD19" s="550">
        <v>6.9333310800000003</v>
      </c>
      <c r="AE19" s="550">
        <v>13.322315147447267</v>
      </c>
      <c r="AF19" s="550">
        <v>16.072012595999986</v>
      </c>
      <c r="AG19" s="550">
        <v>19.695938678051796</v>
      </c>
      <c r="AH19" s="550">
        <v>18.60043537628021</v>
      </c>
      <c r="AI19" s="550">
        <v>10.63417774569912</v>
      </c>
      <c r="AJ19" s="550">
        <v>16.255781830793808</v>
      </c>
      <c r="AK19" s="550">
        <v>11.094234116001083</v>
      </c>
      <c r="AL19" s="550">
        <v>6.9439693179688193</v>
      </c>
      <c r="AM19" s="550">
        <v>7.3004596467559919</v>
      </c>
      <c r="AN19" s="550">
        <v>11.942965677887027</v>
      </c>
      <c r="AO19" s="550">
        <v>8.0539252217422916</v>
      </c>
      <c r="AP19" s="550">
        <v>6.5926621324365122</v>
      </c>
      <c r="AQ19" s="550">
        <v>6.3108575129493714</v>
      </c>
      <c r="AR19" s="550">
        <v>3.5261162708074272</v>
      </c>
      <c r="AS19" s="550">
        <v>4.079293698227616</v>
      </c>
      <c r="AT19" s="550">
        <v>5.3259328606215952</v>
      </c>
      <c r="AU19" s="550">
        <v>7.6252017959186391</v>
      </c>
      <c r="AV19" s="550">
        <v>7.7720378170719231</v>
      </c>
      <c r="AW19" s="550">
        <v>10.87287034011732</v>
      </c>
      <c r="AX19" s="550">
        <v>4.514116488016608</v>
      </c>
      <c r="AY19" s="561">
        <v>-0.58482752513280678</v>
      </c>
    </row>
    <row r="20" spans="1:51" ht="14.25" customHeight="1" outlineLevel="1">
      <c r="A20" s="531" t="s">
        <v>37</v>
      </c>
      <c r="B20" s="550">
        <v>0.75114000000000003</v>
      </c>
      <c r="C20" s="550">
        <v>0.18234</v>
      </c>
      <c r="D20" s="550">
        <v>6.4823399999999998</v>
      </c>
      <c r="E20" s="550">
        <v>14.236739999999999</v>
      </c>
      <c r="F20" s="550">
        <v>13.545540000000001</v>
      </c>
      <c r="G20" s="550">
        <v>7.00434</v>
      </c>
      <c r="H20" s="550">
        <v>5.3771399999999998</v>
      </c>
      <c r="I20" s="550">
        <v>6.5255400000000003</v>
      </c>
      <c r="J20" s="550">
        <v>15.774389999999999</v>
      </c>
      <c r="K20" s="550">
        <v>14.893352999999998</v>
      </c>
      <c r="L20" s="550">
        <v>16.392023999999999</v>
      </c>
      <c r="M20" s="550">
        <v>20.677803442997398</v>
      </c>
      <c r="N20" s="550">
        <v>16.110554954626011</v>
      </c>
      <c r="O20" s="550">
        <v>17.006027645645819</v>
      </c>
      <c r="P20" s="550">
        <v>18.426036219227964</v>
      </c>
      <c r="Q20" s="550">
        <v>20.006592025875552</v>
      </c>
      <c r="R20" s="550">
        <v>19.207906077177284</v>
      </c>
      <c r="S20" s="550">
        <v>23.621051811399802</v>
      </c>
      <c r="T20" s="550">
        <v>25.219858910949753</v>
      </c>
      <c r="U20" s="550">
        <v>23.553447166957682</v>
      </c>
      <c r="V20" s="550">
        <v>18.421519878414756</v>
      </c>
      <c r="W20" s="550">
        <v>16.162061642170379</v>
      </c>
      <c r="X20" s="550">
        <v>22.25718910245924</v>
      </c>
      <c r="Y20" s="550">
        <v>31.590350981726292</v>
      </c>
      <c r="Z20" s="550">
        <v>25.467001577702785</v>
      </c>
      <c r="AA20" s="550">
        <v>32.138750886621843</v>
      </c>
      <c r="AB20" s="550">
        <v>31.783237146909428</v>
      </c>
      <c r="AC20" s="550">
        <v>40.902804800677082</v>
      </c>
      <c r="AD20" s="550">
        <v>34.144800810426972</v>
      </c>
      <c r="AE20" s="550">
        <v>32.679347936135002</v>
      </c>
      <c r="AF20" s="550">
        <v>23.064070489505962</v>
      </c>
      <c r="AG20" s="550">
        <v>31.160896026310478</v>
      </c>
      <c r="AH20" s="550">
        <v>32.329684857016261</v>
      </c>
      <c r="AI20" s="550">
        <v>39.740657896145159</v>
      </c>
      <c r="AJ20" s="550">
        <v>35.542649964258864</v>
      </c>
      <c r="AK20" s="550">
        <v>29.816056690586098</v>
      </c>
      <c r="AL20" s="550">
        <v>33.117418122472728</v>
      </c>
      <c r="AM20" s="550">
        <v>28.085088378041171</v>
      </c>
      <c r="AN20" s="550">
        <v>29.646952526099486</v>
      </c>
      <c r="AO20" s="550">
        <v>29.043501613169799</v>
      </c>
      <c r="AP20" s="550">
        <v>23.551930503742714</v>
      </c>
      <c r="AQ20" s="550">
        <v>22.885599957974318</v>
      </c>
      <c r="AR20" s="550">
        <v>19.21598675614386</v>
      </c>
      <c r="AS20" s="550">
        <v>23.49734217150942</v>
      </c>
      <c r="AT20" s="550">
        <v>19.031639280486118</v>
      </c>
      <c r="AU20" s="550">
        <v>19.483137916680239</v>
      </c>
      <c r="AV20" s="550">
        <v>21.356508038384305</v>
      </c>
      <c r="AW20" s="550">
        <v>16.739005792574233</v>
      </c>
      <c r="AX20" s="550">
        <v>15.516748161504792</v>
      </c>
      <c r="AY20" s="561">
        <v>-7.3018532057122498E-2</v>
      </c>
    </row>
    <row r="21" spans="1:51" ht="14.25" customHeight="1" outlineLevel="1">
      <c r="A21" s="531" t="s">
        <v>2099</v>
      </c>
      <c r="B21" s="550">
        <v>6.634799999999999E-2</v>
      </c>
      <c r="C21" s="550">
        <v>0.151668</v>
      </c>
      <c r="D21" s="550">
        <v>0.18010799999999999</v>
      </c>
      <c r="E21" s="550">
        <v>0.18010799999999999</v>
      </c>
      <c r="F21" s="550">
        <v>0.18010799999999999</v>
      </c>
      <c r="G21" s="550">
        <v>0.18010799999999999</v>
      </c>
      <c r="H21" s="550">
        <v>0.18010799999999999</v>
      </c>
      <c r="I21" s="550">
        <v>0.23410800000000001</v>
      </c>
      <c r="J21" s="550">
        <v>0.252108</v>
      </c>
      <c r="K21" s="550">
        <v>0.252108</v>
      </c>
      <c r="L21" s="550">
        <v>0.23612939999999999</v>
      </c>
      <c r="M21" s="550">
        <v>0.2257344</v>
      </c>
      <c r="N21" s="550">
        <v>0.2257092</v>
      </c>
      <c r="O21" s="550">
        <v>0.22575239999999999</v>
      </c>
      <c r="P21" s="550">
        <v>0.2258964</v>
      </c>
      <c r="Q21" s="550">
        <v>0.22546439999999998</v>
      </c>
      <c r="R21" s="550">
        <v>0.2256804</v>
      </c>
      <c r="S21" s="550">
        <v>0.22554360000000001</v>
      </c>
      <c r="T21" s="550">
        <v>0.2258028</v>
      </c>
      <c r="U21" s="550">
        <v>0.22578480000000001</v>
      </c>
      <c r="V21" s="550">
        <v>0.22587839999999998</v>
      </c>
      <c r="W21" s="550">
        <v>0.22571639999999998</v>
      </c>
      <c r="X21" s="550">
        <v>0.22688730000000001</v>
      </c>
      <c r="Y21" s="550">
        <v>0.22571639999999998</v>
      </c>
      <c r="Z21" s="550">
        <v>0.22571639999999998</v>
      </c>
      <c r="AA21" s="550">
        <v>0.22571639999999998</v>
      </c>
      <c r="AB21" s="550">
        <v>0.22571639999999998</v>
      </c>
      <c r="AC21" s="550">
        <v>0.1700352</v>
      </c>
      <c r="AD21" s="550">
        <v>0.33528888000000001</v>
      </c>
      <c r="AE21" s="550">
        <v>0.30403061999999997</v>
      </c>
      <c r="AF21" s="550">
        <v>0.29862179999999999</v>
      </c>
      <c r="AG21" s="550">
        <v>0.27288558000000002</v>
      </c>
      <c r="AH21" s="550">
        <v>0.25662419999999997</v>
      </c>
      <c r="AI21" s="550">
        <v>0.19050758999999998</v>
      </c>
      <c r="AJ21" s="550">
        <v>0.20194479000000001</v>
      </c>
      <c r="AK21" s="550">
        <v>0.19172700000000001</v>
      </c>
      <c r="AL21" s="550">
        <v>0.20575863</v>
      </c>
      <c r="AM21" s="550">
        <v>0.16658793</v>
      </c>
      <c r="AN21" s="550">
        <v>0.1272137958</v>
      </c>
      <c r="AO21" s="550">
        <v>0.15928605540000002</v>
      </c>
      <c r="AP21" s="550">
        <v>0.17060177970000001</v>
      </c>
      <c r="AQ21" s="550">
        <v>0.1764415647</v>
      </c>
      <c r="AR21" s="550">
        <v>0.18350658</v>
      </c>
      <c r="AS21" s="550">
        <v>0.16729019999999997</v>
      </c>
      <c r="AT21" s="550">
        <v>0.1776384</v>
      </c>
      <c r="AU21" s="550">
        <v>0.16359300000000002</v>
      </c>
      <c r="AV21" s="550">
        <v>0.1424907</v>
      </c>
      <c r="AW21" s="550">
        <v>0.15523168944763585</v>
      </c>
      <c r="AX21" s="550">
        <v>0.14297284228254514</v>
      </c>
      <c r="AY21" s="561">
        <v>-7.8971292580217511E-2</v>
      </c>
    </row>
    <row r="22" spans="1:51" ht="14.25" customHeight="1">
      <c r="A22" s="543" t="s">
        <v>2100</v>
      </c>
      <c r="B22" s="563">
        <v>0.83070224485796906</v>
      </c>
      <c r="C22" s="563">
        <v>0.90570826268034255</v>
      </c>
      <c r="D22" s="563">
        <v>0.80358101257423176</v>
      </c>
      <c r="E22" s="563">
        <v>0.74458114650048457</v>
      </c>
      <c r="F22" s="563">
        <v>0.78546044665374726</v>
      </c>
      <c r="G22" s="563">
        <v>0.89165710523944741</v>
      </c>
      <c r="H22" s="563">
        <v>0.91431225242120695</v>
      </c>
      <c r="I22" s="563">
        <v>0.90378418432723551</v>
      </c>
      <c r="J22" s="563">
        <v>0.80351789632348325</v>
      </c>
      <c r="K22" s="563">
        <v>0.81079010262616624</v>
      </c>
      <c r="L22" s="563">
        <v>0.80576777511849207</v>
      </c>
      <c r="M22" s="563">
        <v>0.76523349806060714</v>
      </c>
      <c r="N22" s="563">
        <v>0.82387325879823237</v>
      </c>
      <c r="O22" s="563">
        <v>0.80763683761929583</v>
      </c>
      <c r="P22" s="563">
        <v>0.80700795288071858</v>
      </c>
      <c r="Q22" s="563">
        <v>0.80334146767151671</v>
      </c>
      <c r="R22" s="563">
        <v>0.81036476964813775</v>
      </c>
      <c r="S22" s="563">
        <v>0.78312176017025303</v>
      </c>
      <c r="T22" s="563">
        <v>0.73840782474385558</v>
      </c>
      <c r="U22" s="563">
        <v>0.78144342506774467</v>
      </c>
      <c r="V22" s="563">
        <v>0.82978458765669438</v>
      </c>
      <c r="W22" s="563">
        <v>0.84703692815989495</v>
      </c>
      <c r="X22" s="563">
        <v>0.80104489160445114</v>
      </c>
      <c r="Y22" s="563">
        <v>0.71429985472507551</v>
      </c>
      <c r="Z22" s="563">
        <v>0.76851921215054586</v>
      </c>
      <c r="AA22" s="563">
        <v>0.70990774009819735</v>
      </c>
      <c r="AB22" s="563">
        <v>0.72940889980062673</v>
      </c>
      <c r="AC22" s="563">
        <v>0.65082592018427909</v>
      </c>
      <c r="AD22" s="563">
        <v>0.70862321547794538</v>
      </c>
      <c r="AE22" s="563">
        <v>0.67409495326317626</v>
      </c>
      <c r="AF22" s="563">
        <v>0.73567423207897253</v>
      </c>
      <c r="AG22" s="563">
        <v>0.65789392466360319</v>
      </c>
      <c r="AH22" s="563">
        <v>0.66142998926371954</v>
      </c>
      <c r="AI22" s="563">
        <v>0.66886022183836069</v>
      </c>
      <c r="AJ22" s="563">
        <v>0.65634014399121976</v>
      </c>
      <c r="AK22" s="563">
        <v>0.7290446028569646</v>
      </c>
      <c r="AL22" s="563">
        <v>0.74322432424548313</v>
      </c>
      <c r="AM22" s="563">
        <v>0.77171102003556624</v>
      </c>
      <c r="AN22" s="563">
        <v>0.73135782097472435</v>
      </c>
      <c r="AO22" s="563">
        <v>0.75559401976041107</v>
      </c>
      <c r="AP22" s="563">
        <v>0.80249111322129962</v>
      </c>
      <c r="AQ22" s="563">
        <v>0.81167984036905305</v>
      </c>
      <c r="AR22" s="563">
        <v>0.85155058514029491</v>
      </c>
      <c r="AS22" s="563">
        <v>0.82193672378740201</v>
      </c>
      <c r="AT22" s="563">
        <v>0.84278200964056715</v>
      </c>
      <c r="AU22" s="563">
        <v>0.82701119769953857</v>
      </c>
      <c r="AV22" s="563">
        <v>0.81137117195745001</v>
      </c>
      <c r="AW22" s="563">
        <v>0.82115483466409334</v>
      </c>
      <c r="AX22" s="563">
        <v>0.87094847931068242</v>
      </c>
      <c r="AY22" s="564">
        <v>4.9793644646589086E-2</v>
      </c>
    </row>
    <row r="23" spans="1:51" ht="14.25" customHeight="1">
      <c r="A23" s="531"/>
      <c r="B23" s="532"/>
      <c r="C23" s="532"/>
      <c r="D23" s="532"/>
      <c r="E23" s="532"/>
      <c r="F23" s="532"/>
      <c r="G23" s="532"/>
      <c r="H23" s="532"/>
      <c r="I23" s="532"/>
      <c r="J23" s="532"/>
      <c r="K23" s="532"/>
      <c r="L23" s="532"/>
      <c r="M23" s="532"/>
      <c r="N23" s="532"/>
      <c r="O23" s="532"/>
      <c r="P23" s="532"/>
      <c r="Q23" s="532"/>
      <c r="R23" s="565"/>
      <c r="S23" s="565"/>
      <c r="T23" s="565"/>
      <c r="U23" s="565"/>
      <c r="V23" s="565"/>
      <c r="W23" s="565"/>
      <c r="X23" s="565"/>
      <c r="Y23" s="565"/>
      <c r="Z23" s="565"/>
      <c r="AA23" s="565"/>
      <c r="AB23" s="565"/>
      <c r="AC23" s="565"/>
      <c r="AD23" s="565"/>
      <c r="AE23" s="565"/>
      <c r="AF23" s="565"/>
      <c r="AG23" s="565"/>
      <c r="AH23" s="565"/>
      <c r="AI23" s="565"/>
      <c r="AJ23" s="565"/>
      <c r="AK23" s="565"/>
      <c r="AL23" s="565"/>
      <c r="AM23" s="565"/>
      <c r="AN23" s="565"/>
      <c r="AO23" s="565"/>
      <c r="AP23" s="565"/>
      <c r="AQ23" s="565"/>
      <c r="AR23" s="565"/>
      <c r="AS23" s="565"/>
      <c r="AT23" s="565"/>
      <c r="AU23" s="565"/>
      <c r="AV23" s="565"/>
      <c r="AW23" s="565"/>
      <c r="AX23" s="565"/>
      <c r="AY23" s="545"/>
    </row>
    <row r="24" spans="1:51" ht="14.25" customHeight="1">
      <c r="A24" s="566" t="s">
        <v>2148</v>
      </c>
      <c r="B24" s="552"/>
      <c r="C24" s="552"/>
      <c r="D24" s="552"/>
      <c r="E24" s="552"/>
      <c r="F24" s="552"/>
      <c r="G24" s="552"/>
      <c r="H24" s="552"/>
      <c r="I24" s="552"/>
      <c r="J24" s="552"/>
      <c r="K24" s="552"/>
      <c r="L24" s="552"/>
      <c r="M24" s="552"/>
      <c r="N24" s="552"/>
      <c r="O24" s="552"/>
      <c r="P24" s="552"/>
      <c r="Q24" s="552"/>
      <c r="R24" s="575">
        <v>8.6654160000000005</v>
      </c>
      <c r="S24" s="575">
        <v>8.6497811999999996</v>
      </c>
      <c r="T24" s="575">
        <v>8.6228604000000004</v>
      </c>
      <c r="U24" s="575">
        <v>8.8672608000000004</v>
      </c>
      <c r="V24" s="575">
        <v>9.1170755999999997</v>
      </c>
      <c r="W24" s="575">
        <v>9.404013599999999</v>
      </c>
      <c r="X24" s="575">
        <v>9.4026707999999992</v>
      </c>
      <c r="Y24" s="575">
        <v>9.8624231999999985</v>
      </c>
      <c r="Z24" s="575">
        <v>10.0616004</v>
      </c>
      <c r="AA24" s="575">
        <v>9.9709703999999988</v>
      </c>
      <c r="AB24" s="575">
        <v>10.954990799999999</v>
      </c>
      <c r="AC24" s="575">
        <v>10.904443199999999</v>
      </c>
      <c r="AD24" s="575">
        <v>10.8449712</v>
      </c>
      <c r="AE24" s="575">
        <v>10.408255199999999</v>
      </c>
      <c r="AF24" s="575">
        <v>10.7735328</v>
      </c>
      <c r="AG24" s="575">
        <v>10.725407999999998</v>
      </c>
      <c r="AH24" s="575">
        <v>10.837843200000002</v>
      </c>
      <c r="AI24" s="575">
        <v>10.9030428</v>
      </c>
      <c r="AJ24" s="575">
        <v>11.260335599999998</v>
      </c>
      <c r="AK24" s="575">
        <v>10.7799768</v>
      </c>
      <c r="AL24" s="575">
        <v>11.162563199999999</v>
      </c>
      <c r="AM24" s="575">
        <v>10.802861999999999</v>
      </c>
      <c r="AN24" s="575">
        <v>10.8104724</v>
      </c>
      <c r="AO24" s="575">
        <v>10.4225364</v>
      </c>
      <c r="AP24" s="575">
        <v>10.263669502321079</v>
      </c>
      <c r="AQ24" s="575">
        <v>10.427607070140384</v>
      </c>
      <c r="AR24" s="575">
        <v>10.638182168107129</v>
      </c>
      <c r="AS24" s="575">
        <v>10.599083037891432</v>
      </c>
      <c r="AT24" s="575">
        <v>10.591286074644024</v>
      </c>
      <c r="AU24" s="575">
        <v>10.802314186434106</v>
      </c>
      <c r="AV24" s="575">
        <v>10.698235853952491</v>
      </c>
      <c r="AW24" s="575">
        <v>10.789893970141321</v>
      </c>
      <c r="AX24" s="575">
        <v>11.788537547892275</v>
      </c>
      <c r="AY24" s="562">
        <v>9.2553604374100651E-2</v>
      </c>
    </row>
    <row r="25" spans="1:51" ht="14.25" customHeight="1" outlineLevel="1">
      <c r="A25" s="531" t="s">
        <v>2122</v>
      </c>
      <c r="B25" s="532"/>
      <c r="C25" s="532"/>
      <c r="D25" s="532"/>
      <c r="E25" s="532"/>
      <c r="F25" s="532"/>
      <c r="G25" s="532"/>
      <c r="H25" s="532"/>
      <c r="I25" s="532"/>
      <c r="J25" s="532"/>
      <c r="K25" s="532"/>
      <c r="L25" s="532"/>
      <c r="M25" s="532"/>
      <c r="N25" s="532"/>
      <c r="O25" s="532"/>
      <c r="P25" s="532"/>
      <c r="Q25" s="532"/>
      <c r="R25" s="550">
        <v>4.2820307999999994</v>
      </c>
      <c r="S25" s="550">
        <v>4.3502472000000001</v>
      </c>
      <c r="T25" s="550">
        <v>4.2680736000000001</v>
      </c>
      <c r="U25" s="550">
        <v>4.4439371999999997</v>
      </c>
      <c r="V25" s="550">
        <v>4.5336239999999997</v>
      </c>
      <c r="W25" s="550">
        <v>4.6294523999999999</v>
      </c>
      <c r="X25" s="550">
        <v>4.4956692</v>
      </c>
      <c r="Y25" s="550">
        <v>4.8222683999999996</v>
      </c>
      <c r="Z25" s="550">
        <v>4.9550040000000006</v>
      </c>
      <c r="AA25" s="550">
        <v>4.8778667999999996</v>
      </c>
      <c r="AB25" s="550">
        <v>5.5622483999999996</v>
      </c>
      <c r="AC25" s="550">
        <v>5.2812540000000006</v>
      </c>
      <c r="AD25" s="550">
        <v>5.1975324000000001</v>
      </c>
      <c r="AE25" s="550">
        <v>4.690188</v>
      </c>
      <c r="AF25" s="550">
        <v>4.7794932000000001</v>
      </c>
      <c r="AG25" s="550">
        <v>4.5836783999999993</v>
      </c>
      <c r="AH25" s="550">
        <v>4.8465576000000006</v>
      </c>
      <c r="AI25" s="550">
        <v>4.8177972000000002</v>
      </c>
      <c r="AJ25" s="550">
        <v>5.2185599999999992</v>
      </c>
      <c r="AK25" s="550">
        <v>4.8634307999999997</v>
      </c>
      <c r="AL25" s="550">
        <v>4.8909275999999995</v>
      </c>
      <c r="AM25" s="550">
        <v>4.7188871999999993</v>
      </c>
      <c r="AN25" s="550">
        <v>4.9922963999999999</v>
      </c>
      <c r="AO25" s="550">
        <v>4.6978920000000004</v>
      </c>
      <c r="AP25" s="550">
        <v>4.5053883830725558</v>
      </c>
      <c r="AQ25" s="550">
        <v>4.4807366171658245</v>
      </c>
      <c r="AR25" s="550">
        <v>5.0260629872673723</v>
      </c>
      <c r="AS25" s="550">
        <v>4.9493828842053844</v>
      </c>
      <c r="AT25" s="550">
        <v>5.0152327404635155</v>
      </c>
      <c r="AU25" s="550">
        <v>5.0634710886238556</v>
      </c>
      <c r="AV25" s="550">
        <v>4.8648546045075598</v>
      </c>
      <c r="AW25" s="550">
        <v>4.927428487713204</v>
      </c>
      <c r="AX25" s="550">
        <v>6.3360890262111598</v>
      </c>
      <c r="AY25" s="561">
        <v>0.28588147793733043</v>
      </c>
    </row>
    <row r="26" spans="1:51" ht="14.25" customHeight="1" outlineLevel="1">
      <c r="A26" s="531" t="s">
        <v>2123</v>
      </c>
      <c r="B26" s="532"/>
      <c r="C26" s="532"/>
      <c r="D26" s="532"/>
      <c r="E26" s="532"/>
      <c r="F26" s="532"/>
      <c r="G26" s="532"/>
      <c r="H26" s="532"/>
      <c r="I26" s="532"/>
      <c r="J26" s="532"/>
      <c r="K26" s="532"/>
      <c r="L26" s="532"/>
      <c r="M26" s="532"/>
      <c r="N26" s="532"/>
      <c r="O26" s="532"/>
      <c r="P26" s="532"/>
      <c r="Q26" s="532"/>
      <c r="R26" s="550">
        <v>4.3833852000000002</v>
      </c>
      <c r="S26" s="550">
        <v>4.2995340000000004</v>
      </c>
      <c r="T26" s="550">
        <v>4.3547868000000003</v>
      </c>
      <c r="U26" s="550">
        <v>4.4233235999999998</v>
      </c>
      <c r="V26" s="550">
        <v>4.5834516000000001</v>
      </c>
      <c r="W26" s="550">
        <v>4.7745611999999999</v>
      </c>
      <c r="X26" s="550">
        <v>4.9070016000000001</v>
      </c>
      <c r="Y26" s="550">
        <v>5.0401547999999998</v>
      </c>
      <c r="Z26" s="550">
        <v>5.1065963999999999</v>
      </c>
      <c r="AA26" s="550">
        <v>5.0931036000000001</v>
      </c>
      <c r="AB26" s="550">
        <v>5.3927423999999995</v>
      </c>
      <c r="AC26" s="550">
        <v>5.6231891999999997</v>
      </c>
      <c r="AD26" s="550">
        <v>5.6474387999999998</v>
      </c>
      <c r="AE26" s="550">
        <v>5.7180672000000001</v>
      </c>
      <c r="AF26" s="550">
        <v>5.9940395999999998</v>
      </c>
      <c r="AG26" s="550">
        <v>6.1417295999999997</v>
      </c>
      <c r="AH26" s="550">
        <v>5.9912856000000003</v>
      </c>
      <c r="AI26" s="550">
        <v>6.0852455999999995</v>
      </c>
      <c r="AJ26" s="550">
        <v>6.0417755999999994</v>
      </c>
      <c r="AK26" s="550">
        <v>5.9165459999999994</v>
      </c>
      <c r="AL26" s="550">
        <v>6.2716355999999998</v>
      </c>
      <c r="AM26" s="550">
        <v>6.0839748</v>
      </c>
      <c r="AN26" s="550">
        <v>5.8181760000000002</v>
      </c>
      <c r="AO26" s="550">
        <v>5.7246443999999999</v>
      </c>
      <c r="AP26" s="550">
        <v>5.7582811192485233</v>
      </c>
      <c r="AQ26" s="550">
        <v>5.9468704529745597</v>
      </c>
      <c r="AR26" s="550">
        <v>5.6121191808397555</v>
      </c>
      <c r="AS26" s="550">
        <v>5.6497001536860481</v>
      </c>
      <c r="AT26" s="550">
        <v>5.5760533341805081</v>
      </c>
      <c r="AU26" s="550">
        <v>5.7388430978102516</v>
      </c>
      <c r="AV26" s="550">
        <v>5.8333812494449315</v>
      </c>
      <c r="AW26" s="550">
        <v>5.8624654824281164</v>
      </c>
      <c r="AX26" s="550">
        <v>5.4524485216811165</v>
      </c>
      <c r="AY26" s="561">
        <v>-6.993933899925997E-2</v>
      </c>
    </row>
    <row r="27" spans="1:51" ht="14.25" customHeight="1">
      <c r="A27" s="531"/>
      <c r="B27" s="532"/>
      <c r="C27" s="532"/>
      <c r="D27" s="532"/>
      <c r="E27" s="532"/>
      <c r="F27" s="532"/>
      <c r="G27" s="532"/>
      <c r="H27" s="532"/>
      <c r="I27" s="532"/>
      <c r="J27" s="532"/>
      <c r="K27" s="532"/>
      <c r="L27" s="532"/>
      <c r="M27" s="532"/>
      <c r="N27" s="532"/>
      <c r="O27" s="532"/>
      <c r="P27" s="532"/>
      <c r="Q27" s="532"/>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33"/>
      <c r="AQ27" s="529"/>
      <c r="AR27" s="529"/>
      <c r="AS27" s="529"/>
      <c r="AT27" s="529"/>
      <c r="AU27" s="529"/>
      <c r="AV27" s="529"/>
      <c r="AW27" s="529"/>
      <c r="AX27" s="529"/>
      <c r="AY27" s="545"/>
    </row>
    <row r="28" spans="1:51" ht="14.25" customHeight="1">
      <c r="A28" s="547" t="s">
        <v>2149</v>
      </c>
      <c r="B28" s="575"/>
      <c r="C28" s="575"/>
      <c r="D28" s="575"/>
      <c r="E28" s="575"/>
      <c r="F28" s="575"/>
      <c r="G28" s="575"/>
      <c r="H28" s="575"/>
      <c r="I28" s="575"/>
      <c r="J28" s="575"/>
      <c r="K28" s="575"/>
      <c r="L28" s="575"/>
      <c r="M28" s="575"/>
      <c r="N28" s="575"/>
      <c r="O28" s="575"/>
      <c r="P28" s="575"/>
      <c r="Q28" s="575"/>
      <c r="R28" s="575"/>
      <c r="S28" s="575"/>
      <c r="T28" s="575"/>
      <c r="U28" s="575"/>
      <c r="V28" s="575"/>
      <c r="W28" s="575"/>
      <c r="X28" s="575"/>
      <c r="Y28" s="575"/>
      <c r="Z28" s="575"/>
      <c r="AA28" s="575"/>
      <c r="AB28" s="575"/>
      <c r="AC28" s="575"/>
      <c r="AD28" s="575"/>
      <c r="AE28" s="575"/>
      <c r="AF28" s="575"/>
      <c r="AG28" s="575"/>
      <c r="AH28" s="575"/>
      <c r="AI28" s="575"/>
      <c r="AJ28" s="575"/>
      <c r="AK28" s="575"/>
      <c r="AL28" s="575"/>
      <c r="AM28" s="575"/>
      <c r="AN28" s="575"/>
      <c r="AO28" s="575"/>
      <c r="AP28" s="575">
        <v>145.03205048623394</v>
      </c>
      <c r="AQ28" s="575">
        <v>147.21456222519555</v>
      </c>
      <c r="AR28" s="575">
        <v>144.81086377806861</v>
      </c>
      <c r="AS28" s="575">
        <v>143.80527353741002</v>
      </c>
      <c r="AT28" s="575">
        <v>145.12936026813955</v>
      </c>
      <c r="AU28" s="575">
        <v>145.92367391710602</v>
      </c>
      <c r="AV28" s="575">
        <v>143.86354067645058</v>
      </c>
      <c r="AW28" s="575">
        <v>143.72259746516414</v>
      </c>
      <c r="AX28" s="575">
        <v>141.94656305168584</v>
      </c>
      <c r="AY28" s="562">
        <v>-1.2357377648346324E-2</v>
      </c>
    </row>
    <row r="29" spans="1:51" ht="14.25" customHeight="1">
      <c r="A29" s="531" t="s">
        <v>2103</v>
      </c>
      <c r="B29" s="550"/>
      <c r="C29" s="550"/>
      <c r="D29" s="550"/>
      <c r="E29" s="550"/>
      <c r="F29" s="550"/>
      <c r="G29" s="550"/>
      <c r="H29" s="550"/>
      <c r="I29" s="550"/>
      <c r="J29" s="550"/>
      <c r="K29" s="550"/>
      <c r="L29" s="550"/>
      <c r="M29" s="550"/>
      <c r="N29" s="550"/>
      <c r="O29" s="550"/>
      <c r="P29" s="550"/>
      <c r="Q29" s="550"/>
      <c r="R29" s="550"/>
      <c r="S29" s="550"/>
      <c r="T29" s="550"/>
      <c r="U29" s="550"/>
      <c r="V29" s="550"/>
      <c r="W29" s="550"/>
      <c r="X29" s="550"/>
      <c r="Y29" s="550"/>
      <c r="Z29" s="550"/>
      <c r="AA29" s="550"/>
      <c r="AB29" s="550"/>
      <c r="AC29" s="550"/>
      <c r="AD29" s="550"/>
      <c r="AE29" s="550"/>
      <c r="AF29" s="550"/>
      <c r="AG29" s="550"/>
      <c r="AH29" s="550"/>
      <c r="AI29" s="550"/>
      <c r="AJ29" s="550"/>
      <c r="AK29" s="550"/>
      <c r="AL29" s="550"/>
      <c r="AM29" s="550"/>
      <c r="AN29" s="550"/>
      <c r="AO29" s="550"/>
      <c r="AP29" s="550">
        <v>9.3614956905498481</v>
      </c>
      <c r="AQ29" s="550">
        <v>10.238923871927712</v>
      </c>
      <c r="AR29" s="550">
        <v>9.2618867939169593</v>
      </c>
      <c r="AS29" s="550">
        <v>9.1029728927711169</v>
      </c>
      <c r="AT29" s="550">
        <v>8.4028983262379988</v>
      </c>
      <c r="AU29" s="550">
        <v>8.7615314344694166</v>
      </c>
      <c r="AV29" s="550">
        <v>9.9503493213776046</v>
      </c>
      <c r="AW29" s="550">
        <v>9.5819781512195643</v>
      </c>
      <c r="AX29" s="550">
        <v>8.7189353412041513</v>
      </c>
      <c r="AY29" s="561">
        <v>-9.006937778349744E-2</v>
      </c>
    </row>
    <row r="30" spans="1:51" ht="14.25" customHeight="1">
      <c r="A30" s="531" t="s">
        <v>2125</v>
      </c>
      <c r="B30" s="550"/>
      <c r="C30" s="550"/>
      <c r="D30" s="550"/>
      <c r="E30" s="550"/>
      <c r="F30" s="550"/>
      <c r="G30" s="550"/>
      <c r="H30" s="550"/>
      <c r="I30" s="550"/>
      <c r="J30" s="550"/>
      <c r="K30" s="550"/>
      <c r="L30" s="550"/>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v>52.186878394935619</v>
      </c>
      <c r="AQ30" s="550">
        <v>52.5276126898219</v>
      </c>
      <c r="AR30" s="550">
        <v>52.532283400626319</v>
      </c>
      <c r="AS30" s="550">
        <v>52.239846692905886</v>
      </c>
      <c r="AT30" s="550">
        <v>52.787910989947846</v>
      </c>
      <c r="AU30" s="550">
        <v>53.320325301131525</v>
      </c>
      <c r="AV30" s="550">
        <v>50.748983203729267</v>
      </c>
      <c r="AW30" s="550">
        <v>49.414588432019542</v>
      </c>
      <c r="AX30" s="550">
        <v>48.600492710125216</v>
      </c>
      <c r="AY30" s="561">
        <v>-1.6474805269587334E-2</v>
      </c>
    </row>
    <row r="31" spans="1:51" ht="14.25" customHeight="1" outlineLevel="1">
      <c r="A31" s="567" t="s">
        <v>2126</v>
      </c>
      <c r="B31" s="568"/>
      <c r="C31" s="568"/>
      <c r="D31" s="568"/>
      <c r="E31" s="568"/>
      <c r="F31" s="568"/>
      <c r="G31" s="568"/>
      <c r="H31" s="568"/>
      <c r="I31" s="568"/>
      <c r="J31" s="568"/>
      <c r="K31" s="568"/>
      <c r="L31" s="568"/>
      <c r="M31" s="568"/>
      <c r="N31" s="568"/>
      <c r="O31" s="568"/>
      <c r="P31" s="568"/>
      <c r="Q31" s="568"/>
      <c r="R31" s="550"/>
      <c r="S31" s="550"/>
      <c r="T31" s="550"/>
      <c r="U31" s="550"/>
      <c r="V31" s="550"/>
      <c r="W31" s="550"/>
      <c r="X31" s="550"/>
      <c r="Y31" s="550"/>
      <c r="Z31" s="550"/>
      <c r="AA31" s="550"/>
      <c r="AB31" s="550"/>
      <c r="AC31" s="550"/>
      <c r="AD31" s="550"/>
      <c r="AE31" s="550"/>
      <c r="AF31" s="550"/>
      <c r="AG31" s="550"/>
      <c r="AH31" s="550"/>
      <c r="AI31" s="550"/>
      <c r="AJ31" s="550"/>
      <c r="AK31" s="550"/>
      <c r="AL31" s="550"/>
      <c r="AM31" s="550"/>
      <c r="AN31" s="550"/>
      <c r="AO31" s="550"/>
      <c r="AP31" s="576">
        <v>1.5557678970283151</v>
      </c>
      <c r="AQ31" s="576">
        <v>1.5070425718062852</v>
      </c>
      <c r="AR31" s="576">
        <v>1.2873949038461663</v>
      </c>
      <c r="AS31" s="576">
        <v>1.5041442093256476</v>
      </c>
      <c r="AT31" s="576">
        <v>1.5954303386814623</v>
      </c>
      <c r="AU31" s="576">
        <v>1.6359293812113611</v>
      </c>
      <c r="AV31" s="576">
        <v>1.4606025771371185</v>
      </c>
      <c r="AW31" s="576">
        <v>1.5530013852083353</v>
      </c>
      <c r="AX31" s="576">
        <v>1.5608313242741088</v>
      </c>
      <c r="AY31" s="561">
        <v>5.0418107416709823E-3</v>
      </c>
    </row>
    <row r="32" spans="1:51" ht="14.25" customHeight="1" outlineLevel="1">
      <c r="A32" s="567" t="s">
        <v>2127</v>
      </c>
      <c r="B32" s="568"/>
      <c r="C32" s="568"/>
      <c r="D32" s="568"/>
      <c r="E32" s="568"/>
      <c r="F32" s="568"/>
      <c r="G32" s="568"/>
      <c r="H32" s="568"/>
      <c r="I32" s="568"/>
      <c r="J32" s="568"/>
      <c r="K32" s="568"/>
      <c r="L32" s="568"/>
      <c r="M32" s="568"/>
      <c r="N32" s="568"/>
      <c r="O32" s="568"/>
      <c r="P32" s="568"/>
      <c r="Q32" s="568"/>
      <c r="R32" s="550"/>
      <c r="S32" s="550"/>
      <c r="T32" s="550"/>
      <c r="U32" s="550"/>
      <c r="V32" s="550"/>
      <c r="W32" s="550"/>
      <c r="X32" s="550"/>
      <c r="Y32" s="550"/>
      <c r="Z32" s="550"/>
      <c r="AA32" s="550"/>
      <c r="AB32" s="550"/>
      <c r="AC32" s="550"/>
      <c r="AD32" s="550"/>
      <c r="AE32" s="550"/>
      <c r="AF32" s="550"/>
      <c r="AG32" s="550"/>
      <c r="AH32" s="550"/>
      <c r="AI32" s="550"/>
      <c r="AJ32" s="550"/>
      <c r="AK32" s="550"/>
      <c r="AL32" s="550"/>
      <c r="AM32" s="550"/>
      <c r="AN32" s="550"/>
      <c r="AO32" s="550"/>
      <c r="AP32" s="576">
        <v>8.3834348819206674</v>
      </c>
      <c r="AQ32" s="576">
        <v>8.6146827567762969</v>
      </c>
      <c r="AR32" s="576">
        <v>9.1652307864795723</v>
      </c>
      <c r="AS32" s="576">
        <v>9.4364340147613799</v>
      </c>
      <c r="AT32" s="576">
        <v>10.037513918735026</v>
      </c>
      <c r="AU32" s="576">
        <v>10.193866702088615</v>
      </c>
      <c r="AV32" s="576">
        <v>10.257002797606273</v>
      </c>
      <c r="AW32" s="576">
        <v>10.304426355811309</v>
      </c>
      <c r="AX32" s="576">
        <v>10.736857696556989</v>
      </c>
      <c r="AY32" s="561">
        <v>4.1965590884329496E-2</v>
      </c>
    </row>
    <row r="33" spans="1:51" ht="14.25" customHeight="1" outlineLevel="1">
      <c r="A33" s="567" t="s">
        <v>2128</v>
      </c>
      <c r="B33" s="568"/>
      <c r="C33" s="568"/>
      <c r="D33" s="568"/>
      <c r="E33" s="568"/>
      <c r="F33" s="568"/>
      <c r="G33" s="568"/>
      <c r="H33" s="568"/>
      <c r="I33" s="568"/>
      <c r="J33" s="568"/>
      <c r="K33" s="568"/>
      <c r="L33" s="568"/>
      <c r="M33" s="568"/>
      <c r="N33" s="568"/>
      <c r="O33" s="568"/>
      <c r="P33" s="568"/>
      <c r="Q33" s="568"/>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0"/>
      <c r="AO33" s="550"/>
      <c r="AP33" s="576">
        <v>9.6315701777854557</v>
      </c>
      <c r="AQ33" s="576">
        <v>9.8761514932088996</v>
      </c>
      <c r="AR33" s="576">
        <v>9.8174711499024951</v>
      </c>
      <c r="AS33" s="576">
        <v>9.6918138824558397</v>
      </c>
      <c r="AT33" s="576">
        <v>9.580733519912819</v>
      </c>
      <c r="AU33" s="576">
        <v>9.2044643984823242</v>
      </c>
      <c r="AV33" s="576">
        <v>7.8242296409166601</v>
      </c>
      <c r="AW33" s="576">
        <v>5.8292443084183914</v>
      </c>
      <c r="AX33" s="576">
        <v>5.2243087753084678</v>
      </c>
      <c r="AY33" s="561">
        <v>-0.10377597868668786</v>
      </c>
    </row>
    <row r="34" spans="1:51" ht="14.25" customHeight="1" outlineLevel="1">
      <c r="A34" s="567" t="s">
        <v>2129</v>
      </c>
      <c r="B34" s="568"/>
      <c r="C34" s="568"/>
      <c r="D34" s="568"/>
      <c r="E34" s="568"/>
      <c r="F34" s="568"/>
      <c r="G34" s="568"/>
      <c r="H34" s="568"/>
      <c r="I34" s="568"/>
      <c r="J34" s="568"/>
      <c r="K34" s="568"/>
      <c r="L34" s="568"/>
      <c r="M34" s="568"/>
      <c r="N34" s="568"/>
      <c r="O34" s="568"/>
      <c r="P34" s="568"/>
      <c r="Q34" s="568"/>
      <c r="R34" s="550"/>
      <c r="S34" s="550"/>
      <c r="T34" s="550"/>
      <c r="U34" s="550"/>
      <c r="V34" s="550"/>
      <c r="W34" s="550"/>
      <c r="X34" s="550"/>
      <c r="Y34" s="550"/>
      <c r="Z34" s="550"/>
      <c r="AA34" s="550"/>
      <c r="AB34" s="550"/>
      <c r="AC34" s="550"/>
      <c r="AD34" s="550"/>
      <c r="AE34" s="550"/>
      <c r="AF34" s="550"/>
      <c r="AG34" s="550"/>
      <c r="AH34" s="550"/>
      <c r="AI34" s="550"/>
      <c r="AJ34" s="550"/>
      <c r="AK34" s="550"/>
      <c r="AL34" s="550"/>
      <c r="AM34" s="550"/>
      <c r="AN34" s="550"/>
      <c r="AO34" s="550"/>
      <c r="AP34" s="576">
        <v>2.6691138485904489</v>
      </c>
      <c r="AQ34" s="576">
        <v>2.7482158602016993</v>
      </c>
      <c r="AR34" s="576">
        <v>3.0258919804233924</v>
      </c>
      <c r="AS34" s="576">
        <v>2.954085519756704</v>
      </c>
      <c r="AT34" s="576">
        <v>2.9069124934129991</v>
      </c>
      <c r="AU34" s="576">
        <v>2.8556389402758287</v>
      </c>
      <c r="AV34" s="576">
        <v>2.788530517476655</v>
      </c>
      <c r="AW34" s="576">
        <v>2.6601367394211226</v>
      </c>
      <c r="AX34" s="576">
        <v>1.9292935654489429</v>
      </c>
      <c r="AY34" s="561">
        <v>-0.27473894974707946</v>
      </c>
    </row>
    <row r="35" spans="1:51" ht="14.25" customHeight="1" outlineLevel="1">
      <c r="A35" s="567" t="s">
        <v>2130</v>
      </c>
      <c r="B35" s="568"/>
      <c r="C35" s="568"/>
      <c r="D35" s="568"/>
      <c r="E35" s="568"/>
      <c r="F35" s="568"/>
      <c r="G35" s="568"/>
      <c r="H35" s="568"/>
      <c r="I35" s="568"/>
      <c r="J35" s="568"/>
      <c r="K35" s="568"/>
      <c r="L35" s="568"/>
      <c r="M35" s="568"/>
      <c r="N35" s="568"/>
      <c r="O35" s="568"/>
      <c r="P35" s="568"/>
      <c r="Q35" s="568"/>
      <c r="R35" s="550"/>
      <c r="S35" s="550"/>
      <c r="T35" s="550"/>
      <c r="U35" s="550"/>
      <c r="V35" s="550"/>
      <c r="W35" s="550"/>
      <c r="X35" s="550"/>
      <c r="Y35" s="550"/>
      <c r="Z35" s="550"/>
      <c r="AA35" s="550"/>
      <c r="AB35" s="550"/>
      <c r="AC35" s="550"/>
      <c r="AD35" s="550"/>
      <c r="AE35" s="550"/>
      <c r="AF35" s="550"/>
      <c r="AG35" s="550"/>
      <c r="AH35" s="550"/>
      <c r="AI35" s="550"/>
      <c r="AJ35" s="550"/>
      <c r="AK35" s="550"/>
      <c r="AL35" s="550"/>
      <c r="AM35" s="550"/>
      <c r="AN35" s="550"/>
      <c r="AO35" s="550"/>
      <c r="AP35" s="576">
        <v>23.820735524014079</v>
      </c>
      <c r="AQ35" s="576">
        <v>23.559401854398491</v>
      </c>
      <c r="AR35" s="576">
        <v>23.143649281938217</v>
      </c>
      <c r="AS35" s="576">
        <v>22.900127302251864</v>
      </c>
      <c r="AT35" s="576">
        <v>22.997529487466206</v>
      </c>
      <c r="AU35" s="576">
        <v>23.622106515819912</v>
      </c>
      <c r="AV35" s="576">
        <v>22.48010072841301</v>
      </c>
      <c r="AW35" s="576">
        <v>22.541315338744198</v>
      </c>
      <c r="AX35" s="576">
        <v>22.558062284412014</v>
      </c>
      <c r="AY35" s="561">
        <v>7.4294447400902186E-4</v>
      </c>
    </row>
    <row r="36" spans="1:51" ht="14.25" customHeight="1" outlineLevel="1">
      <c r="A36" s="567" t="s">
        <v>2131</v>
      </c>
      <c r="B36" s="568"/>
      <c r="C36" s="568"/>
      <c r="D36" s="568"/>
      <c r="E36" s="568"/>
      <c r="F36" s="568"/>
      <c r="G36" s="568"/>
      <c r="H36" s="568"/>
      <c r="I36" s="568"/>
      <c r="J36" s="568"/>
      <c r="K36" s="568"/>
      <c r="L36" s="568"/>
      <c r="M36" s="568"/>
      <c r="N36" s="568"/>
      <c r="O36" s="568"/>
      <c r="P36" s="568"/>
      <c r="Q36" s="568"/>
      <c r="R36" s="550"/>
      <c r="S36" s="550"/>
      <c r="T36" s="550"/>
      <c r="U36" s="550"/>
      <c r="V36" s="550"/>
      <c r="W36" s="550"/>
      <c r="X36" s="550"/>
      <c r="Y36" s="550"/>
      <c r="Z36" s="550"/>
      <c r="AA36" s="550"/>
      <c r="AB36" s="550"/>
      <c r="AC36" s="550"/>
      <c r="AD36" s="550"/>
      <c r="AE36" s="550"/>
      <c r="AF36" s="550"/>
      <c r="AG36" s="550"/>
      <c r="AH36" s="550"/>
      <c r="AI36" s="550"/>
      <c r="AJ36" s="550"/>
      <c r="AK36" s="550"/>
      <c r="AL36" s="550"/>
      <c r="AM36" s="550"/>
      <c r="AN36" s="550"/>
      <c r="AO36" s="550"/>
      <c r="AP36" s="576">
        <v>6.1262560655966514</v>
      </c>
      <c r="AQ36" s="576">
        <v>6.2221181534302321</v>
      </c>
      <c r="AR36" s="576">
        <v>6.0926452980364791</v>
      </c>
      <c r="AS36" s="576">
        <v>5.7532417643544473</v>
      </c>
      <c r="AT36" s="576">
        <v>5.6697912317393282</v>
      </c>
      <c r="AU36" s="576">
        <v>5.8083193632534842</v>
      </c>
      <c r="AV36" s="576">
        <v>5.9385169421795512</v>
      </c>
      <c r="AW36" s="576">
        <v>6.5264643044161916</v>
      </c>
      <c r="AX36" s="576">
        <v>6.5911390641246959</v>
      </c>
      <c r="AY36" s="561">
        <v>9.9096167069727681E-3</v>
      </c>
    </row>
    <row r="37" spans="1:51" ht="14.25" customHeight="1">
      <c r="A37" s="531" t="s">
        <v>1604</v>
      </c>
      <c r="B37" s="550"/>
      <c r="C37" s="550"/>
      <c r="D37" s="550"/>
      <c r="E37" s="550"/>
      <c r="F37" s="550"/>
      <c r="G37" s="550"/>
      <c r="H37" s="550"/>
      <c r="I37" s="550"/>
      <c r="J37" s="550"/>
      <c r="K37" s="550"/>
      <c r="L37" s="550"/>
      <c r="M37" s="550"/>
      <c r="N37" s="550"/>
      <c r="O37" s="550"/>
      <c r="P37" s="550"/>
      <c r="Q37" s="550"/>
      <c r="R37" s="550"/>
      <c r="S37" s="550"/>
      <c r="T37" s="550"/>
      <c r="U37" s="550"/>
      <c r="V37" s="550"/>
      <c r="W37" s="550"/>
      <c r="X37" s="550"/>
      <c r="Y37" s="550"/>
      <c r="Z37" s="550"/>
      <c r="AA37" s="550"/>
      <c r="AB37" s="550"/>
      <c r="AC37" s="550"/>
      <c r="AD37" s="550"/>
      <c r="AE37" s="550"/>
      <c r="AF37" s="550"/>
      <c r="AG37" s="550"/>
      <c r="AH37" s="550"/>
      <c r="AI37" s="550"/>
      <c r="AJ37" s="550"/>
      <c r="AK37" s="550"/>
      <c r="AL37" s="550"/>
      <c r="AM37" s="550"/>
      <c r="AN37" s="550"/>
      <c r="AO37" s="550"/>
      <c r="AP37" s="550">
        <v>33.52269494908159</v>
      </c>
      <c r="AQ37" s="550">
        <v>34.168385442270093</v>
      </c>
      <c r="AR37" s="550">
        <v>34.184293948459697</v>
      </c>
      <c r="AS37" s="550">
        <v>33.726643735096907</v>
      </c>
      <c r="AT37" s="550">
        <v>34.178132872108726</v>
      </c>
      <c r="AU37" s="550">
        <v>34.486364952049641</v>
      </c>
      <c r="AV37" s="550">
        <v>32.884115986492198</v>
      </c>
      <c r="AW37" s="550">
        <v>33.44538951945831</v>
      </c>
      <c r="AX37" s="550">
        <v>33.65939560441867</v>
      </c>
      <c r="AY37" s="561">
        <v>6.3986722246380801E-3</v>
      </c>
    </row>
    <row r="38" spans="1:51" ht="14.25" customHeight="1">
      <c r="A38" s="531" t="s">
        <v>1611</v>
      </c>
      <c r="B38" s="550"/>
      <c r="C38" s="550"/>
      <c r="D38" s="550"/>
      <c r="E38" s="550"/>
      <c r="F38" s="550"/>
      <c r="G38" s="550"/>
      <c r="H38" s="550"/>
      <c r="I38" s="550"/>
      <c r="J38" s="550"/>
      <c r="K38" s="550"/>
      <c r="L38" s="550"/>
      <c r="M38" s="550"/>
      <c r="N38" s="550"/>
      <c r="O38" s="550"/>
      <c r="P38" s="550"/>
      <c r="Q38" s="550"/>
      <c r="R38" s="550"/>
      <c r="S38" s="550"/>
      <c r="T38" s="550"/>
      <c r="U38" s="550"/>
      <c r="V38" s="550"/>
      <c r="W38" s="550"/>
      <c r="X38" s="550"/>
      <c r="Y38" s="550"/>
      <c r="Z38" s="550"/>
      <c r="AA38" s="550"/>
      <c r="AB38" s="550"/>
      <c r="AC38" s="550"/>
      <c r="AD38" s="550"/>
      <c r="AE38" s="550"/>
      <c r="AF38" s="550"/>
      <c r="AG38" s="550"/>
      <c r="AH38" s="550"/>
      <c r="AI38" s="550"/>
      <c r="AJ38" s="550"/>
      <c r="AK38" s="550"/>
      <c r="AL38" s="550"/>
      <c r="AM38" s="550"/>
      <c r="AN38" s="550"/>
      <c r="AO38" s="550"/>
      <c r="AP38" s="550">
        <v>44.923634088536879</v>
      </c>
      <c r="AQ38" s="550">
        <v>45.265632139725838</v>
      </c>
      <c r="AR38" s="550">
        <v>44.064843543215638</v>
      </c>
      <c r="AS38" s="550">
        <v>45.451796424666121</v>
      </c>
      <c r="AT38" s="550">
        <v>46.652617531034998</v>
      </c>
      <c r="AU38" s="550">
        <v>46.589858927965437</v>
      </c>
      <c r="AV38" s="550">
        <v>47.822335151721482</v>
      </c>
      <c r="AW38" s="550">
        <v>48.813677526816718</v>
      </c>
      <c r="AX38" s="550">
        <v>48.282090640687798</v>
      </c>
      <c r="AY38" s="561">
        <v>-1.089012164340375E-2</v>
      </c>
    </row>
    <row r="39" spans="1:51" ht="14.25" customHeight="1">
      <c r="A39" s="531" t="s">
        <v>879</v>
      </c>
      <c r="B39" s="550"/>
      <c r="C39" s="550"/>
      <c r="D39" s="550"/>
      <c r="E39" s="550"/>
      <c r="F39" s="550"/>
      <c r="G39" s="550"/>
      <c r="H39" s="550"/>
      <c r="I39" s="550"/>
      <c r="J39" s="550"/>
      <c r="K39" s="550"/>
      <c r="L39" s="550"/>
      <c r="M39" s="550"/>
      <c r="N39" s="550"/>
      <c r="O39" s="550"/>
      <c r="P39" s="550"/>
      <c r="Q39" s="550"/>
      <c r="R39" s="550"/>
      <c r="S39" s="550"/>
      <c r="T39" s="550"/>
      <c r="U39" s="550"/>
      <c r="V39" s="550"/>
      <c r="W39" s="550"/>
      <c r="X39" s="550"/>
      <c r="Y39" s="550"/>
      <c r="Z39" s="550"/>
      <c r="AA39" s="550"/>
      <c r="AB39" s="550"/>
      <c r="AC39" s="550"/>
      <c r="AD39" s="550"/>
      <c r="AE39" s="550"/>
      <c r="AF39" s="550"/>
      <c r="AG39" s="550"/>
      <c r="AH39" s="550"/>
      <c r="AI39" s="550"/>
      <c r="AJ39" s="550"/>
      <c r="AK39" s="550"/>
      <c r="AL39" s="550"/>
      <c r="AM39" s="550"/>
      <c r="AN39" s="550"/>
      <c r="AO39" s="550"/>
      <c r="AP39" s="550">
        <v>0.24757188273</v>
      </c>
      <c r="AQ39" s="550">
        <v>0.30038494472999999</v>
      </c>
      <c r="AR39" s="550">
        <v>0.32760644192999999</v>
      </c>
      <c r="AS39" s="550">
        <v>0.32745238353</v>
      </c>
      <c r="AT39" s="550">
        <v>0.33795277712999999</v>
      </c>
      <c r="AU39" s="550">
        <v>0.39032680113000001</v>
      </c>
      <c r="AV39" s="550">
        <v>0.40148988632999999</v>
      </c>
      <c r="AW39" s="550">
        <v>0.47729638232999994</v>
      </c>
      <c r="AX39" s="550">
        <v>0.69598130192999996</v>
      </c>
      <c r="AY39" s="561">
        <v>0.45817426591933086</v>
      </c>
    </row>
    <row r="40" spans="1:51" ht="14.25" customHeight="1">
      <c r="A40" s="531" t="s">
        <v>2132</v>
      </c>
      <c r="B40" s="532"/>
      <c r="C40" s="532"/>
      <c r="D40" s="532"/>
      <c r="E40" s="532"/>
      <c r="F40" s="532"/>
      <c r="G40" s="532"/>
      <c r="H40" s="532"/>
      <c r="I40" s="532"/>
      <c r="J40" s="532"/>
      <c r="K40" s="532"/>
      <c r="L40" s="532"/>
      <c r="M40" s="532"/>
      <c r="N40" s="532"/>
      <c r="O40" s="532"/>
      <c r="P40" s="532"/>
      <c r="Q40" s="532"/>
      <c r="R40" s="550"/>
      <c r="S40" s="550"/>
      <c r="T40" s="550"/>
      <c r="U40" s="550"/>
      <c r="V40" s="550"/>
      <c r="W40" s="550"/>
      <c r="X40" s="550"/>
      <c r="Y40" s="550"/>
      <c r="Z40" s="550"/>
      <c r="AA40" s="550"/>
      <c r="AB40" s="550"/>
      <c r="AC40" s="550"/>
      <c r="AD40" s="550"/>
      <c r="AE40" s="550"/>
      <c r="AF40" s="550"/>
      <c r="AG40" s="550"/>
      <c r="AH40" s="550"/>
      <c r="AI40" s="550"/>
      <c r="AJ40" s="550"/>
      <c r="AK40" s="550"/>
      <c r="AL40" s="550"/>
      <c r="AM40" s="550"/>
      <c r="AN40" s="550"/>
      <c r="AO40" s="550"/>
      <c r="AP40" s="550">
        <v>4.7897754804000003</v>
      </c>
      <c r="AQ40" s="550">
        <v>4.7136231367199999</v>
      </c>
      <c r="AR40" s="550">
        <v>4.43994964992</v>
      </c>
      <c r="AS40" s="550">
        <v>2.9565614084400003</v>
      </c>
      <c r="AT40" s="550">
        <v>2.7698477716800003</v>
      </c>
      <c r="AU40" s="550">
        <v>2.37526650036</v>
      </c>
      <c r="AV40" s="550">
        <v>2.0562671267999999</v>
      </c>
      <c r="AW40" s="550">
        <v>1.9896674533200001</v>
      </c>
      <c r="AX40" s="550">
        <v>1.9896674533200001</v>
      </c>
      <c r="AY40" s="561">
        <v>0</v>
      </c>
    </row>
    <row r="41" spans="1:51" ht="14.25" customHeight="1">
      <c r="A41" s="531"/>
      <c r="B41" s="532"/>
      <c r="C41" s="532"/>
      <c r="D41" s="532"/>
      <c r="E41" s="532"/>
      <c r="F41" s="532"/>
      <c r="G41" s="532"/>
      <c r="H41" s="532"/>
      <c r="I41" s="532"/>
      <c r="J41" s="532"/>
      <c r="K41" s="532"/>
      <c r="L41" s="532"/>
      <c r="M41" s="532"/>
      <c r="N41" s="532"/>
      <c r="O41" s="532"/>
      <c r="P41" s="532"/>
      <c r="Q41" s="532"/>
      <c r="R41" s="533"/>
      <c r="S41" s="533"/>
      <c r="T41" s="533"/>
      <c r="U41" s="533"/>
      <c r="V41" s="533"/>
      <c r="W41" s="533"/>
      <c r="X41" s="533"/>
      <c r="Y41" s="533"/>
      <c r="Z41" s="533"/>
      <c r="AA41" s="533"/>
      <c r="AB41" s="533"/>
      <c r="AC41" s="533"/>
      <c r="AD41" s="533"/>
      <c r="AE41" s="533"/>
      <c r="AF41" s="533"/>
      <c r="AG41" s="533"/>
      <c r="AH41" s="533"/>
      <c r="AI41" s="533"/>
      <c r="AJ41" s="533"/>
      <c r="AK41" s="533"/>
      <c r="AL41" s="533"/>
      <c r="AM41" s="533"/>
      <c r="AN41" s="533"/>
      <c r="AO41" s="533"/>
      <c r="AP41" s="533"/>
      <c r="AQ41" s="529"/>
      <c r="AR41" s="529"/>
      <c r="AS41" s="529"/>
      <c r="AT41" s="529"/>
      <c r="AU41" s="529"/>
      <c r="AV41" s="529"/>
      <c r="AW41" s="529"/>
      <c r="AX41" s="529"/>
      <c r="AY41" s="545"/>
    </row>
    <row r="42" spans="1:51" ht="14.25" customHeight="1">
      <c r="A42" s="547" t="s">
        <v>2150</v>
      </c>
      <c r="B42" s="575">
        <v>58.287760309799992</v>
      </c>
      <c r="C42" s="575">
        <v>62.301020630399996</v>
      </c>
      <c r="D42" s="575">
        <v>65.301393162599993</v>
      </c>
      <c r="E42" s="575">
        <v>67.525649378099999</v>
      </c>
      <c r="F42" s="575">
        <v>68.016179463300006</v>
      </c>
      <c r="G42" s="575">
        <v>68.406692638500004</v>
      </c>
      <c r="H42" s="575">
        <v>69.89449707</v>
      </c>
      <c r="I42" s="575">
        <v>71.867845913400004</v>
      </c>
      <c r="J42" s="575">
        <v>75.794910142500001</v>
      </c>
      <c r="K42" s="575">
        <v>81.407244095099998</v>
      </c>
      <c r="L42" s="575">
        <v>85.507802136899997</v>
      </c>
      <c r="M42" s="575">
        <v>87.138058148099987</v>
      </c>
      <c r="N42" s="575">
        <v>90.290043726299984</v>
      </c>
      <c r="O42" s="575">
        <v>92.486444158799998</v>
      </c>
      <c r="P42" s="575">
        <v>95.308836307200011</v>
      </c>
      <c r="Q42" s="575">
        <v>97.763611915079323</v>
      </c>
      <c r="R42" s="575">
        <v>103.70311177947303</v>
      </c>
      <c r="S42" s="575">
        <v>105.91188930273616</v>
      </c>
      <c r="T42" s="575">
        <v>103.54181846505843</v>
      </c>
      <c r="U42" s="575">
        <v>107.61689101886984</v>
      </c>
      <c r="V42" s="575">
        <v>109.9409013043836</v>
      </c>
      <c r="W42" s="575">
        <v>112.27001734245313</v>
      </c>
      <c r="X42" s="575">
        <v>114.92265090284707</v>
      </c>
      <c r="Y42" s="575">
        <v>119.7107904777513</v>
      </c>
      <c r="Z42" s="575">
        <v>118.68809846233854</v>
      </c>
      <c r="AA42" s="575">
        <v>122.67081453148491</v>
      </c>
      <c r="AB42" s="575">
        <v>124.90315982342942</v>
      </c>
      <c r="AC42" s="575">
        <v>127.50957509424273</v>
      </c>
      <c r="AD42" s="575">
        <v>130.42033961420037</v>
      </c>
      <c r="AE42" s="575">
        <v>131.26332363338085</v>
      </c>
      <c r="AF42" s="575">
        <v>136.05801848365806</v>
      </c>
      <c r="AG42" s="575">
        <v>138.12657317912041</v>
      </c>
      <c r="AH42" s="575">
        <v>141.22421866273558</v>
      </c>
      <c r="AI42" s="575">
        <v>142.78482580740541</v>
      </c>
      <c r="AJ42" s="575">
        <v>141.07744589596879</v>
      </c>
      <c r="AK42" s="575">
        <v>141.55887802667155</v>
      </c>
      <c r="AL42" s="575">
        <v>146.08105040454834</v>
      </c>
      <c r="AM42" s="575">
        <v>145.20769352218005</v>
      </c>
      <c r="AN42" s="575">
        <v>143.95129814412863</v>
      </c>
      <c r="AO42" s="575">
        <v>142.03239210468766</v>
      </c>
      <c r="AP42" s="575">
        <v>144.85544612423345</v>
      </c>
      <c r="AQ42" s="575">
        <v>146.68385035760411</v>
      </c>
      <c r="AR42" s="575">
        <v>144.83609300377265</v>
      </c>
      <c r="AS42" s="575">
        <v>143.75917099769885</v>
      </c>
      <c r="AT42" s="575">
        <v>143.87438785881253</v>
      </c>
      <c r="AU42" s="575">
        <v>145.12613752877812</v>
      </c>
      <c r="AV42" s="575">
        <v>142.0115100070721</v>
      </c>
      <c r="AW42" s="575">
        <v>142.45680918888914</v>
      </c>
      <c r="AX42" s="575">
        <v>140.53781727063136</v>
      </c>
      <c r="AY42" s="562">
        <v>-1.3470692830928943E-2</v>
      </c>
    </row>
    <row r="43" spans="1:51" ht="14.25" customHeight="1">
      <c r="A43" s="531" t="s">
        <v>2103</v>
      </c>
      <c r="B43" s="550">
        <v>1.3244307569999998</v>
      </c>
      <c r="C43" s="550">
        <v>1.3990881618</v>
      </c>
      <c r="D43" s="550">
        <v>1.4613561495</v>
      </c>
      <c r="E43" s="550">
        <v>1.5447735729000001</v>
      </c>
      <c r="F43" s="550">
        <v>1.4842113929999998</v>
      </c>
      <c r="G43" s="550">
        <v>1.4657039685</v>
      </c>
      <c r="H43" s="550">
        <v>1.6001325683999998</v>
      </c>
      <c r="I43" s="550">
        <v>1.6973213328000001</v>
      </c>
      <c r="J43" s="550">
        <v>1.8208190745000001</v>
      </c>
      <c r="K43" s="550">
        <v>1.8116550585</v>
      </c>
      <c r="L43" s="550">
        <v>2.1039963533999999</v>
      </c>
      <c r="M43" s="550">
        <v>2.1131226557999998</v>
      </c>
      <c r="N43" s="550">
        <v>2.0508089894999997</v>
      </c>
      <c r="O43" s="550">
        <v>2.0381612813999999</v>
      </c>
      <c r="P43" s="550">
        <v>2.3624856819</v>
      </c>
      <c r="Q43" s="550">
        <v>2.3848972127999999</v>
      </c>
      <c r="R43" s="550">
        <v>2.4437048405923871</v>
      </c>
      <c r="S43" s="550">
        <v>2.5507525625775216</v>
      </c>
      <c r="T43" s="550">
        <v>2.694077932743673</v>
      </c>
      <c r="U43" s="550">
        <v>2.797531703748612</v>
      </c>
      <c r="V43" s="550">
        <v>3.0358810623249539</v>
      </c>
      <c r="W43" s="550">
        <v>3.2089438796349636</v>
      </c>
      <c r="X43" s="550">
        <v>3.4936361679381229</v>
      </c>
      <c r="Y43" s="550">
        <v>4.04993676878874</v>
      </c>
      <c r="Z43" s="550">
        <v>4.3209004259752204</v>
      </c>
      <c r="AA43" s="550">
        <v>4.5797229595928881</v>
      </c>
      <c r="AB43" s="550">
        <v>4.6044788282441997</v>
      </c>
      <c r="AC43" s="550">
        <v>5.0951829802534565</v>
      </c>
      <c r="AD43" s="550">
        <v>5.0972458299255718</v>
      </c>
      <c r="AE43" s="550">
        <v>5.2296923373241677</v>
      </c>
      <c r="AF43" s="550">
        <v>5.0590033998249959</v>
      </c>
      <c r="AG43" s="550">
        <v>5.2451220017412004</v>
      </c>
      <c r="AH43" s="550">
        <v>6.0288189921187563</v>
      </c>
      <c r="AI43" s="550">
        <v>6.4704964603349158</v>
      </c>
      <c r="AJ43" s="550">
        <v>7.2396775796496478</v>
      </c>
      <c r="AK43" s="550">
        <v>7.0991771986748518</v>
      </c>
      <c r="AL43" s="550">
        <v>7.9306064159745961</v>
      </c>
      <c r="AM43" s="550">
        <v>7.4105077349672994</v>
      </c>
      <c r="AN43" s="550">
        <v>8.0219638749236388</v>
      </c>
      <c r="AO43" s="550">
        <v>8.6580372333269526</v>
      </c>
      <c r="AP43" s="550">
        <v>9.4939892292325307</v>
      </c>
      <c r="AQ43" s="550">
        <v>10.147636866997187</v>
      </c>
      <c r="AR43" s="550">
        <v>9.085438421545895</v>
      </c>
      <c r="AS43" s="550">
        <v>9.3177968284986843</v>
      </c>
      <c r="AT43" s="550">
        <v>8.2276353636553807</v>
      </c>
      <c r="AU43" s="550">
        <v>9.1626695407510912</v>
      </c>
      <c r="AV43" s="550">
        <v>9.6741808520675772</v>
      </c>
      <c r="AW43" s="550">
        <v>9.3728590326103678</v>
      </c>
      <c r="AX43" s="550">
        <v>8.7340356876716285</v>
      </c>
      <c r="AY43" s="561">
        <v>-6.815672173411802E-2</v>
      </c>
    </row>
    <row r="44" spans="1:51" ht="14.25" customHeight="1">
      <c r="A44" s="531" t="s">
        <v>2125</v>
      </c>
      <c r="B44" s="550">
        <v>20.749029253199996</v>
      </c>
      <c r="C44" s="550">
        <v>21.7552315302</v>
      </c>
      <c r="D44" s="550">
        <v>23.300659399499999</v>
      </c>
      <c r="E44" s="550">
        <v>25.114568229900001</v>
      </c>
      <c r="F44" s="550">
        <v>26.005284585000002</v>
      </c>
      <c r="G44" s="550">
        <v>26.695242697500003</v>
      </c>
      <c r="H44" s="550">
        <v>27.518127721199999</v>
      </c>
      <c r="I44" s="550">
        <v>27.942659824500002</v>
      </c>
      <c r="J44" s="550">
        <v>29.226504235500002</v>
      </c>
      <c r="K44" s="550">
        <v>32.853684213899996</v>
      </c>
      <c r="L44" s="550">
        <v>35.467842848400004</v>
      </c>
      <c r="M44" s="550">
        <v>36.098383007700001</v>
      </c>
      <c r="N44" s="550">
        <v>37.307117789999985</v>
      </c>
      <c r="O44" s="550">
        <v>38.4876116298</v>
      </c>
      <c r="P44" s="550">
        <v>39.562653082500006</v>
      </c>
      <c r="Q44" s="550">
        <v>40.899257050233118</v>
      </c>
      <c r="R44" s="550">
        <v>42.280830001228111</v>
      </c>
      <c r="S44" s="550">
        <v>43.117943778481802</v>
      </c>
      <c r="T44" s="550">
        <v>41.762042187854959</v>
      </c>
      <c r="U44" s="550">
        <v>45.288631801474573</v>
      </c>
      <c r="V44" s="550">
        <v>46.414741618200857</v>
      </c>
      <c r="W44" s="550">
        <v>47.063542914911402</v>
      </c>
      <c r="X44" s="550">
        <v>47.661203893790265</v>
      </c>
      <c r="Y44" s="550">
        <v>49.508519816145629</v>
      </c>
      <c r="Z44" s="550">
        <v>48.988927020167104</v>
      </c>
      <c r="AA44" s="550">
        <v>50.069670939476595</v>
      </c>
      <c r="AB44" s="550">
        <v>51.812224530733694</v>
      </c>
      <c r="AC44" s="550">
        <v>52.256305930075193</v>
      </c>
      <c r="AD44" s="550">
        <v>54.673991028615269</v>
      </c>
      <c r="AE44" s="550">
        <v>53.054457281832597</v>
      </c>
      <c r="AF44" s="550">
        <v>55.773617938826007</v>
      </c>
      <c r="AG44" s="550">
        <v>56.721359148396374</v>
      </c>
      <c r="AH44" s="550">
        <v>54.703087406693712</v>
      </c>
      <c r="AI44" s="550">
        <v>54.864725516989822</v>
      </c>
      <c r="AJ44" s="550">
        <v>52.716668373856322</v>
      </c>
      <c r="AK44" s="550">
        <v>50.690056722802652</v>
      </c>
      <c r="AL44" s="550">
        <v>54.82526403538823</v>
      </c>
      <c r="AM44" s="550">
        <v>54.722695253185123</v>
      </c>
      <c r="AN44" s="550">
        <v>52.172062226622195</v>
      </c>
      <c r="AO44" s="550">
        <v>51.805697869775798</v>
      </c>
      <c r="AP44" s="550">
        <v>51.912656784731873</v>
      </c>
      <c r="AQ44" s="550">
        <v>52.593748003022171</v>
      </c>
      <c r="AR44" s="550">
        <v>52.370085732985281</v>
      </c>
      <c r="AS44" s="550">
        <v>52.618037753786851</v>
      </c>
      <c r="AT44" s="550">
        <v>52.638015353266582</v>
      </c>
      <c r="AU44" s="550">
        <v>53.379585886237031</v>
      </c>
      <c r="AV44" s="550">
        <v>50.527195976641025</v>
      </c>
      <c r="AW44" s="550">
        <v>49.52786070271722</v>
      </c>
      <c r="AX44" s="550">
        <v>48.873571075955475</v>
      </c>
      <c r="AY44" s="561">
        <v>-1.3210536806526174E-2</v>
      </c>
    </row>
    <row r="45" spans="1:51" ht="14.25" customHeight="1" outlineLevel="1">
      <c r="A45" s="567" t="s">
        <v>2126</v>
      </c>
      <c r="B45" s="568"/>
      <c r="C45" s="568"/>
      <c r="D45" s="568"/>
      <c r="E45" s="568"/>
      <c r="F45" s="568"/>
      <c r="G45" s="568"/>
      <c r="H45" s="568"/>
      <c r="I45" s="568"/>
      <c r="J45" s="568"/>
      <c r="K45" s="568"/>
      <c r="L45" s="568"/>
      <c r="M45" s="568"/>
      <c r="N45" s="568"/>
      <c r="O45" s="568"/>
      <c r="P45" s="568"/>
      <c r="Q45" s="568"/>
      <c r="R45" s="576">
        <v>0.68774511791421711</v>
      </c>
      <c r="S45" s="576">
        <v>0.84499882237684432</v>
      </c>
      <c r="T45" s="576">
        <v>1.0082012095294306</v>
      </c>
      <c r="U45" s="576">
        <v>1.1087350672870726</v>
      </c>
      <c r="V45" s="576">
        <v>1.2158426958611077</v>
      </c>
      <c r="W45" s="576">
        <v>1.3766848701993466</v>
      </c>
      <c r="X45" s="576">
        <v>1.3775455593154295</v>
      </c>
      <c r="Y45" s="576">
        <v>1.3913559962378603</v>
      </c>
      <c r="Z45" s="576">
        <v>1.1825011778285843</v>
      </c>
      <c r="AA45" s="576">
        <v>1.0152354124316663</v>
      </c>
      <c r="AB45" s="576">
        <v>1.2277775366985817</v>
      </c>
      <c r="AC45" s="576">
        <v>1.2687601306882392</v>
      </c>
      <c r="AD45" s="576">
        <v>1.1942495219465423</v>
      </c>
      <c r="AE45" s="576">
        <v>1.1263940211621817</v>
      </c>
      <c r="AF45" s="576">
        <v>1.0424754663638869</v>
      </c>
      <c r="AG45" s="576">
        <v>1.1601727038522935</v>
      </c>
      <c r="AH45" s="576">
        <v>1.1820827830659839</v>
      </c>
      <c r="AI45" s="576">
        <v>1.3347335859881579</v>
      </c>
      <c r="AJ45" s="576">
        <v>1.5417286574468005</v>
      </c>
      <c r="AK45" s="576">
        <v>1.7616722799890592</v>
      </c>
      <c r="AL45" s="576">
        <v>1.5318887037860087</v>
      </c>
      <c r="AM45" s="576">
        <v>1.439854330037724</v>
      </c>
      <c r="AN45" s="576">
        <v>1.660102932951925</v>
      </c>
      <c r="AO45" s="576">
        <v>1.6753871259233171</v>
      </c>
      <c r="AP45" s="576">
        <v>1.6073090887758588</v>
      </c>
      <c r="AQ45" s="576">
        <v>1.4585755225433112</v>
      </c>
      <c r="AR45" s="576">
        <v>1.3015215179832456</v>
      </c>
      <c r="AS45" s="576">
        <v>1.5036544345700915</v>
      </c>
      <c r="AT45" s="576">
        <v>1.618355395931022</v>
      </c>
      <c r="AU45" s="576">
        <v>1.6198546137791254</v>
      </c>
      <c r="AV45" s="576">
        <v>1.4992661322893448</v>
      </c>
      <c r="AW45" s="576">
        <v>1.533805638672636</v>
      </c>
      <c r="AX45" s="576">
        <v>1.5548401380293568</v>
      </c>
      <c r="AY45" s="561">
        <v>1.3713927518824498E-2</v>
      </c>
    </row>
    <row r="46" spans="1:51" ht="14.25" customHeight="1" outlineLevel="1">
      <c r="A46" s="567" t="s">
        <v>2127</v>
      </c>
      <c r="B46" s="568"/>
      <c r="C46" s="568"/>
      <c r="D46" s="568"/>
      <c r="E46" s="568"/>
      <c r="F46" s="568"/>
      <c r="G46" s="568"/>
      <c r="H46" s="568"/>
      <c r="I46" s="568"/>
      <c r="J46" s="568"/>
      <c r="K46" s="568"/>
      <c r="L46" s="568"/>
      <c r="M46" s="568"/>
      <c r="N46" s="568"/>
      <c r="O46" s="568"/>
      <c r="P46" s="568"/>
      <c r="Q46" s="568"/>
      <c r="R46" s="576">
        <v>5.4393143128132317</v>
      </c>
      <c r="S46" s="576">
        <v>5.3416925149969083</v>
      </c>
      <c r="T46" s="576">
        <v>5.273428843419012</v>
      </c>
      <c r="U46" s="576">
        <v>5.7288712361717158</v>
      </c>
      <c r="V46" s="576">
        <v>6.0443637429057482</v>
      </c>
      <c r="W46" s="576">
        <v>6.1207693212252599</v>
      </c>
      <c r="X46" s="576">
        <v>6.1512953415819114</v>
      </c>
      <c r="Y46" s="576">
        <v>6.6960988700919479</v>
      </c>
      <c r="Z46" s="576">
        <v>6.4217090618177037</v>
      </c>
      <c r="AA46" s="576">
        <v>6.5659882622306398</v>
      </c>
      <c r="AB46" s="576">
        <v>6.7318501242031923</v>
      </c>
      <c r="AC46" s="576">
        <v>7.0629153926531041</v>
      </c>
      <c r="AD46" s="576">
        <v>7.5105242249849278</v>
      </c>
      <c r="AE46" s="576">
        <v>7.3712731692247555</v>
      </c>
      <c r="AF46" s="576">
        <v>7.6300595310915007</v>
      </c>
      <c r="AG46" s="576">
        <v>8.1920120443041586</v>
      </c>
      <c r="AH46" s="576">
        <v>7.9612189139681995</v>
      </c>
      <c r="AI46" s="576">
        <v>7.8216472436211708</v>
      </c>
      <c r="AJ46" s="576">
        <v>8.1252068811835674</v>
      </c>
      <c r="AK46" s="576">
        <v>8.1444907291415767</v>
      </c>
      <c r="AL46" s="576">
        <v>8.1061134868278</v>
      </c>
      <c r="AM46" s="576">
        <v>8.0282900019555719</v>
      </c>
      <c r="AN46" s="576">
        <v>7.0838714802476517</v>
      </c>
      <c r="AO46" s="576">
        <v>7.9216303487137196</v>
      </c>
      <c r="AP46" s="576">
        <v>8.3232077486049718</v>
      </c>
      <c r="AQ46" s="576">
        <v>8.7748929936562678</v>
      </c>
      <c r="AR46" s="576">
        <v>9.0244108646576997</v>
      </c>
      <c r="AS46" s="576">
        <v>9.5854780443256544</v>
      </c>
      <c r="AT46" s="576">
        <v>9.9943295977121398</v>
      </c>
      <c r="AU46" s="576">
        <v>10.106953546059144</v>
      </c>
      <c r="AV46" s="576">
        <v>10.343021208180517</v>
      </c>
      <c r="AW46" s="576">
        <v>10.264339384001929</v>
      </c>
      <c r="AX46" s="576">
        <v>10.850558011615115</v>
      </c>
      <c r="AY46" s="561">
        <v>5.711216335333491E-2</v>
      </c>
    </row>
    <row r="47" spans="1:51" ht="14.25" customHeight="1" outlineLevel="1">
      <c r="A47" s="567" t="s">
        <v>2128</v>
      </c>
      <c r="B47" s="568"/>
      <c r="C47" s="568"/>
      <c r="D47" s="568"/>
      <c r="E47" s="568"/>
      <c r="F47" s="568"/>
      <c r="G47" s="568"/>
      <c r="H47" s="568"/>
      <c r="I47" s="568"/>
      <c r="J47" s="568"/>
      <c r="K47" s="568"/>
      <c r="L47" s="568"/>
      <c r="M47" s="568"/>
      <c r="N47" s="568"/>
      <c r="O47" s="568"/>
      <c r="P47" s="568"/>
      <c r="Q47" s="568"/>
      <c r="R47" s="576">
        <v>9.9019899809934824</v>
      </c>
      <c r="S47" s="576">
        <v>10.552866038233848</v>
      </c>
      <c r="T47" s="576">
        <v>10.332866296069849</v>
      </c>
      <c r="U47" s="576">
        <v>11.181628369079496</v>
      </c>
      <c r="V47" s="576">
        <v>11.366173795276151</v>
      </c>
      <c r="W47" s="576">
        <v>11.799941999093351</v>
      </c>
      <c r="X47" s="576">
        <v>11.247239329777081</v>
      </c>
      <c r="Y47" s="576">
        <v>11.647070638421651</v>
      </c>
      <c r="Z47" s="576">
        <v>11.281414436957339</v>
      </c>
      <c r="AA47" s="576">
        <v>12.491489313360072</v>
      </c>
      <c r="AB47" s="576">
        <v>13.389952693850496</v>
      </c>
      <c r="AC47" s="576">
        <v>13.51709412138</v>
      </c>
      <c r="AD47" s="576">
        <v>14.531621694448354</v>
      </c>
      <c r="AE47" s="576">
        <v>13.370833474930116</v>
      </c>
      <c r="AF47" s="576">
        <v>15.126065707445134</v>
      </c>
      <c r="AG47" s="576">
        <v>14.877589671788364</v>
      </c>
      <c r="AH47" s="576">
        <v>13.336879817110896</v>
      </c>
      <c r="AI47" s="576">
        <v>12.402363315390946</v>
      </c>
      <c r="AJ47" s="576">
        <v>12.093089066986789</v>
      </c>
      <c r="AK47" s="576">
        <v>13.012152217054057</v>
      </c>
      <c r="AL47" s="576">
        <v>13.470641331225192</v>
      </c>
      <c r="AM47" s="576">
        <v>13.323290626846079</v>
      </c>
      <c r="AN47" s="576">
        <v>12.163270473795924</v>
      </c>
      <c r="AO47" s="576">
        <v>9.7238611579341239</v>
      </c>
      <c r="AP47" s="576">
        <v>9.6404058593566919</v>
      </c>
      <c r="AQ47" s="576">
        <v>9.822841554408841</v>
      </c>
      <c r="AR47" s="576">
        <v>9.8368560217951213</v>
      </c>
      <c r="AS47" s="576">
        <v>9.7110997072350838</v>
      </c>
      <c r="AT47" s="576">
        <v>9.5796753049051908</v>
      </c>
      <c r="AU47" s="576">
        <v>9.2758330526889239</v>
      </c>
      <c r="AV47" s="576">
        <v>7.5017078057838242</v>
      </c>
      <c r="AW47" s="576">
        <v>6.06582579649446</v>
      </c>
      <c r="AX47" s="576">
        <v>5.3554581302520958</v>
      </c>
      <c r="AY47" s="561">
        <v>-0.1171098033598158</v>
      </c>
    </row>
    <row r="48" spans="1:51" ht="14.25" customHeight="1" outlineLevel="1">
      <c r="A48" s="567" t="s">
        <v>2129</v>
      </c>
      <c r="B48" s="568"/>
      <c r="C48" s="568"/>
      <c r="D48" s="568"/>
      <c r="E48" s="568"/>
      <c r="F48" s="568"/>
      <c r="G48" s="568"/>
      <c r="H48" s="568"/>
      <c r="I48" s="568"/>
      <c r="J48" s="568"/>
      <c r="K48" s="568"/>
      <c r="L48" s="568"/>
      <c r="M48" s="568"/>
      <c r="N48" s="568"/>
      <c r="O48" s="568"/>
      <c r="P48" s="568"/>
      <c r="Q48" s="568"/>
      <c r="R48" s="576">
        <v>2.5477892597999015</v>
      </c>
      <c r="S48" s="576">
        <v>2.5069275058515048</v>
      </c>
      <c r="T48" s="576">
        <v>2.4817303325776137</v>
      </c>
      <c r="U48" s="576">
        <v>2.5572208713394895</v>
      </c>
      <c r="V48" s="576">
        <v>2.5431366171251879</v>
      </c>
      <c r="W48" s="576">
        <v>2.4912737443961102</v>
      </c>
      <c r="X48" s="576">
        <v>2.4486789136574627</v>
      </c>
      <c r="Y48" s="576">
        <v>2.5987944910653358</v>
      </c>
      <c r="Z48" s="576">
        <v>2.5473260779397782</v>
      </c>
      <c r="AA48" s="576">
        <v>2.3839680385105666</v>
      </c>
      <c r="AB48" s="576">
        <v>2.3668266136430014</v>
      </c>
      <c r="AC48" s="576">
        <v>2.5579359736656371</v>
      </c>
      <c r="AD48" s="576">
        <v>2.5881325842194172</v>
      </c>
      <c r="AE48" s="576">
        <v>2.4451218662619776</v>
      </c>
      <c r="AF48" s="576">
        <v>2.3160642809339915</v>
      </c>
      <c r="AG48" s="576">
        <v>2.711073689585406</v>
      </c>
      <c r="AH48" s="576">
        <v>2.8756945761245243</v>
      </c>
      <c r="AI48" s="576">
        <v>2.7896293122948252</v>
      </c>
      <c r="AJ48" s="576">
        <v>2.7376777752622448</v>
      </c>
      <c r="AK48" s="576">
        <v>2.5451472975179508</v>
      </c>
      <c r="AL48" s="576">
        <v>2.534937083183149</v>
      </c>
      <c r="AM48" s="576">
        <v>2.572963990860571</v>
      </c>
      <c r="AN48" s="576">
        <v>2.6661275544318008</v>
      </c>
      <c r="AO48" s="576">
        <v>2.7057292481095163</v>
      </c>
      <c r="AP48" s="576">
        <v>2.6361892595381544</v>
      </c>
      <c r="AQ48" s="576">
        <v>2.7883504971568618</v>
      </c>
      <c r="AR48" s="576">
        <v>2.949533937545969</v>
      </c>
      <c r="AS48" s="576">
        <v>3.1165353511401781</v>
      </c>
      <c r="AT48" s="576">
        <v>2.806994227592682</v>
      </c>
      <c r="AU48" s="576">
        <v>2.881840701759721</v>
      </c>
      <c r="AV48" s="576">
        <v>2.7506227003002395</v>
      </c>
      <c r="AW48" s="576">
        <v>2.6880832218864454</v>
      </c>
      <c r="AX48" s="576">
        <v>1.9203598141549525</v>
      </c>
      <c r="AY48" s="561">
        <v>-0.28560254440066013</v>
      </c>
    </row>
    <row r="49" spans="1:51" ht="14.25" customHeight="1" outlineLevel="1">
      <c r="A49" s="567" t="s">
        <v>2130</v>
      </c>
      <c r="B49" s="568"/>
      <c r="C49" s="568"/>
      <c r="D49" s="568"/>
      <c r="E49" s="568"/>
      <c r="F49" s="568"/>
      <c r="G49" s="568"/>
      <c r="H49" s="568"/>
      <c r="I49" s="568"/>
      <c r="J49" s="568"/>
      <c r="K49" s="568"/>
      <c r="L49" s="568"/>
      <c r="M49" s="568"/>
      <c r="N49" s="568"/>
      <c r="O49" s="568"/>
      <c r="P49" s="568"/>
      <c r="Q49" s="568"/>
      <c r="R49" s="576">
        <v>19.676561061819204</v>
      </c>
      <c r="S49" s="576">
        <v>20.19565703448875</v>
      </c>
      <c r="T49" s="576">
        <v>19.107680838975792</v>
      </c>
      <c r="U49" s="576">
        <v>20.75736503782235</v>
      </c>
      <c r="V49" s="576">
        <v>20.717902431310932</v>
      </c>
      <c r="W49" s="576">
        <v>20.706271832774231</v>
      </c>
      <c r="X49" s="576">
        <v>21.47833158786144</v>
      </c>
      <c r="Y49" s="576">
        <v>22.090478869956566</v>
      </c>
      <c r="Z49" s="576">
        <v>22.590248168454984</v>
      </c>
      <c r="AA49" s="576">
        <v>22.865828001967223</v>
      </c>
      <c r="AB49" s="576">
        <v>22.847674362150634</v>
      </c>
      <c r="AC49" s="576">
        <v>22.645521085457158</v>
      </c>
      <c r="AD49" s="576">
        <v>22.802485436617644</v>
      </c>
      <c r="AE49" s="576">
        <v>22.970189074838185</v>
      </c>
      <c r="AF49" s="576">
        <v>24.010523731212515</v>
      </c>
      <c r="AG49" s="576">
        <v>24.158564157083546</v>
      </c>
      <c r="AH49" s="576">
        <v>23.808716030657411</v>
      </c>
      <c r="AI49" s="576">
        <v>24.728465964943837</v>
      </c>
      <c r="AJ49" s="576">
        <v>22.682898279889056</v>
      </c>
      <c r="AK49" s="576">
        <v>20.219898902748191</v>
      </c>
      <c r="AL49" s="576">
        <v>24.298875063547595</v>
      </c>
      <c r="AM49" s="576">
        <v>24.865887739084666</v>
      </c>
      <c r="AN49" s="576">
        <v>23.564520667715328</v>
      </c>
      <c r="AO49" s="576">
        <v>23.780309491217807</v>
      </c>
      <c r="AP49" s="576">
        <v>23.579615005381871</v>
      </c>
      <c r="AQ49" s="576">
        <v>23.487432250192814</v>
      </c>
      <c r="AR49" s="576">
        <v>23.232170399228782</v>
      </c>
      <c r="AS49" s="576">
        <v>22.883941511755452</v>
      </c>
      <c r="AT49" s="576">
        <v>22.993459666445663</v>
      </c>
      <c r="AU49" s="576">
        <v>23.650689640617465</v>
      </c>
      <c r="AV49" s="576">
        <v>22.462710392874779</v>
      </c>
      <c r="AW49" s="576">
        <v>22.53083887366931</v>
      </c>
      <c r="AX49" s="576">
        <v>22.577186293409518</v>
      </c>
      <c r="AY49" s="561">
        <v>2.057065873138475E-3</v>
      </c>
    </row>
    <row r="50" spans="1:51" ht="14.25" customHeight="1" outlineLevel="1">
      <c r="A50" s="567" t="s">
        <v>2131</v>
      </c>
      <c r="B50" s="568"/>
      <c r="C50" s="568"/>
      <c r="D50" s="568"/>
      <c r="E50" s="568"/>
      <c r="F50" s="568"/>
      <c r="G50" s="568"/>
      <c r="H50" s="568"/>
      <c r="I50" s="568"/>
      <c r="J50" s="568"/>
      <c r="K50" s="568"/>
      <c r="L50" s="568"/>
      <c r="M50" s="568"/>
      <c r="N50" s="568"/>
      <c r="O50" s="568"/>
      <c r="P50" s="568"/>
      <c r="Q50" s="568"/>
      <c r="R50" s="576">
        <v>4.027430267888076</v>
      </c>
      <c r="S50" s="576">
        <v>3.6758018625339597</v>
      </c>
      <c r="T50" s="576">
        <v>3.558134667283261</v>
      </c>
      <c r="U50" s="576">
        <v>3.9548112197744523</v>
      </c>
      <c r="V50" s="576">
        <v>4.5273223357217276</v>
      </c>
      <c r="W50" s="576">
        <v>4.5686011472231041</v>
      </c>
      <c r="X50" s="576">
        <v>4.9581131615969394</v>
      </c>
      <c r="Y50" s="576">
        <v>5.0847209503722715</v>
      </c>
      <c r="Z50" s="576">
        <v>4.9657280971687197</v>
      </c>
      <c r="AA50" s="576">
        <v>4.7471619109764234</v>
      </c>
      <c r="AB50" s="576">
        <v>5.2481432001877915</v>
      </c>
      <c r="AC50" s="576">
        <v>5.2040792262310553</v>
      </c>
      <c r="AD50" s="576">
        <v>6.0469775663983922</v>
      </c>
      <c r="AE50" s="576">
        <v>5.7706456754153876</v>
      </c>
      <c r="AF50" s="576">
        <v>5.6484292217789873</v>
      </c>
      <c r="AG50" s="576">
        <v>5.6219468817826082</v>
      </c>
      <c r="AH50" s="576">
        <v>5.5384952857666914</v>
      </c>
      <c r="AI50" s="576">
        <v>5.7878860947508795</v>
      </c>
      <c r="AJ50" s="576">
        <v>5.5360677130878599</v>
      </c>
      <c r="AK50" s="576">
        <v>5.0066952963518156</v>
      </c>
      <c r="AL50" s="576">
        <v>4.8828083668184874</v>
      </c>
      <c r="AM50" s="576">
        <v>4.4924085644005078</v>
      </c>
      <c r="AN50" s="576">
        <v>5.0341691174795642</v>
      </c>
      <c r="AO50" s="576">
        <v>5.9987804978773083</v>
      </c>
      <c r="AP50" s="576">
        <v>6.12592982307432</v>
      </c>
      <c r="AQ50" s="576">
        <v>6.2616551850640798</v>
      </c>
      <c r="AR50" s="576">
        <v>6.025592991774456</v>
      </c>
      <c r="AS50" s="576">
        <v>5.8173287047603921</v>
      </c>
      <c r="AT50" s="576">
        <v>5.6452011606798838</v>
      </c>
      <c r="AU50" s="576">
        <v>5.844414331332648</v>
      </c>
      <c r="AV50" s="576">
        <v>5.9698677372123239</v>
      </c>
      <c r="AW50" s="576">
        <v>6.4449677879924394</v>
      </c>
      <c r="AX50" s="576">
        <v>6.6151686884944318</v>
      </c>
      <c r="AY50" s="561">
        <v>2.6408339979463014E-2</v>
      </c>
    </row>
    <row r="51" spans="1:51" ht="14.25" customHeight="1">
      <c r="A51" s="531" t="s">
        <v>1604</v>
      </c>
      <c r="B51" s="550">
        <v>9.1241103303000006</v>
      </c>
      <c r="C51" s="550">
        <v>9.6614882981999983</v>
      </c>
      <c r="D51" s="550">
        <v>10.3024461726</v>
      </c>
      <c r="E51" s="550">
        <v>10.8612159282</v>
      </c>
      <c r="F51" s="550">
        <v>10.954412638200001</v>
      </c>
      <c r="G51" s="550">
        <v>11.527476772499998</v>
      </c>
      <c r="H51" s="550">
        <v>11.963543180400002</v>
      </c>
      <c r="I51" s="550">
        <v>12.6811107504</v>
      </c>
      <c r="J51" s="550">
        <v>13.731265837799999</v>
      </c>
      <c r="K51" s="550">
        <v>14.634478940399999</v>
      </c>
      <c r="L51" s="550">
        <v>15.558859485000001</v>
      </c>
      <c r="M51" s="550">
        <v>16.311998427299997</v>
      </c>
      <c r="N51" s="550">
        <v>17.315064836099999</v>
      </c>
      <c r="O51" s="550">
        <v>18.038084660099997</v>
      </c>
      <c r="P51" s="550">
        <v>19.225191487500002</v>
      </c>
      <c r="Q51" s="550">
        <v>19.396141018646205</v>
      </c>
      <c r="R51" s="550">
        <v>19.154195501071428</v>
      </c>
      <c r="S51" s="550">
        <v>19.500908624136216</v>
      </c>
      <c r="T51" s="550">
        <v>19.140953918937228</v>
      </c>
      <c r="U51" s="550">
        <v>19.483694341905277</v>
      </c>
      <c r="V51" s="550">
        <v>19.874958387238905</v>
      </c>
      <c r="W51" s="550">
        <v>20.778072496980478</v>
      </c>
      <c r="X51" s="550">
        <v>21.363562176961175</v>
      </c>
      <c r="Y51" s="550">
        <v>23.153793874669258</v>
      </c>
      <c r="Z51" s="550">
        <v>23.222614104478222</v>
      </c>
      <c r="AA51" s="550">
        <v>24.068776021186896</v>
      </c>
      <c r="AB51" s="550">
        <v>24.854336698966382</v>
      </c>
      <c r="AC51" s="550">
        <v>24.680331180868357</v>
      </c>
      <c r="AD51" s="550">
        <v>25.446464777227643</v>
      </c>
      <c r="AE51" s="550">
        <v>25.980884731892843</v>
      </c>
      <c r="AF51" s="550">
        <v>28.038785781489118</v>
      </c>
      <c r="AG51" s="550">
        <v>29.642673399105711</v>
      </c>
      <c r="AH51" s="550">
        <v>31.732212506610381</v>
      </c>
      <c r="AI51" s="550">
        <v>32.878777184767117</v>
      </c>
      <c r="AJ51" s="550">
        <v>32.489899883441964</v>
      </c>
      <c r="AK51" s="550">
        <v>32.160094054242762</v>
      </c>
      <c r="AL51" s="550">
        <v>32.418017895071479</v>
      </c>
      <c r="AM51" s="550">
        <v>32.299291593917744</v>
      </c>
      <c r="AN51" s="550">
        <v>33.709288785782867</v>
      </c>
      <c r="AO51" s="550">
        <v>33.610138981487673</v>
      </c>
      <c r="AP51" s="550">
        <v>33.623439020520514</v>
      </c>
      <c r="AQ51" s="550">
        <v>34.039819948874396</v>
      </c>
      <c r="AR51" s="550">
        <v>34.054991620797594</v>
      </c>
      <c r="AS51" s="550">
        <v>33.96499760843114</v>
      </c>
      <c r="AT51" s="550">
        <v>34.170098835132897</v>
      </c>
      <c r="AU51" s="550">
        <v>34.27634982007627</v>
      </c>
      <c r="AV51" s="550">
        <v>33.014014902499504</v>
      </c>
      <c r="AW51" s="550">
        <v>33.398338432734867</v>
      </c>
      <c r="AX51" s="550">
        <v>33.452488814868573</v>
      </c>
      <c r="AY51" s="561">
        <v>1.6213495842845038E-3</v>
      </c>
    </row>
    <row r="52" spans="1:51" ht="14.25" customHeight="1">
      <c r="A52" s="531" t="s">
        <v>1611</v>
      </c>
      <c r="B52" s="550">
        <v>27.090189969299999</v>
      </c>
      <c r="C52" s="550">
        <v>29.485212640199997</v>
      </c>
      <c r="D52" s="550">
        <v>30.236931441000003</v>
      </c>
      <c r="E52" s="550">
        <v>30.005091647099999</v>
      </c>
      <c r="F52" s="550">
        <v>29.572270847099997</v>
      </c>
      <c r="G52" s="550">
        <v>28.718269199999995</v>
      </c>
      <c r="H52" s="550">
        <v>28.812693599999999</v>
      </c>
      <c r="I52" s="550">
        <v>29.546754005700002</v>
      </c>
      <c r="J52" s="550">
        <v>31.016320994699999</v>
      </c>
      <c r="K52" s="550">
        <v>32.107425882299999</v>
      </c>
      <c r="L52" s="550">
        <v>32.377103450099995</v>
      </c>
      <c r="M52" s="550">
        <v>32.614554057299998</v>
      </c>
      <c r="N52" s="550">
        <v>33.617052110700001</v>
      </c>
      <c r="O52" s="550">
        <v>33.9225865875</v>
      </c>
      <c r="P52" s="550">
        <v>34.158506055300002</v>
      </c>
      <c r="Q52" s="550">
        <v>35.083316633400003</v>
      </c>
      <c r="R52" s="550">
        <v>36.591253567305479</v>
      </c>
      <c r="S52" s="550">
        <v>37.535744749665241</v>
      </c>
      <c r="T52" s="550">
        <v>36.732636792536404</v>
      </c>
      <c r="U52" s="550">
        <v>36.813733493644442</v>
      </c>
      <c r="V52" s="550">
        <v>37.366768513411195</v>
      </c>
      <c r="W52" s="550">
        <v>37.966274282607834</v>
      </c>
      <c r="X52" s="550">
        <v>39.146937279128281</v>
      </c>
      <c r="Y52" s="550">
        <v>39.72509091240768</v>
      </c>
      <c r="Z52" s="550">
        <v>38.880792738867235</v>
      </c>
      <c r="AA52" s="550">
        <v>40.674758918066999</v>
      </c>
      <c r="AB52" s="550">
        <v>40.357734585612839</v>
      </c>
      <c r="AC52" s="550">
        <v>42.210606060062638</v>
      </c>
      <c r="AD52" s="550">
        <v>41.935029944738041</v>
      </c>
      <c r="AE52" s="550">
        <v>43.734808554326634</v>
      </c>
      <c r="AF52" s="550">
        <v>44.134643042496357</v>
      </c>
      <c r="AG52" s="550">
        <v>43.549076570263914</v>
      </c>
      <c r="AH52" s="550">
        <v>45.432931237582316</v>
      </c>
      <c r="AI52" s="550">
        <v>45.241374158927997</v>
      </c>
      <c r="AJ52" s="550">
        <v>44.815755376988278</v>
      </c>
      <c r="AK52" s="550">
        <v>46.6334773990326</v>
      </c>
      <c r="AL52" s="550">
        <v>45.143919719260914</v>
      </c>
      <c r="AM52" s="550">
        <v>45.332224253094964</v>
      </c>
      <c r="AN52" s="550">
        <v>45.507006670788719</v>
      </c>
      <c r="AO52" s="550">
        <v>44.285873630465517</v>
      </c>
      <c r="AP52" s="550">
        <v>44.788013726618516</v>
      </c>
      <c r="AQ52" s="550">
        <v>44.888637457260359</v>
      </c>
      <c r="AR52" s="550">
        <v>44.558021136593872</v>
      </c>
      <c r="AS52" s="550">
        <v>44.574325015012199</v>
      </c>
      <c r="AT52" s="550">
        <v>45.730837757947675</v>
      </c>
      <c r="AU52" s="550">
        <v>45.541938980223719</v>
      </c>
      <c r="AV52" s="550">
        <v>46.338361262733962</v>
      </c>
      <c r="AW52" s="550">
        <v>47.690787185176681</v>
      </c>
      <c r="AX52" s="550">
        <v>46.792072936885681</v>
      </c>
      <c r="AY52" s="561">
        <v>-1.8844609228223064E-2</v>
      </c>
    </row>
    <row r="53" spans="1:51" ht="14.25" customHeight="1">
      <c r="A53" s="531" t="s">
        <v>879</v>
      </c>
      <c r="B53" s="532"/>
      <c r="C53" s="532"/>
      <c r="D53" s="532"/>
      <c r="E53" s="532"/>
      <c r="F53" s="532"/>
      <c r="G53" s="532"/>
      <c r="H53" s="532"/>
      <c r="I53" s="532"/>
      <c r="J53" s="532"/>
      <c r="K53" s="532"/>
      <c r="L53" s="532"/>
      <c r="M53" s="532"/>
      <c r="N53" s="532"/>
      <c r="O53" s="532"/>
      <c r="P53" s="532"/>
      <c r="Q53" s="532"/>
      <c r="R53" s="550">
        <v>0.22035986927562384</v>
      </c>
      <c r="S53" s="550">
        <v>0.19377158787539098</v>
      </c>
      <c r="T53" s="550">
        <v>0.19933963298615986</v>
      </c>
      <c r="U53" s="550">
        <v>0.22053167809692911</v>
      </c>
      <c r="V53" s="550">
        <v>0.23578372320769839</v>
      </c>
      <c r="W53" s="550">
        <v>0.24041576831846798</v>
      </c>
      <c r="X53" s="550">
        <v>0.24454338502923717</v>
      </c>
      <c r="Y53" s="550">
        <v>0.26068110574000608</v>
      </c>
      <c r="Z53" s="550">
        <v>0.2620961728507753</v>
      </c>
      <c r="AA53" s="550">
        <v>0.26511769316154454</v>
      </c>
      <c r="AB53" s="550">
        <v>0.26161717987231381</v>
      </c>
      <c r="AC53" s="550">
        <v>0.254380942983083</v>
      </c>
      <c r="AD53" s="550">
        <v>0.25484003369385227</v>
      </c>
      <c r="AE53" s="550">
        <v>0.25071272800462152</v>
      </c>
      <c r="AF53" s="550">
        <v>0.25602112102157171</v>
      </c>
      <c r="AG53" s="550">
        <v>0.25333365961321269</v>
      </c>
      <c r="AH53" s="550">
        <v>0.23921451973040223</v>
      </c>
      <c r="AI53" s="550">
        <v>0.23940328638554029</v>
      </c>
      <c r="AJ53" s="550">
        <v>0.23597405717783976</v>
      </c>
      <c r="AK53" s="550">
        <v>0.21290082391759571</v>
      </c>
      <c r="AL53" s="550">
        <v>0.23115117527662571</v>
      </c>
      <c r="AM53" s="550">
        <v>0.24488334097729814</v>
      </c>
      <c r="AN53" s="550">
        <v>0.25162213436115732</v>
      </c>
      <c r="AO53" s="550">
        <v>0.24120718999174331</v>
      </c>
      <c r="AP53" s="550">
        <v>0.24757188273</v>
      </c>
      <c r="AQ53" s="550">
        <v>0.30038494472999999</v>
      </c>
      <c r="AR53" s="550">
        <v>0.32760644192999999</v>
      </c>
      <c r="AS53" s="550">
        <v>0.32745238353</v>
      </c>
      <c r="AT53" s="550">
        <v>0.33795277712999999</v>
      </c>
      <c r="AU53" s="550">
        <v>0.39032680113000001</v>
      </c>
      <c r="AV53" s="550">
        <v>0.40148988632999999</v>
      </c>
      <c r="AW53" s="550">
        <v>0.47729638232999994</v>
      </c>
      <c r="AX53" s="550">
        <v>0.69598130192999996</v>
      </c>
      <c r="AY53" s="561">
        <v>0.45817426591933086</v>
      </c>
    </row>
    <row r="54" spans="1:51" ht="14.25" customHeight="1">
      <c r="A54" s="531" t="s">
        <v>2132</v>
      </c>
      <c r="B54" s="532"/>
      <c r="C54" s="532"/>
      <c r="D54" s="532"/>
      <c r="E54" s="532"/>
      <c r="F54" s="532"/>
      <c r="G54" s="532"/>
      <c r="H54" s="532"/>
      <c r="I54" s="532"/>
      <c r="J54" s="532"/>
      <c r="K54" s="532"/>
      <c r="L54" s="532"/>
      <c r="M54" s="532"/>
      <c r="N54" s="532"/>
      <c r="O54" s="532"/>
      <c r="P54" s="532"/>
      <c r="Q54" s="532"/>
      <c r="R54" s="550">
        <v>3.0127679999999999</v>
      </c>
      <c r="S54" s="550">
        <v>3.0127679999999999</v>
      </c>
      <c r="T54" s="550">
        <v>3.0127679999999999</v>
      </c>
      <c r="U54" s="550">
        <v>3.0127679999999999</v>
      </c>
      <c r="V54" s="550">
        <v>3.0127679999999999</v>
      </c>
      <c r="W54" s="550">
        <v>3.0127679999999999</v>
      </c>
      <c r="X54" s="550">
        <v>3.0127679999999999</v>
      </c>
      <c r="Y54" s="550">
        <v>3.0127679999999999</v>
      </c>
      <c r="Z54" s="550">
        <v>3.0127679999999999</v>
      </c>
      <c r="AA54" s="550">
        <v>3.0127679999999999</v>
      </c>
      <c r="AB54" s="550">
        <v>3.0127679999999999</v>
      </c>
      <c r="AC54" s="550">
        <v>3.0127679999999999</v>
      </c>
      <c r="AD54" s="550">
        <v>3.0127679999999999</v>
      </c>
      <c r="AE54" s="550">
        <v>3.0127679999999999</v>
      </c>
      <c r="AF54" s="550">
        <v>2.7959472000000001</v>
      </c>
      <c r="AG54" s="550">
        <v>2.7150083999999999</v>
      </c>
      <c r="AH54" s="550">
        <v>3.0879539999999999</v>
      </c>
      <c r="AI54" s="550">
        <v>3.0900491999999997</v>
      </c>
      <c r="AJ54" s="550">
        <v>2.9741945212799998</v>
      </c>
      <c r="AK54" s="550">
        <v>3.42225971964</v>
      </c>
      <c r="AL54" s="550">
        <v>3.8778220796399996</v>
      </c>
      <c r="AM54" s="550">
        <v>4.4223479996399995</v>
      </c>
      <c r="AN54" s="550">
        <v>4.17221640036</v>
      </c>
      <c r="AO54" s="550">
        <v>3.4314371996399999</v>
      </c>
      <c r="AP54" s="550">
        <v>4.7897754804000003</v>
      </c>
      <c r="AQ54" s="550">
        <v>4.7136231367199999</v>
      </c>
      <c r="AR54" s="550">
        <v>4.43994964992</v>
      </c>
      <c r="AS54" s="550">
        <v>2.9565614084400003</v>
      </c>
      <c r="AT54" s="550">
        <v>2.7698477716800003</v>
      </c>
      <c r="AU54" s="550">
        <v>2.37526650036</v>
      </c>
      <c r="AV54" s="550">
        <v>2.0562671267999999</v>
      </c>
      <c r="AW54" s="550">
        <v>1.9896674533200001</v>
      </c>
      <c r="AX54" s="550">
        <v>1.9896674533200001</v>
      </c>
      <c r="AY54" s="561">
        <v>0</v>
      </c>
    </row>
    <row r="55" spans="1:51" ht="14.25" customHeight="1">
      <c r="A55" s="531" t="s">
        <v>2134</v>
      </c>
      <c r="B55" s="532"/>
      <c r="C55" s="532"/>
      <c r="D55" s="532"/>
      <c r="E55" s="532"/>
      <c r="F55" s="532"/>
      <c r="G55" s="532"/>
      <c r="H55" s="532"/>
      <c r="I55" s="532"/>
      <c r="J55" s="532"/>
      <c r="K55" s="532"/>
      <c r="L55" s="532"/>
      <c r="M55" s="532"/>
      <c r="N55" s="532"/>
      <c r="O55" s="532"/>
      <c r="P55" s="532"/>
      <c r="Q55" s="532"/>
      <c r="R55" s="550">
        <v>0</v>
      </c>
      <c r="S55" s="550">
        <v>0</v>
      </c>
      <c r="T55" s="550">
        <v>0</v>
      </c>
      <c r="U55" s="550">
        <v>0</v>
      </c>
      <c r="V55" s="550">
        <v>0</v>
      </c>
      <c r="W55" s="550">
        <v>0</v>
      </c>
      <c r="X55" s="550">
        <v>0</v>
      </c>
      <c r="Y55" s="550">
        <v>0</v>
      </c>
      <c r="Z55" s="550">
        <v>0</v>
      </c>
      <c r="AA55" s="550">
        <v>0</v>
      </c>
      <c r="AB55" s="550">
        <v>0</v>
      </c>
      <c r="AC55" s="550">
        <v>0</v>
      </c>
      <c r="AD55" s="550">
        <v>0</v>
      </c>
      <c r="AE55" s="550">
        <v>0</v>
      </c>
      <c r="AF55" s="550">
        <v>0</v>
      </c>
      <c r="AG55" s="550">
        <v>0</v>
      </c>
      <c r="AH55" s="550">
        <v>0</v>
      </c>
      <c r="AI55" s="550">
        <v>0</v>
      </c>
      <c r="AJ55" s="550">
        <v>0.60527610357473516</v>
      </c>
      <c r="AK55" s="550">
        <v>1.3409121083610709</v>
      </c>
      <c r="AL55" s="550">
        <v>1.6542690839365031</v>
      </c>
      <c r="AM55" s="550">
        <v>0.77574334639759557</v>
      </c>
      <c r="AN55" s="550">
        <v>0.11713805129009233</v>
      </c>
      <c r="AO55" s="550">
        <v>0</v>
      </c>
      <c r="AP55" s="550">
        <v>0</v>
      </c>
      <c r="AQ55" s="550">
        <v>0</v>
      </c>
      <c r="AR55" s="550">
        <v>0</v>
      </c>
      <c r="AS55" s="550">
        <v>0</v>
      </c>
      <c r="AT55" s="550">
        <v>0</v>
      </c>
      <c r="AU55" s="550">
        <v>0</v>
      </c>
      <c r="AV55" s="550">
        <v>0</v>
      </c>
      <c r="AW55" s="550">
        <v>0</v>
      </c>
      <c r="AX55" s="550">
        <v>0</v>
      </c>
      <c r="AY55" s="561"/>
    </row>
    <row r="56" spans="1:51" ht="14.25" customHeight="1">
      <c r="A56" s="566"/>
      <c r="B56" s="529"/>
      <c r="C56" s="529"/>
      <c r="D56" s="529"/>
      <c r="E56" s="529"/>
      <c r="F56" s="529"/>
      <c r="G56" s="529"/>
      <c r="H56" s="529"/>
      <c r="I56" s="529"/>
      <c r="J56" s="529"/>
      <c r="K56" s="529"/>
      <c r="L56" s="529"/>
      <c r="M56" s="529"/>
      <c r="N56" s="529"/>
      <c r="O56" s="529"/>
      <c r="P56" s="529"/>
      <c r="Q56" s="529"/>
      <c r="R56" s="530"/>
      <c r="S56" s="530"/>
      <c r="T56" s="530"/>
      <c r="U56" s="530"/>
      <c r="V56" s="530"/>
      <c r="W56" s="530"/>
      <c r="X56" s="530"/>
      <c r="Y56" s="530"/>
      <c r="Z56" s="530"/>
      <c r="AA56" s="530"/>
      <c r="AB56" s="530"/>
      <c r="AC56" s="530"/>
      <c r="AD56" s="530"/>
      <c r="AE56" s="530"/>
      <c r="AF56" s="530"/>
      <c r="AG56" s="530"/>
      <c r="AH56" s="530"/>
      <c r="AI56" s="530"/>
      <c r="AJ56" s="530"/>
      <c r="AK56" s="530"/>
      <c r="AL56" s="530"/>
      <c r="AM56" s="529"/>
      <c r="AN56" s="529"/>
      <c r="AO56" s="529"/>
      <c r="AP56" s="529"/>
      <c r="AQ56" s="529"/>
      <c r="AR56" s="529"/>
      <c r="AS56" s="529"/>
      <c r="AT56" s="529"/>
      <c r="AU56" s="529"/>
      <c r="AV56" s="529"/>
      <c r="AW56" s="529"/>
      <c r="AX56" s="529"/>
      <c r="AY56" s="529"/>
    </row>
    <row r="57" spans="1:51" ht="14.25" customHeight="1">
      <c r="A57" s="547" t="s">
        <v>1617</v>
      </c>
      <c r="B57" s="577"/>
      <c r="C57" s="577"/>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577"/>
      <c r="AJ57" s="577"/>
      <c r="AK57" s="577"/>
      <c r="AL57" s="577"/>
      <c r="AM57" s="577"/>
      <c r="AN57" s="577"/>
      <c r="AO57" s="577"/>
      <c r="AP57" s="577"/>
      <c r="AQ57" s="529"/>
      <c r="AR57" s="529"/>
      <c r="AS57" s="529"/>
      <c r="AT57" s="529"/>
      <c r="AU57" s="529"/>
      <c r="AV57" s="529"/>
      <c r="AW57" s="529"/>
      <c r="AX57" s="529"/>
      <c r="AY57" s="529"/>
    </row>
    <row r="58" spans="1:51" ht="14.25" customHeight="1">
      <c r="A58" s="572" t="s">
        <v>2113</v>
      </c>
      <c r="B58" s="577"/>
      <c r="C58" s="577"/>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577"/>
      <c r="AJ58" s="577"/>
      <c r="AK58" s="577"/>
      <c r="AL58" s="577"/>
      <c r="AM58" s="577"/>
      <c r="AN58" s="577"/>
      <c r="AO58" s="577"/>
      <c r="AP58" s="577"/>
      <c r="AQ58" s="529"/>
      <c r="AR58" s="529"/>
      <c r="AS58" s="529"/>
      <c r="AT58" s="529"/>
      <c r="AU58" s="529"/>
      <c r="AV58" s="529"/>
      <c r="AW58" s="529"/>
      <c r="AX58" s="529"/>
      <c r="AY58" s="529"/>
    </row>
    <row r="59" spans="1:51" ht="14.25" customHeight="1">
      <c r="A59" s="572" t="s">
        <v>2114</v>
      </c>
      <c r="B59" s="577"/>
      <c r="C59" s="577"/>
      <c r="D59" s="577"/>
      <c r="E59" s="577"/>
      <c r="F59" s="577"/>
      <c r="G59" s="577"/>
      <c r="H59" s="577"/>
      <c r="I59" s="577"/>
      <c r="J59" s="577"/>
      <c r="K59" s="577"/>
      <c r="L59" s="577"/>
      <c r="M59" s="577"/>
      <c r="N59" s="577"/>
      <c r="O59" s="577"/>
      <c r="P59" s="577"/>
      <c r="Q59" s="577"/>
      <c r="R59" s="577"/>
      <c r="S59" s="577"/>
      <c r="T59" s="577"/>
      <c r="U59" s="577"/>
      <c r="V59" s="577"/>
      <c r="W59" s="577"/>
      <c r="X59" s="577"/>
      <c r="Y59" s="577"/>
      <c r="Z59" s="577"/>
      <c r="AA59" s="577"/>
      <c r="AB59" s="577"/>
      <c r="AC59" s="577"/>
      <c r="AD59" s="577"/>
      <c r="AE59" s="577"/>
      <c r="AF59" s="577"/>
      <c r="AG59" s="577"/>
      <c r="AH59" s="577"/>
      <c r="AI59" s="577"/>
      <c r="AJ59" s="577"/>
      <c r="AK59" s="577"/>
      <c r="AL59" s="577"/>
      <c r="AM59" s="577"/>
      <c r="AN59" s="577"/>
      <c r="AO59" s="577"/>
      <c r="AP59" s="577"/>
      <c r="AQ59" s="529"/>
      <c r="AR59" s="529"/>
      <c r="AS59" s="529"/>
      <c r="AT59" s="529"/>
      <c r="AU59" s="529"/>
      <c r="AV59" s="529"/>
      <c r="AW59" s="529"/>
      <c r="AX59" s="529"/>
      <c r="AY59" s="529"/>
    </row>
    <row r="60" spans="1:51" ht="14.25" customHeight="1">
      <c r="A60" s="572" t="s">
        <v>2115</v>
      </c>
      <c r="B60" s="577"/>
      <c r="C60" s="577"/>
      <c r="D60" s="577"/>
      <c r="E60" s="577"/>
      <c r="F60" s="577"/>
      <c r="G60" s="577"/>
      <c r="H60" s="577"/>
      <c r="I60" s="577"/>
      <c r="J60" s="577"/>
      <c r="K60" s="577"/>
      <c r="L60" s="577"/>
      <c r="M60" s="577"/>
      <c r="N60" s="577"/>
      <c r="O60" s="577"/>
      <c r="P60" s="577"/>
      <c r="Q60" s="577"/>
      <c r="R60" s="577"/>
      <c r="S60" s="577"/>
      <c r="T60" s="577"/>
      <c r="U60" s="577"/>
      <c r="V60" s="577"/>
      <c r="W60" s="577"/>
      <c r="X60" s="577"/>
      <c r="Y60" s="577"/>
      <c r="Z60" s="577"/>
      <c r="AA60" s="577"/>
      <c r="AB60" s="577"/>
      <c r="AC60" s="577"/>
      <c r="AD60" s="577"/>
      <c r="AE60" s="577"/>
      <c r="AF60" s="577"/>
      <c r="AG60" s="577"/>
      <c r="AH60" s="577"/>
      <c r="AI60" s="577"/>
      <c r="AJ60" s="577"/>
      <c r="AK60" s="577"/>
      <c r="AL60" s="577"/>
      <c r="AM60" s="577"/>
      <c r="AN60" s="577"/>
      <c r="AO60" s="577"/>
      <c r="AP60" s="577"/>
      <c r="AQ60" s="529"/>
      <c r="AR60" s="529"/>
      <c r="AS60" s="529"/>
      <c r="AT60" s="529"/>
      <c r="AU60" s="529"/>
      <c r="AV60" s="529"/>
      <c r="AW60" s="529"/>
      <c r="AX60" s="529"/>
      <c r="AY60" s="529"/>
    </row>
    <row r="61" spans="1:51" ht="14.25" customHeight="1">
      <c r="A61" s="572" t="s">
        <v>2116</v>
      </c>
      <c r="B61" s="532"/>
      <c r="C61" s="532"/>
      <c r="D61" s="532"/>
      <c r="E61" s="532"/>
      <c r="F61" s="532"/>
      <c r="G61" s="532"/>
      <c r="H61" s="532"/>
      <c r="I61" s="532"/>
      <c r="J61" s="532"/>
      <c r="K61" s="532"/>
      <c r="L61" s="532"/>
      <c r="M61" s="532"/>
      <c r="N61" s="532"/>
      <c r="O61" s="532"/>
      <c r="P61" s="532"/>
      <c r="Q61" s="532"/>
      <c r="R61" s="529"/>
      <c r="S61" s="529"/>
      <c r="T61" s="529"/>
      <c r="U61" s="529"/>
      <c r="V61" s="529"/>
      <c r="W61" s="529"/>
      <c r="X61" s="529"/>
      <c r="Y61" s="529"/>
      <c r="Z61" s="529"/>
      <c r="AA61" s="529"/>
      <c r="AB61" s="529"/>
      <c r="AC61" s="529"/>
      <c r="AD61" s="529"/>
      <c r="AE61" s="529"/>
      <c r="AF61" s="529"/>
      <c r="AG61" s="529"/>
      <c r="AH61" s="529"/>
      <c r="AI61" s="529"/>
      <c r="AJ61" s="529"/>
      <c r="AK61" s="529"/>
      <c r="AL61" s="529"/>
      <c r="AM61" s="529"/>
      <c r="AN61" s="529"/>
      <c r="AO61" s="529"/>
      <c r="AP61" s="529"/>
      <c r="AQ61" s="529"/>
      <c r="AR61" s="529"/>
      <c r="AS61" s="529"/>
      <c r="AT61" s="529"/>
      <c r="AU61" s="529"/>
      <c r="AV61" s="529"/>
      <c r="AW61" s="529"/>
      <c r="AX61" s="529"/>
      <c r="AY61" s="529"/>
    </row>
    <row r="62" spans="1:51" ht="14.25" customHeight="1">
      <c r="A62" s="572" t="s">
        <v>2140</v>
      </c>
      <c r="B62" s="532"/>
      <c r="C62" s="532"/>
      <c r="D62" s="532"/>
      <c r="E62" s="532"/>
      <c r="F62" s="532"/>
      <c r="G62" s="532"/>
      <c r="H62" s="532"/>
      <c r="I62" s="532"/>
      <c r="J62" s="532"/>
      <c r="K62" s="532"/>
      <c r="L62" s="532"/>
      <c r="M62" s="532"/>
      <c r="N62" s="532"/>
      <c r="O62" s="532"/>
      <c r="P62" s="532"/>
      <c r="Q62" s="532"/>
      <c r="R62" s="529"/>
      <c r="S62" s="529"/>
      <c r="T62" s="529"/>
      <c r="U62" s="529"/>
      <c r="V62" s="529"/>
      <c r="W62" s="529"/>
      <c r="X62" s="529"/>
      <c r="Y62" s="529"/>
      <c r="Z62" s="529"/>
      <c r="AA62" s="529"/>
      <c r="AB62" s="529"/>
      <c r="AC62" s="529"/>
      <c r="AD62" s="529"/>
      <c r="AE62" s="529"/>
      <c r="AF62" s="529"/>
      <c r="AG62" s="529"/>
      <c r="AH62" s="529"/>
      <c r="AI62" s="529"/>
      <c r="AJ62" s="529"/>
      <c r="AK62" s="529"/>
      <c r="AL62" s="529"/>
      <c r="AM62" s="529"/>
      <c r="AN62" s="529"/>
      <c r="AO62" s="529"/>
      <c r="AP62" s="529"/>
      <c r="AQ62" s="529"/>
      <c r="AR62" s="529"/>
      <c r="AS62" s="529"/>
      <c r="AT62" s="529"/>
      <c r="AU62" s="529"/>
      <c r="AV62" s="529"/>
      <c r="AW62" s="529"/>
      <c r="AX62" s="529"/>
      <c r="AY62" s="529"/>
    </row>
    <row r="63" spans="1:51" ht="14.25" customHeight="1">
      <c r="A63" s="572" t="s">
        <v>2141</v>
      </c>
      <c r="B63" s="532"/>
      <c r="C63" s="532"/>
      <c r="D63" s="532"/>
      <c r="E63" s="532"/>
      <c r="F63" s="532"/>
      <c r="G63" s="532"/>
      <c r="H63" s="532"/>
      <c r="I63" s="532"/>
      <c r="J63" s="532"/>
      <c r="K63" s="532"/>
      <c r="L63" s="532"/>
      <c r="M63" s="532"/>
      <c r="N63" s="532"/>
      <c r="O63" s="532"/>
      <c r="P63" s="532"/>
      <c r="Q63" s="532"/>
      <c r="R63" s="529"/>
      <c r="S63" s="529"/>
      <c r="T63" s="529"/>
      <c r="U63" s="529"/>
      <c r="V63" s="529"/>
      <c r="W63" s="529"/>
      <c r="X63" s="529"/>
      <c r="Y63" s="529"/>
      <c r="Z63" s="529"/>
      <c r="AA63" s="529"/>
      <c r="AB63" s="529"/>
      <c r="AC63" s="529"/>
      <c r="AD63" s="529"/>
      <c r="AE63" s="529"/>
      <c r="AF63" s="529"/>
      <c r="AG63" s="529"/>
      <c r="AH63" s="529"/>
      <c r="AI63" s="529"/>
      <c r="AJ63" s="529"/>
      <c r="AK63" s="529"/>
      <c r="AL63" s="529"/>
      <c r="AM63" s="529"/>
      <c r="AN63" s="529"/>
      <c r="AO63" s="529"/>
      <c r="AP63" s="529"/>
      <c r="AQ63" s="529"/>
      <c r="AR63" s="529"/>
      <c r="AS63" s="529"/>
      <c r="AT63" s="529"/>
      <c r="AU63" s="529"/>
      <c r="AV63" s="529"/>
      <c r="AW63" s="529"/>
      <c r="AX63" s="529"/>
      <c r="AY63" s="529"/>
    </row>
  </sheetData>
  <hyperlinks>
    <hyperlink ref="A1" location="null!A1" display="Return to contents" xr:uid="{00000000-0004-0000-1800-000000000000}"/>
  </hyperlinks>
  <pageMargins left="0.7" right="0.7" top="0.75" bottom="0.75" header="0" footer="0"/>
  <pageSetup paperSize="9"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6"/>
  </sheetPr>
  <dimension ref="A1:O37"/>
  <sheetViews>
    <sheetView workbookViewId="0"/>
  </sheetViews>
  <sheetFormatPr defaultColWidth="12.5703125" defaultRowHeight="15.75" customHeight="1"/>
  <cols>
    <col min="1" max="1" width="9" customWidth="1"/>
    <col min="2" max="2" width="2.42578125" customWidth="1"/>
    <col min="3" max="3" width="38.42578125" customWidth="1"/>
    <col min="4" max="14" width="10.28515625" customWidth="1"/>
    <col min="15" max="15" width="15.28515625" customWidth="1"/>
    <col min="16" max="26" width="9" customWidth="1"/>
  </cols>
  <sheetData>
    <row r="1" spans="1:15" ht="14.25" customHeight="1">
      <c r="A1" s="578" t="s">
        <v>1594</v>
      </c>
      <c r="B1" s="579"/>
      <c r="C1" s="579"/>
      <c r="D1" s="579"/>
      <c r="E1" s="579"/>
      <c r="F1" s="579"/>
      <c r="G1" s="579"/>
      <c r="H1" s="579"/>
      <c r="I1" s="579"/>
      <c r="J1" s="579"/>
      <c r="K1" s="579"/>
      <c r="L1" s="579"/>
      <c r="M1" s="579"/>
      <c r="N1" s="579"/>
      <c r="O1" s="579"/>
    </row>
    <row r="2" spans="1:15" ht="14.25" customHeight="1">
      <c r="A2" s="579"/>
      <c r="B2" s="579"/>
      <c r="C2" s="579"/>
      <c r="D2" s="579"/>
      <c r="E2" s="579"/>
      <c r="F2" s="579"/>
      <c r="G2" s="579"/>
      <c r="H2" s="579"/>
      <c r="I2" s="579"/>
      <c r="J2" s="579"/>
      <c r="K2" s="579"/>
      <c r="L2" s="579"/>
      <c r="M2" s="579"/>
      <c r="N2" s="579"/>
      <c r="O2" s="579"/>
    </row>
    <row r="3" spans="1:15" ht="14.25" customHeight="1">
      <c r="A3" s="580" t="s">
        <v>2151</v>
      </c>
      <c r="B3" s="581"/>
      <c r="C3" s="579"/>
      <c r="D3" s="579"/>
      <c r="E3" s="579"/>
      <c r="F3" s="579"/>
      <c r="G3" s="579"/>
      <c r="H3" s="579"/>
      <c r="I3" s="579"/>
      <c r="J3" s="579"/>
      <c r="K3" s="579"/>
      <c r="L3" s="579"/>
      <c r="M3" s="579"/>
      <c r="N3" s="579"/>
      <c r="O3" s="579"/>
    </row>
    <row r="4" spans="1:15" ht="14.25" customHeight="1">
      <c r="A4" s="579"/>
      <c r="B4" s="579"/>
      <c r="C4" s="579"/>
      <c r="D4" s="579"/>
      <c r="E4" s="579"/>
      <c r="F4" s="579"/>
      <c r="G4" s="579"/>
      <c r="H4" s="579"/>
      <c r="I4" s="579"/>
      <c r="J4" s="579"/>
      <c r="K4" s="579"/>
      <c r="L4" s="579"/>
      <c r="M4" s="579"/>
      <c r="N4" s="579"/>
      <c r="O4" s="579"/>
    </row>
    <row r="5" spans="1:15" ht="14.25" customHeight="1">
      <c r="A5" s="582"/>
      <c r="B5" s="610"/>
      <c r="C5" s="623"/>
      <c r="D5" s="583">
        <v>2014</v>
      </c>
      <c r="E5" s="583">
        <v>2015</v>
      </c>
      <c r="F5" s="583">
        <v>2016</v>
      </c>
      <c r="G5" s="583">
        <v>2017</v>
      </c>
      <c r="H5" s="583">
        <v>2018</v>
      </c>
      <c r="I5" s="583">
        <v>2019</v>
      </c>
      <c r="J5" s="583">
        <v>2020</v>
      </c>
      <c r="K5" s="583">
        <v>2021</v>
      </c>
      <c r="L5" s="583">
        <v>2022</v>
      </c>
      <c r="M5" s="583" t="str">
        <f>"∆"&amp;I5&amp;"/"&amp;L5&amp;" p.a."</f>
        <v>∆2019/2022 p.a.</v>
      </c>
      <c r="N5" s="583" t="str">
        <f>"∆"&amp;K5&amp;"/"&amp;L5</f>
        <v>∆2021/2022</v>
      </c>
      <c r="O5" s="579"/>
    </row>
    <row r="6" spans="1:15" ht="14.25" customHeight="1">
      <c r="A6" s="611" t="s">
        <v>2152</v>
      </c>
      <c r="B6" s="612" t="s">
        <v>2153</v>
      </c>
      <c r="C6" s="623"/>
      <c r="D6" s="584">
        <v>43988.093453535308</v>
      </c>
      <c r="E6" s="584">
        <v>44689.745282098535</v>
      </c>
      <c r="F6" s="584">
        <v>44163.26321538401</v>
      </c>
      <c r="G6" s="584">
        <v>44641.071841740653</v>
      </c>
      <c r="H6" s="584">
        <v>44692.628942722302</v>
      </c>
      <c r="I6" s="584">
        <v>45141.699590970456</v>
      </c>
      <c r="J6" s="584">
        <v>44530.017360654099</v>
      </c>
      <c r="K6" s="584">
        <v>44611.008761881829</v>
      </c>
      <c r="L6" s="584">
        <v>44691.279481690406</v>
      </c>
      <c r="M6" s="585">
        <v>-3.3370959894647445E-3</v>
      </c>
      <c r="N6" s="585">
        <v>1.7993477851405704E-3</v>
      </c>
      <c r="O6" s="586"/>
    </row>
    <row r="7" spans="1:15" ht="14.25" customHeight="1">
      <c r="A7" s="623"/>
      <c r="B7" s="613" t="s">
        <v>2154</v>
      </c>
      <c r="C7" s="623"/>
      <c r="D7" s="588">
        <v>-1336.7072487602491</v>
      </c>
      <c r="E7" s="588">
        <v>-1356.1695875312798</v>
      </c>
      <c r="F7" s="588">
        <v>-1244.0136403921351</v>
      </c>
      <c r="G7" s="588">
        <v>-1329.762834996196</v>
      </c>
      <c r="H7" s="588">
        <v>-1273.6850963621109</v>
      </c>
      <c r="I7" s="588">
        <v>-1326.9463634104395</v>
      </c>
      <c r="J7" s="588">
        <v>-1355.9086046710072</v>
      </c>
      <c r="K7" s="588">
        <v>-1340.3613628216917</v>
      </c>
      <c r="L7" s="588">
        <v>-1215.2934684392021</v>
      </c>
      <c r="M7" s="589">
        <v>-2.8873217183473465E-2</v>
      </c>
      <c r="N7" s="589">
        <v>-9.3309086528128637E-2</v>
      </c>
      <c r="O7" s="586"/>
    </row>
    <row r="8" spans="1:15" ht="14.25" customHeight="1">
      <c r="A8" s="623"/>
      <c r="B8" s="612" t="s">
        <v>2155</v>
      </c>
      <c r="C8" s="623"/>
      <c r="D8" s="584">
        <v>42651.386204775059</v>
      </c>
      <c r="E8" s="584">
        <v>43333.575694567255</v>
      </c>
      <c r="F8" s="584">
        <v>42919.249574991874</v>
      </c>
      <c r="G8" s="584">
        <v>43311.309006744457</v>
      </c>
      <c r="H8" s="584">
        <v>43418.943846360191</v>
      </c>
      <c r="I8" s="584">
        <v>43814.753227560017</v>
      </c>
      <c r="J8" s="584">
        <v>43174.108755983092</v>
      </c>
      <c r="K8" s="584">
        <v>43270.647399060137</v>
      </c>
      <c r="L8" s="584">
        <v>43475.986013251204</v>
      </c>
      <c r="M8" s="585">
        <v>-2.583939984427297E-3</v>
      </c>
      <c r="N8" s="585">
        <v>4.7454481625233136E-3</v>
      </c>
      <c r="O8" s="586"/>
    </row>
    <row r="9" spans="1:15" ht="14.25" customHeight="1">
      <c r="A9" s="623"/>
      <c r="B9" s="613" t="s">
        <v>2156</v>
      </c>
      <c r="C9" s="623"/>
      <c r="D9" s="588">
        <v>40114.108908189097</v>
      </c>
      <c r="E9" s="588">
        <v>40809.473524498499</v>
      </c>
      <c r="F9" s="588">
        <v>40769.298953274003</v>
      </c>
      <c r="G9" s="588">
        <v>41028.3099352918</v>
      </c>
      <c r="H9" s="588">
        <v>41262.406712226402</v>
      </c>
      <c r="I9" s="588">
        <v>41527.828468932697</v>
      </c>
      <c r="J9" s="588">
        <v>40941.922908073502</v>
      </c>
      <c r="K9" s="588">
        <v>40930.735833619503</v>
      </c>
      <c r="L9" s="588">
        <v>41236.843770111198</v>
      </c>
      <c r="M9" s="589">
        <v>-2.3411369282344552E-3</v>
      </c>
      <c r="N9" s="589">
        <v>7.478681490995065E-3</v>
      </c>
      <c r="O9" s="586"/>
    </row>
    <row r="10" spans="1:15" ht="14.25" customHeight="1">
      <c r="A10" s="623"/>
      <c r="B10" s="613" t="s">
        <v>2157</v>
      </c>
      <c r="C10" s="623"/>
      <c r="D10" s="588">
        <v>2518.6675587534801</v>
      </c>
      <c r="E10" s="588">
        <v>2487.6628109704002</v>
      </c>
      <c r="F10" s="588">
        <v>2093.7667457748898</v>
      </c>
      <c r="G10" s="588">
        <v>2206.6100428095301</v>
      </c>
      <c r="H10" s="588">
        <v>2056.72140728458</v>
      </c>
      <c r="I10" s="588">
        <v>2160.1560541955801</v>
      </c>
      <c r="J10" s="588">
        <v>2072.6025846662201</v>
      </c>
      <c r="K10" s="588">
        <v>2133.57126647308</v>
      </c>
      <c r="L10" s="588">
        <v>1961.13703245128</v>
      </c>
      <c r="M10" s="589">
        <v>-3.1705188676164342E-2</v>
      </c>
      <c r="N10" s="589">
        <v>-8.0819533301479063E-2</v>
      </c>
      <c r="O10" s="586"/>
    </row>
    <row r="11" spans="1:15" ht="14.25" customHeight="1">
      <c r="A11" s="623"/>
      <c r="B11" s="587" t="s">
        <v>2158</v>
      </c>
      <c r="C11" s="587"/>
      <c r="D11" s="588">
        <v>18.609737832482399</v>
      </c>
      <c r="E11" s="588">
        <v>36.4393590983506</v>
      </c>
      <c r="F11" s="588">
        <v>56.183875942982098</v>
      </c>
      <c r="G11" s="588">
        <v>76.389028643123495</v>
      </c>
      <c r="H11" s="588">
        <v>99.815726849207394</v>
      </c>
      <c r="I11" s="588">
        <v>126.76870443174499</v>
      </c>
      <c r="J11" s="588">
        <v>159.583263243369</v>
      </c>
      <c r="K11" s="588">
        <v>206.340298967552</v>
      </c>
      <c r="L11" s="588">
        <v>278.00521068872001</v>
      </c>
      <c r="M11" s="589">
        <v>0.29921281219263429</v>
      </c>
      <c r="N11" s="589">
        <v>0.34731417992390168</v>
      </c>
      <c r="O11" s="586"/>
    </row>
    <row r="12" spans="1:15" ht="14.25" customHeight="1">
      <c r="A12" s="623"/>
      <c r="B12" s="612" t="s">
        <v>2159</v>
      </c>
      <c r="C12" s="623"/>
      <c r="D12" s="584">
        <v>-3000.7950000000001</v>
      </c>
      <c r="E12" s="584">
        <v>-3002.9090000000001</v>
      </c>
      <c r="F12" s="584">
        <v>-2895.1490000000003</v>
      </c>
      <c r="G12" s="584">
        <v>-2851.0193062003</v>
      </c>
      <c r="H12" s="584">
        <v>-2896.55751948344</v>
      </c>
      <c r="I12" s="584">
        <v>-2955.0506022519803</v>
      </c>
      <c r="J12" s="584">
        <v>-2944.1897327476199</v>
      </c>
      <c r="K12" s="584">
        <v>-2942.0239096233399</v>
      </c>
      <c r="L12" s="584">
        <v>-3000.6428295650298</v>
      </c>
      <c r="M12" s="585">
        <v>5.1166345752120534E-3</v>
      </c>
      <c r="N12" s="585">
        <v>1.9924691893205893E-2</v>
      </c>
      <c r="O12" s="590">
        <f>SUM(L12,$L$7)/$L$6</f>
        <v>-9.4334652014862561E-2</v>
      </c>
    </row>
    <row r="13" spans="1:15" ht="14.25" customHeight="1">
      <c r="A13" s="623"/>
      <c r="B13" s="613" t="s">
        <v>2160</v>
      </c>
      <c r="C13" s="623"/>
      <c r="D13" s="588">
        <v>-1310.8019999999999</v>
      </c>
      <c r="E13" s="588">
        <v>-1386.749</v>
      </c>
      <c r="F13" s="588">
        <v>-1304.97</v>
      </c>
      <c r="G13" s="588">
        <v>-1251.4967730757101</v>
      </c>
      <c r="H13" s="588">
        <v>-1244.6490603238401</v>
      </c>
      <c r="I13" s="588">
        <v>-1396.1286075742701</v>
      </c>
      <c r="J13" s="588">
        <v>-1374.8285789459401</v>
      </c>
      <c r="K13" s="588">
        <v>-1393.1202056843099</v>
      </c>
      <c r="L13" s="588">
        <v>-1406.5197468399599</v>
      </c>
      <c r="M13" s="589">
        <v>2.4748115309900509E-3</v>
      </c>
      <c r="N13" s="589">
        <v>9.6183668149929513E-3</v>
      </c>
      <c r="O13" s="590">
        <f t="shared" ref="O13:O14" si="0">SUM(L13)/$L$6</f>
        <v>-3.1471905999384014E-2</v>
      </c>
    </row>
    <row r="14" spans="1:15" ht="14.25" customHeight="1">
      <c r="A14" s="623"/>
      <c r="B14" s="613" t="s">
        <v>2161</v>
      </c>
      <c r="C14" s="623"/>
      <c r="D14" s="588">
        <v>-1689.9929999999999</v>
      </c>
      <c r="E14" s="588">
        <v>-1616.16</v>
      </c>
      <c r="F14" s="588">
        <v>-1590.1790000000001</v>
      </c>
      <c r="G14" s="588">
        <v>-1599.5225331245899</v>
      </c>
      <c r="H14" s="588">
        <v>-1651.9084591595999</v>
      </c>
      <c r="I14" s="588">
        <v>-1558.92199467771</v>
      </c>
      <c r="J14" s="588">
        <v>-1569.3611538016801</v>
      </c>
      <c r="K14" s="588">
        <v>-1548.90370393903</v>
      </c>
      <c r="L14" s="588">
        <v>-1594.1230827250699</v>
      </c>
      <c r="M14" s="589">
        <v>7.470848676900177E-3</v>
      </c>
      <c r="N14" s="589">
        <v>2.9194441637037993E-2</v>
      </c>
      <c r="O14" s="590">
        <f t="shared" si="0"/>
        <v>-3.5669667577500598E-2</v>
      </c>
    </row>
    <row r="15" spans="1:15" ht="14.25" customHeight="1">
      <c r="A15" s="612" t="s">
        <v>2162</v>
      </c>
      <c r="B15" s="623"/>
      <c r="C15" s="623"/>
      <c r="D15" s="584">
        <v>39650.591204775061</v>
      </c>
      <c r="E15" s="584">
        <v>40330.666694567255</v>
      </c>
      <c r="F15" s="584">
        <v>40024.100574991877</v>
      </c>
      <c r="G15" s="584">
        <v>40460.289700544155</v>
      </c>
      <c r="H15" s="584">
        <v>40522.386326876753</v>
      </c>
      <c r="I15" s="584">
        <v>40859.70262530804</v>
      </c>
      <c r="J15" s="584">
        <v>40229.919023235474</v>
      </c>
      <c r="K15" s="584">
        <v>40328.623489436795</v>
      </c>
      <c r="L15" s="584">
        <v>40475.343183686171</v>
      </c>
      <c r="M15" s="585">
        <v>-3.1454869034522881E-3</v>
      </c>
      <c r="N15" s="585">
        <v>3.6381032020049719E-3</v>
      </c>
      <c r="O15" s="586"/>
    </row>
    <row r="16" spans="1:15" ht="14.25" customHeight="1">
      <c r="A16" s="613" t="s">
        <v>2163</v>
      </c>
      <c r="B16" s="623"/>
      <c r="C16" s="623"/>
      <c r="D16" s="591">
        <v>-1.4805144155137333E-2</v>
      </c>
      <c r="E16" s="591">
        <v>-1.0286150159575477E-2</v>
      </c>
      <c r="F16" s="591">
        <v>-5.2005536319708048E-3</v>
      </c>
      <c r="G16" s="591">
        <v>1.3029729879089753E-2</v>
      </c>
      <c r="H16" s="591">
        <v>1.3752363541040872E-2</v>
      </c>
      <c r="I16" s="591">
        <v>1.3384498906097241E-2</v>
      </c>
      <c r="J16" s="591">
        <v>1.9445163539914694E-2</v>
      </c>
      <c r="K16" s="591">
        <v>1.8777918463609645E-2</v>
      </c>
      <c r="L16" s="591">
        <v>3.550459354943801E-2</v>
      </c>
      <c r="M16" s="589"/>
      <c r="N16" s="589"/>
      <c r="O16" s="586"/>
    </row>
    <row r="17" spans="1:15" ht="14.25" customHeight="1">
      <c r="A17" s="609" t="s">
        <v>2164</v>
      </c>
      <c r="B17" s="592" t="s">
        <v>2165</v>
      </c>
      <c r="C17" s="592"/>
      <c r="D17" s="584">
        <v>40237.623923398176</v>
      </c>
      <c r="E17" s="584">
        <v>40745.513988223363</v>
      </c>
      <c r="F17" s="584">
        <v>40232.248056603516</v>
      </c>
      <c r="G17" s="584">
        <v>39933.103054916348</v>
      </c>
      <c r="H17" s="584">
        <v>39965.10773855904</v>
      </c>
      <c r="I17" s="584">
        <v>40312.815980216146</v>
      </c>
      <c r="J17" s="584">
        <v>39447.641668631135</v>
      </c>
      <c r="K17" s="584">
        <v>39571.335885802539</v>
      </c>
      <c r="L17" s="584">
        <v>39038.282575175377</v>
      </c>
      <c r="M17" s="585">
        <v>-1.0651751873623883E-2</v>
      </c>
      <c r="N17" s="585">
        <v>-1.3470692830928943E-2</v>
      </c>
      <c r="O17" s="586"/>
    </row>
    <row r="18" spans="1:15" ht="14.25" customHeight="1">
      <c r="A18" s="623"/>
      <c r="B18" s="579" t="s">
        <v>2103</v>
      </c>
      <c r="C18" s="579"/>
      <c r="D18" s="588">
        <v>2637.2192303423699</v>
      </c>
      <c r="E18" s="588">
        <v>2818.7880186103298</v>
      </c>
      <c r="F18" s="588">
        <v>2523.73289487386</v>
      </c>
      <c r="G18" s="588">
        <v>2588.2768968051901</v>
      </c>
      <c r="H18" s="588">
        <v>2285.4542676820502</v>
      </c>
      <c r="I18" s="588">
        <v>2545.18598354197</v>
      </c>
      <c r="J18" s="588">
        <v>2687.2724589076602</v>
      </c>
      <c r="K18" s="588">
        <v>2603.5719535028802</v>
      </c>
      <c r="L18" s="588">
        <v>2426.12102435323</v>
      </c>
      <c r="M18" s="589">
        <v>-1.5843165421901451E-2</v>
      </c>
      <c r="N18" s="589">
        <v>-6.8156721734118131E-2</v>
      </c>
      <c r="O18" s="593"/>
    </row>
    <row r="19" spans="1:15" ht="14.25" customHeight="1">
      <c r="A19" s="623"/>
      <c r="B19" s="579" t="s">
        <v>1613</v>
      </c>
      <c r="C19" s="579"/>
      <c r="D19" s="588">
        <v>14420.182440203298</v>
      </c>
      <c r="E19" s="588">
        <v>14609.374445283936</v>
      </c>
      <c r="F19" s="588">
        <v>14547.246036940356</v>
      </c>
      <c r="G19" s="588">
        <v>14616.121598274125</v>
      </c>
      <c r="H19" s="588">
        <v>14621.670931462941</v>
      </c>
      <c r="I19" s="588">
        <v>14827.662746176953</v>
      </c>
      <c r="J19" s="588">
        <v>14035.332215733619</v>
      </c>
      <c r="K19" s="588">
        <v>13757.739084088116</v>
      </c>
      <c r="L19" s="588">
        <v>13575.991965543188</v>
      </c>
      <c r="M19" s="589">
        <v>-2.8969306997362554E-2</v>
      </c>
      <c r="N19" s="589">
        <v>-1.3210536806526063E-2</v>
      </c>
      <c r="O19" s="593"/>
    </row>
    <row r="20" spans="1:15" ht="14.25" customHeight="1">
      <c r="A20" s="623"/>
      <c r="B20" s="579" t="s">
        <v>1604</v>
      </c>
      <c r="C20" s="579"/>
      <c r="D20" s="588">
        <v>9339.8441723668093</v>
      </c>
      <c r="E20" s="588">
        <v>9455.5055413539994</v>
      </c>
      <c r="F20" s="588">
        <v>9459.7198946659992</v>
      </c>
      <c r="G20" s="588">
        <v>9434.7215578975392</v>
      </c>
      <c r="H20" s="588">
        <v>9491.6941208702501</v>
      </c>
      <c r="I20" s="588">
        <v>9521.2082833545192</v>
      </c>
      <c r="J20" s="588">
        <v>9170.5596951387506</v>
      </c>
      <c r="K20" s="588">
        <v>9277.3162313152407</v>
      </c>
      <c r="L20" s="588">
        <v>9292.3580041301593</v>
      </c>
      <c r="M20" s="589">
        <v>-8.0770105344519783E-3</v>
      </c>
      <c r="N20" s="589">
        <v>1.6213495842845038E-3</v>
      </c>
      <c r="O20" s="593"/>
    </row>
    <row r="21" spans="1:15" ht="14.25" customHeight="1">
      <c r="A21" s="623"/>
      <c r="B21" s="579" t="s">
        <v>1611</v>
      </c>
      <c r="C21" s="579"/>
      <c r="D21" s="588">
        <v>12441.114924060699</v>
      </c>
      <c r="E21" s="588">
        <v>12469.065960350101</v>
      </c>
      <c r="F21" s="588">
        <v>12377.228093498299</v>
      </c>
      <c r="G21" s="588">
        <v>12381.7569486145</v>
      </c>
      <c r="H21" s="588">
        <v>12703.0104883188</v>
      </c>
      <c r="I21" s="588">
        <v>12650.538605617699</v>
      </c>
      <c r="J21" s="588">
        <v>12871.7670174261</v>
      </c>
      <c r="K21" s="588">
        <v>13247.4408847713</v>
      </c>
      <c r="L21" s="588">
        <v>12997.7980380238</v>
      </c>
      <c r="M21" s="589">
        <v>9.067586941303718E-3</v>
      </c>
      <c r="N21" s="589">
        <v>-1.8844609228222953E-2</v>
      </c>
      <c r="O21" s="593"/>
    </row>
    <row r="22" spans="1:15" ht="14.25" customHeight="1">
      <c r="A22" s="623"/>
      <c r="B22" s="579" t="s">
        <v>879</v>
      </c>
      <c r="C22" s="579"/>
      <c r="D22" s="588">
        <v>68.769967425000004</v>
      </c>
      <c r="E22" s="588">
        <v>83.440262425</v>
      </c>
      <c r="F22" s="588">
        <v>91.001789424999998</v>
      </c>
      <c r="G22" s="588">
        <v>90.958995424999998</v>
      </c>
      <c r="H22" s="588">
        <v>93.875771424999996</v>
      </c>
      <c r="I22" s="588">
        <v>108.42411142500001</v>
      </c>
      <c r="J22" s="588">
        <v>111.524968425</v>
      </c>
      <c r="K22" s="588">
        <v>132.58232842499999</v>
      </c>
      <c r="L22" s="588">
        <v>193.32813942499999</v>
      </c>
      <c r="M22" s="589">
        <v>0.21261536418813409</v>
      </c>
      <c r="N22" s="589">
        <v>0.45817426591933086</v>
      </c>
      <c r="O22" s="593"/>
    </row>
    <row r="23" spans="1:15" ht="14.25" customHeight="1">
      <c r="A23" s="623"/>
      <c r="B23" s="579" t="s">
        <v>2166</v>
      </c>
      <c r="C23" s="579"/>
      <c r="D23" s="588">
        <v>1330.493189</v>
      </c>
      <c r="E23" s="588">
        <v>1309.3397602</v>
      </c>
      <c r="F23" s="588">
        <v>1233.3193472</v>
      </c>
      <c r="G23" s="588">
        <v>821.26705790000005</v>
      </c>
      <c r="H23" s="588">
        <v>769.40215880000005</v>
      </c>
      <c r="I23" s="588">
        <v>659.79625009999995</v>
      </c>
      <c r="J23" s="588">
        <v>571.18531299999995</v>
      </c>
      <c r="K23" s="588">
        <v>552.68540370000005</v>
      </c>
      <c r="L23" s="588">
        <v>552.68540370000005</v>
      </c>
      <c r="M23" s="589">
        <v>-5.7337890826649418E-2</v>
      </c>
      <c r="N23" s="589">
        <v>0</v>
      </c>
      <c r="O23" s="593"/>
    </row>
    <row r="24" spans="1:15" ht="14.25" customHeight="1">
      <c r="A24" s="466" t="s">
        <v>2167</v>
      </c>
      <c r="B24" s="466"/>
      <c r="C24" s="466"/>
      <c r="D24" s="467">
        <v>41191.965985820403</v>
      </c>
      <c r="E24" s="467">
        <v>41987.796658004903</v>
      </c>
      <c r="F24" s="467">
        <v>41629.746527297197</v>
      </c>
      <c r="G24" s="467">
        <v>42413.652894714403</v>
      </c>
      <c r="H24" s="467">
        <v>42549.723793023702</v>
      </c>
      <c r="I24" s="467">
        <v>43028.1877360457</v>
      </c>
      <c r="J24" s="467">
        <v>42443.324686974898</v>
      </c>
      <c r="K24" s="467">
        <v>42490.732684760398</v>
      </c>
      <c r="L24" s="467">
        <v>42705.820052090603</v>
      </c>
      <c r="M24" s="466"/>
      <c r="N24" s="466"/>
      <c r="O24" s="593"/>
    </row>
    <row r="25" spans="1:15" ht="14.25" customHeight="1">
      <c r="A25" s="468" t="s">
        <v>2168</v>
      </c>
      <c r="B25" s="468"/>
      <c r="C25" s="468"/>
      <c r="D25" s="469">
        <v>7.2849035684117866E-2</v>
      </c>
      <c r="E25" s="469">
        <v>7.1518613478554621E-2</v>
      </c>
      <c r="F25" s="469">
        <v>6.9545198842409756E-2</v>
      </c>
      <c r="G25" s="469">
        <v>6.7219376583232099E-2</v>
      </c>
      <c r="H25" s="469">
        <v>6.80746491698343E-2</v>
      </c>
      <c r="I25" s="469">
        <v>6.8677087224300326E-2</v>
      </c>
      <c r="J25" s="469">
        <v>6.9367556723263474E-2</v>
      </c>
      <c r="K25" s="469">
        <v>6.923918990642676E-2</v>
      </c>
      <c r="L25" s="469">
        <v>7.0263088869502638E-2</v>
      </c>
      <c r="M25" s="468"/>
      <c r="N25" s="468"/>
      <c r="O25" s="594"/>
    </row>
    <row r="26" spans="1:15" ht="14.25" customHeight="1">
      <c r="A26" s="579"/>
      <c r="B26" s="579"/>
      <c r="C26" s="579"/>
      <c r="D26" s="579"/>
      <c r="E26" s="579"/>
      <c r="F26" s="579"/>
      <c r="G26" s="579"/>
      <c r="H26" s="579"/>
      <c r="I26" s="579"/>
      <c r="J26" s="579"/>
      <c r="K26" s="579"/>
      <c r="L26" s="579"/>
      <c r="M26" s="579"/>
      <c r="N26" s="595"/>
      <c r="O26" s="529"/>
    </row>
    <row r="27" spans="1:15" ht="14.25" customHeight="1">
      <c r="A27" s="581" t="s">
        <v>2169</v>
      </c>
      <c r="B27" s="579"/>
      <c r="C27" s="579"/>
      <c r="D27" s="579"/>
      <c r="E27" s="579"/>
      <c r="F27" s="579"/>
      <c r="G27" s="579"/>
      <c r="H27" s="579"/>
      <c r="I27" s="579"/>
      <c r="J27" s="579"/>
      <c r="K27" s="579"/>
      <c r="L27" s="579"/>
      <c r="M27" s="579"/>
      <c r="N27" s="595"/>
      <c r="O27" s="545"/>
    </row>
    <row r="28" spans="1:15" ht="14.25" customHeight="1">
      <c r="A28" s="579" t="s">
        <v>2170</v>
      </c>
      <c r="B28" s="579"/>
      <c r="C28" s="579"/>
      <c r="D28" s="579"/>
      <c r="E28" s="579"/>
      <c r="F28" s="579"/>
      <c r="G28" s="579"/>
      <c r="H28" s="579"/>
      <c r="I28" s="579"/>
      <c r="J28" s="579"/>
      <c r="K28" s="579"/>
      <c r="L28" s="579"/>
      <c r="M28" s="579"/>
      <c r="N28" s="579"/>
      <c r="O28" s="529"/>
    </row>
    <row r="29" spans="1:15" ht="14.25" customHeight="1">
      <c r="A29" s="579" t="s">
        <v>2171</v>
      </c>
      <c r="B29" s="579"/>
      <c r="C29" s="579"/>
      <c r="D29" s="579"/>
      <c r="E29" s="579"/>
      <c r="F29" s="579"/>
      <c r="G29" s="579"/>
      <c r="H29" s="579"/>
      <c r="I29" s="579"/>
      <c r="J29" s="579"/>
      <c r="K29" s="579"/>
      <c r="L29" s="579"/>
      <c r="M29" s="579"/>
      <c r="N29" s="579"/>
      <c r="O29" s="529"/>
    </row>
    <row r="30" spans="1:15" ht="14.25" customHeight="1">
      <c r="A30" s="579" t="s">
        <v>2172</v>
      </c>
      <c r="B30" s="579"/>
      <c r="C30" s="579"/>
      <c r="D30" s="593"/>
      <c r="E30" s="593"/>
      <c r="F30" s="593"/>
      <c r="G30" s="593"/>
      <c r="H30" s="593"/>
      <c r="I30" s="593"/>
      <c r="J30" s="593"/>
      <c r="K30" s="593"/>
      <c r="L30" s="593"/>
      <c r="M30" s="579"/>
      <c r="N30" s="579"/>
      <c r="O30" s="529"/>
    </row>
    <row r="31" spans="1:15" ht="14.25" customHeight="1">
      <c r="A31" s="579" t="s">
        <v>2173</v>
      </c>
      <c r="B31" s="579"/>
      <c r="C31" s="579"/>
      <c r="D31" s="579"/>
      <c r="E31" s="579"/>
      <c r="F31" s="579"/>
      <c r="G31" s="579"/>
      <c r="H31" s="579"/>
      <c r="I31" s="579"/>
      <c r="J31" s="579"/>
      <c r="K31" s="579"/>
      <c r="L31" s="579"/>
      <c r="M31" s="579"/>
      <c r="N31" s="579"/>
      <c r="O31" s="529"/>
    </row>
    <row r="32" spans="1:15" ht="14.25" customHeight="1">
      <c r="A32" s="579" t="s">
        <v>2174</v>
      </c>
      <c r="B32" s="579"/>
      <c r="C32" s="579"/>
      <c r="D32" s="579"/>
      <c r="E32" s="579"/>
      <c r="F32" s="579"/>
      <c r="G32" s="579"/>
      <c r="H32" s="579"/>
      <c r="I32" s="579"/>
      <c r="J32" s="579"/>
      <c r="K32" s="579"/>
      <c r="L32" s="579"/>
      <c r="M32" s="579"/>
      <c r="N32" s="579"/>
      <c r="O32" s="529"/>
    </row>
    <row r="33" spans="1:1" ht="14.25" customHeight="1">
      <c r="A33" s="579" t="s">
        <v>2175</v>
      </c>
    </row>
    <row r="34" spans="1:1" ht="14.25" customHeight="1">
      <c r="A34" s="587" t="s">
        <v>2176</v>
      </c>
    </row>
    <row r="35" spans="1:1" ht="14.25" customHeight="1">
      <c r="A35" s="587" t="s">
        <v>2177</v>
      </c>
    </row>
    <row r="36" spans="1:1" ht="14.25" customHeight="1">
      <c r="A36" s="579" t="s">
        <v>2178</v>
      </c>
    </row>
    <row r="37" spans="1:1" ht="14.25" customHeight="1">
      <c r="A37" s="579" t="s">
        <v>2179</v>
      </c>
    </row>
  </sheetData>
  <mergeCells count="13">
    <mergeCell ref="A17:A23"/>
    <mergeCell ref="B5:C5"/>
    <mergeCell ref="A6:A14"/>
    <mergeCell ref="B6:C6"/>
    <mergeCell ref="B7:C7"/>
    <mergeCell ref="B8:C8"/>
    <mergeCell ref="B9:C9"/>
    <mergeCell ref="B10:C10"/>
    <mergeCell ref="B12:C12"/>
    <mergeCell ref="B13:C13"/>
    <mergeCell ref="B14:C14"/>
    <mergeCell ref="A15:C15"/>
    <mergeCell ref="A16:C16"/>
  </mergeCells>
  <hyperlinks>
    <hyperlink ref="A1" location="null!A1" display="Return to contents" xr:uid="{00000000-0004-0000-1900-000000000000}"/>
  </hyperlinks>
  <pageMargins left="0.65" right="0.4" top="0.54" bottom="0.69" header="0" footer="0"/>
  <pageSetup paperSize="9" scale="79"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outlinePr summaryBelow="0" summaryRight="0"/>
  </sheetPr>
  <dimension ref="A1:M49"/>
  <sheetViews>
    <sheetView topLeftCell="A19" workbookViewId="0">
      <selection activeCell="O29" sqref="O29"/>
    </sheetView>
  </sheetViews>
  <sheetFormatPr defaultColWidth="12.5703125" defaultRowHeight="15.75" customHeight="1"/>
  <cols>
    <col min="2" max="2" width="27.7109375" customWidth="1"/>
    <col min="3" max="3" width="33" customWidth="1"/>
    <col min="4" max="4" width="25.140625" customWidth="1"/>
  </cols>
  <sheetData>
    <row r="1" spans="1:13" ht="12.95">
      <c r="B1" s="115" t="s">
        <v>15</v>
      </c>
      <c r="E1" s="10"/>
      <c r="F1" s="10" t="s">
        <v>2180</v>
      </c>
      <c r="I1" s="473" t="s">
        <v>2181</v>
      </c>
    </row>
    <row r="2" spans="1:13" ht="12.95">
      <c r="A2" s="115" t="s">
        <v>2182</v>
      </c>
      <c r="B2" s="115" t="s">
        <v>2183</v>
      </c>
      <c r="C2" s="115" t="s">
        <v>2184</v>
      </c>
      <c r="D2" s="115" t="s">
        <v>2185</v>
      </c>
      <c r="E2" s="115" t="s">
        <v>2186</v>
      </c>
      <c r="F2" s="10">
        <v>11000</v>
      </c>
      <c r="G2" s="10" t="s">
        <v>2187</v>
      </c>
      <c r="H2" s="115" t="s">
        <v>2188</v>
      </c>
      <c r="I2" s="10" t="s">
        <v>2189</v>
      </c>
      <c r="J2" s="10" t="s">
        <v>2190</v>
      </c>
      <c r="K2" s="10" t="s">
        <v>2191</v>
      </c>
      <c r="L2" s="10" t="s">
        <v>2192</v>
      </c>
      <c r="M2" s="10" t="s">
        <v>2193</v>
      </c>
    </row>
    <row r="3" spans="1:13" ht="12.95">
      <c r="E3" s="91"/>
      <c r="F3" s="91"/>
      <c r="H3" s="115"/>
      <c r="I3" s="10" t="s">
        <v>2194</v>
      </c>
      <c r="J3" s="10">
        <v>2.76</v>
      </c>
      <c r="K3" s="10">
        <f t="shared" ref="K3:K4" si="0">50*J3</f>
        <v>138</v>
      </c>
    </row>
    <row r="4" spans="1:13" ht="12.95">
      <c r="A4" s="10" t="s">
        <v>2195</v>
      </c>
      <c r="B4" s="470">
        <v>4.7</v>
      </c>
      <c r="C4" s="10">
        <f>M5/1000</f>
        <v>3.7128000000000001E-2</v>
      </c>
      <c r="D4" s="91">
        <v>6</v>
      </c>
      <c r="E4" s="91">
        <v>-2</v>
      </c>
      <c r="F4" s="91"/>
      <c r="G4" s="10">
        <f t="shared" ref="G4:G7" si="1">C4*11000</f>
        <v>408.40800000000002</v>
      </c>
      <c r="H4" s="115">
        <f ca="1">Machines!F269/2</f>
        <v>258.57419016578228</v>
      </c>
      <c r="I4" s="10" t="s">
        <v>2196</v>
      </c>
      <c r="J4" s="10">
        <v>3.15</v>
      </c>
      <c r="K4" s="10">
        <f t="shared" si="0"/>
        <v>157.5</v>
      </c>
    </row>
    <row r="5" spans="1:13" ht="12.95">
      <c r="A5" s="10" t="s">
        <v>2197</v>
      </c>
      <c r="B5" s="10"/>
      <c r="C5" s="10">
        <f>M5/1000</f>
        <v>3.7128000000000001E-2</v>
      </c>
      <c r="D5" s="91">
        <f>45*241041/1000000</f>
        <v>10.846845</v>
      </c>
      <c r="E5" s="91"/>
      <c r="F5" s="91">
        <f t="shared" ref="F5:F7" si="2">(C5*11000*15)+D5</f>
        <v>6136.9668449999999</v>
      </c>
      <c r="G5" s="10">
        <f t="shared" si="1"/>
        <v>408.40800000000002</v>
      </c>
      <c r="H5" s="115"/>
      <c r="I5" s="10" t="s">
        <v>2198</v>
      </c>
      <c r="L5" s="10">
        <v>132.6</v>
      </c>
      <c r="M5" s="10">
        <f>L5*0.28</f>
        <v>37.128</v>
      </c>
    </row>
    <row r="6" spans="1:13" ht="12.95">
      <c r="A6" s="10" t="s">
        <v>2199</v>
      </c>
      <c r="B6" s="10" t="s">
        <v>2200</v>
      </c>
      <c r="C6" s="10">
        <f t="shared" ref="C6:C7" si="3">K3/1000</f>
        <v>0.13800000000000001</v>
      </c>
      <c r="D6" s="10">
        <v>6.7</v>
      </c>
      <c r="E6" s="148">
        <v>-1.3</v>
      </c>
      <c r="F6" s="91">
        <f t="shared" si="2"/>
        <v>22776.700000000004</v>
      </c>
      <c r="G6" s="10">
        <f t="shared" si="1"/>
        <v>1518.0000000000002</v>
      </c>
      <c r="H6" s="115">
        <f ca="1">Machines!D269/2</f>
        <v>2547.5524528547967</v>
      </c>
    </row>
    <row r="7" spans="1:13" ht="12.95">
      <c r="A7" s="10" t="s">
        <v>2201</v>
      </c>
      <c r="B7" s="10" t="s">
        <v>2200</v>
      </c>
      <c r="C7" s="10">
        <f t="shared" si="3"/>
        <v>0.1575</v>
      </c>
      <c r="D7" s="10">
        <v>6.7</v>
      </c>
      <c r="E7" s="148">
        <v>-1.3</v>
      </c>
      <c r="F7" s="91">
        <f t="shared" si="2"/>
        <v>25994.2</v>
      </c>
      <c r="G7" s="10">
        <f t="shared" si="1"/>
        <v>1732.5</v>
      </c>
      <c r="H7" s="115">
        <f ca="1">Machines!E269/2</f>
        <v>2359.7559583500943</v>
      </c>
    </row>
    <row r="8" spans="1:13" ht="15.75" customHeight="1">
      <c r="A8" s="473" t="s">
        <v>2202</v>
      </c>
    </row>
    <row r="9" spans="1:13" ht="15.75" customHeight="1">
      <c r="A9" s="473" t="s">
        <v>2203</v>
      </c>
      <c r="B9" s="10"/>
    </row>
    <row r="10" spans="1:13" ht="15.75" customHeight="1">
      <c r="A10" s="473" t="s">
        <v>2204</v>
      </c>
      <c r="B10" s="10"/>
    </row>
    <row r="11" spans="1:13" ht="12.95">
      <c r="A11" s="115" t="s">
        <v>2205</v>
      </c>
      <c r="B11" s="10" t="s">
        <v>2206</v>
      </c>
    </row>
    <row r="12" spans="1:13" ht="15.75" customHeight="1">
      <c r="A12" s="10" t="s">
        <v>2207</v>
      </c>
      <c r="B12" s="10">
        <v>2560</v>
      </c>
      <c r="C12" s="473" t="s">
        <v>2208</v>
      </c>
    </row>
    <row r="13" spans="1:13" ht="15.75" customHeight="1">
      <c r="A13" s="10" t="s">
        <v>2209</v>
      </c>
      <c r="B13" s="10" t="s">
        <v>2210</v>
      </c>
      <c r="C13" s="473" t="s">
        <v>2211</v>
      </c>
    </row>
    <row r="14" spans="1:13" ht="140.1">
      <c r="A14" s="10">
        <f>520*9</f>
        <v>4680</v>
      </c>
      <c r="B14" s="10">
        <f>780*9</f>
        <v>7020</v>
      </c>
      <c r="C14" s="471" t="s">
        <v>2212</v>
      </c>
    </row>
    <row r="15" spans="1:13" ht="15.75" customHeight="1">
      <c r="C15" s="472"/>
    </row>
    <row r="16" spans="1:13" ht="12.95">
      <c r="A16" s="115" t="s">
        <v>2213</v>
      </c>
      <c r="B16" s="10" t="s">
        <v>2214</v>
      </c>
    </row>
    <row r="18" spans="1:4" ht="12.95">
      <c r="A18" s="115" t="s">
        <v>878</v>
      </c>
      <c r="B18" s="10" t="s">
        <v>175</v>
      </c>
      <c r="C18" s="10" t="s">
        <v>37</v>
      </c>
    </row>
    <row r="19" spans="1:4" ht="15.75" customHeight="1">
      <c r="A19" s="10" t="s">
        <v>58</v>
      </c>
      <c r="C19" s="10" t="s">
        <v>2215</v>
      </c>
    </row>
    <row r="20" spans="1:4" ht="15.75" customHeight="1">
      <c r="A20" s="10" t="s">
        <v>56</v>
      </c>
      <c r="B20" s="10" t="s">
        <v>2216</v>
      </c>
    </row>
    <row r="21" spans="1:4" ht="15.75" customHeight="1">
      <c r="A21" s="10" t="s">
        <v>56</v>
      </c>
      <c r="B21" s="10" t="s">
        <v>2217</v>
      </c>
    </row>
    <row r="22" spans="1:4" ht="15.75" customHeight="1">
      <c r="A22" s="473" t="s">
        <v>2218</v>
      </c>
    </row>
    <row r="23" spans="1:4" ht="15.75" customHeight="1">
      <c r="A23" s="473" t="s">
        <v>2219</v>
      </c>
    </row>
    <row r="24" spans="1:4" ht="15.75" customHeight="1">
      <c r="A24" s="473" t="s">
        <v>2220</v>
      </c>
    </row>
    <row r="26" spans="1:4" ht="15.75" customHeight="1">
      <c r="A26" s="473" t="s">
        <v>2221</v>
      </c>
    </row>
    <row r="28" spans="1:4" ht="15.75" customHeight="1">
      <c r="A28" s="473" t="s">
        <v>2222</v>
      </c>
    </row>
    <row r="31" spans="1:4" ht="12.95">
      <c r="B31" s="115" t="s">
        <v>2223</v>
      </c>
      <c r="C31" s="115" t="s">
        <v>914</v>
      </c>
      <c r="D31" s="10" t="s">
        <v>1314</v>
      </c>
    </row>
    <row r="32" spans="1:4" ht="15.75" customHeight="1">
      <c r="B32" s="10">
        <v>1</v>
      </c>
      <c r="C32" s="50">
        <f ca="1">B4+D4+E4+H4/1000</f>
        <v>8.9585741901657823</v>
      </c>
      <c r="D32" s="148">
        <f ca="1">D6+E6+H6/1000</f>
        <v>7.9475524528547972</v>
      </c>
    </row>
    <row r="33" spans="2:4" ht="15.75" customHeight="1">
      <c r="B33" s="10">
        <v>2</v>
      </c>
      <c r="C33" s="50">
        <f t="shared" ref="C33:C46" ca="1" si="4">C32+H$4/1000</f>
        <v>9.2171483803315652</v>
      </c>
      <c r="D33" s="148">
        <f t="shared" ref="D33:D46" ca="1" si="5">D32+H$6/1000</f>
        <v>10.495104905709594</v>
      </c>
    </row>
    <row r="34" spans="2:4" ht="15.75" customHeight="1">
      <c r="B34" s="10">
        <v>3</v>
      </c>
      <c r="C34" s="50">
        <f t="shared" ca="1" si="4"/>
        <v>9.4757225704973482</v>
      </c>
      <c r="D34" s="148">
        <f t="shared" ca="1" si="5"/>
        <v>13.042657358564391</v>
      </c>
    </row>
    <row r="35" spans="2:4" ht="15.75" customHeight="1">
      <c r="B35" s="10">
        <v>4</v>
      </c>
      <c r="C35" s="50">
        <f t="shared" ca="1" si="4"/>
        <v>9.7342967606631312</v>
      </c>
      <c r="D35" s="148">
        <f t="shared" ca="1" si="5"/>
        <v>15.590209811419188</v>
      </c>
    </row>
    <row r="36" spans="2:4" ht="15.75" customHeight="1">
      <c r="B36" s="10">
        <v>5</v>
      </c>
      <c r="C36" s="50">
        <f t="shared" ca="1" si="4"/>
        <v>9.9928709508289142</v>
      </c>
      <c r="D36" s="148">
        <f t="shared" ca="1" si="5"/>
        <v>18.137762264273984</v>
      </c>
    </row>
    <row r="37" spans="2:4" ht="15.75" customHeight="1">
      <c r="B37" s="10">
        <v>6</v>
      </c>
      <c r="C37" s="50">
        <f t="shared" ca="1" si="4"/>
        <v>10.251445140994697</v>
      </c>
      <c r="D37" s="148">
        <f t="shared" ca="1" si="5"/>
        <v>20.685314717128783</v>
      </c>
    </row>
    <row r="38" spans="2:4" ht="15.75" customHeight="1">
      <c r="B38" s="10">
        <v>7</v>
      </c>
      <c r="C38" s="50">
        <f t="shared" ca="1" si="4"/>
        <v>10.51001933116048</v>
      </c>
      <c r="D38" s="148">
        <f t="shared" ca="1" si="5"/>
        <v>23.232867169983578</v>
      </c>
    </row>
    <row r="39" spans="2:4" ht="15.75" customHeight="1">
      <c r="B39" s="10">
        <v>8</v>
      </c>
      <c r="C39" s="50">
        <f t="shared" ca="1" si="4"/>
        <v>10.768593521326263</v>
      </c>
      <c r="D39" s="148">
        <f t="shared" ca="1" si="5"/>
        <v>25.780419622838373</v>
      </c>
    </row>
    <row r="40" spans="2:4" ht="15.75" customHeight="1">
      <c r="B40" s="10">
        <v>9</v>
      </c>
      <c r="C40" s="50">
        <f t="shared" ca="1" si="4"/>
        <v>11.027167711492046</v>
      </c>
      <c r="D40" s="148">
        <f t="shared" ca="1" si="5"/>
        <v>28.327972075693168</v>
      </c>
    </row>
    <row r="41" spans="2:4" ht="12.6">
      <c r="B41" s="10">
        <v>10</v>
      </c>
      <c r="C41" s="50">
        <f t="shared" ca="1" si="4"/>
        <v>11.285741901657829</v>
      </c>
      <c r="D41" s="148">
        <f t="shared" ca="1" si="5"/>
        <v>30.875524528547963</v>
      </c>
    </row>
    <row r="42" spans="2:4" ht="12.6">
      <c r="B42" s="10">
        <v>11</v>
      </c>
      <c r="C42" s="50">
        <f t="shared" ca="1" si="4"/>
        <v>11.544316091823612</v>
      </c>
      <c r="D42" s="148">
        <f t="shared" ca="1" si="5"/>
        <v>33.423076981402758</v>
      </c>
    </row>
    <row r="43" spans="2:4" ht="12.6">
      <c r="B43" s="10">
        <v>12</v>
      </c>
      <c r="C43" s="50">
        <f t="shared" ca="1" si="4"/>
        <v>11.802890281989395</v>
      </c>
      <c r="D43" s="148">
        <f t="shared" ca="1" si="5"/>
        <v>35.970629434257553</v>
      </c>
    </row>
    <row r="44" spans="2:4" ht="12.6">
      <c r="B44" s="10">
        <v>13</v>
      </c>
      <c r="C44" s="50">
        <f t="shared" ca="1" si="4"/>
        <v>12.061464472155178</v>
      </c>
      <c r="D44" s="148">
        <f t="shared" ca="1" si="5"/>
        <v>38.518181887112348</v>
      </c>
    </row>
    <row r="45" spans="2:4" ht="12.6">
      <c r="B45" s="10">
        <v>14</v>
      </c>
      <c r="C45" s="50">
        <f t="shared" ca="1" si="4"/>
        <v>12.320038662320961</v>
      </c>
      <c r="D45" s="148">
        <f t="shared" ca="1" si="5"/>
        <v>41.065734339967143</v>
      </c>
    </row>
    <row r="46" spans="2:4" ht="12.6">
      <c r="B46" s="10">
        <v>15</v>
      </c>
      <c r="C46" s="50">
        <f t="shared" ca="1" si="4"/>
        <v>12.578612852486744</v>
      </c>
      <c r="D46" s="148">
        <f t="shared" ca="1" si="5"/>
        <v>43.613286792821938</v>
      </c>
    </row>
    <row r="48" spans="2:4" ht="12.6">
      <c r="B48" s="10" t="s">
        <v>2224</v>
      </c>
    </row>
    <row r="49" spans="2:3" ht="12.6">
      <c r="B49" s="10">
        <v>4933</v>
      </c>
      <c r="C49" s="10">
        <f>B49*C4</f>
        <v>183.152424</v>
      </c>
    </row>
  </sheetData>
  <hyperlinks>
    <hyperlink ref="I1" r:id="rId1" xr:uid="{00000000-0004-0000-1A00-000000000000}"/>
    <hyperlink ref="A8" r:id="rId2" xr:uid="{00000000-0004-0000-1A00-000001000000}"/>
    <hyperlink ref="A9" r:id="rId3" xr:uid="{00000000-0004-0000-1A00-000002000000}"/>
    <hyperlink ref="A10" r:id="rId4" xr:uid="{00000000-0004-0000-1A00-000003000000}"/>
    <hyperlink ref="C12" r:id="rId5" xr:uid="{00000000-0004-0000-1A00-000004000000}"/>
    <hyperlink ref="C13" r:id="rId6" xr:uid="{00000000-0004-0000-1A00-000005000000}"/>
    <hyperlink ref="A22" r:id="rId7" xr:uid="{00000000-0004-0000-1A00-000006000000}"/>
    <hyperlink ref="A23" r:id="rId8" xr:uid="{00000000-0004-0000-1A00-000007000000}"/>
    <hyperlink ref="A24" r:id="rId9" xr:uid="{00000000-0004-0000-1A00-000008000000}"/>
    <hyperlink ref="A26" r:id="rId10" xr:uid="{00000000-0004-0000-1A00-000009000000}"/>
    <hyperlink ref="A28" r:id="rId11" xr:uid="{00000000-0004-0000-1A00-00000A000000}"/>
  </hyperlinks>
  <pageMargins left="0.7" right="0.7" top="0.75" bottom="0.75" header="0.3" footer="0.3"/>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sheetPr>
  <dimension ref="B5:AA40"/>
  <sheetViews>
    <sheetView workbookViewId="0"/>
  </sheetViews>
  <sheetFormatPr defaultColWidth="12.5703125" defaultRowHeight="15.75" customHeight="1"/>
  <cols>
    <col min="2" max="2" width="26.42578125" customWidth="1"/>
  </cols>
  <sheetData>
    <row r="5" spans="2:27" ht="15.75" customHeight="1">
      <c r="B5" s="10" t="s">
        <v>396</v>
      </c>
      <c r="C5" s="10">
        <v>7372</v>
      </c>
    </row>
    <row r="7" spans="2:27" ht="15.75" customHeight="1">
      <c r="L7" s="10" t="s">
        <v>397</v>
      </c>
      <c r="V7" s="10" t="s">
        <v>398</v>
      </c>
      <c r="AA7" s="10" t="s">
        <v>399</v>
      </c>
    </row>
    <row r="8" spans="2:27" ht="15.75" customHeight="1">
      <c r="C8" s="10">
        <v>2023</v>
      </c>
      <c r="D8" s="10">
        <v>2024</v>
      </c>
      <c r="E8" s="10">
        <v>2025</v>
      </c>
      <c r="F8" s="10">
        <v>2026</v>
      </c>
      <c r="G8" s="10">
        <v>2027</v>
      </c>
      <c r="H8" s="10">
        <v>2028</v>
      </c>
      <c r="I8" s="10">
        <v>2029</v>
      </c>
      <c r="J8" s="10">
        <v>2030</v>
      </c>
      <c r="K8" s="10">
        <v>2031</v>
      </c>
      <c r="L8" s="10">
        <v>2032</v>
      </c>
      <c r="M8" s="10">
        <v>2033</v>
      </c>
      <c r="N8" s="10">
        <v>2034</v>
      </c>
      <c r="O8" s="10">
        <v>2035</v>
      </c>
      <c r="P8" s="10">
        <v>2036</v>
      </c>
      <c r="Q8" s="10">
        <v>2037</v>
      </c>
      <c r="R8" s="10">
        <v>2038</v>
      </c>
      <c r="S8" s="10">
        <v>2039</v>
      </c>
      <c r="T8" s="10">
        <v>2040</v>
      </c>
      <c r="U8" s="10">
        <v>2041</v>
      </c>
      <c r="V8" s="10">
        <v>2042</v>
      </c>
      <c r="W8" s="10">
        <v>2043</v>
      </c>
      <c r="X8" s="10">
        <v>2044</v>
      </c>
      <c r="Y8" s="10">
        <v>2045</v>
      </c>
      <c r="Z8" s="10">
        <v>2046</v>
      </c>
      <c r="AA8" s="10">
        <v>2047</v>
      </c>
    </row>
    <row r="9" spans="2:27" ht="15.75" customHeight="1">
      <c r="B9" s="10" t="s">
        <v>400</v>
      </c>
      <c r="C9" s="50">
        <f>'CPI Energy'!AT39</f>
        <v>0.24191604127556363</v>
      </c>
      <c r="D9" s="50">
        <f>'CPI Energy'!AU49</f>
        <v>0.25047656711701377</v>
      </c>
      <c r="E9" s="50">
        <f>'CPI Energy'!AV49</f>
        <v>0.25589301158444888</v>
      </c>
      <c r="F9" s="50">
        <f>'CPI Energy'!AW49</f>
        <v>0.2613094560518856</v>
      </c>
      <c r="G9" s="50">
        <f>'CPI Energy'!AX49</f>
        <v>0.26672590051932077</v>
      </c>
      <c r="H9" s="50">
        <f>'CPI Energy'!AY49</f>
        <v>0.27214234498675749</v>
      </c>
      <c r="I9" s="50">
        <f>'CPI Energy'!AZ49</f>
        <v>0.27755878945419427</v>
      </c>
      <c r="J9" s="50">
        <f>'CPI Energy'!BA49</f>
        <v>0.28297523392162938</v>
      </c>
      <c r="K9" s="50">
        <f>'CPI Energy'!BB49</f>
        <v>0.2883916783890661</v>
      </c>
      <c r="L9" s="50">
        <f>'CPI Energy'!BC49</f>
        <v>0.29380812285650287</v>
      </c>
      <c r="M9" s="50">
        <f>'CPI Energy'!BD49</f>
        <v>0.29922456732393959</v>
      </c>
      <c r="N9" s="50">
        <f>'CPI Energy'!BE49</f>
        <v>0.30464101179137471</v>
      </c>
      <c r="O9" s="50">
        <f>'CPI Energy'!BF49</f>
        <v>0.31005745625881148</v>
      </c>
      <c r="P9" s="50">
        <f>'CPI Energy'!BG49</f>
        <v>0.3154739007262482</v>
      </c>
      <c r="Q9" s="50">
        <f>'CPI Energy'!BH49</f>
        <v>0.32089034519368337</v>
      </c>
      <c r="R9" s="50">
        <f>'CPI Energy'!BI49</f>
        <v>0.32630678966112009</v>
      </c>
      <c r="S9" s="50">
        <f>'CPI Energy'!BJ49</f>
        <v>0.33172323412855681</v>
      </c>
      <c r="T9" s="50">
        <f>'CPI Energy'!BK49</f>
        <v>0.33713967859599198</v>
      </c>
      <c r="U9" s="50">
        <f>'CPI Energy'!BL49</f>
        <v>0.3425561230634287</v>
      </c>
      <c r="V9" s="50">
        <f>'CPI Energy'!BM49</f>
        <v>0.34797256753086547</v>
      </c>
      <c r="W9" s="50">
        <f>'CPI Energy'!BN49</f>
        <v>0.35338901199830219</v>
      </c>
      <c r="X9" s="50">
        <f>'CPI Energy'!BO49</f>
        <v>0.3588054564657373</v>
      </c>
      <c r="Y9" s="50">
        <f>'CPI Energy'!BP49</f>
        <v>0.36422190093317408</v>
      </c>
      <c r="Z9" s="50">
        <f>'CPI Energy'!BQ49</f>
        <v>0.3696383454006108</v>
      </c>
      <c r="AA9" s="50">
        <f>'CPI Energy'!BR49</f>
        <v>0.37505478986804591</v>
      </c>
    </row>
    <row r="10" spans="2:27" ht="15.75" customHeight="1">
      <c r="B10" s="10" t="s">
        <v>234</v>
      </c>
      <c r="C10" s="118">
        <f t="shared" ref="C10:AA10" si="0">C9*$C$5</f>
        <v>1783.405056283455</v>
      </c>
      <c r="D10" s="118">
        <f t="shared" si="0"/>
        <v>1846.5132527866256</v>
      </c>
      <c r="E10" s="118">
        <f t="shared" si="0"/>
        <v>1886.4432814005572</v>
      </c>
      <c r="F10" s="118">
        <f t="shared" si="0"/>
        <v>1926.3733100145007</v>
      </c>
      <c r="G10" s="118">
        <f t="shared" si="0"/>
        <v>1966.3033386284328</v>
      </c>
      <c r="H10" s="118">
        <f t="shared" si="0"/>
        <v>2006.2333672423763</v>
      </c>
      <c r="I10" s="118">
        <f t="shared" si="0"/>
        <v>2046.1633958563202</v>
      </c>
      <c r="J10" s="118">
        <f t="shared" si="0"/>
        <v>2086.0934244702516</v>
      </c>
      <c r="K10" s="118">
        <f t="shared" si="0"/>
        <v>2126.0234530841954</v>
      </c>
      <c r="L10" s="118">
        <f t="shared" si="0"/>
        <v>2165.9534816981391</v>
      </c>
      <c r="M10" s="118">
        <f t="shared" si="0"/>
        <v>2205.8835103120828</v>
      </c>
      <c r="N10" s="118">
        <f t="shared" si="0"/>
        <v>2245.8135389260142</v>
      </c>
      <c r="O10" s="118">
        <f t="shared" si="0"/>
        <v>2285.7435675399583</v>
      </c>
      <c r="P10" s="118">
        <f t="shared" si="0"/>
        <v>2325.6735961539016</v>
      </c>
      <c r="Q10" s="118">
        <f t="shared" si="0"/>
        <v>2365.6036247678339</v>
      </c>
      <c r="R10" s="118">
        <f t="shared" si="0"/>
        <v>2405.5336533817772</v>
      </c>
      <c r="S10" s="118">
        <f t="shared" si="0"/>
        <v>2445.4636819957209</v>
      </c>
      <c r="T10" s="118">
        <f t="shared" si="0"/>
        <v>2485.3937106096528</v>
      </c>
      <c r="U10" s="118">
        <f t="shared" si="0"/>
        <v>2525.3237392235965</v>
      </c>
      <c r="V10" s="118">
        <f t="shared" si="0"/>
        <v>2565.2537678375402</v>
      </c>
      <c r="W10" s="118">
        <f t="shared" si="0"/>
        <v>2605.1837964514839</v>
      </c>
      <c r="X10" s="118">
        <f t="shared" si="0"/>
        <v>2645.1138250654153</v>
      </c>
      <c r="Y10" s="118">
        <f t="shared" si="0"/>
        <v>2685.0438536793595</v>
      </c>
      <c r="Z10" s="118">
        <f t="shared" si="0"/>
        <v>2724.9738822933027</v>
      </c>
      <c r="AA10" s="118">
        <f t="shared" si="0"/>
        <v>2764.9039109072346</v>
      </c>
    </row>
    <row r="11" spans="2:27" ht="15.75" customHeight="1">
      <c r="B11" s="10" t="s">
        <v>401</v>
      </c>
      <c r="C11" s="27">
        <f>SUM(C10:AA10)</f>
        <v>57120.411020609725</v>
      </c>
    </row>
    <row r="13" spans="2:27" ht="15.75" customHeight="1">
      <c r="B13" s="10" t="s">
        <v>402</v>
      </c>
      <c r="C13" s="118">
        <f t="shared" ref="C13:AA13" si="1">($C$27*$C$28)</f>
        <v>-144.73654983708559</v>
      </c>
      <c r="D13" s="118">
        <f t="shared" si="1"/>
        <v>-144.73654983708559</v>
      </c>
      <c r="E13" s="118">
        <f t="shared" si="1"/>
        <v>-144.73654983708559</v>
      </c>
      <c r="F13" s="118">
        <f t="shared" si="1"/>
        <v>-144.73654983708559</v>
      </c>
      <c r="G13" s="118">
        <f t="shared" si="1"/>
        <v>-144.73654983708559</v>
      </c>
      <c r="H13" s="118">
        <f t="shared" si="1"/>
        <v>-144.73654983708559</v>
      </c>
      <c r="I13" s="118">
        <f t="shared" si="1"/>
        <v>-144.73654983708559</v>
      </c>
      <c r="J13" s="118">
        <f t="shared" si="1"/>
        <v>-144.73654983708559</v>
      </c>
      <c r="K13" s="118">
        <f t="shared" si="1"/>
        <v>-144.73654983708559</v>
      </c>
      <c r="L13" s="118">
        <f t="shared" si="1"/>
        <v>-144.73654983708559</v>
      </c>
      <c r="M13" s="118">
        <f t="shared" si="1"/>
        <v>-144.73654983708559</v>
      </c>
      <c r="N13" s="118">
        <f t="shared" si="1"/>
        <v>-144.73654983708559</v>
      </c>
      <c r="O13" s="118">
        <f t="shared" si="1"/>
        <v>-144.73654983708559</v>
      </c>
      <c r="P13" s="118">
        <f t="shared" si="1"/>
        <v>-144.73654983708559</v>
      </c>
      <c r="Q13" s="118">
        <f t="shared" si="1"/>
        <v>-144.73654983708559</v>
      </c>
      <c r="R13" s="118">
        <f t="shared" si="1"/>
        <v>-144.73654983708559</v>
      </c>
      <c r="S13" s="118">
        <f t="shared" si="1"/>
        <v>-144.73654983708559</v>
      </c>
      <c r="T13" s="118">
        <f t="shared" si="1"/>
        <v>-144.73654983708559</v>
      </c>
      <c r="U13" s="118">
        <f t="shared" si="1"/>
        <v>-144.73654983708559</v>
      </c>
      <c r="V13" s="118">
        <f t="shared" si="1"/>
        <v>-144.73654983708559</v>
      </c>
      <c r="W13" s="118">
        <f t="shared" si="1"/>
        <v>-144.73654983708559</v>
      </c>
      <c r="X13" s="118">
        <f t="shared" si="1"/>
        <v>-144.73654983708559</v>
      </c>
      <c r="Y13" s="118">
        <f t="shared" si="1"/>
        <v>-144.73654983708559</v>
      </c>
      <c r="Z13" s="118">
        <f t="shared" si="1"/>
        <v>-144.73654983708559</v>
      </c>
      <c r="AA13" s="118">
        <f t="shared" si="1"/>
        <v>-144.73654983708559</v>
      </c>
    </row>
    <row r="14" spans="2:27" ht="15.75" customHeight="1">
      <c r="B14" s="10" t="s">
        <v>403</v>
      </c>
      <c r="C14" s="118">
        <f t="shared" ref="C14:AA14" si="2">C9*($C$5/2)</f>
        <v>891.7025281417275</v>
      </c>
      <c r="D14" s="118">
        <f t="shared" si="2"/>
        <v>923.25662639331279</v>
      </c>
      <c r="E14" s="118">
        <f t="shared" si="2"/>
        <v>943.22164070027861</v>
      </c>
      <c r="F14" s="118">
        <f t="shared" si="2"/>
        <v>963.18665500725035</v>
      </c>
      <c r="G14" s="118">
        <f t="shared" si="2"/>
        <v>983.15166931421641</v>
      </c>
      <c r="H14" s="118">
        <f t="shared" si="2"/>
        <v>1003.1166836211881</v>
      </c>
      <c r="I14" s="118">
        <f t="shared" si="2"/>
        <v>1023.0816979281601</v>
      </c>
      <c r="J14" s="118">
        <f t="shared" si="2"/>
        <v>1043.0467122351258</v>
      </c>
      <c r="K14" s="118">
        <f t="shared" si="2"/>
        <v>1063.0117265420977</v>
      </c>
      <c r="L14" s="118">
        <f t="shared" si="2"/>
        <v>1082.9767408490695</v>
      </c>
      <c r="M14" s="118">
        <f t="shared" si="2"/>
        <v>1102.9417551560414</v>
      </c>
      <c r="N14" s="118">
        <f t="shared" si="2"/>
        <v>1122.9067694630071</v>
      </c>
      <c r="O14" s="118">
        <f t="shared" si="2"/>
        <v>1142.8717837699792</v>
      </c>
      <c r="P14" s="118">
        <f t="shared" si="2"/>
        <v>1162.8367980769508</v>
      </c>
      <c r="Q14" s="118">
        <f t="shared" si="2"/>
        <v>1182.801812383917</v>
      </c>
      <c r="R14" s="118">
        <f t="shared" si="2"/>
        <v>1202.7668266908886</v>
      </c>
      <c r="S14" s="118">
        <f t="shared" si="2"/>
        <v>1222.7318409978604</v>
      </c>
      <c r="T14" s="118">
        <f t="shared" si="2"/>
        <v>1242.6968553048264</v>
      </c>
      <c r="U14" s="118">
        <f t="shared" si="2"/>
        <v>1262.6618696117982</v>
      </c>
      <c r="V14" s="118">
        <f t="shared" si="2"/>
        <v>1282.6268839187701</v>
      </c>
      <c r="W14" s="118">
        <f t="shared" si="2"/>
        <v>1302.5918982257419</v>
      </c>
      <c r="X14" s="118">
        <f t="shared" si="2"/>
        <v>1322.5569125327077</v>
      </c>
      <c r="Y14" s="118">
        <f t="shared" si="2"/>
        <v>1342.5219268396797</v>
      </c>
      <c r="Z14" s="118">
        <f t="shared" si="2"/>
        <v>1362.4869411466514</v>
      </c>
      <c r="AA14" s="118">
        <f t="shared" si="2"/>
        <v>1382.4519554536173</v>
      </c>
    </row>
    <row r="15" spans="2:27" ht="15.75" customHeight="1">
      <c r="B15" s="10" t="s">
        <v>404</v>
      </c>
      <c r="C15" s="118">
        <f t="shared" ref="C15:AA15" si="3">SUM(C13:C14)</f>
        <v>746.96597830464191</v>
      </c>
      <c r="D15" s="118">
        <f t="shared" si="3"/>
        <v>778.5200765562272</v>
      </c>
      <c r="E15" s="118">
        <f t="shared" si="3"/>
        <v>798.48509086319302</v>
      </c>
      <c r="F15" s="118">
        <f t="shared" si="3"/>
        <v>818.45010517016476</v>
      </c>
      <c r="G15" s="118">
        <f t="shared" si="3"/>
        <v>838.41511947713082</v>
      </c>
      <c r="H15" s="118">
        <f t="shared" si="3"/>
        <v>858.38013378410255</v>
      </c>
      <c r="I15" s="118">
        <f t="shared" si="3"/>
        <v>878.34514809107452</v>
      </c>
      <c r="J15" s="118">
        <f t="shared" si="3"/>
        <v>898.31016239804023</v>
      </c>
      <c r="K15" s="118">
        <f t="shared" si="3"/>
        <v>918.27517670501209</v>
      </c>
      <c r="L15" s="118">
        <f t="shared" si="3"/>
        <v>938.24019101198394</v>
      </c>
      <c r="M15" s="118">
        <f t="shared" si="3"/>
        <v>958.20520531895579</v>
      </c>
      <c r="N15" s="118">
        <f t="shared" si="3"/>
        <v>978.1702196259215</v>
      </c>
      <c r="O15" s="118">
        <f t="shared" si="3"/>
        <v>998.13523393289358</v>
      </c>
      <c r="P15" s="118">
        <f t="shared" si="3"/>
        <v>1018.1002482398652</v>
      </c>
      <c r="Q15" s="118">
        <f t="shared" si="3"/>
        <v>1038.0652625468315</v>
      </c>
      <c r="R15" s="118">
        <f t="shared" si="3"/>
        <v>1058.0302768538031</v>
      </c>
      <c r="S15" s="118">
        <f t="shared" si="3"/>
        <v>1077.9952911607747</v>
      </c>
      <c r="T15" s="118">
        <f t="shared" si="3"/>
        <v>1097.9603054677409</v>
      </c>
      <c r="U15" s="118">
        <f t="shared" si="3"/>
        <v>1117.9253197747125</v>
      </c>
      <c r="V15" s="118">
        <f t="shared" si="3"/>
        <v>1137.8903340816846</v>
      </c>
      <c r="W15" s="118">
        <f t="shared" si="3"/>
        <v>1157.8553483886562</v>
      </c>
      <c r="X15" s="118">
        <f t="shared" si="3"/>
        <v>1177.820362695622</v>
      </c>
      <c r="Y15" s="118">
        <f t="shared" si="3"/>
        <v>1197.785377002594</v>
      </c>
      <c r="Z15" s="118">
        <f t="shared" si="3"/>
        <v>1217.7503913095657</v>
      </c>
      <c r="AA15" s="118">
        <f t="shared" si="3"/>
        <v>1237.7154056165318</v>
      </c>
    </row>
    <row r="17" spans="2:27" ht="15.75" customHeight="1">
      <c r="B17" s="10" t="s">
        <v>405</v>
      </c>
      <c r="C17" s="118">
        <f t="shared" ref="C17:AA17" si="4">C10-C15</f>
        <v>1036.4390779788132</v>
      </c>
      <c r="D17" s="118">
        <f t="shared" si="4"/>
        <v>1067.9931762303984</v>
      </c>
      <c r="E17" s="118">
        <f t="shared" si="4"/>
        <v>1087.9581905373643</v>
      </c>
      <c r="F17" s="118">
        <f t="shared" si="4"/>
        <v>1107.9232048443359</v>
      </c>
      <c r="G17" s="118">
        <f t="shared" si="4"/>
        <v>1127.8882191513021</v>
      </c>
      <c r="H17" s="118">
        <f t="shared" si="4"/>
        <v>1147.8532334582737</v>
      </c>
      <c r="I17" s="118">
        <f t="shared" si="4"/>
        <v>1167.8182477652458</v>
      </c>
      <c r="J17" s="118">
        <f t="shared" si="4"/>
        <v>1187.7832620722115</v>
      </c>
      <c r="K17" s="118">
        <f t="shared" si="4"/>
        <v>1207.7482763791832</v>
      </c>
      <c r="L17" s="118">
        <f t="shared" si="4"/>
        <v>1227.7132906861552</v>
      </c>
      <c r="M17" s="118">
        <f t="shared" si="4"/>
        <v>1247.6783049931269</v>
      </c>
      <c r="N17" s="118">
        <f t="shared" si="4"/>
        <v>1267.6433193000926</v>
      </c>
      <c r="O17" s="118">
        <f t="shared" si="4"/>
        <v>1287.6083336070647</v>
      </c>
      <c r="P17" s="118">
        <f t="shared" si="4"/>
        <v>1307.5733479140363</v>
      </c>
      <c r="Q17" s="118">
        <f t="shared" si="4"/>
        <v>1327.5383622210024</v>
      </c>
      <c r="R17" s="118">
        <f t="shared" si="4"/>
        <v>1347.5033765279741</v>
      </c>
      <c r="S17" s="118">
        <f t="shared" si="4"/>
        <v>1367.4683908349461</v>
      </c>
      <c r="T17" s="118">
        <f t="shared" si="4"/>
        <v>1387.4334051419119</v>
      </c>
      <c r="U17" s="118">
        <f t="shared" si="4"/>
        <v>1407.3984194488839</v>
      </c>
      <c r="V17" s="118">
        <f t="shared" si="4"/>
        <v>1427.3634337558556</v>
      </c>
      <c r="W17" s="118">
        <f t="shared" si="4"/>
        <v>1447.3284480628276</v>
      </c>
      <c r="X17" s="118">
        <f t="shared" si="4"/>
        <v>1467.2934623697934</v>
      </c>
      <c r="Y17" s="118">
        <f t="shared" si="4"/>
        <v>1487.2584766767654</v>
      </c>
      <c r="Z17" s="118">
        <f t="shared" si="4"/>
        <v>1507.2234909837371</v>
      </c>
      <c r="AA17" s="118">
        <f t="shared" si="4"/>
        <v>1527.1885052907028</v>
      </c>
    </row>
    <row r="18" spans="2:27" ht="15.75" customHeight="1">
      <c r="B18" s="10" t="s">
        <v>406</v>
      </c>
      <c r="C18" s="118">
        <f>SUM(C17:AA17)</f>
        <v>32178.619256231999</v>
      </c>
    </row>
    <row r="19" spans="2:27" ht="15.75" customHeight="1">
      <c r="B19" s="10"/>
      <c r="C19" s="10"/>
    </row>
    <row r="20" spans="2:27" ht="15.75" customHeight="1">
      <c r="B20" s="10"/>
      <c r="C20" s="10"/>
    </row>
    <row r="21" spans="2:27" ht="15.75" customHeight="1">
      <c r="B21" s="10" t="s">
        <v>292</v>
      </c>
      <c r="C21" s="10">
        <v>4</v>
      </c>
    </row>
    <row r="22" spans="2:27" ht="15.75" customHeight="1">
      <c r="B22" s="10" t="s">
        <v>382</v>
      </c>
      <c r="C22" s="1">
        <v>0.15</v>
      </c>
    </row>
    <row r="25" spans="2:27" ht="15.75" customHeight="1">
      <c r="B25" s="10" t="s">
        <v>407</v>
      </c>
      <c r="C25" s="10">
        <f>(C21*8760*C22)*'Energy prices'!C112</f>
        <v>4892.1379153090465</v>
      </c>
    </row>
    <row r="26" spans="2:27" ht="15.75" customHeight="1">
      <c r="B26" s="10" t="s">
        <v>408</v>
      </c>
      <c r="C26" s="10">
        <f>C5/2</f>
        <v>3686</v>
      </c>
    </row>
    <row r="27" spans="2:27" ht="15.75" customHeight="1">
      <c r="B27" s="10" t="s">
        <v>409</v>
      </c>
      <c r="C27" s="10">
        <f>C25-C26</f>
        <v>1206.1379153090465</v>
      </c>
    </row>
    <row r="28" spans="2:27" ht="15.75" customHeight="1">
      <c r="B28" s="10" t="s">
        <v>410</v>
      </c>
      <c r="C28" s="118">
        <v>-0.12</v>
      </c>
    </row>
    <row r="30" spans="2:27" ht="15.75" customHeight="1">
      <c r="B30" s="10" t="s">
        <v>411</v>
      </c>
      <c r="C30" s="27">
        <v>2000</v>
      </c>
    </row>
    <row r="31" spans="2:27" ht="15.75" customHeight="1">
      <c r="B31" s="10" t="s">
        <v>412</v>
      </c>
      <c r="C31" s="27">
        <v>2000</v>
      </c>
    </row>
    <row r="33" spans="2:3" ht="15.75" customHeight="1">
      <c r="B33" s="10" t="s">
        <v>413</v>
      </c>
      <c r="C33" s="27">
        <f>C30*C21+C31</f>
        <v>10000</v>
      </c>
    </row>
    <row r="35" spans="2:3" ht="15.75" customHeight="1">
      <c r="B35" s="10" t="s">
        <v>414</v>
      </c>
      <c r="C35" s="135">
        <v>5.5E-2</v>
      </c>
    </row>
    <row r="36" spans="2:3" ht="15.75" customHeight="1">
      <c r="B36" s="10" t="s">
        <v>415</v>
      </c>
      <c r="C36" s="10">
        <v>25</v>
      </c>
    </row>
    <row r="38" spans="2:3" ht="15.75" customHeight="1">
      <c r="C38" s="27">
        <f>CUMIPMT(C35,C36,C33,1,25,1)*-1</f>
        <v>7665.7234470233398</v>
      </c>
    </row>
    <row r="40" spans="2:3" ht="15.75" customHeight="1">
      <c r="B40" s="10" t="s">
        <v>215</v>
      </c>
      <c r="C40" s="27">
        <f>C33+C38</f>
        <v>17665.723447023338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Below="0" summaryRight="0"/>
  </sheetPr>
  <dimension ref="B6:L29"/>
  <sheetViews>
    <sheetView topLeftCell="B1" zoomScaleNormal="100" workbookViewId="0">
      <selection activeCell="E25" sqref="E25"/>
    </sheetView>
  </sheetViews>
  <sheetFormatPr defaultColWidth="12.5703125" defaultRowHeight="15.75" customHeight="1"/>
  <cols>
    <col min="2" max="2" width="15.42578125" customWidth="1"/>
  </cols>
  <sheetData>
    <row r="6" spans="2:12" ht="15.75" customHeight="1">
      <c r="B6" s="10" t="s">
        <v>416</v>
      </c>
      <c r="C6" s="10">
        <v>2023</v>
      </c>
      <c r="D6" s="10">
        <v>2024</v>
      </c>
      <c r="E6" s="10">
        <v>2025</v>
      </c>
      <c r="F6" s="10">
        <v>2026</v>
      </c>
      <c r="G6" s="10">
        <v>2027</v>
      </c>
      <c r="H6" s="10">
        <v>2028</v>
      </c>
      <c r="I6" s="10">
        <v>2029</v>
      </c>
      <c r="J6" s="10">
        <v>2030</v>
      </c>
      <c r="K6" s="10">
        <v>2031</v>
      </c>
      <c r="L6" s="10">
        <v>2032</v>
      </c>
    </row>
    <row r="7" spans="2:12" ht="15.75" customHeight="1">
      <c r="B7" s="10" t="s">
        <v>417</v>
      </c>
      <c r="C7" s="10">
        <f t="shared" ref="C7:J7" ca="1" si="0">$C29</f>
        <v>1000.5770373310698</v>
      </c>
      <c r="D7" s="10">
        <f t="shared" ca="1" si="0"/>
        <v>1000.5770373310698</v>
      </c>
      <c r="E7" s="10">
        <f t="shared" ca="1" si="0"/>
        <v>1000.5770373310698</v>
      </c>
      <c r="F7" s="10">
        <f t="shared" ca="1" si="0"/>
        <v>1000.5770373310698</v>
      </c>
      <c r="G7" s="10">
        <f t="shared" ca="1" si="0"/>
        <v>1000.5770373310698</v>
      </c>
      <c r="H7" s="10">
        <f t="shared" ca="1" si="0"/>
        <v>1000.5770373310698</v>
      </c>
      <c r="I7" s="10">
        <f t="shared" ca="1" si="0"/>
        <v>1000.5770373310698</v>
      </c>
      <c r="J7" s="10">
        <f t="shared" ca="1" si="0"/>
        <v>1000.5770373310698</v>
      </c>
    </row>
    <row r="8" spans="2:12" ht="15.75" customHeight="1">
      <c r="B8" s="10" t="s">
        <v>418</v>
      </c>
      <c r="C8" s="10">
        <f t="shared" ref="C8:I8" si="1">$C28</f>
        <v>2832.6</v>
      </c>
      <c r="D8" s="10">
        <f t="shared" si="1"/>
        <v>2832.6</v>
      </c>
      <c r="E8" s="10">
        <f t="shared" si="1"/>
        <v>2832.6</v>
      </c>
      <c r="F8" s="10">
        <f t="shared" si="1"/>
        <v>2832.6</v>
      </c>
      <c r="G8" s="10">
        <f t="shared" si="1"/>
        <v>2832.6</v>
      </c>
      <c r="H8" s="10">
        <f t="shared" si="1"/>
        <v>2832.6</v>
      </c>
      <c r="I8" s="10">
        <f t="shared" si="1"/>
        <v>2832.6</v>
      </c>
    </row>
    <row r="9" spans="2:12" ht="15.75" customHeight="1">
      <c r="B9" s="10" t="s">
        <v>419</v>
      </c>
      <c r="C9" s="91">
        <f t="shared" ref="C9:H9" si="2">$C26</f>
        <v>164.98998879133148</v>
      </c>
      <c r="D9" s="91">
        <f t="shared" si="2"/>
        <v>164.98998879133148</v>
      </c>
      <c r="E9" s="91">
        <f t="shared" si="2"/>
        <v>164.98998879133148</v>
      </c>
      <c r="F9" s="91">
        <f t="shared" si="2"/>
        <v>164.98998879133148</v>
      </c>
      <c r="G9" s="91">
        <f t="shared" si="2"/>
        <v>164.98998879133148</v>
      </c>
      <c r="H9" s="91">
        <f t="shared" si="2"/>
        <v>164.98998879133148</v>
      </c>
    </row>
    <row r="10" spans="2:12" ht="15.75" customHeight="1">
      <c r="B10" s="10" t="s">
        <v>420</v>
      </c>
      <c r="C10" s="148">
        <f t="shared" ref="C10:F10" si="3">$C25</f>
        <v>545.13886640102146</v>
      </c>
      <c r="D10" s="148">
        <f t="shared" si="3"/>
        <v>545.13886640102146</v>
      </c>
      <c r="E10" s="148">
        <f t="shared" si="3"/>
        <v>545.13886640102146</v>
      </c>
      <c r="F10" s="148">
        <f t="shared" si="3"/>
        <v>545.13886640102146</v>
      </c>
    </row>
    <row r="11" spans="2:12" ht="15.75" customHeight="1">
      <c r="B11" s="10" t="s">
        <v>421</v>
      </c>
      <c r="C11" s="148">
        <f t="shared" ref="C11:E11" ca="1" si="4">$C27</f>
        <v>2832.551286085416</v>
      </c>
      <c r="D11" s="148">
        <f t="shared" ca="1" si="4"/>
        <v>2832.551286085416</v>
      </c>
      <c r="E11" s="148">
        <f t="shared" ca="1" si="4"/>
        <v>2832.551286085416</v>
      </c>
    </row>
    <row r="12" spans="2:12" ht="15.75" customHeight="1">
      <c r="B12" s="10" t="s">
        <v>422</v>
      </c>
      <c r="C12" s="91">
        <f t="shared" ref="C12:D12" si="5">$C24</f>
        <v>922.89997073550296</v>
      </c>
      <c r="D12" s="91">
        <f t="shared" si="5"/>
        <v>922.89997073550296</v>
      </c>
    </row>
    <row r="13" spans="2:12" ht="15.75" customHeight="1">
      <c r="B13" s="10" t="s">
        <v>423</v>
      </c>
      <c r="C13" s="10">
        <v>0</v>
      </c>
      <c r="D13" s="10">
        <v>0</v>
      </c>
      <c r="E13" s="10">
        <v>0</v>
      </c>
      <c r="F13" s="10">
        <v>0</v>
      </c>
      <c r="G13" s="10">
        <v>0</v>
      </c>
      <c r="H13" s="10">
        <v>0</v>
      </c>
      <c r="I13" s="10">
        <v>0</v>
      </c>
      <c r="J13" s="10">
        <v>0</v>
      </c>
      <c r="K13" s="10">
        <v>0</v>
      </c>
      <c r="L13" s="10">
        <v>0</v>
      </c>
    </row>
    <row r="14" spans="2:12" ht="15.75" customHeight="1">
      <c r="B14" s="10" t="s">
        <v>424</v>
      </c>
      <c r="C14" s="10">
        <f ca="1">SUM(C7:C13)</f>
        <v>8298.7571493443411</v>
      </c>
      <c r="L14" s="10">
        <v>0</v>
      </c>
    </row>
    <row r="15" spans="2:12" ht="15.75" customHeight="1">
      <c r="B15" s="10" t="s">
        <v>47</v>
      </c>
    </row>
    <row r="16" spans="2:12" ht="15.75" customHeight="1">
      <c r="B16" s="10" t="s">
        <v>425</v>
      </c>
      <c r="D16" s="10"/>
      <c r="E16" s="10" t="str">
        <f>"Heating electrified"&amp;TEXT(D24, " ($0,0)")</f>
        <v>Heating electrified ($7,600)</v>
      </c>
    </row>
    <row r="17" spans="2:11" ht="15.75" customHeight="1">
      <c r="B17" s="10" t="s">
        <v>426</v>
      </c>
      <c r="D17" s="10"/>
      <c r="F17" s="10"/>
      <c r="G17" s="10" t="str">
        <f>"Water heater electrified"&amp;TEXT(D25, " ($0,0)")</f>
        <v>Water heater electrified ($7,020)</v>
      </c>
    </row>
    <row r="18" spans="2:11" ht="15.75" customHeight="1">
      <c r="B18" s="10" t="s">
        <v>337</v>
      </c>
      <c r="D18" s="10"/>
      <c r="G18" s="10"/>
      <c r="I18" s="10" t="str">
        <f>"Cooktop electrified"&amp;TEXT(D26, " ($0,0)")</f>
        <v>Cooktop electrified ($1,200)</v>
      </c>
    </row>
    <row r="19" spans="2:11" ht="15.75" customHeight="1">
      <c r="B19" s="10" t="s">
        <v>427</v>
      </c>
      <c r="D19" s="10"/>
      <c r="F19" s="10" t="str">
        <f ca="1">"Vehcile 1 electrified"&amp;TEXT(D27, " ($0,0)")</f>
        <v>Vehcile 1 electrified ($58,300)</v>
      </c>
      <c r="H19" s="10"/>
    </row>
    <row r="20" spans="2:11" ht="15.75" customHeight="1">
      <c r="B20" s="10" t="s">
        <v>428</v>
      </c>
      <c r="D20" s="10"/>
      <c r="J20" s="10" t="str">
        <f>"Vehcile 2 electrified"&amp;TEXT(D28, " ($0,0)")</f>
        <v>Vehcile 2 electrified ($50,000)</v>
      </c>
    </row>
    <row r="21" spans="2:11" ht="15.75" customHeight="1">
      <c r="B21" s="10" t="s">
        <v>429</v>
      </c>
      <c r="D21" s="10"/>
      <c r="K21" s="10" t="s">
        <v>429</v>
      </c>
    </row>
    <row r="22" spans="2:11" ht="15.75" customHeight="1">
      <c r="B22" s="10" t="s">
        <v>430</v>
      </c>
      <c r="C22" s="10"/>
      <c r="D22" s="10" t="s">
        <v>423</v>
      </c>
    </row>
    <row r="24" spans="2:11" ht="15.75" customHeight="1">
      <c r="B24" s="10" t="s">
        <v>422</v>
      </c>
      <c r="C24" s="91">
        <f>Machines!D95</f>
        <v>922.89997073550296</v>
      </c>
      <c r="D24" s="91">
        <f>Machines!I81</f>
        <v>7600</v>
      </c>
    </row>
    <row r="25" spans="2:11" ht="15.75" customHeight="1">
      <c r="B25" s="10" t="s">
        <v>420</v>
      </c>
      <c r="C25" s="148">
        <f>Machines!D163</f>
        <v>545.13886640102146</v>
      </c>
      <c r="D25" s="27">
        <f>Machines!I147</f>
        <v>7020</v>
      </c>
    </row>
    <row r="26" spans="2:11" ht="15.75" customHeight="1">
      <c r="B26" s="10" t="s">
        <v>419</v>
      </c>
      <c r="C26" s="91">
        <f>Machines!D216</f>
        <v>164.98998879133148</v>
      </c>
      <c r="D26" s="27">
        <f>Machines!F202</f>
        <v>1200</v>
      </c>
    </row>
    <row r="27" spans="2:11" ht="15.75" customHeight="1">
      <c r="B27" s="10" t="s">
        <v>421</v>
      </c>
      <c r="C27" s="148">
        <f ca="1">Machines!D287</f>
        <v>2832.551286085416</v>
      </c>
      <c r="D27" s="148">
        <f ca="1">Machines!H282</f>
        <v>58300</v>
      </c>
    </row>
    <row r="28" spans="2:11" ht="15.75" customHeight="1">
      <c r="B28" s="10" t="s">
        <v>418</v>
      </c>
      <c r="C28" s="10">
        <v>2832.6</v>
      </c>
      <c r="D28" s="10">
        <v>50000</v>
      </c>
    </row>
    <row r="29" spans="2:11" ht="15.75" customHeight="1">
      <c r="B29" s="10" t="s">
        <v>417</v>
      </c>
      <c r="C29" s="10">
        <f ca="1">Machines!C18*Misc!B143*365.25</f>
        <v>1000.5770373310698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38761D"/>
    <outlinePr summaryBelow="0" summaryRight="0"/>
  </sheetPr>
  <dimension ref="A2:T175"/>
  <sheetViews>
    <sheetView zoomScaleNormal="100" workbookViewId="0">
      <selection activeCell="Q51" sqref="Q51"/>
    </sheetView>
  </sheetViews>
  <sheetFormatPr defaultColWidth="12.5703125" defaultRowHeight="15.75" customHeight="1"/>
  <cols>
    <col min="1" max="1" width="50.5703125" customWidth="1"/>
    <col min="2" max="3" width="23.5703125" customWidth="1"/>
    <col min="5" max="5" width="17.42578125" customWidth="1"/>
    <col min="7" max="7" width="20.140625" customWidth="1"/>
    <col min="8" max="8" width="22" customWidth="1"/>
    <col min="12" max="12" width="21.85546875" customWidth="1"/>
  </cols>
  <sheetData>
    <row r="2" spans="1:19" ht="12.95">
      <c r="A2" s="63" t="s">
        <v>431</v>
      </c>
      <c r="B2" s="63" t="s">
        <v>432</v>
      </c>
      <c r="C2" s="63" t="s">
        <v>433</v>
      </c>
      <c r="D2" s="63" t="s">
        <v>434</v>
      </c>
      <c r="E2" s="63" t="s">
        <v>435</v>
      </c>
      <c r="F2" s="63" t="s">
        <v>436</v>
      </c>
      <c r="G2" s="63" t="s">
        <v>437</v>
      </c>
      <c r="H2" s="63" t="s">
        <v>438</v>
      </c>
      <c r="I2" s="3" t="s">
        <v>439</v>
      </c>
    </row>
    <row r="3" spans="1:19" ht="12.95">
      <c r="A3" s="95" t="s">
        <v>440</v>
      </c>
      <c r="B3" s="223"/>
      <c r="C3" s="139">
        <f>G14</f>
        <v>0.24191604127556363</v>
      </c>
      <c r="D3" s="87">
        <f>K8</f>
        <v>689</v>
      </c>
      <c r="E3" s="121">
        <f>H14</f>
        <v>9.6860791275563643E-2</v>
      </c>
      <c r="F3" s="223">
        <v>0.38</v>
      </c>
      <c r="G3" s="139">
        <v>0.18</v>
      </c>
      <c r="H3" s="121">
        <f>AVERAGE('CPI Energy'!AU49:BI49)</f>
        <v>0.28839167838906643</v>
      </c>
      <c r="I3" s="121">
        <f>AVERAGE('CPI Energy'!AU50:BI50)</f>
        <v>0.38509622423090945</v>
      </c>
      <c r="L3" s="54" t="s">
        <v>441</v>
      </c>
      <c r="M3" s="54" t="s">
        <v>442</v>
      </c>
      <c r="N3" s="54" t="s">
        <v>443</v>
      </c>
      <c r="O3" s="54" t="s">
        <v>444</v>
      </c>
      <c r="P3" s="54" t="s">
        <v>445</v>
      </c>
      <c r="Q3" s="54" t="s">
        <v>446</v>
      </c>
      <c r="R3" s="54" t="s">
        <v>447</v>
      </c>
      <c r="S3" s="54" t="s">
        <v>448</v>
      </c>
    </row>
    <row r="4" spans="1:19" ht="12.6">
      <c r="A4" s="95" t="s">
        <v>434</v>
      </c>
      <c r="B4" s="121"/>
      <c r="C4" s="121"/>
      <c r="D4" s="95"/>
      <c r="E4" s="95"/>
      <c r="F4" s="95"/>
      <c r="G4" s="95"/>
      <c r="H4" s="95"/>
      <c r="I4" s="95"/>
      <c r="L4" s="13" t="s">
        <v>449</v>
      </c>
      <c r="M4" s="224"/>
      <c r="N4" s="224"/>
      <c r="O4" s="224">
        <f>'Energy prices'!C62</f>
        <v>6.2079955422621826E-2</v>
      </c>
      <c r="P4" s="224">
        <f t="shared" ref="P4:Q4" si="0">O4</f>
        <v>6.2079955422621826E-2</v>
      </c>
      <c r="Q4" s="224">
        <f t="shared" si="0"/>
        <v>6.2079955422621826E-2</v>
      </c>
      <c r="R4" s="224">
        <f>S4/2</f>
        <v>3.1039977711310913E-2</v>
      </c>
      <c r="S4" s="224">
        <f>'Energy prices'!C62</f>
        <v>6.2079955422621826E-2</v>
      </c>
    </row>
    <row r="5" spans="1:19" ht="12.6">
      <c r="A5" s="95"/>
      <c r="B5" s="95"/>
      <c r="C5" s="95"/>
      <c r="D5" s="95"/>
      <c r="E5" s="121"/>
      <c r="F5" s="95"/>
      <c r="G5" s="95"/>
      <c r="H5" s="95"/>
      <c r="I5" s="95"/>
      <c r="L5" s="13" t="s">
        <v>450</v>
      </c>
      <c r="M5" s="225">
        <f t="shared" ref="M5:M8" si="1">E8</f>
        <v>0.14640075</v>
      </c>
      <c r="N5" s="97">
        <f t="shared" ref="N5:N10" si="2">G8</f>
        <v>0.14640075</v>
      </c>
      <c r="O5" s="224"/>
      <c r="P5" s="13"/>
      <c r="Q5" s="13"/>
      <c r="R5" s="224"/>
      <c r="S5" s="224"/>
    </row>
    <row r="6" spans="1:19" ht="12.6">
      <c r="A6" s="95"/>
      <c r="B6" s="223"/>
      <c r="C6" s="223"/>
      <c r="D6" s="95"/>
      <c r="E6" s="121"/>
      <c r="F6" s="79"/>
      <c r="G6" s="95"/>
      <c r="H6" s="95"/>
      <c r="I6" s="95"/>
      <c r="L6" s="13" t="s">
        <v>451</v>
      </c>
      <c r="M6" s="225">
        <f t="shared" si="1"/>
        <v>2.23E-2</v>
      </c>
      <c r="N6" s="97">
        <f t="shared" si="2"/>
        <v>1.115E-2</v>
      </c>
      <c r="O6" s="224"/>
      <c r="P6" s="224"/>
      <c r="Q6" s="224"/>
      <c r="R6" s="224"/>
      <c r="S6" s="224"/>
    </row>
    <row r="7" spans="1:19" ht="12.95">
      <c r="A7" s="141" t="s">
        <v>452</v>
      </c>
      <c r="B7" s="141"/>
      <c r="C7" s="141" t="s">
        <v>453</v>
      </c>
      <c r="D7" s="3" t="s">
        <v>454</v>
      </c>
      <c r="E7" s="3" t="s">
        <v>455</v>
      </c>
      <c r="F7" s="3" t="s">
        <v>456</v>
      </c>
      <c r="G7" s="3" t="s">
        <v>457</v>
      </c>
      <c r="H7" s="3" t="s">
        <v>458</v>
      </c>
      <c r="J7" s="10" t="s">
        <v>459</v>
      </c>
      <c r="L7" s="13" t="s">
        <v>460</v>
      </c>
      <c r="M7" s="225">
        <f t="shared" si="1"/>
        <v>9.4899999999999998E-2</v>
      </c>
      <c r="N7" s="97">
        <f t="shared" si="2"/>
        <v>4.7449999999999999E-2</v>
      </c>
      <c r="O7" s="224"/>
      <c r="P7" s="224"/>
      <c r="Q7" s="224"/>
      <c r="R7" s="224"/>
      <c r="S7" s="224"/>
    </row>
    <row r="8" spans="1:19" ht="12.6">
      <c r="A8" s="95" t="s">
        <v>450</v>
      </c>
      <c r="B8" s="95" t="s">
        <v>461</v>
      </c>
      <c r="C8" s="139">
        <f>D8*1.15</f>
        <v>0.14640075</v>
      </c>
      <c r="D8" s="139">
        <f>0.123*1.035</f>
        <v>0.127305</v>
      </c>
      <c r="E8" s="139">
        <f t="shared" ref="E8:E13" si="3">C8</f>
        <v>0.14640075</v>
      </c>
      <c r="F8" s="226">
        <v>0</v>
      </c>
      <c r="G8" s="223">
        <f t="shared" ref="G8:G13" si="4">E8-H8</f>
        <v>0.14640075</v>
      </c>
      <c r="H8" s="223">
        <f t="shared" ref="H8:H13" si="5">E8*F8</f>
        <v>0</v>
      </c>
      <c r="I8" s="473" t="s">
        <v>462</v>
      </c>
      <c r="J8" s="10" t="s">
        <v>463</v>
      </c>
      <c r="K8" s="27">
        <v>689</v>
      </c>
      <c r="L8" s="13" t="s">
        <v>464</v>
      </c>
      <c r="M8" s="225">
        <f t="shared" si="1"/>
        <v>5.808995755112728E-2</v>
      </c>
      <c r="N8" s="97">
        <f t="shared" si="2"/>
        <v>2.904497877556364E-2</v>
      </c>
      <c r="O8" s="224"/>
      <c r="P8" s="224"/>
      <c r="Q8" s="224"/>
      <c r="R8" s="224"/>
      <c r="S8" s="224"/>
    </row>
    <row r="9" spans="1:19" ht="12.6">
      <c r="A9" s="95" t="s">
        <v>451</v>
      </c>
      <c r="B9" s="139" t="s">
        <v>465</v>
      </c>
      <c r="C9" s="139">
        <v>2.23E-2</v>
      </c>
      <c r="D9" s="139">
        <f t="shared" ref="D9:D10" si="6">C9/1.15</f>
        <v>1.9391304347826089E-2</v>
      </c>
      <c r="E9" s="139">
        <f t="shared" si="3"/>
        <v>2.23E-2</v>
      </c>
      <c r="F9" s="226">
        <v>0.5</v>
      </c>
      <c r="G9" s="223">
        <f t="shared" si="4"/>
        <v>1.115E-2</v>
      </c>
      <c r="H9" s="223">
        <f t="shared" si="5"/>
        <v>1.115E-2</v>
      </c>
      <c r="J9" s="10" t="s">
        <v>466</v>
      </c>
      <c r="K9" s="118">
        <f>K8/365.25</f>
        <v>1.8863791923340179</v>
      </c>
      <c r="L9" s="13" t="s">
        <v>467</v>
      </c>
      <c r="M9" s="225">
        <f t="shared" ref="M9:M10" si="7">C12</f>
        <v>1.5740624999999998E-2</v>
      </c>
      <c r="N9" s="97">
        <f t="shared" si="2"/>
        <v>7.8703124999999988E-3</v>
      </c>
      <c r="O9" s="224"/>
      <c r="P9" s="224"/>
      <c r="Q9" s="224"/>
      <c r="R9" s="224"/>
      <c r="S9" s="224"/>
    </row>
    <row r="10" spans="1:19" ht="12.6">
      <c r="A10" s="95" t="s">
        <v>460</v>
      </c>
      <c r="B10" s="139" t="s">
        <v>468</v>
      </c>
      <c r="C10" s="139">
        <v>9.4899999999999998E-2</v>
      </c>
      <c r="D10" s="139">
        <f t="shared" si="6"/>
        <v>8.2521739130434785E-2</v>
      </c>
      <c r="E10" s="139">
        <f t="shared" si="3"/>
        <v>9.4899999999999998E-2</v>
      </c>
      <c r="F10" s="226">
        <v>0.5</v>
      </c>
      <c r="G10" s="223">
        <f t="shared" si="4"/>
        <v>4.7449999999999999E-2</v>
      </c>
      <c r="H10" s="223">
        <f t="shared" si="5"/>
        <v>4.7449999999999999E-2</v>
      </c>
      <c r="L10" s="13" t="s">
        <v>469</v>
      </c>
      <c r="M10" s="225">
        <f t="shared" si="7"/>
        <v>1.3454999999999999E-3</v>
      </c>
      <c r="N10" s="97">
        <f t="shared" si="2"/>
        <v>0</v>
      </c>
      <c r="O10" s="224"/>
      <c r="P10" s="224"/>
      <c r="Q10" s="224"/>
      <c r="R10" s="224"/>
      <c r="S10" s="224"/>
    </row>
    <row r="11" spans="1:19" ht="12.6">
      <c r="A11" s="95" t="s">
        <v>464</v>
      </c>
      <c r="B11" s="139"/>
      <c r="C11" s="139">
        <f>C17-SUM(C8:C10,C13)</f>
        <v>5.808995755112728E-2</v>
      </c>
      <c r="D11" s="139">
        <f>C17/1.15-SUM(D8:D10,D12:D13)</f>
        <v>3.6825506566197652E-2</v>
      </c>
      <c r="E11" s="139">
        <f t="shared" si="3"/>
        <v>5.808995755112728E-2</v>
      </c>
      <c r="F11" s="226">
        <v>0.5</v>
      </c>
      <c r="G11" s="223">
        <f t="shared" si="4"/>
        <v>2.904497877556364E-2</v>
      </c>
      <c r="H11" s="223">
        <f t="shared" si="5"/>
        <v>2.904497877556364E-2</v>
      </c>
      <c r="J11" s="10" t="s">
        <v>112</v>
      </c>
      <c r="L11" s="13" t="s">
        <v>14</v>
      </c>
      <c r="M11" s="225"/>
      <c r="N11" s="13"/>
      <c r="O11" s="224"/>
      <c r="P11" s="224"/>
      <c r="Q11" s="224"/>
      <c r="R11" s="224"/>
      <c r="S11" s="224"/>
    </row>
    <row r="12" spans="1:19" ht="12.6">
      <c r="A12" s="95" t="s">
        <v>467</v>
      </c>
      <c r="B12" s="95"/>
      <c r="C12" s="139">
        <f t="shared" ref="C12:C13" si="8">D12*1.15</f>
        <v>1.5740624999999998E-2</v>
      </c>
      <c r="D12" s="139">
        <f>0.3*365/8000</f>
        <v>1.36875E-2</v>
      </c>
      <c r="E12" s="139">
        <f t="shared" si="3"/>
        <v>1.5740624999999998E-2</v>
      </c>
      <c r="F12" s="226">
        <v>0.5</v>
      </c>
      <c r="G12" s="223">
        <f t="shared" si="4"/>
        <v>7.8703124999999988E-3</v>
      </c>
      <c r="H12" s="223">
        <f t="shared" si="5"/>
        <v>7.8703124999999988E-3</v>
      </c>
      <c r="I12" s="227"/>
      <c r="J12" s="10" t="s">
        <v>467</v>
      </c>
      <c r="K12" s="10">
        <v>0.3</v>
      </c>
      <c r="L12" s="13"/>
      <c r="M12" s="225"/>
      <c r="N12" s="225"/>
      <c r="O12" s="224"/>
      <c r="P12" s="224"/>
      <c r="Q12" s="224"/>
      <c r="R12" s="224"/>
      <c r="S12" s="224"/>
    </row>
    <row r="13" spans="1:19" ht="12.6">
      <c r="A13" s="95" t="s">
        <v>470</v>
      </c>
      <c r="B13" s="228" t="s">
        <v>471</v>
      </c>
      <c r="C13" s="139">
        <f t="shared" si="8"/>
        <v>1.3454999999999999E-3</v>
      </c>
      <c r="D13" s="139">
        <f>0.00117</f>
        <v>1.17E-3</v>
      </c>
      <c r="E13" s="139">
        <f t="shared" si="3"/>
        <v>1.3454999999999999E-3</v>
      </c>
      <c r="F13" s="226">
        <v>1</v>
      </c>
      <c r="G13" s="223">
        <f t="shared" si="4"/>
        <v>0</v>
      </c>
      <c r="H13" s="223">
        <f t="shared" si="5"/>
        <v>1.3454999999999999E-3</v>
      </c>
      <c r="I13" s="474" t="s">
        <v>471</v>
      </c>
      <c r="L13" s="13" t="s">
        <v>472</v>
      </c>
      <c r="M13" s="225"/>
      <c r="N13" s="225"/>
      <c r="O13" s="224"/>
      <c r="P13" s="224">
        <f>C63-P4</f>
        <v>9.3699794630364083E-3</v>
      </c>
      <c r="Q13" s="224"/>
      <c r="R13" s="224"/>
      <c r="S13" s="225"/>
    </row>
    <row r="14" spans="1:19" ht="12.6">
      <c r="A14" s="9" t="s">
        <v>14</v>
      </c>
      <c r="B14" s="9"/>
      <c r="C14" s="229">
        <f t="shared" ref="C14:D14" si="9">SUM(C8:C13)</f>
        <v>0.33877683255112728</v>
      </c>
      <c r="D14" s="229">
        <f t="shared" si="9"/>
        <v>0.28090105004445859</v>
      </c>
      <c r="E14" s="9"/>
      <c r="F14" s="9"/>
      <c r="G14" s="144">
        <f t="shared" ref="G14:H14" si="10">SUM(G8:G13)</f>
        <v>0.24191604127556363</v>
      </c>
      <c r="H14" s="144">
        <f t="shared" si="10"/>
        <v>9.6860791275563643E-2</v>
      </c>
      <c r="I14" s="10"/>
      <c r="L14" s="13" t="s">
        <v>473</v>
      </c>
      <c r="M14" s="224"/>
      <c r="N14" s="224"/>
      <c r="O14" s="224"/>
      <c r="P14" s="224">
        <f>('Energy prices'!C64-P4)-P13</f>
        <v>5.0012686653658184E-2</v>
      </c>
      <c r="Q14" s="224"/>
      <c r="R14" s="224"/>
      <c r="S14" s="224"/>
    </row>
    <row r="15" spans="1:19" ht="12.6">
      <c r="A15" s="10" t="s">
        <v>474</v>
      </c>
      <c r="B15" s="50"/>
      <c r="C15" s="230">
        <f>C14-C3</f>
        <v>9.6860791275563657E-2</v>
      </c>
      <c r="H15" s="118">
        <f>H14*7000</f>
        <v>678.02553892894548</v>
      </c>
      <c r="I15" s="10"/>
      <c r="L15" s="224"/>
      <c r="M15" s="224"/>
      <c r="N15" s="224"/>
      <c r="O15" s="224"/>
      <c r="P15" s="224"/>
      <c r="Q15" s="224"/>
      <c r="R15" s="224"/>
      <c r="S15" s="224"/>
    </row>
    <row r="17" spans="1:19" ht="12.6">
      <c r="A17" s="10" t="s">
        <v>475</v>
      </c>
      <c r="B17" s="139"/>
      <c r="C17" s="139">
        <f>AVERAGE('MBIE Energy prices (nom.)'!GP31:GS31)/100</f>
        <v>0.32303620755112727</v>
      </c>
      <c r="E17" s="473" t="s">
        <v>476</v>
      </c>
      <c r="I17" s="10"/>
      <c r="L17" s="13" t="s">
        <v>449</v>
      </c>
      <c r="M17" s="13"/>
      <c r="N17" s="13"/>
      <c r="O17" s="13" t="s">
        <v>449</v>
      </c>
      <c r="P17" s="13" t="s">
        <v>449</v>
      </c>
      <c r="Q17" s="13" t="s">
        <v>449</v>
      </c>
      <c r="R17" s="13" t="s">
        <v>449</v>
      </c>
      <c r="S17" s="13" t="s">
        <v>449</v>
      </c>
    </row>
    <row r="18" spans="1:19" ht="12.6">
      <c r="A18" s="10"/>
      <c r="B18" s="50"/>
      <c r="C18" s="50"/>
      <c r="E18" s="473" t="s">
        <v>477</v>
      </c>
      <c r="I18" s="10"/>
      <c r="L18" s="13" t="s">
        <v>450</v>
      </c>
      <c r="M18" s="13" t="str">
        <f t="shared" ref="M18:M23" si="11">L18&amp; TEXT(M5, " $0.00")</f>
        <v>Generation $0.15</v>
      </c>
      <c r="N18" s="13"/>
      <c r="O18" s="13"/>
      <c r="P18" s="13"/>
      <c r="Q18" s="13"/>
      <c r="R18" s="13"/>
      <c r="S18" s="13"/>
    </row>
    <row r="19" spans="1:19" ht="12.6">
      <c r="A19" s="10"/>
      <c r="B19" s="50"/>
      <c r="C19" s="50"/>
      <c r="E19" s="473" t="s">
        <v>478</v>
      </c>
      <c r="I19" s="10"/>
      <c r="L19" s="13" t="s">
        <v>451</v>
      </c>
      <c r="M19" s="13" t="str">
        <f t="shared" si="11"/>
        <v>Transmission $0.02</v>
      </c>
      <c r="N19" s="13"/>
      <c r="O19" s="13"/>
      <c r="P19" s="13"/>
      <c r="Q19" s="13">
        <f>S19</f>
        <v>0</v>
      </c>
      <c r="R19" s="13"/>
      <c r="S19" s="13"/>
    </row>
    <row r="20" spans="1:19" ht="12.6">
      <c r="A20" s="10"/>
      <c r="B20" s="50"/>
      <c r="C20" s="50"/>
      <c r="I20" s="10"/>
      <c r="L20" s="13" t="s">
        <v>460</v>
      </c>
      <c r="M20" s="13" t="str">
        <f t="shared" si="11"/>
        <v>Distribution $0.09</v>
      </c>
      <c r="N20" s="13"/>
      <c r="O20" s="13"/>
      <c r="P20" s="13"/>
      <c r="Q20" s="13"/>
      <c r="R20" s="13"/>
      <c r="S20" s="13"/>
    </row>
    <row r="21" spans="1:19" ht="12.6">
      <c r="L21" s="13" t="s">
        <v>464</v>
      </c>
      <c r="M21" s="13" t="str">
        <f t="shared" si="11"/>
        <v>Retail $0.06</v>
      </c>
      <c r="N21" s="13"/>
      <c r="O21" s="13"/>
      <c r="P21" s="13"/>
      <c r="Q21" s="13"/>
      <c r="R21" s="13"/>
      <c r="S21" s="13"/>
    </row>
    <row r="22" spans="1:19" ht="12.6">
      <c r="L22" s="13" t="s">
        <v>467</v>
      </c>
      <c r="M22" s="13" t="str">
        <f t="shared" si="11"/>
        <v>Metering $0.02</v>
      </c>
      <c r="N22" s="13"/>
      <c r="O22" s="13"/>
      <c r="P22" s="13"/>
      <c r="Q22" s="13"/>
      <c r="R22" s="13"/>
      <c r="S22" s="13"/>
    </row>
    <row r="23" spans="1:19" ht="12.6">
      <c r="L23" s="13" t="s">
        <v>63</v>
      </c>
      <c r="M23" s="13" t="str">
        <f t="shared" si="11"/>
        <v>Other $0.00</v>
      </c>
      <c r="N23" s="13"/>
      <c r="O23" s="13"/>
      <c r="P23" s="13"/>
      <c r="Q23" s="13"/>
      <c r="R23" s="13"/>
      <c r="S23" s="13"/>
    </row>
    <row r="24" spans="1:19" ht="12.6">
      <c r="L24" s="13"/>
      <c r="M24" s="13"/>
      <c r="N24" s="13"/>
      <c r="O24" s="13"/>
      <c r="P24" s="13"/>
      <c r="Q24" s="13"/>
      <c r="R24" s="13"/>
      <c r="S24" s="13"/>
    </row>
    <row r="25" spans="1:19" ht="12.6">
      <c r="L25" s="13"/>
      <c r="M25" s="13"/>
      <c r="N25" s="13"/>
      <c r="O25" s="13"/>
      <c r="P25" s="13"/>
      <c r="Q25" s="13"/>
      <c r="R25" s="13"/>
      <c r="S25" s="13"/>
    </row>
    <row r="26" spans="1:19" ht="12.6">
      <c r="L26" s="13"/>
      <c r="M26" s="13"/>
      <c r="N26" s="13"/>
      <c r="O26" s="13"/>
      <c r="P26" s="13"/>
      <c r="Q26" s="13"/>
      <c r="R26" s="13"/>
      <c r="S26" s="13"/>
    </row>
    <row r="27" spans="1:19" ht="12.6">
      <c r="L27" s="13"/>
      <c r="M27" s="13"/>
      <c r="N27" s="13"/>
      <c r="O27" s="13"/>
      <c r="P27" s="13"/>
      <c r="Q27" s="13"/>
      <c r="R27" s="13"/>
      <c r="S27" s="13"/>
    </row>
    <row r="28" spans="1:19" ht="12.6">
      <c r="L28" s="13" t="s">
        <v>479</v>
      </c>
      <c r="M28" s="13"/>
      <c r="N28" s="13"/>
      <c r="O28" s="13"/>
      <c r="P28" s="13" t="s">
        <v>480</v>
      </c>
      <c r="Q28" s="13"/>
      <c r="R28" s="13"/>
      <c r="S28" s="13" t="s">
        <v>481</v>
      </c>
    </row>
    <row r="29" spans="1:19" ht="12.6">
      <c r="L29" s="13" t="s">
        <v>481</v>
      </c>
      <c r="M29" s="13"/>
      <c r="N29" s="13"/>
      <c r="O29" s="13"/>
      <c r="P29" s="13" t="s">
        <v>481</v>
      </c>
      <c r="Q29" s="13"/>
      <c r="R29" s="13"/>
      <c r="S29" s="13"/>
    </row>
    <row r="30" spans="1:19" ht="12.6">
      <c r="L30" s="13" t="s">
        <v>482</v>
      </c>
      <c r="M30" s="13"/>
      <c r="N30" s="13"/>
      <c r="O30" s="13"/>
      <c r="P30" s="13"/>
      <c r="Q30" s="13"/>
      <c r="R30" s="13"/>
      <c r="S30" s="13"/>
    </row>
    <row r="31" spans="1:19" ht="12.6">
      <c r="L31" s="17">
        <f>D13/$C$14</f>
        <v>3.4536009773437704E-3</v>
      </c>
      <c r="M31" s="13"/>
      <c r="N31" s="13"/>
      <c r="O31" s="13"/>
      <c r="P31" s="13"/>
      <c r="Q31" s="13"/>
      <c r="R31" s="13"/>
      <c r="S31" s="13"/>
    </row>
    <row r="44" spans="1:9" ht="12.95">
      <c r="A44" s="4"/>
      <c r="B44" s="231"/>
      <c r="C44" s="231" t="s">
        <v>483</v>
      </c>
      <c r="D44" s="231" t="s">
        <v>434</v>
      </c>
      <c r="E44" s="231"/>
      <c r="F44" s="231" t="s">
        <v>438</v>
      </c>
      <c r="G44" s="4"/>
      <c r="H44" s="4"/>
      <c r="I44" s="4"/>
    </row>
    <row r="45" spans="1:9" ht="12.6">
      <c r="A45" s="29" t="s">
        <v>484</v>
      </c>
      <c r="B45" s="232"/>
      <c r="C45" s="232">
        <v>0.11</v>
      </c>
      <c r="D45" s="232"/>
      <c r="E45" s="29"/>
      <c r="F45" s="233">
        <f>AVERAGE('CPI Energy'!AU52:BI52)</f>
        <v>0.12653368016330729</v>
      </c>
      <c r="G45" s="29"/>
      <c r="H45" s="29"/>
      <c r="I45" s="475" t="s">
        <v>476</v>
      </c>
    </row>
    <row r="46" spans="1:9" ht="12.6">
      <c r="A46" s="29"/>
      <c r="B46" s="232"/>
      <c r="C46" s="232"/>
      <c r="D46" s="232"/>
      <c r="E46" s="29"/>
      <c r="F46" s="29"/>
      <c r="G46" s="29"/>
      <c r="H46" s="29"/>
      <c r="I46" s="475" t="s">
        <v>485</v>
      </c>
    </row>
    <row r="47" spans="1:9" ht="12.6">
      <c r="A47" s="29" t="s">
        <v>486</v>
      </c>
      <c r="B47" s="232"/>
      <c r="C47" s="232"/>
      <c r="D47" s="232"/>
      <c r="E47" s="29"/>
      <c r="F47" s="29" t="s">
        <v>487</v>
      </c>
      <c r="G47" s="29" t="s">
        <v>488</v>
      </c>
      <c r="H47" s="29"/>
      <c r="I47" s="29"/>
    </row>
    <row r="48" spans="1:9" ht="12.6">
      <c r="A48" s="29"/>
      <c r="B48" s="232"/>
      <c r="C48" s="232"/>
      <c r="D48" s="232"/>
      <c r="E48" s="29"/>
      <c r="F48" s="234">
        <f>SUM(Machines!G64,Machines!G130,Machines!G186)*365.25</f>
        <v>989.16086302880626</v>
      </c>
      <c r="G48" s="208">
        <f>Machines!D292</f>
        <v>587</v>
      </c>
      <c r="H48" s="232"/>
      <c r="I48" s="29"/>
    </row>
    <row r="50" spans="1:15" ht="12.95">
      <c r="A50" s="58"/>
      <c r="B50" s="58"/>
      <c r="C50" s="58" t="s">
        <v>489</v>
      </c>
      <c r="D50" s="58" t="s">
        <v>490</v>
      </c>
      <c r="E50" s="58" t="s">
        <v>491</v>
      </c>
      <c r="F50" s="58" t="s">
        <v>492</v>
      </c>
      <c r="G50" s="58" t="s">
        <v>493</v>
      </c>
      <c r="H50" s="58" t="s">
        <v>438</v>
      </c>
      <c r="I50" s="58"/>
      <c r="J50" s="58"/>
      <c r="K50" s="58"/>
      <c r="L50" s="58"/>
    </row>
    <row r="51" spans="1:15" ht="12.6">
      <c r="A51" s="98" t="s">
        <v>494</v>
      </c>
      <c r="B51" s="153"/>
      <c r="C51" s="66">
        <f>E51/D51</f>
        <v>0.24412296564195299</v>
      </c>
      <c r="D51" s="152">
        <f>2212/3.6</f>
        <v>614.44444444444446</v>
      </c>
      <c r="E51" s="98">
        <v>150</v>
      </c>
      <c r="F51" s="476" t="s">
        <v>495</v>
      </c>
      <c r="G51" s="476" t="s">
        <v>496</v>
      </c>
      <c r="H51" s="153">
        <f>AVERAGE('CPI Energy'!AU53:BI53)</f>
        <v>0.28081615686415395</v>
      </c>
      <c r="I51" s="98"/>
      <c r="J51" s="98"/>
      <c r="K51" s="98"/>
      <c r="L51" s="98"/>
    </row>
    <row r="52" spans="1:15" ht="12.6">
      <c r="A52" s="10"/>
      <c r="B52" s="50"/>
      <c r="C52" s="50"/>
      <c r="F52" s="10"/>
    </row>
    <row r="53" spans="1:15" ht="12.95">
      <c r="A53" s="235"/>
      <c r="B53" s="235"/>
      <c r="C53" s="235" t="s">
        <v>489</v>
      </c>
      <c r="D53" s="235" t="s">
        <v>497</v>
      </c>
      <c r="E53" s="235" t="s">
        <v>498</v>
      </c>
      <c r="F53" s="235" t="s">
        <v>499</v>
      </c>
      <c r="G53" s="235" t="s">
        <v>500</v>
      </c>
      <c r="H53" s="235" t="s">
        <v>492</v>
      </c>
      <c r="I53" s="235" t="s">
        <v>493</v>
      </c>
      <c r="J53" s="235" t="s">
        <v>438</v>
      </c>
      <c r="K53" s="235"/>
    </row>
    <row r="54" spans="1:15" ht="12.6">
      <c r="A54" s="6" t="s">
        <v>39</v>
      </c>
      <c r="B54" s="236"/>
      <c r="C54" s="237">
        <f>(F54/E54)/D54</f>
        <v>0.11249999999999999</v>
      </c>
      <c r="D54" s="236">
        <f>G54/3.6</f>
        <v>4.4444444444444446</v>
      </c>
      <c r="E54" s="6">
        <v>300</v>
      </c>
      <c r="F54" s="6">
        <v>150</v>
      </c>
      <c r="G54" s="6">
        <v>16</v>
      </c>
      <c r="H54" s="477" t="s">
        <v>501</v>
      </c>
      <c r="I54" s="477" t="s">
        <v>502</v>
      </c>
      <c r="J54" s="236">
        <f>AVERAGE('CPI Energy'!AU54:BI54)</f>
        <v>0.1139621052745568</v>
      </c>
      <c r="K54" s="6"/>
    </row>
    <row r="55" spans="1:15" ht="12.6">
      <c r="A55" s="10"/>
      <c r="B55" s="50"/>
      <c r="C55" s="50"/>
    </row>
    <row r="56" spans="1:15" ht="12.95">
      <c r="A56" s="149" t="s">
        <v>65</v>
      </c>
      <c r="B56" s="149"/>
      <c r="C56" s="149" t="s">
        <v>489</v>
      </c>
      <c r="D56" s="149" t="s">
        <v>503</v>
      </c>
      <c r="E56" s="149" t="s">
        <v>504</v>
      </c>
      <c r="F56" s="149"/>
      <c r="G56" s="149" t="s">
        <v>438</v>
      </c>
      <c r="H56" s="149"/>
      <c r="I56" s="149"/>
      <c r="J56" s="149"/>
      <c r="K56" s="149"/>
    </row>
    <row r="57" spans="1:15" ht="12.6">
      <c r="A57" s="42" t="s">
        <v>40</v>
      </c>
      <c r="B57" s="238"/>
      <c r="C57" s="239">
        <f t="shared" ref="C57:C59" si="12">D57/E57</f>
        <v>0.27360933794666653</v>
      </c>
      <c r="D57" s="42">
        <f>AVERAGE('MBIE Energy prices (nom.)'!GP12:GS12)/100</f>
        <v>2.5992887104933322</v>
      </c>
      <c r="E57" s="238">
        <v>9.5</v>
      </c>
      <c r="F57" s="478" t="s">
        <v>476</v>
      </c>
      <c r="G57" s="238">
        <f>AVERAGE('CPI Energy'!AU55:BI55)</f>
        <v>0.28038097024158282</v>
      </c>
      <c r="H57" s="42"/>
      <c r="I57" s="42"/>
      <c r="J57" s="42"/>
      <c r="K57" s="42"/>
    </row>
    <row r="58" spans="1:15" ht="12.6">
      <c r="A58" s="42" t="s">
        <v>41</v>
      </c>
      <c r="B58" s="238"/>
      <c r="C58" s="239">
        <f t="shared" si="12"/>
        <v>0.2063937824261956</v>
      </c>
      <c r="D58" s="42">
        <f>AVERAGE('MBIE Energy prices (nom.)'!GP17:GS17)/100</f>
        <v>2.2130000000000001</v>
      </c>
      <c r="E58" s="238">
        <v>10.722222220000001</v>
      </c>
      <c r="F58" s="478" t="s">
        <v>476</v>
      </c>
      <c r="G58" s="238">
        <f>AVERAGE('CPI Energy'!AU56:BI56)</f>
        <v>0.21150187856441874</v>
      </c>
      <c r="H58" s="42"/>
      <c r="I58" s="42"/>
      <c r="J58" s="42"/>
      <c r="K58" s="42"/>
    </row>
    <row r="59" spans="1:15" ht="12.6">
      <c r="A59" s="42" t="s">
        <v>505</v>
      </c>
      <c r="B59" s="238"/>
      <c r="C59" s="238">
        <f t="shared" si="12"/>
        <v>0.18918918918918917</v>
      </c>
      <c r="D59" s="42">
        <v>1.4</v>
      </c>
      <c r="E59" s="238">
        <v>7.4</v>
      </c>
      <c r="F59" s="478" t="s">
        <v>506</v>
      </c>
      <c r="G59" s="238">
        <f>AVERAGE('CPI Energy'!AU57:BI57)</f>
        <v>0.21762549413836629</v>
      </c>
      <c r="H59" s="42"/>
      <c r="I59" s="42"/>
      <c r="J59" s="42"/>
      <c r="K59" s="42"/>
    </row>
    <row r="61" spans="1:15" ht="12.95">
      <c r="A61" s="240" t="s">
        <v>131</v>
      </c>
      <c r="B61" s="240"/>
      <c r="C61" s="240" t="s">
        <v>507</v>
      </c>
      <c r="D61" s="240" t="s">
        <v>508</v>
      </c>
      <c r="E61" s="240" t="s">
        <v>509</v>
      </c>
      <c r="F61" s="240" t="s">
        <v>510</v>
      </c>
      <c r="G61" s="240" t="s">
        <v>113</v>
      </c>
      <c r="H61" s="240" t="s">
        <v>511</v>
      </c>
      <c r="I61" s="240" t="s">
        <v>512</v>
      </c>
      <c r="O61" s="473" t="s">
        <v>513</v>
      </c>
    </row>
    <row r="62" spans="1:15" ht="12.95">
      <c r="A62" s="37" t="str">
        <f t="shared" ref="A62:A65" si="13">A124</f>
        <v>Financed at 0%</v>
      </c>
      <c r="B62" s="241"/>
      <c r="C62" s="241">
        <f t="shared" ref="C62:C65" si="14">C124</f>
        <v>6.2079955422621826E-2</v>
      </c>
      <c r="D62" s="89">
        <v>2000</v>
      </c>
      <c r="E62" s="242" t="s">
        <v>514</v>
      </c>
      <c r="F62" s="243">
        <v>0.15</v>
      </c>
      <c r="G62" s="37">
        <v>25</v>
      </c>
      <c r="H62" s="243">
        <v>5.0000000000000001E-3</v>
      </c>
      <c r="I62" s="244">
        <v>0.94223805640000002</v>
      </c>
      <c r="K62" s="40" t="s">
        <v>515</v>
      </c>
      <c r="L62" s="40" t="s">
        <v>131</v>
      </c>
      <c r="M62" s="40" t="s">
        <v>516</v>
      </c>
      <c r="O62" s="473" t="s">
        <v>517</v>
      </c>
    </row>
    <row r="63" spans="1:15" ht="12.95">
      <c r="A63" s="37" t="str">
        <f t="shared" si="13"/>
        <v>Financed at 1%</v>
      </c>
      <c r="B63" s="37"/>
      <c r="C63" s="167">
        <f t="shared" si="14"/>
        <v>7.1449934885658234E-2</v>
      </c>
      <c r="D63" s="245"/>
      <c r="E63" s="37"/>
      <c r="F63" s="37"/>
      <c r="G63" s="37"/>
      <c r="H63" s="37"/>
      <c r="I63" s="37"/>
      <c r="K63" s="13" t="s">
        <v>56</v>
      </c>
      <c r="L63" s="246">
        <v>0.3</v>
      </c>
      <c r="M63" s="17">
        <f t="shared" ref="M63:M67" si="15">1-L63</f>
        <v>0.7</v>
      </c>
    </row>
    <row r="64" spans="1:15" ht="12.95">
      <c r="A64" s="37" t="str">
        <f t="shared" si="13"/>
        <v>Financed at 5.5%</v>
      </c>
      <c r="B64" s="167"/>
      <c r="C64" s="167">
        <f t="shared" si="14"/>
        <v>0.12146262153931642</v>
      </c>
      <c r="D64" s="245"/>
      <c r="E64" s="37"/>
      <c r="F64" s="37"/>
      <c r="G64" s="37"/>
      <c r="H64" s="37"/>
      <c r="I64" s="37"/>
      <c r="K64" s="13" t="s">
        <v>58</v>
      </c>
      <c r="L64" s="246">
        <v>0.75</v>
      </c>
      <c r="M64" s="17">
        <f t="shared" si="15"/>
        <v>0.25</v>
      </c>
    </row>
    <row r="65" spans="1:20" ht="12.95">
      <c r="A65" s="37" t="str">
        <f t="shared" si="13"/>
        <v>Financed at 10%</v>
      </c>
      <c r="B65" s="37"/>
      <c r="C65" s="167">
        <f t="shared" si="14"/>
        <v>0.17960168189423856</v>
      </c>
      <c r="D65" s="245"/>
      <c r="E65" s="37"/>
      <c r="F65" s="37"/>
      <c r="G65" s="37"/>
      <c r="H65" s="37"/>
      <c r="I65" s="37"/>
      <c r="K65" s="13" t="s">
        <v>518</v>
      </c>
      <c r="L65" s="246">
        <v>0.1</v>
      </c>
      <c r="M65" s="17">
        <f t="shared" si="15"/>
        <v>0.9</v>
      </c>
    </row>
    <row r="66" spans="1:20" ht="12.95">
      <c r="A66" s="245"/>
      <c r="B66" s="245"/>
      <c r="C66" s="245"/>
      <c r="D66" s="245"/>
      <c r="E66" s="37"/>
      <c r="F66" s="37"/>
      <c r="G66" s="37"/>
      <c r="H66" s="37"/>
      <c r="I66" s="37"/>
      <c r="K66" s="13" t="s">
        <v>519</v>
      </c>
      <c r="L66" s="246">
        <v>0.4</v>
      </c>
      <c r="M66" s="17">
        <f t="shared" si="15"/>
        <v>0.6</v>
      </c>
    </row>
    <row r="67" spans="1:20" ht="12.95">
      <c r="A67" s="245" t="s">
        <v>520</v>
      </c>
      <c r="B67" s="245"/>
      <c r="C67" s="245" t="s">
        <v>521</v>
      </c>
      <c r="D67" s="245" t="s">
        <v>522</v>
      </c>
      <c r="E67" s="37"/>
      <c r="F67" s="37"/>
      <c r="G67" s="37"/>
      <c r="H67" s="37"/>
      <c r="I67" s="37"/>
      <c r="K67" s="13" t="s">
        <v>64</v>
      </c>
      <c r="L67" s="246">
        <v>0.5</v>
      </c>
      <c r="M67" s="17">
        <f t="shared" si="15"/>
        <v>0.5</v>
      </c>
    </row>
    <row r="68" spans="1:20" ht="12.95">
      <c r="A68" s="37"/>
      <c r="B68" s="245"/>
      <c r="C68" s="247">
        <f>C121</f>
        <v>6.2079955422621826E-2</v>
      </c>
      <c r="D68" s="248">
        <f>C119</f>
        <v>20500</v>
      </c>
      <c r="E68" s="243"/>
      <c r="F68" s="37"/>
      <c r="G68" s="37"/>
      <c r="H68" s="37"/>
      <c r="I68" s="37"/>
    </row>
    <row r="69" spans="1:20" ht="12.6">
      <c r="A69" s="37"/>
      <c r="B69" s="37"/>
      <c r="C69" s="37"/>
      <c r="D69" s="37"/>
      <c r="E69" s="37"/>
      <c r="F69" s="37"/>
      <c r="G69" s="37"/>
      <c r="H69" s="37"/>
      <c r="I69" s="37"/>
    </row>
    <row r="70" spans="1:20" ht="12.95">
      <c r="A70" s="245" t="s">
        <v>523</v>
      </c>
      <c r="B70" s="37"/>
      <c r="C70" s="37">
        <v>2023</v>
      </c>
      <c r="D70" s="37">
        <v>2024</v>
      </c>
      <c r="E70" s="37">
        <v>2025</v>
      </c>
      <c r="F70" s="37">
        <v>2026</v>
      </c>
      <c r="G70" s="37">
        <v>2027</v>
      </c>
      <c r="H70" s="37">
        <v>2028</v>
      </c>
      <c r="I70" s="37">
        <v>2029</v>
      </c>
      <c r="J70" s="37">
        <v>2030</v>
      </c>
      <c r="K70" s="37">
        <v>2031</v>
      </c>
      <c r="L70" s="37">
        <v>2032</v>
      </c>
      <c r="M70" s="37">
        <v>2033</v>
      </c>
      <c r="N70" s="37">
        <v>2034</v>
      </c>
      <c r="O70" s="37">
        <v>2035</v>
      </c>
      <c r="P70" s="37">
        <v>2036</v>
      </c>
      <c r="Q70" s="37">
        <v>2037</v>
      </c>
      <c r="R70" s="37">
        <v>2038</v>
      </c>
      <c r="S70" s="37">
        <v>2039</v>
      </c>
      <c r="T70" s="37">
        <v>2040</v>
      </c>
    </row>
    <row r="71" spans="1:20" ht="12.6">
      <c r="A71" s="89" t="s">
        <v>524</v>
      </c>
      <c r="B71" s="37"/>
      <c r="C71" s="89">
        <f>C119</f>
        <v>20500</v>
      </c>
      <c r="D71" s="89">
        <f>$C71*'Learning rates'!D15</f>
        <v>19519.172039362064</v>
      </c>
      <c r="E71" s="89">
        <f>$C71*'Learning rates'!E15</f>
        <v>18545.300305395318</v>
      </c>
      <c r="F71" s="89">
        <f>$C71*'Learning rates'!F15</f>
        <v>17564.472344757378</v>
      </c>
      <c r="G71" s="89">
        <f>$C71*'Learning rates'!G15</f>
        <v>16590.600610790632</v>
      </c>
      <c r="H71" s="89">
        <f>$C71*'Learning rates'!H15</f>
        <v>15609.772650152699</v>
      </c>
      <c r="I71" s="89">
        <f>$C71*'Learning rates'!I15</f>
        <v>14628.944689514763</v>
      </c>
      <c r="J71" s="89">
        <f>$C71*'Learning rates'!J15</f>
        <v>13655.072955548016</v>
      </c>
      <c r="K71" s="89">
        <f>$C71*'Learning rates'!K15</f>
        <v>12674.244994910077</v>
      </c>
      <c r="L71" s="89">
        <f>$C71*'Learning rates'!L15</f>
        <v>11693.417034272141</v>
      </c>
      <c r="M71" s="89">
        <f>$C71*'Learning rates'!M15</f>
        <v>10719.545300305395</v>
      </c>
      <c r="N71" s="89">
        <f>$C71*'Learning rates'!N15</f>
        <v>9738.7173396674571</v>
      </c>
      <c r="O71" s="89">
        <f>$C71*'Learning rates'!O15</f>
        <v>8757.8893790295206</v>
      </c>
      <c r="P71" s="89">
        <f>$C71*'Learning rates'!P15</f>
        <v>7784.017645062775</v>
      </c>
      <c r="Q71" s="89">
        <f>$C71*'Learning rates'!Q15</f>
        <v>7665.7617916525287</v>
      </c>
      <c r="R71" s="89">
        <f>$C71*'Learning rates'!R15</f>
        <v>7554.4621649134715</v>
      </c>
      <c r="S71" s="89">
        <f>$C71*'Learning rates'!S15</f>
        <v>7436.2063115032224</v>
      </c>
      <c r="T71" s="89">
        <f>$C71*'Learning rates'!T15</f>
        <v>7324.9066847641661</v>
      </c>
    </row>
    <row r="72" spans="1:20" ht="12.6">
      <c r="A72" s="37" t="s">
        <v>525</v>
      </c>
      <c r="B72" s="167"/>
      <c r="C72" s="167">
        <f t="shared" ref="C72:T72" si="16">(C71)/($C111*9)</f>
        <v>6.2079955422621826E-2</v>
      </c>
      <c r="D72" s="167">
        <f t="shared" si="16"/>
        <v>5.9109723419028454E-2</v>
      </c>
      <c r="E72" s="167">
        <f t="shared" si="16"/>
        <v>5.6160556890637869E-2</v>
      </c>
      <c r="F72" s="167">
        <f t="shared" si="16"/>
        <v>5.3190324887044484E-2</v>
      </c>
      <c r="G72" s="167">
        <f t="shared" si="16"/>
        <v>5.0241158358653899E-2</v>
      </c>
      <c r="H72" s="167">
        <f t="shared" si="16"/>
        <v>4.7270926355060534E-2</v>
      </c>
      <c r="I72" s="167">
        <f t="shared" si="16"/>
        <v>4.4300694351467163E-2</v>
      </c>
      <c r="J72" s="167">
        <f t="shared" si="16"/>
        <v>4.1351527823076571E-2</v>
      </c>
      <c r="K72" s="167">
        <f t="shared" si="16"/>
        <v>3.8381295819483192E-2</v>
      </c>
      <c r="L72" s="167">
        <f t="shared" si="16"/>
        <v>3.5411063815889814E-2</v>
      </c>
      <c r="M72" s="167">
        <f t="shared" si="16"/>
        <v>3.2461897287499229E-2</v>
      </c>
      <c r="N72" s="167">
        <f t="shared" si="16"/>
        <v>2.949166528390585E-2</v>
      </c>
      <c r="O72" s="167">
        <f t="shared" si="16"/>
        <v>2.6521433280312479E-2</v>
      </c>
      <c r="P72" s="167">
        <f t="shared" si="16"/>
        <v>2.3572266751921894E-2</v>
      </c>
      <c r="Q72" s="167">
        <f t="shared" si="16"/>
        <v>2.3214153673474468E-2</v>
      </c>
      <c r="R72" s="167">
        <f t="shared" si="16"/>
        <v>2.287710607022983E-2</v>
      </c>
      <c r="S72" s="167">
        <f t="shared" si="16"/>
        <v>2.2518992991782397E-2</v>
      </c>
      <c r="T72" s="167">
        <f t="shared" si="16"/>
        <v>2.2181945388537759E-2</v>
      </c>
    </row>
    <row r="73" spans="1:20" ht="12.6">
      <c r="A73" s="37" t="s">
        <v>526</v>
      </c>
      <c r="B73" s="167"/>
      <c r="C73" s="167">
        <f t="shared" ref="C73:T73" si="17">(C$71+(CUMIPMT($D125,$E125,C$71,1,$E125,1)*-1))/$C$120</f>
        <v>7.1449934885658234E-2</v>
      </c>
      <c r="D73" s="167">
        <f t="shared" si="17"/>
        <v>6.8031393718750263E-2</v>
      </c>
      <c r="E73" s="167">
        <f t="shared" si="17"/>
        <v>6.4637097524657239E-2</v>
      </c>
      <c r="F73" s="167">
        <f t="shared" si="17"/>
        <v>6.121855635774924E-2</v>
      </c>
      <c r="G73" s="167">
        <f t="shared" si="17"/>
        <v>5.7824260163656209E-2</v>
      </c>
      <c r="H73" s="167">
        <f t="shared" si="17"/>
        <v>5.4405718996748259E-2</v>
      </c>
      <c r="I73" s="167">
        <f t="shared" si="17"/>
        <v>5.0987177829840274E-2</v>
      </c>
      <c r="J73" s="167">
        <f t="shared" si="17"/>
        <v>4.7592881635747243E-2</v>
      </c>
      <c r="K73" s="167">
        <f t="shared" si="17"/>
        <v>4.4174340468839265E-2</v>
      </c>
      <c r="L73" s="167">
        <f t="shared" si="17"/>
        <v>4.0755799301931288E-2</v>
      </c>
      <c r="M73" s="167">
        <f t="shared" si="17"/>
        <v>3.7361503107838256E-2</v>
      </c>
      <c r="N73" s="167">
        <f t="shared" si="17"/>
        <v>3.3942961940930279E-2</v>
      </c>
      <c r="O73" s="167">
        <f t="shared" si="17"/>
        <v>3.0524420774022298E-2</v>
      </c>
      <c r="P73" s="167">
        <f t="shared" si="17"/>
        <v>2.7130124579929273E-2</v>
      </c>
      <c r="Q73" s="167">
        <f t="shared" si="17"/>
        <v>2.6717960042075124E-2</v>
      </c>
      <c r="R73" s="167">
        <f t="shared" si="17"/>
        <v>2.6330040477035913E-2</v>
      </c>
      <c r="S73" s="167">
        <f t="shared" si="17"/>
        <v>2.5917875939181757E-2</v>
      </c>
      <c r="T73" s="167">
        <f t="shared" si="17"/>
        <v>2.5529956374142553E-2</v>
      </c>
    </row>
    <row r="74" spans="1:20" ht="12.6">
      <c r="A74" s="37" t="s">
        <v>527</v>
      </c>
      <c r="B74" s="167"/>
      <c r="C74" s="167">
        <f t="shared" ref="C74:T74" si="18">(C$71+(CUMIPMT($D126,$E126,C$71,1,$E126,1)*-1))/$C$120</f>
        <v>0.12146262153931642</v>
      </c>
      <c r="D74" s="167">
        <f t="shared" si="18"/>
        <v>0.1156512100574557</v>
      </c>
      <c r="E74" s="167">
        <f t="shared" si="18"/>
        <v>0.10988101425986345</v>
      </c>
      <c r="F74" s="167">
        <f t="shared" si="18"/>
        <v>0.10406960277800273</v>
      </c>
      <c r="G74" s="167">
        <f t="shared" si="18"/>
        <v>9.8299406980410467E-2</v>
      </c>
      <c r="H74" s="167">
        <f t="shared" si="18"/>
        <v>9.2487995498549747E-2</v>
      </c>
      <c r="I74" s="167">
        <f t="shared" si="18"/>
        <v>8.6676584016689012E-2</v>
      </c>
      <c r="J74" s="167">
        <f t="shared" si="18"/>
        <v>8.090638821909675E-2</v>
      </c>
      <c r="K74" s="167">
        <f t="shared" si="18"/>
        <v>7.5094976737236016E-2</v>
      </c>
      <c r="L74" s="167">
        <f t="shared" si="18"/>
        <v>6.9283565255375268E-2</v>
      </c>
      <c r="M74" s="167">
        <f t="shared" si="18"/>
        <v>6.3513369457783034E-2</v>
      </c>
      <c r="N74" s="167">
        <f t="shared" si="18"/>
        <v>5.7701957975922293E-2</v>
      </c>
      <c r="O74" s="167">
        <f t="shared" si="18"/>
        <v>5.1890546494061544E-2</v>
      </c>
      <c r="P74" s="167">
        <f t="shared" si="18"/>
        <v>4.6120350696469317E-2</v>
      </c>
      <c r="Q74" s="167">
        <f t="shared" si="18"/>
        <v>4.541968406390455E-2</v>
      </c>
      <c r="R74" s="167">
        <f t="shared" si="18"/>
        <v>4.4760233115608297E-2</v>
      </c>
      <c r="S74" s="167">
        <f t="shared" si="18"/>
        <v>4.4059566483043516E-2</v>
      </c>
      <c r="T74" s="167">
        <f t="shared" si="18"/>
        <v>4.3400115534747256E-2</v>
      </c>
    </row>
    <row r="75" spans="1:20" ht="12.6">
      <c r="A75" s="37" t="s">
        <v>528</v>
      </c>
      <c r="B75" s="167"/>
      <c r="C75" s="167">
        <f t="shared" ref="C75:T75" si="19">(C$71+(CUMIPMT($D127,$E127,C$71,1,$E127,1)*-1))/$C$120</f>
        <v>0.17960168189423856</v>
      </c>
      <c r="D75" s="167">
        <f t="shared" si="19"/>
        <v>0.17100859158304496</v>
      </c>
      <c r="E75" s="167">
        <f t="shared" si="19"/>
        <v>0.16247644517476759</v>
      </c>
      <c r="F75" s="167">
        <f t="shared" si="19"/>
        <v>0.15388335486357393</v>
      </c>
      <c r="G75" s="167">
        <f t="shared" si="19"/>
        <v>0.14535120845529653</v>
      </c>
      <c r="H75" s="167">
        <f t="shared" si="19"/>
        <v>0.13675811814410296</v>
      </c>
      <c r="I75" s="167">
        <f t="shared" si="19"/>
        <v>0.12816502783290931</v>
      </c>
      <c r="J75" s="167">
        <f t="shared" si="19"/>
        <v>0.11963288142463195</v>
      </c>
      <c r="K75" s="167">
        <f t="shared" si="19"/>
        <v>0.11103979111343829</v>
      </c>
      <c r="L75" s="167">
        <f t="shared" si="19"/>
        <v>0.10244670080224468</v>
      </c>
      <c r="M75" s="167">
        <f t="shared" si="19"/>
        <v>9.3914554393967301E-2</v>
      </c>
      <c r="N75" s="167">
        <f t="shared" si="19"/>
        <v>8.5321464082773649E-2</v>
      </c>
      <c r="O75" s="167">
        <f t="shared" si="19"/>
        <v>7.6728373771580038E-2</v>
      </c>
      <c r="P75" s="167">
        <f t="shared" si="19"/>
        <v>6.8196227363302678E-2</v>
      </c>
      <c r="Q75" s="167">
        <f t="shared" si="19"/>
        <v>6.7160181013726145E-2</v>
      </c>
      <c r="R75" s="167">
        <f t="shared" si="19"/>
        <v>6.6185078567065861E-2</v>
      </c>
      <c r="S75" s="167">
        <f t="shared" si="19"/>
        <v>6.51490322174893E-2</v>
      </c>
      <c r="T75" s="167">
        <f t="shared" si="19"/>
        <v>6.4173929770829044E-2</v>
      </c>
    </row>
    <row r="76" spans="1:20" ht="12.6">
      <c r="A76" s="37"/>
      <c r="B76" s="37"/>
      <c r="C76" s="37"/>
      <c r="D76" s="37"/>
      <c r="E76" s="37"/>
      <c r="F76" s="37"/>
      <c r="G76" s="37"/>
      <c r="H76" s="37"/>
      <c r="I76" s="37"/>
    </row>
    <row r="77" spans="1:20" ht="12.6">
      <c r="A77" s="37"/>
      <c r="B77" s="37"/>
      <c r="C77" s="37"/>
      <c r="D77" s="37"/>
      <c r="E77" s="37"/>
      <c r="F77" s="37"/>
      <c r="G77" s="37"/>
      <c r="H77" s="37"/>
      <c r="I77" s="37"/>
    </row>
    <row r="78" spans="1:20" ht="12.6">
      <c r="A78" s="37"/>
      <c r="B78" s="37"/>
      <c r="C78" s="37"/>
      <c r="D78" s="37"/>
      <c r="E78" s="37"/>
      <c r="F78" s="37"/>
      <c r="G78" s="37"/>
      <c r="H78" s="37"/>
      <c r="I78" s="37"/>
    </row>
    <row r="79" spans="1:20" ht="12.95">
      <c r="A79" s="64" t="s">
        <v>529</v>
      </c>
      <c r="B79" s="64"/>
      <c r="C79" s="64" t="s">
        <v>530</v>
      </c>
      <c r="D79" s="64" t="s">
        <v>531</v>
      </c>
      <c r="E79" s="64"/>
    </row>
    <row r="80" spans="1:20" ht="12.6">
      <c r="A80" s="37" t="s">
        <v>532</v>
      </c>
      <c r="B80" s="37"/>
      <c r="C80" s="37">
        <f>(F62*8760)</f>
        <v>1314</v>
      </c>
      <c r="D80" s="37"/>
      <c r="E80" s="37"/>
    </row>
    <row r="81" spans="1:13" ht="12.6">
      <c r="A81" s="37" t="s">
        <v>533</v>
      </c>
      <c r="B81" s="81"/>
      <c r="C81" s="81">
        <f t="shared" ref="C81:C109" si="20">C80*(1-$D81)</f>
        <v>1307.43</v>
      </c>
      <c r="D81" s="243">
        <v>5.0000000000000001E-3</v>
      </c>
      <c r="E81" s="479" t="s">
        <v>534</v>
      </c>
    </row>
    <row r="82" spans="1:13" ht="12.6">
      <c r="A82" s="37" t="s">
        <v>535</v>
      </c>
      <c r="B82" s="81"/>
      <c r="C82" s="81">
        <f t="shared" si="20"/>
        <v>1300.89285</v>
      </c>
      <c r="D82" s="243">
        <v>5.0000000000000001E-3</v>
      </c>
      <c r="E82" s="37"/>
    </row>
    <row r="83" spans="1:13" ht="12.6">
      <c r="A83" s="37" t="s">
        <v>536</v>
      </c>
      <c r="B83" s="81"/>
      <c r="C83" s="81">
        <f t="shared" si="20"/>
        <v>1294.38838575</v>
      </c>
      <c r="D83" s="243">
        <v>5.0000000000000001E-3</v>
      </c>
      <c r="E83" s="37"/>
    </row>
    <row r="84" spans="1:13" ht="12.6">
      <c r="A84" s="37" t="s">
        <v>537</v>
      </c>
      <c r="B84" s="81"/>
      <c r="C84" s="81">
        <f t="shared" si="20"/>
        <v>1287.9164438212499</v>
      </c>
      <c r="D84" s="243">
        <v>5.0000000000000001E-3</v>
      </c>
      <c r="E84" s="37"/>
      <c r="G84" s="249" t="s">
        <v>538</v>
      </c>
      <c r="H84" s="249" t="s">
        <v>539</v>
      </c>
      <c r="I84" s="249" t="s">
        <v>540</v>
      </c>
      <c r="J84" s="249" t="s">
        <v>541</v>
      </c>
      <c r="K84" s="249" t="s">
        <v>542</v>
      </c>
      <c r="L84" s="249" t="s">
        <v>543</v>
      </c>
    </row>
    <row r="85" spans="1:13" ht="12.6">
      <c r="A85" s="37" t="s">
        <v>544</v>
      </c>
      <c r="B85" s="81"/>
      <c r="C85" s="81">
        <f t="shared" si="20"/>
        <v>1281.4768616021436</v>
      </c>
      <c r="D85" s="243">
        <v>5.0000000000000001E-3</v>
      </c>
      <c r="E85" s="37"/>
      <c r="G85" s="250" t="s">
        <v>545</v>
      </c>
      <c r="H85" s="251">
        <v>3600</v>
      </c>
      <c r="I85" s="251">
        <v>4130</v>
      </c>
      <c r="J85" s="251">
        <v>4760</v>
      </c>
      <c r="K85" s="251">
        <v>5390</v>
      </c>
      <c r="L85" s="251">
        <v>6340</v>
      </c>
      <c r="M85" s="251">
        <v>9370</v>
      </c>
    </row>
    <row r="86" spans="1:13" ht="12.6">
      <c r="A86" s="37" t="s">
        <v>546</v>
      </c>
      <c r="B86" s="81"/>
      <c r="C86" s="81">
        <f t="shared" si="20"/>
        <v>1275.0694772941329</v>
      </c>
      <c r="D86" s="243">
        <v>5.0000000000000001E-3</v>
      </c>
      <c r="E86" s="37"/>
      <c r="G86" s="250" t="s">
        <v>547</v>
      </c>
      <c r="H86" s="251">
        <v>3970</v>
      </c>
      <c r="I86" s="251">
        <v>4580</v>
      </c>
      <c r="J86" s="251">
        <v>5160</v>
      </c>
      <c r="K86" s="251">
        <v>5710</v>
      </c>
      <c r="L86" s="251">
        <v>6360</v>
      </c>
      <c r="M86" s="251">
        <v>9420</v>
      </c>
    </row>
    <row r="87" spans="1:13" ht="12.6">
      <c r="A87" s="37" t="s">
        <v>548</v>
      </c>
      <c r="B87" s="81"/>
      <c r="C87" s="81">
        <f t="shared" si="20"/>
        <v>1268.6941299076623</v>
      </c>
      <c r="D87" s="243">
        <v>5.0000000000000001E-3</v>
      </c>
      <c r="E87" s="37"/>
      <c r="G87" s="250" t="s">
        <v>549</v>
      </c>
      <c r="H87" s="251">
        <v>4700</v>
      </c>
      <c r="I87" s="251">
        <v>4910</v>
      </c>
      <c r="J87" s="251">
        <v>5180</v>
      </c>
      <c r="K87" s="251">
        <v>5850</v>
      </c>
      <c r="L87" s="251">
        <v>6860</v>
      </c>
      <c r="M87" s="251">
        <v>8920</v>
      </c>
    </row>
    <row r="88" spans="1:13" ht="12.6">
      <c r="A88" s="37" t="s">
        <v>550</v>
      </c>
      <c r="B88" s="81"/>
      <c r="C88" s="81">
        <f t="shared" si="20"/>
        <v>1262.3506592581239</v>
      </c>
      <c r="D88" s="243">
        <v>5.0000000000000001E-3</v>
      </c>
      <c r="E88" s="37"/>
      <c r="G88" s="250" t="s">
        <v>551</v>
      </c>
      <c r="H88" s="251">
        <v>5300</v>
      </c>
      <c r="I88" s="251">
        <v>7210</v>
      </c>
      <c r="J88" s="251">
        <v>8240</v>
      </c>
      <c r="K88" s="251">
        <v>9920</v>
      </c>
      <c r="L88" s="251">
        <v>11270</v>
      </c>
      <c r="M88" s="251">
        <v>14060</v>
      </c>
    </row>
    <row r="89" spans="1:13" ht="12.6">
      <c r="A89" s="37" t="s">
        <v>552</v>
      </c>
      <c r="B89" s="81"/>
      <c r="C89" s="81">
        <f t="shared" si="20"/>
        <v>1256.0389059618333</v>
      </c>
      <c r="D89" s="243">
        <v>5.0000000000000001E-3</v>
      </c>
      <c r="E89" s="37"/>
      <c r="G89" s="250" t="s">
        <v>553</v>
      </c>
      <c r="H89" s="251">
        <v>5020</v>
      </c>
      <c r="I89" s="251">
        <v>5690</v>
      </c>
      <c r="J89" s="251">
        <v>6540</v>
      </c>
      <c r="K89" s="251">
        <v>7440</v>
      </c>
      <c r="L89" s="251">
        <v>8430</v>
      </c>
      <c r="M89" s="251">
        <v>12390</v>
      </c>
    </row>
    <row r="90" spans="1:13" ht="12.6">
      <c r="A90" s="37" t="s">
        <v>554</v>
      </c>
      <c r="B90" s="81"/>
      <c r="C90" s="81">
        <f t="shared" si="20"/>
        <v>1249.758711432024</v>
      </c>
      <c r="D90" s="243">
        <v>5.0000000000000001E-3</v>
      </c>
      <c r="E90" s="37"/>
      <c r="G90" s="250" t="s">
        <v>555</v>
      </c>
      <c r="H90" s="251">
        <v>4290</v>
      </c>
      <c r="I90" s="251">
        <v>4580</v>
      </c>
      <c r="J90" s="251">
        <v>5180</v>
      </c>
      <c r="K90" s="251">
        <v>5580</v>
      </c>
      <c r="L90" s="251">
        <v>6600</v>
      </c>
      <c r="M90" s="251">
        <v>8670</v>
      </c>
    </row>
    <row r="91" spans="1:13" ht="12.6">
      <c r="A91" s="37" t="s">
        <v>556</v>
      </c>
      <c r="B91" s="81"/>
      <c r="C91" s="81">
        <f t="shared" si="20"/>
        <v>1243.509917874864</v>
      </c>
      <c r="D91" s="243">
        <v>5.0000000000000001E-3</v>
      </c>
      <c r="E91" s="89"/>
      <c r="G91" s="250" t="s">
        <v>557</v>
      </c>
      <c r="H91" s="251">
        <v>3970</v>
      </c>
      <c r="I91" s="251">
        <v>4380</v>
      </c>
      <c r="J91" s="251">
        <v>4810</v>
      </c>
      <c r="K91" s="251">
        <v>4990</v>
      </c>
      <c r="L91" s="251">
        <v>6100</v>
      </c>
      <c r="M91" s="251">
        <v>8310</v>
      </c>
    </row>
    <row r="92" spans="1:13" ht="12.6">
      <c r="A92" s="37" t="s">
        <v>558</v>
      </c>
      <c r="B92" s="81"/>
      <c r="C92" s="81">
        <f t="shared" si="20"/>
        <v>1237.2923682854896</v>
      </c>
      <c r="D92" s="243">
        <v>5.0000000000000001E-3</v>
      </c>
      <c r="E92" s="37"/>
      <c r="G92" s="250" t="s">
        <v>559</v>
      </c>
      <c r="H92" s="251">
        <v>3360</v>
      </c>
      <c r="I92" s="251">
        <v>3750</v>
      </c>
      <c r="J92" s="251">
        <v>4540</v>
      </c>
      <c r="K92" s="251">
        <v>5430</v>
      </c>
      <c r="L92" s="251">
        <v>6040</v>
      </c>
      <c r="M92" s="251">
        <v>9780</v>
      </c>
    </row>
    <row r="93" spans="1:13" ht="12.6">
      <c r="A93" s="37" t="s">
        <v>560</v>
      </c>
      <c r="B93" s="81"/>
      <c r="C93" s="81">
        <f t="shared" si="20"/>
        <v>1231.1059064440622</v>
      </c>
      <c r="D93" s="243">
        <v>5.0000000000000001E-3</v>
      </c>
      <c r="E93" s="37"/>
      <c r="G93" s="10"/>
      <c r="H93" s="27"/>
      <c r="I93" s="27"/>
      <c r="J93" s="27"/>
      <c r="K93" s="27"/>
      <c r="L93" s="27"/>
      <c r="M93" s="27"/>
    </row>
    <row r="94" spans="1:13" ht="12.6">
      <c r="A94" s="37" t="s">
        <v>561</v>
      </c>
      <c r="B94" s="81"/>
      <c r="C94" s="81">
        <f t="shared" si="20"/>
        <v>1224.9503769118419</v>
      </c>
      <c r="D94" s="243">
        <v>5.0000000000000096E-3</v>
      </c>
      <c r="E94" s="37"/>
      <c r="H94" s="27"/>
      <c r="I94" s="27"/>
      <c r="J94" s="27"/>
      <c r="K94" s="27"/>
      <c r="L94" s="27"/>
      <c r="M94" s="27"/>
    </row>
    <row r="95" spans="1:13" ht="12.6">
      <c r="A95" s="37" t="s">
        <v>562</v>
      </c>
      <c r="B95" s="81"/>
      <c r="C95" s="81">
        <f t="shared" si="20"/>
        <v>1218.8256250272827</v>
      </c>
      <c r="D95" s="243">
        <v>5.0000000000000096E-3</v>
      </c>
      <c r="E95" s="37"/>
    </row>
    <row r="96" spans="1:13" ht="12.6">
      <c r="A96" s="37" t="s">
        <v>563</v>
      </c>
      <c r="B96" s="81"/>
      <c r="C96" s="81">
        <f t="shared" si="20"/>
        <v>1212.7314969021463</v>
      </c>
      <c r="D96" s="243">
        <v>5.0000000000000096E-3</v>
      </c>
      <c r="E96" s="37"/>
    </row>
    <row r="97" spans="1:5" ht="12.6">
      <c r="A97" s="37" t="s">
        <v>564</v>
      </c>
      <c r="B97" s="81"/>
      <c r="C97" s="81">
        <f t="shared" si="20"/>
        <v>1206.6678394176356</v>
      </c>
      <c r="D97" s="243">
        <v>5.0000000000000096E-3</v>
      </c>
      <c r="E97" s="37"/>
    </row>
    <row r="98" spans="1:5" ht="12.6">
      <c r="A98" s="37" t="s">
        <v>565</v>
      </c>
      <c r="B98" s="81"/>
      <c r="C98" s="81">
        <f t="shared" si="20"/>
        <v>1200.6345002205474</v>
      </c>
      <c r="D98" s="243">
        <v>5.0000000000000096E-3</v>
      </c>
      <c r="E98" s="37"/>
    </row>
    <row r="99" spans="1:5" ht="12.6">
      <c r="A99" s="37" t="s">
        <v>566</v>
      </c>
      <c r="B99" s="81"/>
      <c r="C99" s="81">
        <f t="shared" si="20"/>
        <v>1194.6313277194447</v>
      </c>
      <c r="D99" s="243">
        <v>5.0000000000000096E-3</v>
      </c>
      <c r="E99" s="37"/>
    </row>
    <row r="100" spans="1:5" ht="12.6">
      <c r="A100" s="37" t="s">
        <v>567</v>
      </c>
      <c r="B100" s="81"/>
      <c r="C100" s="81">
        <f t="shared" si="20"/>
        <v>1188.6581710808475</v>
      </c>
      <c r="D100" s="243">
        <v>5.0000000000000096E-3</v>
      </c>
      <c r="E100" s="37"/>
    </row>
    <row r="101" spans="1:5" ht="12.6">
      <c r="A101" s="37" t="s">
        <v>568</v>
      </c>
      <c r="B101" s="81"/>
      <c r="C101" s="81">
        <f t="shared" si="20"/>
        <v>1182.7148802254433</v>
      </c>
      <c r="D101" s="243">
        <v>5.0000000000000096E-3</v>
      </c>
      <c r="E101" s="37"/>
    </row>
    <row r="102" spans="1:5" ht="12.6">
      <c r="A102" s="37" t="s">
        <v>569</v>
      </c>
      <c r="B102" s="81"/>
      <c r="C102" s="81">
        <f t="shared" si="20"/>
        <v>1176.8013058243159</v>
      </c>
      <c r="D102" s="243">
        <v>5.0000000000000096E-3</v>
      </c>
      <c r="E102" s="37"/>
    </row>
    <row r="103" spans="1:5" ht="12.6">
      <c r="A103" s="37" t="s">
        <v>570</v>
      </c>
      <c r="B103" s="81"/>
      <c r="C103" s="81">
        <f t="shared" si="20"/>
        <v>1170.9172992951944</v>
      </c>
      <c r="D103" s="243">
        <v>5.0000000000000096E-3</v>
      </c>
      <c r="E103" s="37"/>
    </row>
    <row r="104" spans="1:5" ht="12.6">
      <c r="A104" s="37" t="s">
        <v>571</v>
      </c>
      <c r="B104" s="81"/>
      <c r="C104" s="81">
        <f t="shared" si="20"/>
        <v>1165.0627127987184</v>
      </c>
      <c r="D104" s="243">
        <v>5.0000000000000096E-3</v>
      </c>
      <c r="E104" s="37"/>
    </row>
    <row r="105" spans="1:5" ht="12.6">
      <c r="A105" s="37" t="s">
        <v>572</v>
      </c>
      <c r="B105" s="81"/>
      <c r="C105" s="81">
        <f t="shared" si="20"/>
        <v>1159.2373992347248</v>
      </c>
      <c r="D105" s="243">
        <v>5.0000000000000096E-3</v>
      </c>
      <c r="E105" s="37"/>
    </row>
    <row r="106" spans="1:5" ht="12.6">
      <c r="A106" s="37" t="s">
        <v>573</v>
      </c>
      <c r="B106" s="81"/>
      <c r="C106" s="81">
        <f t="shared" si="20"/>
        <v>1153.4412122385511</v>
      </c>
      <c r="D106" s="243">
        <v>5.0000000000000096E-3</v>
      </c>
      <c r="E106" s="37"/>
    </row>
    <row r="107" spans="1:5" ht="12.6">
      <c r="A107" s="37" t="s">
        <v>574</v>
      </c>
      <c r="B107" s="81"/>
      <c r="C107" s="81">
        <f t="shared" si="20"/>
        <v>1147.6740061773583</v>
      </c>
      <c r="D107" s="243">
        <v>5.0000000000000096E-3</v>
      </c>
      <c r="E107" s="37"/>
    </row>
    <row r="108" spans="1:5" ht="12.6">
      <c r="A108" s="37" t="s">
        <v>575</v>
      </c>
      <c r="B108" s="81"/>
      <c r="C108" s="81">
        <f t="shared" si="20"/>
        <v>1141.9356361464716</v>
      </c>
      <c r="D108" s="243">
        <v>5.0000000000000096E-3</v>
      </c>
      <c r="E108" s="37"/>
    </row>
    <row r="109" spans="1:5" ht="12.6">
      <c r="A109" s="37" t="s">
        <v>576</v>
      </c>
      <c r="B109" s="81"/>
      <c r="C109" s="81">
        <f t="shared" si="20"/>
        <v>1136.2259579657391</v>
      </c>
      <c r="D109" s="243">
        <v>5.0000000000000096E-3</v>
      </c>
      <c r="E109" s="37"/>
    </row>
    <row r="110" spans="1:5" ht="12.6">
      <c r="A110" s="37" t="s">
        <v>577</v>
      </c>
      <c r="B110" s="81"/>
      <c r="C110" s="81">
        <f>SUM(C80:C104)</f>
        <v>30952.520153055004</v>
      </c>
      <c r="D110" s="243"/>
      <c r="E110" s="37"/>
    </row>
    <row r="111" spans="1:5" ht="12.6">
      <c r="A111" s="37" t="s">
        <v>578</v>
      </c>
      <c r="B111" s="81"/>
      <c r="C111" s="81">
        <f>SUM(C80:C109)</f>
        <v>36691.034364817853</v>
      </c>
      <c r="D111" s="37" t="s">
        <v>579</v>
      </c>
      <c r="E111" s="243">
        <f>SUM(C80:C109)/(C80*30)</f>
        <v>0.93077205390202566</v>
      </c>
    </row>
    <row r="112" spans="1:5" ht="12.6">
      <c r="A112" s="37" t="s">
        <v>579</v>
      </c>
      <c r="B112" s="243"/>
      <c r="C112" s="243">
        <f>SUM(C80:C109)/(C80*30)</f>
        <v>0.93077205390202566</v>
      </c>
      <c r="D112" s="243">
        <f>1-C112</f>
        <v>6.9227946097974336E-2</v>
      </c>
      <c r="E112" s="37"/>
    </row>
    <row r="114" spans="1:5" ht="12.6">
      <c r="A114" s="37" t="s">
        <v>580</v>
      </c>
      <c r="B114" s="241"/>
      <c r="C114" s="241">
        <f>D62/C111</f>
        <v>5.4509229151570381E-2</v>
      </c>
      <c r="D114" s="37"/>
      <c r="E114" s="37"/>
    </row>
    <row r="115" spans="1:5" ht="12.6">
      <c r="A115" s="37"/>
      <c r="B115" s="241"/>
      <c r="C115" s="241"/>
      <c r="D115" s="89"/>
      <c r="E115" s="37"/>
    </row>
    <row r="116" spans="1:5" ht="12.6">
      <c r="A116" s="37" t="s">
        <v>581</v>
      </c>
      <c r="B116" s="241"/>
      <c r="C116" s="241"/>
      <c r="D116" s="89"/>
      <c r="E116" s="37"/>
    </row>
    <row r="117" spans="1:5" ht="12.6">
      <c r="A117" s="37" t="s">
        <v>582</v>
      </c>
      <c r="B117" s="89"/>
      <c r="C117" s="89">
        <f>D62*9</f>
        <v>18000</v>
      </c>
      <c r="D117" s="89"/>
      <c r="E117" s="37"/>
    </row>
    <row r="118" spans="1:5" ht="12.6">
      <c r="A118" s="37" t="s">
        <v>583</v>
      </c>
      <c r="B118" s="89"/>
      <c r="C118" s="89">
        <v>2500</v>
      </c>
      <c r="D118" s="89"/>
      <c r="E118" s="37"/>
    </row>
    <row r="119" spans="1:5" ht="12.6">
      <c r="A119" s="37" t="s">
        <v>215</v>
      </c>
      <c r="B119" s="89"/>
      <c r="C119" s="89">
        <f>SUM(C117:C118)</f>
        <v>20500</v>
      </c>
      <c r="D119" s="37"/>
      <c r="E119" s="37"/>
    </row>
    <row r="120" spans="1:5" ht="12.6">
      <c r="A120" s="37" t="s">
        <v>584</v>
      </c>
      <c r="B120" s="252"/>
      <c r="C120" s="252">
        <f>C111*9</f>
        <v>330219.30928336066</v>
      </c>
      <c r="D120" s="37"/>
      <c r="E120" s="37"/>
    </row>
    <row r="121" spans="1:5" ht="12.6">
      <c r="A121" s="37" t="s">
        <v>585</v>
      </c>
      <c r="B121" s="241"/>
      <c r="C121" s="241">
        <f>((C117)+C118)/(C111*9)</f>
        <v>6.2079955422621826E-2</v>
      </c>
      <c r="D121" s="37"/>
      <c r="E121" s="37"/>
    </row>
    <row r="122" spans="1:5" ht="12.6">
      <c r="A122" s="37"/>
      <c r="B122" s="37"/>
      <c r="C122" s="37"/>
      <c r="D122" s="37"/>
      <c r="E122" s="37"/>
    </row>
    <row r="123" spans="1:5" ht="12.6">
      <c r="A123" s="37"/>
      <c r="B123" s="37"/>
      <c r="C123" s="37" t="s">
        <v>521</v>
      </c>
      <c r="D123" s="37" t="s">
        <v>586</v>
      </c>
      <c r="E123" s="37" t="s">
        <v>415</v>
      </c>
    </row>
    <row r="124" spans="1:5" ht="12.6">
      <c r="A124" s="37" t="s">
        <v>525</v>
      </c>
      <c r="B124" s="167"/>
      <c r="C124" s="167">
        <f>((C117)+C118)/(C111*9)</f>
        <v>6.2079955422621826E-2</v>
      </c>
      <c r="D124" s="166">
        <v>0</v>
      </c>
      <c r="E124" s="37">
        <v>30</v>
      </c>
    </row>
    <row r="125" spans="1:5" ht="12.6">
      <c r="A125" s="37" t="s">
        <v>526</v>
      </c>
      <c r="B125" s="167"/>
      <c r="C125" s="167">
        <f t="shared" ref="C125:C127" si="21">($C$119+(CUMIPMT(D125,E125,$C$119,1,E125,1)*-1))/$C$120</f>
        <v>7.1449934885658234E-2</v>
      </c>
      <c r="D125" s="166">
        <v>0.01</v>
      </c>
      <c r="E125" s="37">
        <v>30</v>
      </c>
    </row>
    <row r="126" spans="1:5" ht="12.6">
      <c r="A126" s="37" t="s">
        <v>527</v>
      </c>
      <c r="B126" s="167"/>
      <c r="C126" s="241">
        <f t="shared" si="21"/>
        <v>0.12146262153931642</v>
      </c>
      <c r="D126" s="155">
        <v>5.5E-2</v>
      </c>
      <c r="E126" s="37">
        <v>30</v>
      </c>
    </row>
    <row r="127" spans="1:5" ht="12.6">
      <c r="A127" s="37" t="s">
        <v>528</v>
      </c>
      <c r="B127" s="167"/>
      <c r="C127" s="167">
        <f t="shared" si="21"/>
        <v>0.17960168189423856</v>
      </c>
      <c r="D127" s="166">
        <v>0.1</v>
      </c>
      <c r="E127" s="37">
        <v>30</v>
      </c>
    </row>
    <row r="131" spans="1:20" ht="12.95">
      <c r="A131" s="63" t="s">
        <v>587</v>
      </c>
      <c r="B131" s="63"/>
      <c r="C131" s="63" t="s">
        <v>507</v>
      </c>
      <c r="D131" s="63" t="s">
        <v>588</v>
      </c>
      <c r="E131" s="63" t="s">
        <v>589</v>
      </c>
      <c r="F131" s="95" t="s">
        <v>590</v>
      </c>
      <c r="G131" s="63"/>
      <c r="H131" s="63"/>
      <c r="I131" s="63"/>
      <c r="J131" s="63"/>
      <c r="K131" s="63"/>
    </row>
    <row r="132" spans="1:20" ht="12.6">
      <c r="A132" s="95" t="s">
        <v>525</v>
      </c>
      <c r="B132" s="139"/>
      <c r="C132" s="139">
        <f t="shared" ref="C132:C135" si="22">C170</f>
        <v>0.22560016694412352</v>
      </c>
      <c r="D132" s="95">
        <v>1000</v>
      </c>
      <c r="E132" s="79">
        <f>D132*(1/G164)</f>
        <v>1173.4028683181225</v>
      </c>
      <c r="F132" s="226">
        <f>G164</f>
        <v>0.85222222222222221</v>
      </c>
      <c r="G132" s="95"/>
      <c r="H132" s="223"/>
      <c r="I132" s="95"/>
      <c r="J132" s="95"/>
      <c r="K132" s="95"/>
    </row>
    <row r="133" spans="1:20" ht="12.6">
      <c r="A133" s="95" t="s">
        <v>526</v>
      </c>
      <c r="B133" s="139"/>
      <c r="C133" s="139">
        <f t="shared" si="22"/>
        <v>0.24165054728252131</v>
      </c>
      <c r="D133" s="95"/>
      <c r="E133" s="95"/>
      <c r="F133" s="95"/>
      <c r="G133" s="95"/>
      <c r="H133" s="95"/>
      <c r="I133" s="95"/>
      <c r="J133" s="95"/>
      <c r="K133" s="95"/>
    </row>
    <row r="134" spans="1:20" ht="12.6">
      <c r="A134" s="95" t="s">
        <v>591</v>
      </c>
      <c r="B134" s="139"/>
      <c r="C134" s="139">
        <f t="shared" si="22"/>
        <v>0.31955760357658969</v>
      </c>
      <c r="D134" s="95"/>
      <c r="E134" s="95"/>
      <c r="F134" s="95"/>
      <c r="G134" s="95"/>
      <c r="H134" s="95"/>
      <c r="I134" s="95"/>
      <c r="J134" s="95"/>
      <c r="K134" s="95"/>
    </row>
    <row r="135" spans="1:20" ht="12.6">
      <c r="A135" s="95" t="s">
        <v>528</v>
      </c>
      <c r="B135" s="139"/>
      <c r="C135" s="139">
        <f t="shared" si="22"/>
        <v>0.40446144565316755</v>
      </c>
      <c r="D135" s="95"/>
      <c r="E135" s="95"/>
      <c r="F135" s="95"/>
      <c r="G135" s="95"/>
      <c r="H135" s="95"/>
      <c r="I135" s="95"/>
      <c r="J135" s="95"/>
      <c r="K135" s="95"/>
    </row>
    <row r="136" spans="1:20" ht="12.6">
      <c r="A136" s="95"/>
      <c r="B136" s="95"/>
      <c r="C136" s="95"/>
      <c r="D136" s="95"/>
      <c r="E136" s="95"/>
      <c r="F136" s="95"/>
      <c r="G136" s="95"/>
      <c r="H136" s="95"/>
      <c r="I136" s="95"/>
      <c r="J136" s="95"/>
      <c r="K136" s="95"/>
    </row>
    <row r="137" spans="1:20" ht="12.6">
      <c r="A137" s="95" t="s">
        <v>523</v>
      </c>
      <c r="B137" s="95"/>
      <c r="C137" s="95">
        <v>2023</v>
      </c>
      <c r="D137" s="95">
        <v>2024</v>
      </c>
      <c r="E137" s="95">
        <v>2025</v>
      </c>
      <c r="F137" s="95">
        <v>2026</v>
      </c>
      <c r="G137" s="95">
        <v>2027</v>
      </c>
      <c r="H137" s="95">
        <v>2028</v>
      </c>
      <c r="I137" s="95">
        <v>2029</v>
      </c>
      <c r="J137" s="95">
        <v>2030</v>
      </c>
      <c r="K137" s="95">
        <v>2031</v>
      </c>
      <c r="L137" s="95">
        <v>2032</v>
      </c>
      <c r="M137" s="95">
        <v>2033</v>
      </c>
      <c r="N137" s="95">
        <v>2034</v>
      </c>
      <c r="O137" s="95">
        <v>2035</v>
      </c>
      <c r="P137" s="95">
        <v>2036</v>
      </c>
      <c r="Q137" s="95">
        <v>2037</v>
      </c>
      <c r="R137" s="95">
        <v>2038</v>
      </c>
      <c r="S137" s="95">
        <v>2039</v>
      </c>
      <c r="T137" s="95">
        <v>2040</v>
      </c>
    </row>
    <row r="138" spans="1:20" ht="12.6">
      <c r="A138" s="87" t="s">
        <v>592</v>
      </c>
      <c r="B138" s="87"/>
      <c r="C138" s="87">
        <f>$D132*'Learning rates'!C20</f>
        <v>1000</v>
      </c>
      <c r="D138" s="87">
        <f>$D132*'Learning rates'!D20</f>
        <v>719.39798888987514</v>
      </c>
      <c r="E138" s="87">
        <f>$D132*'Learning rates'!E20</f>
        <v>679.0147270800054</v>
      </c>
      <c r="F138" s="87">
        <f>$D132*'Learning rates'!F20</f>
        <v>644.46602093663137</v>
      </c>
      <c r="G138" s="87">
        <f>$D132*'Learning rates'!G20</f>
        <v>621.24569260764736</v>
      </c>
      <c r="H138" s="87">
        <f>$D132*'Learning rates'!H20</f>
        <v>598.02563405975479</v>
      </c>
      <c r="I138" s="87">
        <f>$D132*'Learning rates'!I20</f>
        <v>574.80557551186246</v>
      </c>
      <c r="J138" s="87">
        <f>$D132*'Learning rates'!J20</f>
        <v>551.58524718287833</v>
      </c>
      <c r="K138" s="87">
        <f>$D132*'Learning rates'!K20</f>
        <v>528.36518863498588</v>
      </c>
      <c r="L138" s="87">
        <f>$D132*'Learning rates'!L20</f>
        <v>518.4291510339765</v>
      </c>
      <c r="M138" s="87">
        <f>$D132*'Learning rates'!M20</f>
        <v>508.49311343296711</v>
      </c>
      <c r="N138" s="87">
        <f>$D132*'Learning rates'!N20</f>
        <v>498.55734561304928</v>
      </c>
      <c r="O138" s="87">
        <f>$D132*'Learning rates'!O20</f>
        <v>488.62130801203978</v>
      </c>
      <c r="P138" s="87">
        <f>$D132*'Learning rates'!P20</f>
        <v>478.68527041103039</v>
      </c>
      <c r="Q138" s="87">
        <f>$D132*'Learning rates'!Q20</f>
        <v>468.74950259111256</v>
      </c>
      <c r="R138" s="87">
        <f>$D132*'Learning rates'!R20</f>
        <v>458.81346499010311</v>
      </c>
      <c r="S138" s="87">
        <f>$D132*'Learning rates'!S20</f>
        <v>448.87742738909373</v>
      </c>
      <c r="T138" s="87">
        <f>$D132*'Learning rates'!T20</f>
        <v>438.94165956917578</v>
      </c>
    </row>
    <row r="139" spans="1:20" ht="12.6">
      <c r="A139" s="95" t="s">
        <v>525</v>
      </c>
      <c r="B139" s="223"/>
      <c r="C139" s="223">
        <f t="shared" ref="C139:T139" si="23">(C138*10)/($D$164*10)</f>
        <v>0.22560016694412352</v>
      </c>
      <c r="D139" s="223">
        <f t="shared" si="23"/>
        <v>0.16229630639282255</v>
      </c>
      <c r="E139" s="223">
        <f t="shared" si="23"/>
        <v>0.1531858357867677</v>
      </c>
      <c r="F139" s="223">
        <f t="shared" si="23"/>
        <v>0.14539164191311904</v>
      </c>
      <c r="G139" s="223">
        <f t="shared" si="23"/>
        <v>0.14015313196560289</v>
      </c>
      <c r="H139" s="223">
        <f t="shared" si="23"/>
        <v>0.13491468288074601</v>
      </c>
      <c r="I139" s="223">
        <f t="shared" si="23"/>
        <v>0.12967623379588919</v>
      </c>
      <c r="J139" s="223">
        <f t="shared" si="23"/>
        <v>0.124437723848373</v>
      </c>
      <c r="K139" s="223">
        <f t="shared" si="23"/>
        <v>0.11919927476351613</v>
      </c>
      <c r="L139" s="223">
        <f t="shared" si="23"/>
        <v>0.11695770302196531</v>
      </c>
      <c r="M139" s="223">
        <f t="shared" si="23"/>
        <v>0.11471613128041452</v>
      </c>
      <c r="N139" s="223">
        <f t="shared" si="23"/>
        <v>0.11247462040152301</v>
      </c>
      <c r="O139" s="223">
        <f t="shared" si="23"/>
        <v>0.11023304865997217</v>
      </c>
      <c r="P139" s="223">
        <f t="shared" si="23"/>
        <v>0.10799147691842138</v>
      </c>
      <c r="Q139" s="223">
        <f t="shared" si="23"/>
        <v>0.10574996603952985</v>
      </c>
      <c r="R139" s="223">
        <f t="shared" si="23"/>
        <v>0.10350839429797905</v>
      </c>
      <c r="S139" s="223">
        <f t="shared" si="23"/>
        <v>0.10126682255642823</v>
      </c>
      <c r="T139" s="223">
        <f t="shared" si="23"/>
        <v>9.9025311677536684E-2</v>
      </c>
    </row>
    <row r="140" spans="1:20" ht="12.6">
      <c r="A140" s="95" t="s">
        <v>526</v>
      </c>
      <c r="B140" s="223"/>
      <c r="C140" s="223">
        <f t="shared" ref="C140:T140" si="24">((C$138*10)+(CUMIPMT($D171,$E171,(C$138*10),1,$E171,1)*-1))/($D$164*10)</f>
        <v>0.24165054728252131</v>
      </c>
      <c r="D140" s="223">
        <f t="shared" si="24"/>
        <v>0.1738429177291835</v>
      </c>
      <c r="E140" s="223">
        <f t="shared" si="24"/>
        <v>0.16408428041177514</v>
      </c>
      <c r="F140" s="223">
        <f t="shared" si="24"/>
        <v>0.15573556666432578</v>
      </c>
      <c r="G140" s="223">
        <f t="shared" si="24"/>
        <v>0.15012436161554699</v>
      </c>
      <c r="H140" s="223">
        <f t="shared" si="24"/>
        <v>0.14451322175951656</v>
      </c>
      <c r="I140" s="223">
        <f t="shared" si="24"/>
        <v>0.13890208190348621</v>
      </c>
      <c r="J140" s="223">
        <f t="shared" si="24"/>
        <v>0.13329087685470734</v>
      </c>
      <c r="K140" s="223">
        <f t="shared" si="24"/>
        <v>0.12767973699867693</v>
      </c>
      <c r="L140" s="223">
        <f t="shared" si="24"/>
        <v>0.12527868807457329</v>
      </c>
      <c r="M140" s="223">
        <f t="shared" si="24"/>
        <v>0.12287763915046966</v>
      </c>
      <c r="N140" s="223">
        <f t="shared" si="24"/>
        <v>0.12047665541911447</v>
      </c>
      <c r="O140" s="223">
        <f t="shared" si="24"/>
        <v>0.11807560649501081</v>
      </c>
      <c r="P140" s="223">
        <f t="shared" si="24"/>
        <v>0.11567455757090721</v>
      </c>
      <c r="Q140" s="223">
        <f t="shared" si="24"/>
        <v>0.11327357383955197</v>
      </c>
      <c r="R140" s="223">
        <f t="shared" si="24"/>
        <v>0.11087252491544834</v>
      </c>
      <c r="S140" s="223">
        <f t="shared" si="24"/>
        <v>0.10847147599134473</v>
      </c>
      <c r="T140" s="223">
        <f t="shared" si="24"/>
        <v>0.10607049225998949</v>
      </c>
    </row>
    <row r="141" spans="1:20" ht="12.6">
      <c r="A141" s="95" t="s">
        <v>591</v>
      </c>
      <c r="B141" s="223"/>
      <c r="C141" s="223">
        <f t="shared" ref="C141:T141" si="25">((C$138*10)+(CUMIPMT($D172,$E172,(C$138*10),1,$E172,1)*-1))/($D$164*10)</f>
        <v>0.31955760357658969</v>
      </c>
      <c r="D141" s="223">
        <f t="shared" si="25"/>
        <v>0.2298890973474666</v>
      </c>
      <c r="E141" s="223">
        <f t="shared" si="25"/>
        <v>0.21698431897889861</v>
      </c>
      <c r="F141" s="223">
        <f t="shared" si="25"/>
        <v>0.20594401723705016</v>
      </c>
      <c r="G141" s="223">
        <f t="shared" si="25"/>
        <v>0.19852378476197843</v>
      </c>
      <c r="H141" s="223">
        <f t="shared" si="25"/>
        <v>0.19110363849750581</v>
      </c>
      <c r="I141" s="223">
        <f t="shared" si="25"/>
        <v>0.18368349223303321</v>
      </c>
      <c r="J141" s="223">
        <f t="shared" si="25"/>
        <v>0.17626325975796148</v>
      </c>
      <c r="K141" s="223">
        <f t="shared" si="25"/>
        <v>0.16884311349348885</v>
      </c>
      <c r="L141" s="223">
        <f t="shared" si="25"/>
        <v>0.16566797712866335</v>
      </c>
      <c r="M141" s="223">
        <f t="shared" si="25"/>
        <v>0.16249284076383796</v>
      </c>
      <c r="N141" s="223">
        <f t="shared" si="25"/>
        <v>0.15931779060961157</v>
      </c>
      <c r="O141" s="223">
        <f t="shared" si="25"/>
        <v>0.15614265424478613</v>
      </c>
      <c r="P141" s="223">
        <f t="shared" si="25"/>
        <v>0.15296751787996068</v>
      </c>
      <c r="Q141" s="223">
        <f t="shared" si="25"/>
        <v>0.14979246772573435</v>
      </c>
      <c r="R141" s="223">
        <f t="shared" si="25"/>
        <v>0.1466173313609089</v>
      </c>
      <c r="S141" s="223">
        <f t="shared" si="25"/>
        <v>0.14344219499608343</v>
      </c>
      <c r="T141" s="223">
        <f t="shared" si="25"/>
        <v>0.14026714484185704</v>
      </c>
    </row>
    <row r="142" spans="1:20" ht="12.6">
      <c r="A142" s="95" t="s">
        <v>528</v>
      </c>
      <c r="B142" s="223"/>
      <c r="C142" s="223">
        <f t="shared" ref="C142:T142" si="26">((C$138*10)+(CUMIPMT($D173,$E173,(C$138*10),1,$E173,1)*-1))/($D$164*10)</f>
        <v>0.40446144565316755</v>
      </c>
      <c r="D142" s="223">
        <f t="shared" si="26"/>
        <v>0.29096875058638028</v>
      </c>
      <c r="E142" s="223">
        <f t="shared" si="26"/>
        <v>0.27463527813457</v>
      </c>
      <c r="F142" s="223">
        <f t="shared" si="26"/>
        <v>0.26066165850237449</v>
      </c>
      <c r="G142" s="223">
        <f t="shared" si="26"/>
        <v>0.25126993093789241</v>
      </c>
      <c r="H142" s="223">
        <f t="shared" si="26"/>
        <v>0.2418783124894606</v>
      </c>
      <c r="I142" s="223">
        <f t="shared" si="26"/>
        <v>0.23248669404102892</v>
      </c>
      <c r="J142" s="223">
        <f t="shared" si="26"/>
        <v>0.22309496647654675</v>
      </c>
      <c r="K142" s="223">
        <f t="shared" si="26"/>
        <v>0.21370334802811497</v>
      </c>
      <c r="L142" s="223">
        <f t="shared" si="26"/>
        <v>0.20968460389594648</v>
      </c>
      <c r="M142" s="223">
        <f t="shared" si="26"/>
        <v>0.20566585976377802</v>
      </c>
      <c r="N142" s="223">
        <f t="shared" si="26"/>
        <v>0.20164722474765981</v>
      </c>
      <c r="O142" s="223">
        <f t="shared" si="26"/>
        <v>0.19762848061549132</v>
      </c>
      <c r="P142" s="223">
        <f t="shared" si="26"/>
        <v>0.1936097364833228</v>
      </c>
      <c r="Q142" s="223">
        <f t="shared" si="26"/>
        <v>0.18959110146720462</v>
      </c>
      <c r="R142" s="223">
        <f t="shared" si="26"/>
        <v>0.1855723573350361</v>
      </c>
      <c r="S142" s="223">
        <f t="shared" si="26"/>
        <v>0.18155361320286759</v>
      </c>
      <c r="T142" s="223">
        <f t="shared" si="26"/>
        <v>0.17753497818674938</v>
      </c>
    </row>
    <row r="147" spans="1:13" ht="12.6">
      <c r="A147" s="95" t="s">
        <v>593</v>
      </c>
      <c r="B147" s="95"/>
      <c r="C147" s="95"/>
      <c r="D147" s="95"/>
      <c r="E147" s="95"/>
      <c r="F147" s="95"/>
      <c r="G147" s="95"/>
      <c r="H147" s="95"/>
      <c r="I147" s="95"/>
      <c r="J147" s="95"/>
      <c r="K147" s="95"/>
    </row>
    <row r="148" spans="1:13" ht="72.75" customHeight="1">
      <c r="A148" s="614"/>
      <c r="B148" s="615"/>
      <c r="C148" s="615"/>
      <c r="D148" s="615"/>
      <c r="E148" s="95"/>
      <c r="F148" s="95"/>
      <c r="G148" s="95"/>
      <c r="H148" s="95"/>
      <c r="I148" s="95"/>
      <c r="J148" s="95"/>
      <c r="K148" s="95"/>
    </row>
    <row r="149" spans="1:13" ht="12.6">
      <c r="A149" s="95" t="s">
        <v>532</v>
      </c>
      <c r="B149" s="226"/>
      <c r="C149" s="226">
        <v>1</v>
      </c>
      <c r="D149" s="79">
        <f t="shared" ref="D149:D163" si="27">0.95*C149*365</f>
        <v>346.75</v>
      </c>
      <c r="E149" s="95"/>
      <c r="F149" s="95">
        <v>1</v>
      </c>
      <c r="G149" s="95"/>
      <c r="H149" s="95"/>
      <c r="I149" s="95"/>
      <c r="J149" s="95"/>
      <c r="K149" s="95"/>
    </row>
    <row r="150" spans="1:13" ht="12.6">
      <c r="A150" s="95" t="s">
        <v>533</v>
      </c>
      <c r="B150" s="226"/>
      <c r="C150" s="226">
        <f t="shared" ref="C150:C163" si="28">C149-(1%)*F150/3</f>
        <v>0.99333333333333329</v>
      </c>
      <c r="D150" s="79">
        <f t="shared" si="27"/>
        <v>344.43833333333328</v>
      </c>
      <c r="E150" s="95"/>
      <c r="F150" s="95">
        <v>2</v>
      </c>
      <c r="G150" s="95"/>
      <c r="H150" s="95"/>
      <c r="I150" s="95"/>
      <c r="J150" s="95"/>
      <c r="K150" s="95" t="s">
        <v>594</v>
      </c>
    </row>
    <row r="151" spans="1:13" ht="12.6">
      <c r="A151" s="95" t="s">
        <v>535</v>
      </c>
      <c r="B151" s="226"/>
      <c r="C151" s="226">
        <f t="shared" si="28"/>
        <v>0.98333333333333328</v>
      </c>
      <c r="D151" s="79">
        <f t="shared" si="27"/>
        <v>340.9708333333333</v>
      </c>
      <c r="E151" s="95"/>
      <c r="F151" s="95">
        <v>3</v>
      </c>
      <c r="G151" s="95"/>
      <c r="H151" s="95"/>
      <c r="I151" s="95"/>
      <c r="J151" s="95"/>
      <c r="K151" s="95" t="s">
        <v>595</v>
      </c>
    </row>
    <row r="152" spans="1:13" ht="12.6">
      <c r="A152" s="95" t="s">
        <v>536</v>
      </c>
      <c r="B152" s="226"/>
      <c r="C152" s="226">
        <f t="shared" si="28"/>
        <v>0.97</v>
      </c>
      <c r="D152" s="79">
        <f t="shared" si="27"/>
        <v>336.34749999999997</v>
      </c>
      <c r="E152" s="95"/>
      <c r="F152" s="95">
        <v>4</v>
      </c>
      <c r="G152" s="95"/>
      <c r="H152" s="95"/>
      <c r="I152" s="95"/>
      <c r="J152" s="95"/>
      <c r="K152" s="79">
        <f>1*8760*F62*25*I62</f>
        <v>30952.520152740002</v>
      </c>
      <c r="L152" s="10">
        <f>K152*0.12</f>
        <v>3714.3024183288003</v>
      </c>
      <c r="M152" s="118">
        <f>(L152/1000)*100</f>
        <v>371.43024183288003</v>
      </c>
    </row>
    <row r="153" spans="1:13" ht="12.6">
      <c r="A153" s="95" t="s">
        <v>537</v>
      </c>
      <c r="B153" s="226"/>
      <c r="C153" s="226">
        <f t="shared" si="28"/>
        <v>0.95333333333333325</v>
      </c>
      <c r="D153" s="79">
        <f t="shared" si="27"/>
        <v>330.56833333333327</v>
      </c>
      <c r="E153" s="95"/>
      <c r="F153" s="95">
        <v>5</v>
      </c>
      <c r="G153" s="95"/>
      <c r="H153" s="95"/>
      <c r="I153" s="95"/>
      <c r="J153" s="95"/>
      <c r="K153" s="95"/>
    </row>
    <row r="154" spans="1:13" ht="12.6">
      <c r="A154" s="95" t="s">
        <v>544</v>
      </c>
      <c r="B154" s="226"/>
      <c r="C154" s="226">
        <f t="shared" si="28"/>
        <v>0.93333333333333324</v>
      </c>
      <c r="D154" s="79">
        <f t="shared" si="27"/>
        <v>323.63333333333327</v>
      </c>
      <c r="E154" s="95"/>
      <c r="F154" s="95">
        <v>6</v>
      </c>
      <c r="G154" s="95"/>
      <c r="H154" s="95"/>
      <c r="I154" s="95"/>
      <c r="J154" s="95"/>
      <c r="K154" s="95"/>
    </row>
    <row r="155" spans="1:13" ht="12.6">
      <c r="A155" s="95" t="s">
        <v>546</v>
      </c>
      <c r="B155" s="226"/>
      <c r="C155" s="226">
        <f t="shared" si="28"/>
        <v>0.90999999999999992</v>
      </c>
      <c r="D155" s="79">
        <f t="shared" si="27"/>
        <v>315.54249999999996</v>
      </c>
      <c r="E155" s="95"/>
      <c r="F155" s="95">
        <v>7</v>
      </c>
      <c r="G155" s="95"/>
      <c r="H155" s="95"/>
      <c r="I155" s="95"/>
      <c r="J155" s="95"/>
      <c r="K155" s="95"/>
    </row>
    <row r="156" spans="1:13" ht="12.6">
      <c r="A156" s="95" t="s">
        <v>548</v>
      </c>
      <c r="B156" s="226"/>
      <c r="C156" s="226">
        <f t="shared" si="28"/>
        <v>0.8833333333333333</v>
      </c>
      <c r="D156" s="79">
        <f t="shared" si="27"/>
        <v>306.29583333333329</v>
      </c>
      <c r="E156" s="95"/>
      <c r="F156" s="95">
        <v>8</v>
      </c>
      <c r="G156" s="95"/>
      <c r="H156" s="95"/>
      <c r="I156" s="95"/>
      <c r="J156" s="95"/>
      <c r="K156" s="95"/>
    </row>
    <row r="157" spans="1:13" ht="12.6">
      <c r="A157" s="95" t="s">
        <v>550</v>
      </c>
      <c r="B157" s="226"/>
      <c r="C157" s="226">
        <f t="shared" si="28"/>
        <v>0.85333333333333328</v>
      </c>
      <c r="D157" s="79">
        <f t="shared" si="27"/>
        <v>295.89333333333326</v>
      </c>
      <c r="E157" s="95"/>
      <c r="F157" s="95">
        <v>9</v>
      </c>
      <c r="G157" s="95"/>
      <c r="H157" s="95"/>
      <c r="I157" s="95"/>
      <c r="J157" s="95"/>
      <c r="K157" s="95"/>
    </row>
    <row r="158" spans="1:13" ht="12.6">
      <c r="A158" s="95" t="s">
        <v>552</v>
      </c>
      <c r="B158" s="226"/>
      <c r="C158" s="226">
        <f t="shared" si="28"/>
        <v>0.82</v>
      </c>
      <c r="D158" s="79">
        <f t="shared" si="27"/>
        <v>284.33499999999998</v>
      </c>
      <c r="E158" s="95"/>
      <c r="F158" s="95">
        <v>10</v>
      </c>
      <c r="G158" s="95"/>
      <c r="H158" s="95"/>
      <c r="I158" s="95"/>
      <c r="J158" s="95"/>
      <c r="K158" s="95"/>
    </row>
    <row r="159" spans="1:13" ht="12.6">
      <c r="A159" s="95" t="s">
        <v>554</v>
      </c>
      <c r="B159" s="226"/>
      <c r="C159" s="226">
        <f t="shared" si="28"/>
        <v>0.78333333333333333</v>
      </c>
      <c r="D159" s="79">
        <f t="shared" si="27"/>
        <v>271.62083333333334</v>
      </c>
      <c r="E159" s="95"/>
      <c r="F159" s="95">
        <v>11</v>
      </c>
      <c r="G159" s="95"/>
      <c r="H159" s="95"/>
      <c r="I159" s="95"/>
      <c r="J159" s="95"/>
      <c r="K159" s="95"/>
    </row>
    <row r="160" spans="1:13" ht="12.6">
      <c r="A160" s="95" t="s">
        <v>556</v>
      </c>
      <c r="B160" s="226"/>
      <c r="C160" s="226">
        <f t="shared" si="28"/>
        <v>0.74333333333333329</v>
      </c>
      <c r="D160" s="79">
        <f t="shared" si="27"/>
        <v>257.75083333333333</v>
      </c>
      <c r="E160" s="95"/>
      <c r="F160" s="95">
        <v>12</v>
      </c>
      <c r="G160" s="95"/>
      <c r="H160" s="95"/>
      <c r="I160" s="95"/>
      <c r="J160" s="95"/>
      <c r="K160" s="95"/>
    </row>
    <row r="161" spans="1:7" ht="12.6">
      <c r="A161" s="95" t="s">
        <v>558</v>
      </c>
      <c r="B161" s="226"/>
      <c r="C161" s="226">
        <f t="shared" si="28"/>
        <v>0.7</v>
      </c>
      <c r="D161" s="79">
        <f t="shared" si="27"/>
        <v>242.72499999999997</v>
      </c>
      <c r="E161" s="95"/>
      <c r="F161" s="95">
        <v>13</v>
      </c>
      <c r="G161" s="95"/>
    </row>
    <row r="162" spans="1:7" ht="12.6">
      <c r="A162" s="95" t="s">
        <v>560</v>
      </c>
      <c r="B162" s="226"/>
      <c r="C162" s="226">
        <f t="shared" si="28"/>
        <v>0.65333333333333332</v>
      </c>
      <c r="D162" s="79">
        <f t="shared" si="27"/>
        <v>226.54333333333329</v>
      </c>
      <c r="E162" s="95"/>
      <c r="F162" s="95">
        <v>14</v>
      </c>
      <c r="G162" s="95"/>
    </row>
    <row r="163" spans="1:7" ht="12.6">
      <c r="A163" s="95" t="s">
        <v>561</v>
      </c>
      <c r="B163" s="226"/>
      <c r="C163" s="226">
        <f t="shared" si="28"/>
        <v>0.60333333333333328</v>
      </c>
      <c r="D163" s="79">
        <f t="shared" si="27"/>
        <v>209.20583333333332</v>
      </c>
      <c r="E163" s="95"/>
      <c r="F163" s="95">
        <v>15</v>
      </c>
      <c r="G163" s="95"/>
    </row>
    <row r="164" spans="1:7" ht="12.6">
      <c r="A164" s="95" t="s">
        <v>596</v>
      </c>
      <c r="B164" s="95"/>
      <c r="C164" s="95"/>
      <c r="D164" s="70">
        <f>SUM(D149:D163)</f>
        <v>4432.6208333333334</v>
      </c>
      <c r="E164" s="95"/>
      <c r="F164" s="95"/>
      <c r="G164" s="226">
        <f>AVERAGE(C149:C163)</f>
        <v>0.85222222222222221</v>
      </c>
    </row>
    <row r="165" spans="1:7" ht="12.6">
      <c r="A165" s="95"/>
      <c r="B165" s="95"/>
      <c r="C165" s="95"/>
      <c r="D165" s="121">
        <f>D132/D164</f>
        <v>0.22560016694412355</v>
      </c>
      <c r="E165" s="95"/>
      <c r="F165" s="95"/>
      <c r="G165" s="95"/>
    </row>
    <row r="166" spans="1:7" ht="12.6">
      <c r="A166" s="95"/>
      <c r="B166" s="95"/>
      <c r="C166" s="95"/>
      <c r="D166" s="121"/>
      <c r="E166" s="95"/>
      <c r="F166" s="95"/>
      <c r="G166" s="95"/>
    </row>
    <row r="167" spans="1:7" ht="12.6">
      <c r="A167" s="95" t="s">
        <v>597</v>
      </c>
      <c r="B167" s="95"/>
      <c r="C167" s="95" t="s">
        <v>521</v>
      </c>
      <c r="D167" s="95" t="s">
        <v>598</v>
      </c>
      <c r="E167" s="95"/>
      <c r="F167" s="95"/>
      <c r="G167" s="95"/>
    </row>
    <row r="168" spans="1:7" ht="12.6">
      <c r="A168" s="95"/>
      <c r="B168" s="87"/>
      <c r="C168" s="87">
        <f>D132</f>
        <v>1000</v>
      </c>
      <c r="D168" s="87">
        <f>C168*10</f>
        <v>10000</v>
      </c>
      <c r="E168" s="95"/>
      <c r="F168" s="95"/>
      <c r="G168" s="95"/>
    </row>
    <row r="169" spans="1:7" ht="12.6">
      <c r="A169" s="95"/>
      <c r="B169" s="95"/>
      <c r="C169" s="95" t="s">
        <v>521</v>
      </c>
      <c r="D169" s="95" t="s">
        <v>586</v>
      </c>
      <c r="E169" s="95" t="s">
        <v>415</v>
      </c>
      <c r="F169" s="95"/>
      <c r="G169" s="95"/>
    </row>
    <row r="170" spans="1:7" ht="12.6">
      <c r="A170" s="95" t="s">
        <v>525</v>
      </c>
      <c r="B170" s="223"/>
      <c r="C170" s="223">
        <f>D168/(D164*10)</f>
        <v>0.22560016694412352</v>
      </c>
      <c r="D170" s="226">
        <v>0</v>
      </c>
      <c r="E170" s="95">
        <v>15</v>
      </c>
      <c r="F170" s="95"/>
      <c r="G170" s="95"/>
    </row>
    <row r="171" spans="1:7" ht="12.6">
      <c r="A171" s="95" t="s">
        <v>526</v>
      </c>
      <c r="B171" s="223"/>
      <c r="C171" s="223">
        <f t="shared" ref="C171:C173" si="29">($D$168+(CUMIPMT(D171,E171,$D$168,1,E171,1)*-1))/($D$164*10)</f>
        <v>0.24165054728252131</v>
      </c>
      <c r="D171" s="226">
        <v>0.01</v>
      </c>
      <c r="E171" s="95">
        <v>15</v>
      </c>
      <c r="F171" s="95"/>
      <c r="G171" s="95"/>
    </row>
    <row r="172" spans="1:7" ht="12.6">
      <c r="A172" s="95" t="s">
        <v>527</v>
      </c>
      <c r="B172" s="223"/>
      <c r="C172" s="223">
        <f t="shared" si="29"/>
        <v>0.31955760357658969</v>
      </c>
      <c r="D172" s="154">
        <v>5.5E-2</v>
      </c>
      <c r="E172" s="95">
        <v>15</v>
      </c>
      <c r="F172" s="95"/>
      <c r="G172" s="95"/>
    </row>
    <row r="173" spans="1:7" ht="12.6">
      <c r="A173" s="95" t="s">
        <v>528</v>
      </c>
      <c r="B173" s="223"/>
      <c r="C173" s="223">
        <f t="shared" si="29"/>
        <v>0.40446144565316755</v>
      </c>
      <c r="D173" s="226">
        <v>0.1</v>
      </c>
      <c r="E173" s="95">
        <v>15</v>
      </c>
      <c r="F173" s="95"/>
      <c r="G173" s="95"/>
    </row>
    <row r="174" spans="1:7" ht="12.6">
      <c r="A174" s="95"/>
      <c r="B174" s="95"/>
      <c r="C174" s="95"/>
      <c r="D174" s="121"/>
      <c r="E174" s="95"/>
      <c r="F174" s="95"/>
      <c r="G174" s="95"/>
    </row>
    <row r="175" spans="1:7" ht="12.6">
      <c r="A175" s="95" t="s">
        <v>523</v>
      </c>
      <c r="B175" s="95"/>
      <c r="C175" s="95"/>
      <c r="D175" s="121"/>
      <c r="E175" s="95"/>
      <c r="F175" s="95"/>
      <c r="G175" s="95"/>
    </row>
  </sheetData>
  <mergeCells count="1">
    <mergeCell ref="A148:D148"/>
  </mergeCells>
  <hyperlinks>
    <hyperlink ref="I8" r:id="rId1" xr:uid="{00000000-0004-0000-0400-000000000000}"/>
    <hyperlink ref="B13" r:id="rId2" xr:uid="{00000000-0004-0000-0400-000001000000}"/>
    <hyperlink ref="I13" r:id="rId3" xr:uid="{00000000-0004-0000-0400-000002000000}"/>
    <hyperlink ref="E17" r:id="rId4" xr:uid="{00000000-0004-0000-0400-000003000000}"/>
    <hyperlink ref="E18" r:id="rId5" xr:uid="{00000000-0004-0000-0400-000004000000}"/>
    <hyperlink ref="E19" r:id="rId6" xr:uid="{00000000-0004-0000-0400-000005000000}"/>
    <hyperlink ref="I45" r:id="rId7" xr:uid="{00000000-0004-0000-0400-000006000000}"/>
    <hyperlink ref="I46" r:id="rId8" xr:uid="{00000000-0004-0000-0400-000007000000}"/>
    <hyperlink ref="F51" r:id="rId9" location=":~:text=A%20NZ%2045kg%20gas%20bottle,LPG%20or%202212MJ%20of%20energy" xr:uid="{00000000-0004-0000-0400-000008000000}"/>
    <hyperlink ref="G51" r:id="rId10" xr:uid="{00000000-0004-0000-0400-000009000000}"/>
    <hyperlink ref="H54" r:id="rId11" xr:uid="{00000000-0004-0000-0400-00000A000000}"/>
    <hyperlink ref="I54" r:id="rId12" location=":~:text=Energy%20Content&amp;text=%22Green%22%20wood%20is%20about%2010,19%20to%2020%20MJ%2Fkg." xr:uid="{00000000-0004-0000-0400-00000B000000}"/>
    <hyperlink ref="F57" r:id="rId13" xr:uid="{00000000-0004-0000-0400-00000C000000}"/>
    <hyperlink ref="F58" r:id="rId14" xr:uid="{00000000-0004-0000-0400-00000D000000}"/>
    <hyperlink ref="F59" r:id="rId15" location="statistics" xr:uid="{00000000-0004-0000-0400-00000E000000}"/>
    <hyperlink ref="O61" r:id="rId16" xr:uid="{00000000-0004-0000-0400-00000F000000}"/>
    <hyperlink ref="O62" r:id="rId17" xr:uid="{00000000-0004-0000-0400-000010000000}"/>
    <hyperlink ref="E81" r:id="rId18" xr:uid="{00000000-0004-0000-0400-000011000000}"/>
  </hyperlinks>
  <pageMargins left="0.7" right="0.7" top="0.75" bottom="0.75" header="0.3" footer="0.3"/>
  <drawing r:id="rId19"/>
  <extLst>
    <ext xmlns:x14="http://schemas.microsoft.com/office/spreadsheetml/2009/9/main" uri="{05C60535-1F16-4fd2-B633-F4F36F0B64E0}">
      <x14:sparklineGroups xmlns:xm="http://schemas.microsoft.com/office/excel/2006/main">
        <x14:sparklineGroup displayEmptyCellsAs="gap" xr2:uid="{00000000-0003-0000-0400-000000000000}">
          <x14:colorSeries rgb="FF000000"/>
          <x14:sparklines>
            <x14:sparkline>
              <xm:f>'Energy prices'!C149:C163</xm:f>
              <xm:sqref>A148</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38761D"/>
    <outlinePr summaryBelow="0" summaryRight="0"/>
  </sheetPr>
  <dimension ref="A1:FW308"/>
  <sheetViews>
    <sheetView zoomScaleNormal="100" workbookViewId="0">
      <pane xSplit="3" ySplit="1" topLeftCell="W2" activePane="bottomRight" state="frozen"/>
      <selection pane="bottomRight" activeCell="X34" sqref="X34"/>
      <selection pane="bottomLeft" activeCell="A2" sqref="A2"/>
      <selection pane="topRight" activeCell="D1" sqref="D1"/>
    </sheetView>
  </sheetViews>
  <sheetFormatPr defaultColWidth="12.5703125" defaultRowHeight="15.75" customHeight="1"/>
  <cols>
    <col min="1" max="2" width="10.42578125" customWidth="1"/>
    <col min="3" max="3" width="33.5703125" customWidth="1"/>
    <col min="4" max="22" width="12.5703125" hidden="1"/>
  </cols>
  <sheetData>
    <row r="1" spans="3:179" ht="12.95">
      <c r="C1" s="194" t="s">
        <v>416</v>
      </c>
      <c r="D1" s="253">
        <v>1981</v>
      </c>
      <c r="E1" s="253">
        <v>1982</v>
      </c>
      <c r="F1" s="253">
        <v>1983</v>
      </c>
      <c r="G1" s="253">
        <v>1984</v>
      </c>
      <c r="H1" s="253">
        <v>1985</v>
      </c>
      <c r="I1" s="253">
        <v>1986</v>
      </c>
      <c r="J1" s="253">
        <v>1987</v>
      </c>
      <c r="K1" s="253">
        <v>1988</v>
      </c>
      <c r="L1" s="253">
        <v>1989</v>
      </c>
      <c r="M1" s="253">
        <v>1990</v>
      </c>
      <c r="N1" s="253">
        <v>1991</v>
      </c>
      <c r="O1" s="253">
        <v>1992</v>
      </c>
      <c r="P1" s="253">
        <v>1993</v>
      </c>
      <c r="Q1" s="253">
        <v>1994</v>
      </c>
      <c r="R1" s="253">
        <v>1995</v>
      </c>
      <c r="S1" s="253">
        <v>1996</v>
      </c>
      <c r="T1" s="253">
        <v>1997</v>
      </c>
      <c r="U1" s="253">
        <v>1998</v>
      </c>
      <c r="V1" s="253">
        <v>1999</v>
      </c>
      <c r="W1" s="253">
        <v>2000</v>
      </c>
      <c r="X1" s="253">
        <v>2001</v>
      </c>
      <c r="Y1" s="253">
        <v>2002</v>
      </c>
      <c r="Z1" s="253">
        <v>2003</v>
      </c>
      <c r="AA1" s="253">
        <v>2004</v>
      </c>
      <c r="AB1" s="253">
        <v>2005</v>
      </c>
      <c r="AC1" s="253">
        <v>2006</v>
      </c>
      <c r="AD1" s="253">
        <v>2007</v>
      </c>
      <c r="AE1" s="253">
        <v>2008</v>
      </c>
      <c r="AF1" s="253">
        <v>2009</v>
      </c>
      <c r="AG1" s="253">
        <v>2010</v>
      </c>
      <c r="AH1" s="253">
        <v>2011</v>
      </c>
      <c r="AI1" s="253">
        <v>2012</v>
      </c>
      <c r="AJ1" s="253">
        <v>2013</v>
      </c>
      <c r="AK1" s="253">
        <v>2014</v>
      </c>
      <c r="AL1" s="253">
        <v>2015</v>
      </c>
      <c r="AM1" s="253">
        <v>2016</v>
      </c>
      <c r="AN1" s="253">
        <v>2017</v>
      </c>
      <c r="AO1" s="253">
        <v>2018</v>
      </c>
      <c r="AP1" s="253">
        <v>2019</v>
      </c>
      <c r="AQ1" s="253">
        <v>2020</v>
      </c>
      <c r="AR1" s="253">
        <v>2021</v>
      </c>
      <c r="AS1" s="253">
        <v>2022</v>
      </c>
      <c r="AT1" s="253">
        <v>2023</v>
      </c>
      <c r="AU1" s="253">
        <v>2024</v>
      </c>
      <c r="AV1" s="253">
        <v>2025</v>
      </c>
      <c r="AW1" s="253">
        <v>2026</v>
      </c>
      <c r="AX1" s="253">
        <v>2027</v>
      </c>
      <c r="AY1" s="253">
        <v>2028</v>
      </c>
      <c r="AZ1" s="253">
        <v>2029</v>
      </c>
      <c r="BA1" s="253">
        <v>2030</v>
      </c>
      <c r="BB1" s="253">
        <v>2031</v>
      </c>
      <c r="BC1" s="253">
        <v>2032</v>
      </c>
      <c r="BD1" s="253">
        <v>2033</v>
      </c>
      <c r="BE1" s="253">
        <v>2034</v>
      </c>
      <c r="BF1" s="253">
        <v>2035</v>
      </c>
      <c r="BG1" s="253">
        <v>2036</v>
      </c>
      <c r="BH1" s="253">
        <v>2037</v>
      </c>
      <c r="BI1" s="253">
        <v>2038</v>
      </c>
      <c r="BJ1" s="253">
        <v>2039</v>
      </c>
      <c r="BK1" s="253">
        <v>2040</v>
      </c>
      <c r="BL1" s="254"/>
      <c r="BM1" s="254"/>
      <c r="BN1" s="254"/>
      <c r="BO1" s="254"/>
      <c r="BP1" s="254"/>
      <c r="BQ1" s="254"/>
      <c r="BR1" s="254"/>
      <c r="BS1" s="254"/>
      <c r="BT1" s="254"/>
      <c r="BU1" s="25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c r="EY1" s="194"/>
      <c r="EZ1" s="194"/>
      <c r="FA1" s="194"/>
      <c r="FB1" s="194"/>
      <c r="FC1" s="194"/>
      <c r="FD1" s="194"/>
      <c r="FE1" s="194"/>
      <c r="FF1" s="194"/>
      <c r="FG1" s="194"/>
      <c r="FH1" s="194"/>
      <c r="FI1" s="194"/>
      <c r="FJ1" s="194"/>
      <c r="FK1" s="194"/>
      <c r="FL1" s="194"/>
      <c r="FM1" s="194"/>
      <c r="FN1" s="194"/>
      <c r="FO1" s="194"/>
      <c r="FP1" s="194"/>
      <c r="FQ1" s="194"/>
      <c r="FR1" s="194"/>
      <c r="FS1" s="194"/>
      <c r="FT1" s="194"/>
      <c r="FU1" s="194"/>
      <c r="FV1" s="194"/>
      <c r="FW1" s="194"/>
    </row>
    <row r="2" spans="3:179" ht="15.75" customHeight="1">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row>
    <row r="3" spans="3:179" ht="26.1">
      <c r="C3" s="256" t="s">
        <v>599</v>
      </c>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c r="DV3" s="257"/>
      <c r="DW3" s="257"/>
      <c r="DX3" s="257"/>
      <c r="DY3" s="257"/>
      <c r="DZ3" s="257"/>
      <c r="EA3" s="257"/>
      <c r="EB3" s="257"/>
      <c r="EC3" s="257"/>
      <c r="ED3" s="257"/>
      <c r="EE3" s="257"/>
      <c r="EF3" s="257"/>
      <c r="EG3" s="257"/>
      <c r="EH3" s="257"/>
      <c r="EI3" s="257"/>
      <c r="EJ3" s="257"/>
      <c r="EK3" s="257"/>
      <c r="EL3" s="257"/>
      <c r="EM3" s="257"/>
      <c r="EN3" s="257"/>
      <c r="EO3" s="257"/>
      <c r="EP3" s="257"/>
      <c r="EQ3" s="257"/>
      <c r="ER3" s="257"/>
      <c r="ES3" s="257"/>
      <c r="ET3" s="257"/>
      <c r="EU3" s="257"/>
      <c r="EV3" s="257"/>
      <c r="EW3" s="257"/>
      <c r="EX3" s="257"/>
      <c r="EY3" s="257"/>
      <c r="EZ3" s="257"/>
      <c r="FA3" s="257"/>
      <c r="FB3" s="257"/>
      <c r="FC3" s="257"/>
      <c r="FD3" s="257"/>
      <c r="FE3" s="257"/>
      <c r="FF3" s="257"/>
      <c r="FG3" s="257"/>
      <c r="FH3" s="257"/>
      <c r="FI3" s="257"/>
      <c r="FJ3" s="257"/>
      <c r="FK3" s="257"/>
      <c r="FL3" s="257"/>
      <c r="FM3" s="257"/>
      <c r="FN3" s="257"/>
      <c r="FO3" s="257"/>
      <c r="FP3" s="257"/>
      <c r="FQ3" s="257"/>
      <c r="FR3" s="257"/>
      <c r="FS3" s="257"/>
      <c r="FT3" s="257"/>
      <c r="FU3" s="257"/>
      <c r="FV3" s="257"/>
      <c r="FW3" s="257"/>
    </row>
    <row r="4" spans="3:179" ht="12.95">
      <c r="C4" s="258" t="s">
        <v>600</v>
      </c>
      <c r="D4" s="257">
        <v>29646</v>
      </c>
      <c r="E4" s="257">
        <v>29738</v>
      </c>
      <c r="F4" s="257">
        <v>29830</v>
      </c>
      <c r="G4" s="257">
        <v>29921</v>
      </c>
      <c r="H4" s="257">
        <v>30011</v>
      </c>
      <c r="I4" s="257">
        <v>30103</v>
      </c>
      <c r="J4" s="257">
        <v>30195</v>
      </c>
      <c r="K4" s="257">
        <v>30286</v>
      </c>
      <c r="L4" s="257">
        <v>30376</v>
      </c>
      <c r="M4" s="257">
        <v>30468</v>
      </c>
      <c r="N4" s="257">
        <v>30560</v>
      </c>
      <c r="O4" s="257">
        <v>30651</v>
      </c>
      <c r="P4" s="257">
        <v>30742</v>
      </c>
      <c r="Q4" s="257">
        <v>30834</v>
      </c>
      <c r="R4" s="257">
        <v>30926</v>
      </c>
      <c r="S4" s="257">
        <v>31017</v>
      </c>
      <c r="T4" s="257">
        <v>31107</v>
      </c>
      <c r="U4" s="257">
        <v>31199</v>
      </c>
      <c r="V4" s="257">
        <v>31291</v>
      </c>
      <c r="W4" s="257">
        <v>31382</v>
      </c>
      <c r="X4" s="257">
        <v>31472</v>
      </c>
      <c r="Y4" s="257">
        <v>31564</v>
      </c>
      <c r="Z4" s="257">
        <v>31656</v>
      </c>
      <c r="AA4" s="257">
        <v>31747</v>
      </c>
      <c r="AB4" s="257">
        <v>31837</v>
      </c>
      <c r="AC4" s="257">
        <v>31929</v>
      </c>
      <c r="AD4" s="257">
        <v>32021</v>
      </c>
      <c r="AE4" s="257">
        <v>32112</v>
      </c>
      <c r="AF4" s="257">
        <v>32203</v>
      </c>
      <c r="AG4" s="257">
        <v>32295</v>
      </c>
      <c r="AH4" s="257">
        <v>32387</v>
      </c>
      <c r="AI4" s="257">
        <v>32478</v>
      </c>
      <c r="AJ4" s="257">
        <v>32568</v>
      </c>
      <c r="AK4" s="257">
        <v>32660</v>
      </c>
      <c r="AL4" s="257">
        <v>32752</v>
      </c>
      <c r="AM4" s="257">
        <v>32843</v>
      </c>
      <c r="AN4" s="257">
        <v>32933</v>
      </c>
      <c r="AO4" s="257">
        <v>33025</v>
      </c>
      <c r="AP4" s="257">
        <v>33117</v>
      </c>
      <c r="AQ4" s="257">
        <v>33208</v>
      </c>
      <c r="AR4" s="257">
        <v>33298</v>
      </c>
      <c r="AS4" s="257">
        <v>33390</v>
      </c>
      <c r="AT4" s="257">
        <v>33482</v>
      </c>
      <c r="AU4" s="257">
        <v>33573</v>
      </c>
      <c r="AV4" s="257">
        <v>33664</v>
      </c>
      <c r="AW4" s="257">
        <v>33756</v>
      </c>
      <c r="AX4" s="257">
        <v>33848</v>
      </c>
      <c r="AY4" s="257">
        <v>33939</v>
      </c>
      <c r="AZ4" s="257">
        <v>34029</v>
      </c>
      <c r="BA4" s="257">
        <v>34121</v>
      </c>
      <c r="BB4" s="257">
        <v>34213</v>
      </c>
      <c r="BC4" s="257">
        <v>34304</v>
      </c>
      <c r="BD4" s="257">
        <v>34394</v>
      </c>
      <c r="BE4" s="257">
        <v>34486</v>
      </c>
      <c r="BF4" s="257">
        <v>34578</v>
      </c>
      <c r="BG4" s="257">
        <v>34669</v>
      </c>
      <c r="BH4" s="257">
        <v>34759</v>
      </c>
      <c r="BI4" s="257">
        <v>34851</v>
      </c>
      <c r="BJ4" s="257">
        <v>34943</v>
      </c>
      <c r="BK4" s="257">
        <v>35034</v>
      </c>
      <c r="BL4" s="257">
        <v>35125</v>
      </c>
      <c r="BM4" s="257">
        <v>35217</v>
      </c>
      <c r="BN4" s="257">
        <v>35309</v>
      </c>
      <c r="BO4" s="257">
        <v>35400</v>
      </c>
      <c r="BP4" s="257">
        <v>35490</v>
      </c>
      <c r="BQ4" s="257">
        <v>35582</v>
      </c>
      <c r="BR4" s="257">
        <v>35674</v>
      </c>
      <c r="BS4" s="257">
        <v>35765</v>
      </c>
      <c r="BT4" s="257">
        <v>35855</v>
      </c>
      <c r="BU4" s="257">
        <v>35947</v>
      </c>
      <c r="BV4" s="257">
        <v>36039</v>
      </c>
      <c r="BW4" s="257">
        <v>36130</v>
      </c>
      <c r="BX4" s="257">
        <v>36220</v>
      </c>
      <c r="BY4" s="257">
        <v>36312</v>
      </c>
      <c r="BZ4" s="257">
        <v>36404</v>
      </c>
      <c r="CA4" s="257">
        <v>36495</v>
      </c>
      <c r="CB4" s="257">
        <v>36586</v>
      </c>
      <c r="CC4" s="257">
        <v>36678</v>
      </c>
      <c r="CD4" s="257">
        <v>36770</v>
      </c>
      <c r="CE4" s="257">
        <v>36861</v>
      </c>
      <c r="CF4" s="257">
        <v>36951</v>
      </c>
      <c r="CG4" s="257">
        <v>37043</v>
      </c>
      <c r="CH4" s="257">
        <v>37135</v>
      </c>
      <c r="CI4" s="257">
        <v>37226</v>
      </c>
      <c r="CJ4" s="257">
        <v>37316</v>
      </c>
      <c r="CK4" s="257">
        <v>37408</v>
      </c>
      <c r="CL4" s="257">
        <v>37500</v>
      </c>
      <c r="CM4" s="257">
        <v>37591</v>
      </c>
      <c r="CN4" s="257">
        <v>37681</v>
      </c>
      <c r="CO4" s="257">
        <v>37773</v>
      </c>
      <c r="CP4" s="257">
        <v>37865</v>
      </c>
      <c r="CQ4" s="257">
        <v>37956</v>
      </c>
      <c r="CR4" s="257">
        <v>38047</v>
      </c>
      <c r="CS4" s="257">
        <v>38139</v>
      </c>
      <c r="CT4" s="257">
        <v>38231</v>
      </c>
      <c r="CU4" s="257">
        <v>38322</v>
      </c>
      <c r="CV4" s="257">
        <v>38412</v>
      </c>
      <c r="CW4" s="257">
        <v>38504</v>
      </c>
      <c r="CX4" s="257">
        <v>38596</v>
      </c>
      <c r="CY4" s="257">
        <v>38687</v>
      </c>
      <c r="CZ4" s="257">
        <v>38777</v>
      </c>
      <c r="DA4" s="257">
        <v>38869</v>
      </c>
      <c r="DB4" s="257">
        <v>38961</v>
      </c>
      <c r="DC4" s="257">
        <v>39052</v>
      </c>
      <c r="DD4" s="257">
        <v>39142</v>
      </c>
      <c r="DE4" s="257">
        <v>39234</v>
      </c>
      <c r="DF4" s="257">
        <v>39326</v>
      </c>
      <c r="DG4" s="257">
        <v>39417</v>
      </c>
      <c r="DH4" s="257">
        <v>39508</v>
      </c>
      <c r="DI4" s="257">
        <v>39600</v>
      </c>
      <c r="DJ4" s="257">
        <v>39692</v>
      </c>
      <c r="DK4" s="257">
        <v>39783</v>
      </c>
      <c r="DL4" s="257">
        <v>39873</v>
      </c>
      <c r="DM4" s="257">
        <v>39965</v>
      </c>
      <c r="DN4" s="257">
        <v>40057</v>
      </c>
      <c r="DO4" s="257">
        <v>40148</v>
      </c>
      <c r="DP4" s="257">
        <v>40238</v>
      </c>
      <c r="DQ4" s="257">
        <v>40330</v>
      </c>
      <c r="DR4" s="257">
        <v>40422</v>
      </c>
      <c r="DS4" s="257">
        <v>40513</v>
      </c>
      <c r="DT4" s="257">
        <v>40603</v>
      </c>
      <c r="DU4" s="257">
        <v>40695</v>
      </c>
      <c r="DV4" s="257">
        <v>40787</v>
      </c>
      <c r="DW4" s="257">
        <v>40878</v>
      </c>
      <c r="DX4" s="257">
        <v>40969</v>
      </c>
      <c r="DY4" s="257">
        <v>41061</v>
      </c>
      <c r="DZ4" s="257">
        <v>41153</v>
      </c>
      <c r="EA4" s="257">
        <v>41244</v>
      </c>
      <c r="EB4" s="257">
        <v>41334</v>
      </c>
      <c r="EC4" s="257">
        <v>41426</v>
      </c>
      <c r="ED4" s="257">
        <v>41518</v>
      </c>
      <c r="EE4" s="257">
        <v>41609</v>
      </c>
      <c r="EF4" s="257">
        <v>41699</v>
      </c>
      <c r="EG4" s="257">
        <v>41791</v>
      </c>
      <c r="EH4" s="257">
        <v>41883</v>
      </c>
      <c r="EI4" s="257">
        <v>41974</v>
      </c>
      <c r="EJ4" s="257">
        <v>42064</v>
      </c>
      <c r="EK4" s="257">
        <v>42156</v>
      </c>
      <c r="EL4" s="257">
        <v>42248</v>
      </c>
      <c r="EM4" s="257">
        <v>42339</v>
      </c>
      <c r="EN4" s="257">
        <v>42430</v>
      </c>
      <c r="EO4" s="257">
        <v>42522</v>
      </c>
      <c r="EP4" s="257">
        <v>42614</v>
      </c>
      <c r="EQ4" s="257">
        <v>42705</v>
      </c>
      <c r="ER4" s="257">
        <v>42795</v>
      </c>
      <c r="ES4" s="257">
        <v>42887</v>
      </c>
      <c r="ET4" s="257">
        <v>42979</v>
      </c>
      <c r="EU4" s="257">
        <v>43070</v>
      </c>
      <c r="EV4" s="257">
        <v>43160</v>
      </c>
      <c r="EW4" s="257">
        <v>43252</v>
      </c>
      <c r="EX4" s="257">
        <v>43344</v>
      </c>
      <c r="EY4" s="257">
        <v>43435</v>
      </c>
      <c r="EZ4" s="257">
        <v>43525</v>
      </c>
      <c r="FA4" s="257">
        <v>43617</v>
      </c>
      <c r="FB4" s="257">
        <v>43709</v>
      </c>
      <c r="FC4" s="257">
        <v>43800</v>
      </c>
      <c r="FD4" s="257">
        <v>43891</v>
      </c>
      <c r="FE4" s="257">
        <v>43983</v>
      </c>
      <c r="FF4" s="257">
        <v>44075</v>
      </c>
      <c r="FG4" s="257">
        <v>44166</v>
      </c>
      <c r="FH4" s="257">
        <v>44256</v>
      </c>
      <c r="FI4" s="257">
        <v>44348</v>
      </c>
      <c r="FJ4" s="257">
        <v>44440</v>
      </c>
      <c r="FK4" s="257">
        <v>44531</v>
      </c>
      <c r="FL4" s="257">
        <v>44621</v>
      </c>
      <c r="FM4" s="257">
        <v>44713</v>
      </c>
      <c r="FN4" s="257">
        <v>44805</v>
      </c>
      <c r="FO4" s="257">
        <v>44896</v>
      </c>
      <c r="FP4" s="257">
        <v>44986</v>
      </c>
      <c r="FQ4" s="257">
        <v>45078</v>
      </c>
      <c r="FR4" s="257">
        <v>45170</v>
      </c>
      <c r="FS4" s="257">
        <v>45261</v>
      </c>
      <c r="FT4" s="257">
        <v>45352</v>
      </c>
      <c r="FU4" s="257">
        <v>45444</v>
      </c>
      <c r="FV4" s="257">
        <v>45536</v>
      </c>
      <c r="FW4" s="257">
        <v>45627</v>
      </c>
    </row>
    <row r="5" spans="3:179" ht="15.75" customHeight="1">
      <c r="C5" s="259" t="s">
        <v>36</v>
      </c>
      <c r="D5" s="259">
        <v>126.1193487</v>
      </c>
      <c r="E5" s="259">
        <v>137.69378159999999</v>
      </c>
      <c r="F5" s="259">
        <v>138.7116408</v>
      </c>
      <c r="G5" s="259">
        <v>137.9080678</v>
      </c>
      <c r="H5" s="259">
        <v>139.77116710000001</v>
      </c>
      <c r="I5" s="259">
        <v>157.99144870000001</v>
      </c>
      <c r="J5" s="259">
        <v>158.23252110000001</v>
      </c>
      <c r="K5" s="259">
        <v>157.5688289</v>
      </c>
      <c r="L5" s="259">
        <v>158.1729967</v>
      </c>
      <c r="M5" s="259">
        <v>157.89323419999999</v>
      </c>
      <c r="N5" s="259">
        <v>157.32180460000001</v>
      </c>
      <c r="O5" s="259">
        <v>157.1015658</v>
      </c>
      <c r="P5" s="259">
        <v>157.1015658</v>
      </c>
      <c r="Q5" s="259">
        <v>160.94086050000001</v>
      </c>
      <c r="R5" s="259">
        <v>161.05693220000001</v>
      </c>
      <c r="S5" s="259">
        <v>161.1253849</v>
      </c>
      <c r="T5" s="259">
        <v>163.12241320000001</v>
      </c>
      <c r="U5" s="259">
        <v>198.2802355</v>
      </c>
      <c r="V5" s="259">
        <v>198.2802355</v>
      </c>
      <c r="W5" s="259">
        <v>198.2802355</v>
      </c>
      <c r="X5" s="259">
        <v>198.50344999999999</v>
      </c>
      <c r="Y5" s="259">
        <v>223.09577110000001</v>
      </c>
      <c r="Z5" s="259">
        <v>222.8844612</v>
      </c>
      <c r="AA5" s="259">
        <v>245.22380000000001</v>
      </c>
      <c r="AB5" s="259">
        <v>247.19701910000001</v>
      </c>
      <c r="AC5" s="259">
        <v>274.36970330000003</v>
      </c>
      <c r="AD5" s="259">
        <v>274.55422700000003</v>
      </c>
      <c r="AE5" s="259">
        <v>272.10779280000003</v>
      </c>
      <c r="AF5" s="259">
        <v>263.03336639999998</v>
      </c>
      <c r="AG5" s="259">
        <v>291.43819610000003</v>
      </c>
      <c r="AH5" s="259">
        <v>298.00964010000001</v>
      </c>
      <c r="AI5" s="259">
        <v>297.61975860000001</v>
      </c>
      <c r="AJ5" s="259">
        <v>296.70904209999998</v>
      </c>
      <c r="AK5" s="259">
        <v>299.49773950000002</v>
      </c>
      <c r="AL5" s="259">
        <v>305.95013549999999</v>
      </c>
      <c r="AM5" s="259">
        <v>306.55132759999998</v>
      </c>
      <c r="AN5" s="259">
        <v>307.63763949999998</v>
      </c>
      <c r="AO5" s="259">
        <v>309.75371580000001</v>
      </c>
      <c r="AP5" s="259">
        <v>311.82217370000001</v>
      </c>
      <c r="AQ5" s="259">
        <v>320.11385990000002</v>
      </c>
      <c r="AR5" s="259">
        <v>328.15256970000002</v>
      </c>
      <c r="AS5" s="259">
        <v>330.60198029999998</v>
      </c>
      <c r="AT5" s="259">
        <v>330.9710283</v>
      </c>
      <c r="AU5" s="259">
        <v>336.69723290000002</v>
      </c>
      <c r="AV5" s="259">
        <v>344.45915589999998</v>
      </c>
      <c r="AW5" s="259">
        <v>345.18534799999998</v>
      </c>
      <c r="AX5" s="259">
        <v>347.50380589999997</v>
      </c>
      <c r="AY5" s="259">
        <v>349.58416840000001</v>
      </c>
      <c r="AZ5" s="259">
        <v>351.93536449999999</v>
      </c>
      <c r="BA5" s="259">
        <v>366.44730390000001</v>
      </c>
      <c r="BB5" s="259">
        <v>375.09018159999999</v>
      </c>
      <c r="BC5" s="259">
        <v>378.00983159999998</v>
      </c>
      <c r="BD5" s="259">
        <v>383.30196910000001</v>
      </c>
      <c r="BE5" s="259">
        <v>391.24017570000001</v>
      </c>
      <c r="BF5" s="259">
        <v>395.39828360000001</v>
      </c>
      <c r="BG5" s="259">
        <v>396.53231319999998</v>
      </c>
      <c r="BH5" s="259">
        <v>396.53231319999998</v>
      </c>
      <c r="BI5" s="259">
        <v>405.2265395</v>
      </c>
      <c r="BJ5" s="259">
        <v>415.4328046</v>
      </c>
      <c r="BK5" s="259">
        <v>416.18882430000002</v>
      </c>
      <c r="BL5" s="259">
        <v>420.72494210000002</v>
      </c>
      <c r="BM5" s="259">
        <v>430.17518819999998</v>
      </c>
      <c r="BN5" s="259">
        <v>434.33329609999998</v>
      </c>
      <c r="BO5" s="259">
        <v>435.84533549999998</v>
      </c>
      <c r="BP5" s="259">
        <v>440.00344410000002</v>
      </c>
      <c r="BQ5" s="259">
        <v>449.4536895</v>
      </c>
      <c r="BR5" s="259">
        <v>453.23378819999999</v>
      </c>
      <c r="BS5" s="259">
        <v>452.09975859999997</v>
      </c>
      <c r="BT5" s="259">
        <v>459.65995529999998</v>
      </c>
      <c r="BU5" s="259">
        <v>463.44005329999999</v>
      </c>
      <c r="BV5" s="259">
        <v>466.08612240000002</v>
      </c>
      <c r="BW5" s="259">
        <v>457.3918961</v>
      </c>
      <c r="BX5" s="259">
        <v>456.25786640000001</v>
      </c>
      <c r="BY5" s="259">
        <v>473.64631910000003</v>
      </c>
      <c r="BZ5" s="259">
        <v>479.33007429999998</v>
      </c>
      <c r="CA5" s="259">
        <v>472.2253796</v>
      </c>
      <c r="CB5" s="259">
        <v>474.1199651</v>
      </c>
      <c r="CC5" s="259">
        <v>473.64631910000003</v>
      </c>
      <c r="CD5" s="259">
        <v>475.06725790000002</v>
      </c>
      <c r="CE5" s="259">
        <v>475.54090389999999</v>
      </c>
      <c r="CF5" s="259">
        <v>476.9618428</v>
      </c>
      <c r="CG5" s="259">
        <v>473.64631910000003</v>
      </c>
      <c r="CH5" s="259">
        <v>473.64631910000003</v>
      </c>
      <c r="CI5" s="259">
        <v>472.69902630000001</v>
      </c>
      <c r="CJ5" s="259">
        <v>485.96112299999999</v>
      </c>
      <c r="CK5" s="259">
        <v>494.9604033</v>
      </c>
      <c r="CL5" s="259">
        <v>502.53874409999997</v>
      </c>
      <c r="CM5" s="259">
        <v>508.22250000000003</v>
      </c>
      <c r="CN5" s="259">
        <v>509.64343880000001</v>
      </c>
      <c r="CO5" s="259">
        <v>518.64271910000002</v>
      </c>
      <c r="CP5" s="259">
        <v>535.22034010000004</v>
      </c>
      <c r="CQ5" s="259">
        <v>555.58713220000004</v>
      </c>
      <c r="CR5" s="259">
        <v>557.00807110000005</v>
      </c>
      <c r="CS5" s="259">
        <v>572.63839929999995</v>
      </c>
      <c r="CT5" s="259">
        <v>580.69038680000006</v>
      </c>
      <c r="CU5" s="259">
        <v>604.37270260000003</v>
      </c>
      <c r="CV5" s="259">
        <v>611.00375129999998</v>
      </c>
      <c r="CW5" s="259">
        <v>619.05573879999997</v>
      </c>
      <c r="CX5" s="259">
        <v>626.16043360000003</v>
      </c>
      <c r="CY5" s="259">
        <v>629.00231120000001</v>
      </c>
      <c r="CZ5" s="259">
        <v>638.94888419999995</v>
      </c>
      <c r="DA5" s="259">
        <v>657.89473680000003</v>
      </c>
      <c r="DB5" s="259">
        <v>667.76315790000001</v>
      </c>
      <c r="DC5" s="259">
        <v>673.68421049999995</v>
      </c>
      <c r="DD5" s="259">
        <v>682.89473680000003</v>
      </c>
      <c r="DE5" s="259">
        <v>703.28947370000003</v>
      </c>
      <c r="DF5" s="259">
        <v>709.21052629999997</v>
      </c>
      <c r="DG5" s="259">
        <v>717.76315790000001</v>
      </c>
      <c r="DH5" s="259">
        <v>723.68421049999995</v>
      </c>
      <c r="DI5" s="259">
        <v>750</v>
      </c>
      <c r="DJ5" s="259">
        <v>757.89473680000003</v>
      </c>
      <c r="DK5" s="259">
        <v>773.02631580000002</v>
      </c>
      <c r="DL5" s="259">
        <v>777.63157890000002</v>
      </c>
      <c r="DM5" s="259">
        <v>790.13157890000002</v>
      </c>
      <c r="DN5" s="259">
        <v>792.10526319999997</v>
      </c>
      <c r="DO5" s="259">
        <v>789.47368419999998</v>
      </c>
      <c r="DP5" s="259">
        <v>790.78947370000003</v>
      </c>
      <c r="DQ5" s="259">
        <v>798.68421049999995</v>
      </c>
      <c r="DR5" s="259">
        <v>821.05263160000004</v>
      </c>
      <c r="DS5" s="259">
        <v>834.86842109999998</v>
      </c>
      <c r="DT5" s="259">
        <v>838.15789470000004</v>
      </c>
      <c r="DU5" s="259">
        <v>861.18421049999995</v>
      </c>
      <c r="DV5" s="259">
        <v>858.55263160000004</v>
      </c>
      <c r="DW5" s="259">
        <v>854.60526319999997</v>
      </c>
      <c r="DX5" s="259">
        <v>855.26315790000001</v>
      </c>
      <c r="DY5" s="259">
        <v>893.42105260000005</v>
      </c>
      <c r="DZ5" s="259">
        <v>896.71052629999997</v>
      </c>
      <c r="EA5" s="259">
        <v>898.68421049999995</v>
      </c>
      <c r="EB5" s="259">
        <v>900</v>
      </c>
      <c r="EC5" s="259">
        <v>923.68421049999995</v>
      </c>
      <c r="ED5" s="259">
        <v>928.94736839999996</v>
      </c>
      <c r="EE5" s="259">
        <v>925.65789470000004</v>
      </c>
      <c r="EF5" s="259">
        <v>926.31578950000005</v>
      </c>
      <c r="EG5" s="259">
        <v>965.13157890000002</v>
      </c>
      <c r="EH5" s="259">
        <v>963.15789470000004</v>
      </c>
      <c r="EI5" s="259">
        <v>958.55263160000004</v>
      </c>
      <c r="EJ5" s="259">
        <v>959.21052629999997</v>
      </c>
      <c r="EK5" s="259">
        <v>965.13157890000002</v>
      </c>
      <c r="EL5" s="259">
        <v>964.47368419999998</v>
      </c>
      <c r="EM5" s="259">
        <v>962.5</v>
      </c>
      <c r="EN5" s="259">
        <v>964.47368419999998</v>
      </c>
      <c r="EO5" s="259">
        <v>981.57894739999995</v>
      </c>
      <c r="EP5" s="259">
        <v>986.18421049999995</v>
      </c>
      <c r="EQ5" s="259">
        <v>984.21052629999997</v>
      </c>
      <c r="ER5" s="259">
        <v>985.52631580000002</v>
      </c>
      <c r="ES5" s="259">
        <v>1000</v>
      </c>
      <c r="ET5" s="259">
        <v>1001.973684</v>
      </c>
      <c r="EU5" s="259">
        <v>1004</v>
      </c>
      <c r="EV5" s="259">
        <v>1012</v>
      </c>
      <c r="EW5" s="259">
        <v>1029</v>
      </c>
      <c r="EX5" s="259">
        <v>1027</v>
      </c>
      <c r="EY5" s="259">
        <v>1025</v>
      </c>
      <c r="EZ5" s="259">
        <v>1038</v>
      </c>
      <c r="FA5" s="259">
        <v>1043</v>
      </c>
      <c r="FB5" s="259">
        <v>1041</v>
      </c>
      <c r="FC5" s="259">
        <v>1039</v>
      </c>
      <c r="FD5" s="259">
        <v>1052</v>
      </c>
      <c r="FE5" s="259">
        <v>1057</v>
      </c>
      <c r="FF5" s="259">
        <v>1057</v>
      </c>
      <c r="FG5" s="259">
        <v>1044</v>
      </c>
      <c r="FH5" s="259">
        <v>1048</v>
      </c>
      <c r="FI5" s="259">
        <v>1051</v>
      </c>
      <c r="FJ5" s="259">
        <v>1049</v>
      </c>
      <c r="FK5" s="259">
        <v>1037</v>
      </c>
      <c r="FL5" s="259">
        <v>1051</v>
      </c>
      <c r="FM5" s="259">
        <v>1069</v>
      </c>
      <c r="FN5" s="259">
        <v>1052</v>
      </c>
      <c r="FO5" s="259">
        <v>1062</v>
      </c>
      <c r="FP5" s="259">
        <v>1085</v>
      </c>
      <c r="FQ5" s="259">
        <v>1114</v>
      </c>
      <c r="FR5" s="259">
        <v>1094</v>
      </c>
      <c r="FS5" s="259"/>
      <c r="FT5" s="259"/>
      <c r="FU5" s="259"/>
      <c r="FV5" s="259"/>
      <c r="FW5" s="259"/>
    </row>
    <row r="6" spans="3:179" ht="15.75" customHeight="1">
      <c r="C6" s="259" t="s">
        <v>37</v>
      </c>
      <c r="D6" s="259">
        <v>128.70659889999999</v>
      </c>
      <c r="E6" s="259">
        <v>132.04711069999999</v>
      </c>
      <c r="F6" s="259">
        <v>137.64503250000001</v>
      </c>
      <c r="G6" s="259">
        <v>149.05521580000001</v>
      </c>
      <c r="H6" s="259">
        <v>152.43449100000001</v>
      </c>
      <c r="I6" s="259">
        <v>126.3306176</v>
      </c>
      <c r="J6" s="259">
        <v>126.61108369999999</v>
      </c>
      <c r="K6" s="259">
        <v>126.6817704</v>
      </c>
      <c r="L6" s="259">
        <v>126.6817704</v>
      </c>
      <c r="M6" s="259">
        <v>126.6817704</v>
      </c>
      <c r="N6" s="259">
        <v>124.6979855</v>
      </c>
      <c r="O6" s="259">
        <v>121.1248921</v>
      </c>
      <c r="P6" s="259">
        <v>121.1248921</v>
      </c>
      <c r="Q6" s="259">
        <v>124.9054848</v>
      </c>
      <c r="R6" s="259">
        <v>126.186964</v>
      </c>
      <c r="S6" s="259">
        <v>126.186964</v>
      </c>
      <c r="T6" s="259">
        <v>127.97465080000001</v>
      </c>
      <c r="U6" s="259">
        <v>133.97617009999999</v>
      </c>
      <c r="V6" s="259">
        <v>137.6267905</v>
      </c>
      <c r="W6" s="259">
        <v>142.33999030000001</v>
      </c>
      <c r="X6" s="259">
        <v>148.7975519</v>
      </c>
      <c r="Y6" s="259">
        <v>155.5697835</v>
      </c>
      <c r="Z6" s="259">
        <v>155.94145779999999</v>
      </c>
      <c r="AA6" s="259">
        <v>179.4344882</v>
      </c>
      <c r="AB6" s="259">
        <v>181.1811314</v>
      </c>
      <c r="AC6" s="259">
        <v>180.99415350000001</v>
      </c>
      <c r="AD6" s="259">
        <v>180.99415350000001</v>
      </c>
      <c r="AE6" s="259">
        <v>188.96121650000001</v>
      </c>
      <c r="AF6" s="259">
        <v>203.02328700000001</v>
      </c>
      <c r="AG6" s="259">
        <v>202.65389279999999</v>
      </c>
      <c r="AH6" s="259">
        <v>202.65389279999999</v>
      </c>
      <c r="AI6" s="259">
        <v>228.02125799999999</v>
      </c>
      <c r="AJ6" s="259">
        <v>227.9938956</v>
      </c>
      <c r="AK6" s="259">
        <v>229.42814870000001</v>
      </c>
      <c r="AL6" s="259">
        <v>234.69315979999999</v>
      </c>
      <c r="AM6" s="259">
        <v>239.42916109999999</v>
      </c>
      <c r="AN6" s="259">
        <v>240.98198619999999</v>
      </c>
      <c r="AO6" s="259">
        <v>240.98198619999999</v>
      </c>
      <c r="AP6" s="259">
        <v>240.98198619999999</v>
      </c>
      <c r="AQ6" s="259">
        <v>246.88089629999999</v>
      </c>
      <c r="AR6" s="259">
        <v>261.04101589999999</v>
      </c>
      <c r="AS6" s="259">
        <v>266.47704290000001</v>
      </c>
      <c r="AT6" s="259">
        <v>266.47704290000001</v>
      </c>
      <c r="AU6" s="259">
        <v>266.47704290000001</v>
      </c>
      <c r="AV6" s="259">
        <v>266.47704290000001</v>
      </c>
      <c r="AW6" s="259">
        <v>269.44359960000003</v>
      </c>
      <c r="AX6" s="259">
        <v>271.04202839999999</v>
      </c>
      <c r="AY6" s="259">
        <v>271.04202839999999</v>
      </c>
      <c r="AZ6" s="259">
        <v>271.04202839999999</v>
      </c>
      <c r="BA6" s="259">
        <v>291.96525930000001</v>
      </c>
      <c r="BB6" s="259">
        <v>300.29487549999999</v>
      </c>
      <c r="BC6" s="259">
        <v>302.94676279999999</v>
      </c>
      <c r="BD6" s="259">
        <v>303.24970949999999</v>
      </c>
      <c r="BE6" s="259">
        <v>317.48820749999999</v>
      </c>
      <c r="BF6" s="259">
        <v>323.54714319999999</v>
      </c>
      <c r="BG6" s="259">
        <v>326.5766107</v>
      </c>
      <c r="BH6" s="259">
        <v>346.57109680000002</v>
      </c>
      <c r="BI6" s="259">
        <v>356.56834020000002</v>
      </c>
      <c r="BJ6" s="259">
        <v>357.47718049999997</v>
      </c>
      <c r="BK6" s="259">
        <v>361.718435</v>
      </c>
      <c r="BL6" s="259">
        <v>371.7156784</v>
      </c>
      <c r="BM6" s="259">
        <v>375.95693290000003</v>
      </c>
      <c r="BN6" s="259">
        <v>377.16871989999999</v>
      </c>
      <c r="BO6" s="259">
        <v>388.68069709999997</v>
      </c>
      <c r="BP6" s="259">
        <v>393.22489830000001</v>
      </c>
      <c r="BQ6" s="259">
        <v>393.22489830000001</v>
      </c>
      <c r="BR6" s="259">
        <v>411.70465080000002</v>
      </c>
      <c r="BS6" s="259">
        <v>423.21662789999999</v>
      </c>
      <c r="BT6" s="259">
        <v>425.64020190000002</v>
      </c>
      <c r="BU6" s="259">
        <v>428.0637759</v>
      </c>
      <c r="BV6" s="259">
        <v>428.0637759</v>
      </c>
      <c r="BW6" s="259">
        <v>428.9726162</v>
      </c>
      <c r="BX6" s="259">
        <v>428.9726162</v>
      </c>
      <c r="BY6" s="259">
        <v>429.27556290000001</v>
      </c>
      <c r="BZ6" s="259">
        <v>438.29034990000002</v>
      </c>
      <c r="CA6" s="259">
        <v>438.29034990000002</v>
      </c>
      <c r="CB6" s="259">
        <v>438.29034990000002</v>
      </c>
      <c r="CC6" s="259">
        <v>438.29034990000002</v>
      </c>
      <c r="CD6" s="259">
        <v>464.47615910000002</v>
      </c>
      <c r="CE6" s="259">
        <v>464.47615910000002</v>
      </c>
      <c r="CF6" s="259">
        <v>464.47615910000002</v>
      </c>
      <c r="CG6" s="259">
        <v>475.63732370000002</v>
      </c>
      <c r="CH6" s="259">
        <v>475.63732370000002</v>
      </c>
      <c r="CI6" s="259">
        <v>476.06659960000002</v>
      </c>
      <c r="CJ6" s="259">
        <v>497.9596535</v>
      </c>
      <c r="CK6" s="259">
        <v>501.39385750000002</v>
      </c>
      <c r="CL6" s="259">
        <v>501.39385750000002</v>
      </c>
      <c r="CM6" s="259">
        <v>501.39385750000002</v>
      </c>
      <c r="CN6" s="259">
        <v>514.70140040000001</v>
      </c>
      <c r="CO6" s="259">
        <v>545.60924069999999</v>
      </c>
      <c r="CP6" s="259">
        <v>541.74576070000001</v>
      </c>
      <c r="CQ6" s="259">
        <v>553.76547649999998</v>
      </c>
      <c r="CR6" s="259">
        <v>595.83448129999999</v>
      </c>
      <c r="CS6" s="259">
        <v>598.4101349</v>
      </c>
      <c r="CT6" s="259">
        <v>598.4101349</v>
      </c>
      <c r="CU6" s="259">
        <v>612.57622890000005</v>
      </c>
      <c r="CV6" s="259">
        <v>643.05479390000005</v>
      </c>
      <c r="CW6" s="259">
        <v>654.64523369999995</v>
      </c>
      <c r="CX6" s="259">
        <v>654.64523369999995</v>
      </c>
      <c r="CY6" s="259">
        <v>652.06958020000002</v>
      </c>
      <c r="CZ6" s="259">
        <v>679.1139412</v>
      </c>
      <c r="DA6" s="259">
        <v>691.56293219999998</v>
      </c>
      <c r="DB6" s="259">
        <v>713.0013831</v>
      </c>
      <c r="DC6" s="259">
        <v>746.19640389999995</v>
      </c>
      <c r="DD6" s="259">
        <v>751.03734440000005</v>
      </c>
      <c r="DE6" s="259">
        <v>753.11203320000004</v>
      </c>
      <c r="DF6" s="259">
        <v>764.86860300000001</v>
      </c>
      <c r="DG6" s="259">
        <v>784.23236510000004</v>
      </c>
      <c r="DH6" s="259">
        <v>828.49239279999995</v>
      </c>
      <c r="DI6" s="259">
        <v>846.473029</v>
      </c>
      <c r="DJ6" s="259">
        <v>872.0608575</v>
      </c>
      <c r="DK6" s="259">
        <v>875.51867219999997</v>
      </c>
      <c r="DL6" s="259">
        <v>866.5283541</v>
      </c>
      <c r="DM6" s="259">
        <v>871.36929459999999</v>
      </c>
      <c r="DN6" s="259">
        <v>877.59336099999996</v>
      </c>
      <c r="DO6" s="259">
        <v>887.27524200000005</v>
      </c>
      <c r="DP6" s="259">
        <v>903.87275239999997</v>
      </c>
      <c r="DQ6" s="259">
        <v>906.63900409999997</v>
      </c>
      <c r="DR6" s="259">
        <v>913.55463350000002</v>
      </c>
      <c r="DS6" s="259">
        <v>931.53526969999996</v>
      </c>
      <c r="DT6" s="259">
        <v>951.5905947</v>
      </c>
      <c r="DU6" s="259">
        <v>950.89903179999999</v>
      </c>
      <c r="DV6" s="259">
        <v>941.90871370000002</v>
      </c>
      <c r="DW6" s="259">
        <v>943.2918396</v>
      </c>
      <c r="DX6" s="259">
        <v>948.13278009999999</v>
      </c>
      <c r="DY6" s="259">
        <v>943.2918396</v>
      </c>
      <c r="DZ6" s="259">
        <v>939.83402490000003</v>
      </c>
      <c r="EA6" s="259">
        <v>953.66528349999999</v>
      </c>
      <c r="EB6" s="259">
        <v>943.98340250000001</v>
      </c>
      <c r="EC6" s="259">
        <v>947.44121719999998</v>
      </c>
      <c r="ED6" s="259">
        <v>946.0580913</v>
      </c>
      <c r="EE6" s="259">
        <v>932.91839560000005</v>
      </c>
      <c r="EF6" s="259">
        <v>964.03872750000005</v>
      </c>
      <c r="EG6" s="259">
        <v>962.65560170000003</v>
      </c>
      <c r="EH6" s="259">
        <v>962.65560170000003</v>
      </c>
      <c r="EI6" s="259">
        <v>964.03872750000005</v>
      </c>
      <c r="EJ6" s="259">
        <v>958.50622410000005</v>
      </c>
      <c r="EK6" s="259">
        <v>954.35684649999996</v>
      </c>
      <c r="EL6" s="259">
        <v>955.04840939999997</v>
      </c>
      <c r="EM6" s="259">
        <v>970.26279390000002</v>
      </c>
      <c r="EN6" s="259">
        <v>969.57123100000001</v>
      </c>
      <c r="EO6" s="259">
        <v>993.77593360000003</v>
      </c>
      <c r="EP6" s="259">
        <v>994.46749650000004</v>
      </c>
      <c r="EQ6" s="259">
        <v>1000.691563</v>
      </c>
      <c r="ER6" s="259">
        <v>996.54218530000003</v>
      </c>
      <c r="ES6" s="259">
        <v>1000</v>
      </c>
      <c r="ET6" s="259">
        <v>1006.915629</v>
      </c>
      <c r="EU6" s="259">
        <v>1011</v>
      </c>
      <c r="EV6" s="259">
        <v>1015</v>
      </c>
      <c r="EW6" s="259">
        <v>1015</v>
      </c>
      <c r="EX6" s="259">
        <v>1014</v>
      </c>
      <c r="EY6" s="259">
        <v>1034</v>
      </c>
      <c r="EZ6" s="259">
        <v>1036</v>
      </c>
      <c r="FA6" s="259">
        <v>1036</v>
      </c>
      <c r="FB6" s="259">
        <v>1039</v>
      </c>
      <c r="FC6" s="259">
        <v>1060</v>
      </c>
      <c r="FD6" s="259">
        <v>1060</v>
      </c>
      <c r="FE6" s="259">
        <v>1054</v>
      </c>
      <c r="FF6" s="259">
        <v>1052</v>
      </c>
      <c r="FG6" s="259">
        <v>1054</v>
      </c>
      <c r="FH6" s="259">
        <v>1055</v>
      </c>
      <c r="FI6" s="259">
        <v>1058</v>
      </c>
      <c r="FJ6" s="259">
        <v>1056</v>
      </c>
      <c r="FK6" s="259">
        <v>1060</v>
      </c>
      <c r="FL6" s="259">
        <v>1070</v>
      </c>
      <c r="FM6" s="259">
        <v>1097</v>
      </c>
      <c r="FN6" s="259">
        <v>1111</v>
      </c>
      <c r="FO6" s="259">
        <v>1138</v>
      </c>
      <c r="FP6" s="259">
        <v>1184</v>
      </c>
      <c r="FQ6" s="259">
        <v>1207</v>
      </c>
      <c r="FR6" s="259">
        <v>1245</v>
      </c>
      <c r="FS6" s="259"/>
      <c r="FT6" s="259"/>
      <c r="FU6" s="259"/>
      <c r="FV6" s="259"/>
      <c r="FW6" s="259"/>
    </row>
    <row r="7" spans="3:179" ht="15.75" customHeight="1">
      <c r="C7" s="259" t="s">
        <v>601</v>
      </c>
      <c r="D7" s="259">
        <v>184.55582720000001</v>
      </c>
      <c r="E7" s="259">
        <v>197.17054160000001</v>
      </c>
      <c r="F7" s="259">
        <v>209.52506289999999</v>
      </c>
      <c r="G7" s="259">
        <v>209.33456469999999</v>
      </c>
      <c r="H7" s="259">
        <v>213.2049356</v>
      </c>
      <c r="I7" s="259">
        <v>254.9473275</v>
      </c>
      <c r="J7" s="259">
        <v>263.34784450000001</v>
      </c>
      <c r="K7" s="259">
        <v>264.03085099999998</v>
      </c>
      <c r="L7" s="259">
        <v>264.37003110000001</v>
      </c>
      <c r="M7" s="259">
        <v>264.63022419999999</v>
      </c>
      <c r="N7" s="259">
        <v>261.69375989999998</v>
      </c>
      <c r="O7" s="259">
        <v>255.97416050000001</v>
      </c>
      <c r="P7" s="259">
        <v>255.97416050000001</v>
      </c>
      <c r="Q7" s="259">
        <v>266.04734710000002</v>
      </c>
      <c r="R7" s="259">
        <v>268.33332830000001</v>
      </c>
      <c r="S7" s="259">
        <v>275.54903760000002</v>
      </c>
      <c r="T7" s="259">
        <v>281.98416850000001</v>
      </c>
      <c r="U7" s="259">
        <v>338.04646780000002</v>
      </c>
      <c r="V7" s="259">
        <v>340.49042370000001</v>
      </c>
      <c r="W7" s="259">
        <v>340.21164570000002</v>
      </c>
      <c r="X7" s="259">
        <v>360.59497979999998</v>
      </c>
      <c r="Y7" s="259">
        <v>381.90292840000001</v>
      </c>
      <c r="Z7" s="259">
        <v>384.50021190000001</v>
      </c>
      <c r="AA7" s="259">
        <v>430.09438970000002</v>
      </c>
      <c r="AB7" s="259">
        <v>432.41289519999998</v>
      </c>
      <c r="AC7" s="259">
        <v>446.65381559999997</v>
      </c>
      <c r="AD7" s="259">
        <v>453.92992700000002</v>
      </c>
      <c r="AE7" s="259">
        <v>455.83026539999997</v>
      </c>
      <c r="AF7" s="259">
        <v>454.8545416</v>
      </c>
      <c r="AG7" s="259">
        <v>470.99115399999999</v>
      </c>
      <c r="AH7" s="259">
        <v>466.12182790000003</v>
      </c>
      <c r="AI7" s="259">
        <v>464.63036440000002</v>
      </c>
      <c r="AJ7" s="259">
        <v>464.63036440000002</v>
      </c>
      <c r="AK7" s="259">
        <v>468.57043019999998</v>
      </c>
      <c r="AL7" s="259">
        <v>483.04366590000001</v>
      </c>
      <c r="AM7" s="259">
        <v>474.85223280000002</v>
      </c>
      <c r="AN7" s="259">
        <v>475.93482139999998</v>
      </c>
      <c r="AO7" s="259">
        <v>470.78207090000001</v>
      </c>
      <c r="AP7" s="259">
        <v>475.50271509999999</v>
      </c>
      <c r="AQ7" s="259">
        <v>476.64570570000001</v>
      </c>
      <c r="AR7" s="259">
        <v>478.18363199999999</v>
      </c>
      <c r="AS7" s="259">
        <v>482.13299060000003</v>
      </c>
      <c r="AT7" s="259">
        <v>491.03530799999999</v>
      </c>
      <c r="AU7" s="259">
        <v>491.67185180000001</v>
      </c>
      <c r="AV7" s="259">
        <v>487.12776719999999</v>
      </c>
      <c r="AW7" s="259">
        <v>489.55778379999998</v>
      </c>
      <c r="AX7" s="259">
        <v>493.4095691</v>
      </c>
      <c r="AY7" s="259">
        <v>491.53710919999997</v>
      </c>
      <c r="AZ7" s="259">
        <v>493.38633770000001</v>
      </c>
      <c r="BA7" s="259">
        <v>497.61912080000002</v>
      </c>
      <c r="BB7" s="259">
        <v>475.55382429999997</v>
      </c>
      <c r="BC7" s="259">
        <v>475.55382429999997</v>
      </c>
      <c r="BD7" s="259">
        <v>476.98048590000002</v>
      </c>
      <c r="BE7" s="259">
        <v>477.93159359999999</v>
      </c>
      <c r="BF7" s="259">
        <v>477.93159359999999</v>
      </c>
      <c r="BG7" s="259">
        <v>476.504932</v>
      </c>
      <c r="BH7" s="259">
        <v>476.98048590000002</v>
      </c>
      <c r="BI7" s="259">
        <v>500.75817719999998</v>
      </c>
      <c r="BJ7" s="259">
        <v>505.03816119999999</v>
      </c>
      <c r="BK7" s="259">
        <v>505.03816119999999</v>
      </c>
      <c r="BL7" s="259">
        <v>505.03816119999999</v>
      </c>
      <c r="BM7" s="259">
        <v>513.12257629999999</v>
      </c>
      <c r="BN7" s="259">
        <v>521.20699130000003</v>
      </c>
      <c r="BO7" s="259">
        <v>521.20699130000003</v>
      </c>
      <c r="BP7" s="259">
        <v>521.20699130000003</v>
      </c>
      <c r="BQ7" s="259">
        <v>538.80248300000005</v>
      </c>
      <c r="BR7" s="259">
        <v>541.65580620000003</v>
      </c>
      <c r="BS7" s="259">
        <v>541.65580620000003</v>
      </c>
      <c r="BT7" s="259">
        <v>541.65580620000003</v>
      </c>
      <c r="BU7" s="259">
        <v>542.13136010000005</v>
      </c>
      <c r="BV7" s="259">
        <v>539.75359070000002</v>
      </c>
      <c r="BW7" s="259">
        <v>539.75359070000002</v>
      </c>
      <c r="BX7" s="259">
        <v>539.75359070000002</v>
      </c>
      <c r="BY7" s="259">
        <v>547.3624519</v>
      </c>
      <c r="BZ7" s="259">
        <v>539.15201520000005</v>
      </c>
      <c r="CA7" s="259">
        <v>539.15201520000005</v>
      </c>
      <c r="CB7" s="259">
        <v>539.15201520000005</v>
      </c>
      <c r="CC7" s="259">
        <v>556.12025089999997</v>
      </c>
      <c r="CD7" s="259">
        <v>559.95178810000004</v>
      </c>
      <c r="CE7" s="259">
        <v>559.95178810000004</v>
      </c>
      <c r="CF7" s="259">
        <v>559.95178810000004</v>
      </c>
      <c r="CG7" s="259">
        <v>582.94101160000002</v>
      </c>
      <c r="CH7" s="259">
        <v>590.0567231</v>
      </c>
      <c r="CI7" s="259">
        <v>590.0567231</v>
      </c>
      <c r="CJ7" s="259">
        <v>590.0567231</v>
      </c>
      <c r="CK7" s="259">
        <v>603.74078450000002</v>
      </c>
      <c r="CL7" s="259">
        <v>613.59330869999997</v>
      </c>
      <c r="CM7" s="259">
        <v>613.59330869999997</v>
      </c>
      <c r="CN7" s="259">
        <v>613.59330869999997</v>
      </c>
      <c r="CO7" s="259">
        <v>616.33012080000003</v>
      </c>
      <c r="CP7" s="259">
        <v>619.61429569999996</v>
      </c>
      <c r="CQ7" s="259">
        <v>619.61429569999996</v>
      </c>
      <c r="CR7" s="259">
        <v>619.61429569999996</v>
      </c>
      <c r="CS7" s="259">
        <v>640.41406870000003</v>
      </c>
      <c r="CT7" s="259">
        <v>646.98241789999997</v>
      </c>
      <c r="CU7" s="259">
        <v>646.98241789999997</v>
      </c>
      <c r="CV7" s="259">
        <v>646.98241789999997</v>
      </c>
      <c r="CW7" s="259">
        <v>690.22405209999999</v>
      </c>
      <c r="CX7" s="259">
        <v>700.62393850000001</v>
      </c>
      <c r="CY7" s="259">
        <v>700.62393850000001</v>
      </c>
      <c r="CZ7" s="259">
        <v>700.62393850000001</v>
      </c>
      <c r="DA7" s="259">
        <v>723.06579899999997</v>
      </c>
      <c r="DB7" s="259">
        <v>741.14244399999995</v>
      </c>
      <c r="DC7" s="259">
        <v>741.14244399999995</v>
      </c>
      <c r="DD7" s="259">
        <v>741.14244399999995</v>
      </c>
      <c r="DE7" s="259">
        <v>743.31164139999998</v>
      </c>
      <c r="DF7" s="259">
        <v>754.15762830000006</v>
      </c>
      <c r="DG7" s="259">
        <v>754.15762830000006</v>
      </c>
      <c r="DH7" s="259">
        <v>754.15762830000006</v>
      </c>
      <c r="DI7" s="259">
        <v>754.15762830000006</v>
      </c>
      <c r="DJ7" s="259">
        <v>765.72668109999995</v>
      </c>
      <c r="DK7" s="259">
        <v>765.72668109999995</v>
      </c>
      <c r="DL7" s="259">
        <v>765.72668109999995</v>
      </c>
      <c r="DM7" s="259">
        <v>788.86478669999997</v>
      </c>
      <c r="DN7" s="259">
        <v>793.20318150000003</v>
      </c>
      <c r="DO7" s="259">
        <v>793.20318150000003</v>
      </c>
      <c r="DP7" s="259">
        <v>793.20318150000003</v>
      </c>
      <c r="DQ7" s="259">
        <v>802.60303690000001</v>
      </c>
      <c r="DR7" s="259">
        <v>810.55676070000004</v>
      </c>
      <c r="DS7" s="259">
        <v>810.55676070000004</v>
      </c>
      <c r="DT7" s="259">
        <v>810.55676070000004</v>
      </c>
      <c r="DU7" s="259">
        <v>828.63340559999995</v>
      </c>
      <c r="DV7" s="259">
        <v>840.20245839999995</v>
      </c>
      <c r="DW7" s="259">
        <v>840.20245839999995</v>
      </c>
      <c r="DX7" s="259">
        <v>840.20245839999995</v>
      </c>
      <c r="DY7" s="259">
        <v>854.66377439999997</v>
      </c>
      <c r="DZ7" s="259">
        <v>860.44830079999997</v>
      </c>
      <c r="EA7" s="259">
        <v>860.44830079999997</v>
      </c>
      <c r="EB7" s="259">
        <v>860.44830079999997</v>
      </c>
      <c r="EC7" s="259">
        <v>861.89443240000003</v>
      </c>
      <c r="ED7" s="259">
        <v>843.81778740000004</v>
      </c>
      <c r="EE7" s="259">
        <v>843.81778740000004</v>
      </c>
      <c r="EF7" s="259">
        <v>843.81778740000004</v>
      </c>
      <c r="EG7" s="259">
        <v>863.34056399999997</v>
      </c>
      <c r="EH7" s="259">
        <v>902.38611709999998</v>
      </c>
      <c r="EI7" s="259">
        <v>902.38611709999998</v>
      </c>
      <c r="EJ7" s="259">
        <v>902.38611709999998</v>
      </c>
      <c r="EK7" s="259">
        <v>911.78597249999996</v>
      </c>
      <c r="EL7" s="259">
        <v>897.32465649999995</v>
      </c>
      <c r="EM7" s="259">
        <v>897.32465649999995</v>
      </c>
      <c r="EN7" s="259">
        <v>897.32465649999995</v>
      </c>
      <c r="EO7" s="259">
        <v>944.32393349999995</v>
      </c>
      <c r="EP7" s="259">
        <v>953.00072309999996</v>
      </c>
      <c r="EQ7" s="259">
        <v>953.00072309999996</v>
      </c>
      <c r="ER7" s="259">
        <v>953.00072309999996</v>
      </c>
      <c r="ES7" s="259">
        <v>1000</v>
      </c>
      <c r="ET7" s="259">
        <v>1002.892263</v>
      </c>
      <c r="EU7" s="259">
        <v>1003</v>
      </c>
      <c r="EV7" s="259">
        <v>1003</v>
      </c>
      <c r="EW7" s="259">
        <v>1054</v>
      </c>
      <c r="EX7" s="259">
        <v>1065</v>
      </c>
      <c r="EY7" s="259">
        <v>1065</v>
      </c>
      <c r="EZ7" s="259">
        <v>1065</v>
      </c>
      <c r="FA7" s="259">
        <v>1111</v>
      </c>
      <c r="FB7" s="259">
        <v>1111</v>
      </c>
      <c r="FC7" s="259">
        <v>1111</v>
      </c>
      <c r="FD7" s="259">
        <v>1111</v>
      </c>
      <c r="FE7" s="259">
        <v>1168</v>
      </c>
      <c r="FF7" s="259">
        <v>1164</v>
      </c>
      <c r="FG7" s="259">
        <v>1164</v>
      </c>
      <c r="FH7" s="259">
        <v>1164</v>
      </c>
      <c r="FI7" s="259">
        <v>1180</v>
      </c>
      <c r="FJ7" s="259">
        <v>1196</v>
      </c>
      <c r="FK7" s="259">
        <v>1196</v>
      </c>
      <c r="FL7" s="259">
        <v>1196</v>
      </c>
      <c r="FM7" s="259">
        <v>1221</v>
      </c>
      <c r="FN7" s="259">
        <v>1212</v>
      </c>
      <c r="FO7" s="261">
        <v>1212</v>
      </c>
      <c r="FP7" s="261">
        <v>1212</v>
      </c>
      <c r="FQ7" s="259">
        <v>1309</v>
      </c>
      <c r="FR7" s="259">
        <v>1340</v>
      </c>
      <c r="FS7" s="259"/>
      <c r="FT7" s="259"/>
      <c r="FU7" s="259"/>
      <c r="FV7" s="259"/>
      <c r="FW7" s="259"/>
    </row>
    <row r="8" spans="3:179" ht="15.75" customHeight="1">
      <c r="C8" s="259" t="s">
        <v>40</v>
      </c>
      <c r="D8" s="259">
        <v>279.67263129999998</v>
      </c>
      <c r="E8" s="259">
        <v>293.14932140000002</v>
      </c>
      <c r="F8" s="259">
        <v>303.26131249999997</v>
      </c>
      <c r="G8" s="259">
        <v>308.31283389999999</v>
      </c>
      <c r="H8" s="259">
        <v>313.36883039999998</v>
      </c>
      <c r="I8" s="259">
        <v>330.21469200000001</v>
      </c>
      <c r="J8" s="259">
        <v>353.80337320000001</v>
      </c>
      <c r="K8" s="259">
        <v>358.85489460000002</v>
      </c>
      <c r="L8" s="259">
        <v>358.85489460000002</v>
      </c>
      <c r="M8" s="259">
        <v>358.85489460000002</v>
      </c>
      <c r="N8" s="259">
        <v>358.85489460000002</v>
      </c>
      <c r="O8" s="259">
        <v>358.85489460000002</v>
      </c>
      <c r="P8" s="259">
        <v>358.85489460000002</v>
      </c>
      <c r="Q8" s="259">
        <v>358.85489460000002</v>
      </c>
      <c r="R8" s="259">
        <v>414.82432139999997</v>
      </c>
      <c r="S8" s="259">
        <v>451.28565709999998</v>
      </c>
      <c r="T8" s="259">
        <v>455.52732409999999</v>
      </c>
      <c r="U8" s="259">
        <v>486.05122139999997</v>
      </c>
      <c r="V8" s="259">
        <v>484.35544909999999</v>
      </c>
      <c r="W8" s="259">
        <v>455.52732409999999</v>
      </c>
      <c r="X8" s="259">
        <v>454.6772009</v>
      </c>
      <c r="Y8" s="259">
        <v>424.99895359999999</v>
      </c>
      <c r="Z8" s="259">
        <v>394.4705821</v>
      </c>
      <c r="AA8" s="259">
        <v>422.72599289999999</v>
      </c>
      <c r="AB8" s="259">
        <v>445.83144549999997</v>
      </c>
      <c r="AC8" s="259">
        <v>465.6751107</v>
      </c>
      <c r="AD8" s="259">
        <v>465.67958570000002</v>
      </c>
      <c r="AE8" s="259">
        <v>465.50956070000001</v>
      </c>
      <c r="AF8" s="259">
        <v>465.40217680000001</v>
      </c>
      <c r="AG8" s="259">
        <v>457.23204550000003</v>
      </c>
      <c r="AH8" s="259">
        <v>452.9232634</v>
      </c>
      <c r="AI8" s="259">
        <v>447.43325709999999</v>
      </c>
      <c r="AJ8" s="259">
        <v>445.43323040000001</v>
      </c>
      <c r="AK8" s="259">
        <v>463.07104909999998</v>
      </c>
      <c r="AL8" s="259">
        <v>463.32608570000002</v>
      </c>
      <c r="AM8" s="259">
        <v>462.98603659999998</v>
      </c>
      <c r="AN8" s="259">
        <v>467.72435539999998</v>
      </c>
      <c r="AO8" s="259">
        <v>470.34184019999998</v>
      </c>
      <c r="AP8" s="259">
        <v>477.69764199999997</v>
      </c>
      <c r="AQ8" s="259">
        <v>543.9446107</v>
      </c>
      <c r="AR8" s="259">
        <v>518.01137859999994</v>
      </c>
      <c r="AS8" s="259">
        <v>490.3107857</v>
      </c>
      <c r="AT8" s="259">
        <v>493.514408</v>
      </c>
      <c r="AU8" s="259">
        <v>507.7383107</v>
      </c>
      <c r="AV8" s="259">
        <v>499.78294820000002</v>
      </c>
      <c r="AW8" s="259">
        <v>499.99324200000001</v>
      </c>
      <c r="AX8" s="259">
        <v>510.80322860000001</v>
      </c>
      <c r="AY8" s="259">
        <v>522.68258209999999</v>
      </c>
      <c r="AZ8" s="259">
        <v>519.25971790000006</v>
      </c>
      <c r="BA8" s="259">
        <v>513.10303569999996</v>
      </c>
      <c r="BB8" s="259">
        <v>495.92607320000002</v>
      </c>
      <c r="BC8" s="259">
        <v>486.9102929</v>
      </c>
      <c r="BD8" s="259">
        <v>471.32916340000003</v>
      </c>
      <c r="BE8" s="259">
        <v>472.30298390000002</v>
      </c>
      <c r="BF8" s="259">
        <v>487.39720360000001</v>
      </c>
      <c r="BG8" s="259">
        <v>488.3710241</v>
      </c>
      <c r="BH8" s="259">
        <v>484.9626518</v>
      </c>
      <c r="BI8" s="259">
        <v>484.47574200000003</v>
      </c>
      <c r="BJ8" s="259">
        <v>474.73753570000002</v>
      </c>
      <c r="BK8" s="259">
        <v>475.71135629999998</v>
      </c>
      <c r="BL8" s="259">
        <v>481.06736960000001</v>
      </c>
      <c r="BM8" s="259">
        <v>481.06736960000001</v>
      </c>
      <c r="BN8" s="259">
        <v>481.06736960000001</v>
      </c>
      <c r="BO8" s="259">
        <v>485.93647229999999</v>
      </c>
      <c r="BP8" s="259">
        <v>484.9626518</v>
      </c>
      <c r="BQ8" s="259">
        <v>481.55428039999998</v>
      </c>
      <c r="BR8" s="259">
        <v>481.06736960000001</v>
      </c>
      <c r="BS8" s="259">
        <v>485.44956250000001</v>
      </c>
      <c r="BT8" s="259">
        <v>475.22444639999998</v>
      </c>
      <c r="BU8" s="259">
        <v>448.4443804</v>
      </c>
      <c r="BV8" s="259">
        <v>447.95746960000002</v>
      </c>
      <c r="BW8" s="259">
        <v>442.6014563</v>
      </c>
      <c r="BX8" s="259">
        <v>432.86325090000003</v>
      </c>
      <c r="BY8" s="259">
        <v>432.37634020000002</v>
      </c>
      <c r="BZ8" s="259">
        <v>465.66931879999999</v>
      </c>
      <c r="CA8" s="259">
        <v>495.07090979999998</v>
      </c>
      <c r="CB8" s="259">
        <v>517.55447949999996</v>
      </c>
      <c r="CC8" s="259">
        <v>540.03804909999997</v>
      </c>
      <c r="CD8" s="259">
        <v>610.51539290000005</v>
      </c>
      <c r="CE8" s="259">
        <v>609.6506402</v>
      </c>
      <c r="CF8" s="259">
        <v>556.46834999999999</v>
      </c>
      <c r="CG8" s="259">
        <v>591.9232098</v>
      </c>
      <c r="CH8" s="259">
        <v>567.71013479999999</v>
      </c>
      <c r="CI8" s="259">
        <v>515.82497409999996</v>
      </c>
      <c r="CJ8" s="259">
        <v>517.55447949999996</v>
      </c>
      <c r="CK8" s="259">
        <v>569.00726429999997</v>
      </c>
      <c r="CL8" s="259">
        <v>555.60359730000005</v>
      </c>
      <c r="CM8" s="259">
        <v>552.14458660000003</v>
      </c>
      <c r="CN8" s="259">
        <v>587.16707050000002</v>
      </c>
      <c r="CO8" s="259">
        <v>530.09339290000003</v>
      </c>
      <c r="CP8" s="259">
        <v>567.71013479999999</v>
      </c>
      <c r="CQ8" s="259">
        <v>556.03597409999998</v>
      </c>
      <c r="CR8" s="259">
        <v>585.43756519999999</v>
      </c>
      <c r="CS8" s="259">
        <v>631.26945709999995</v>
      </c>
      <c r="CT8" s="259">
        <v>635.16084379999995</v>
      </c>
      <c r="CU8" s="259">
        <v>631.26945709999995</v>
      </c>
      <c r="CV8" s="259">
        <v>630.40470449999998</v>
      </c>
      <c r="CW8" s="259">
        <v>675.37184379999997</v>
      </c>
      <c r="CX8" s="259">
        <v>764.00899379999998</v>
      </c>
      <c r="CY8" s="259">
        <v>741.09304729999997</v>
      </c>
      <c r="CZ8" s="259">
        <v>778.70978930000001</v>
      </c>
      <c r="DA8" s="259">
        <v>892.85714289999999</v>
      </c>
      <c r="DB8" s="259">
        <v>885.7142857</v>
      </c>
      <c r="DC8" s="259">
        <v>750.89285710000001</v>
      </c>
      <c r="DD8" s="259">
        <v>757.14285710000001</v>
      </c>
      <c r="DE8" s="259">
        <v>817.85714289999999</v>
      </c>
      <c r="DF8" s="259">
        <v>833.0357143</v>
      </c>
      <c r="DG8" s="259">
        <v>877.67857140000001</v>
      </c>
      <c r="DH8" s="259">
        <v>912.5</v>
      </c>
      <c r="DI8" s="259">
        <v>1029.4642859999999</v>
      </c>
      <c r="DJ8" s="259">
        <v>1076.7857140000001</v>
      </c>
      <c r="DK8" s="259">
        <v>835.7142857</v>
      </c>
      <c r="DL8" s="259">
        <v>827.67857140000001</v>
      </c>
      <c r="DM8" s="259">
        <v>854.4642857</v>
      </c>
      <c r="DN8" s="259">
        <v>872.32142859999999</v>
      </c>
      <c r="DO8" s="259">
        <v>863.39285710000001</v>
      </c>
      <c r="DP8" s="259">
        <v>923.2142857</v>
      </c>
      <c r="DQ8" s="259">
        <v>935.7142857</v>
      </c>
      <c r="DR8" s="259">
        <v>923.2142857</v>
      </c>
      <c r="DS8" s="259">
        <v>985.7142857</v>
      </c>
      <c r="DT8" s="259">
        <v>1081.25</v>
      </c>
      <c r="DU8" s="259">
        <v>1124.107143</v>
      </c>
      <c r="DV8" s="259">
        <v>1086.607143</v>
      </c>
      <c r="DW8" s="259">
        <v>1096.4285709999999</v>
      </c>
      <c r="DX8" s="259">
        <v>1121.4285709999999</v>
      </c>
      <c r="DY8" s="259">
        <v>1125.892857</v>
      </c>
      <c r="DZ8" s="259">
        <v>1115.1785709999999</v>
      </c>
      <c r="EA8" s="259">
        <v>1106.25</v>
      </c>
      <c r="EB8" s="259">
        <v>1123.2142859999999</v>
      </c>
      <c r="EC8" s="259">
        <v>1094.642857</v>
      </c>
      <c r="ED8" s="259">
        <v>1156.25</v>
      </c>
      <c r="EE8" s="259">
        <v>1116.0714290000001</v>
      </c>
      <c r="EF8" s="259">
        <v>1126.7857140000001</v>
      </c>
      <c r="EG8" s="259">
        <v>1125</v>
      </c>
      <c r="EH8" s="259">
        <v>1135.7142859999999</v>
      </c>
      <c r="EI8" s="259">
        <v>1071.4285709999999</v>
      </c>
      <c r="EJ8" s="259">
        <v>958.0357143</v>
      </c>
      <c r="EK8" s="259">
        <v>1041.9642859999999</v>
      </c>
      <c r="EL8" s="259">
        <v>1058.9285709999999</v>
      </c>
      <c r="EM8" s="259">
        <v>984.82142859999999</v>
      </c>
      <c r="EN8" s="259">
        <v>908.92857140000001</v>
      </c>
      <c r="EO8" s="259">
        <v>957.14285710000001</v>
      </c>
      <c r="EP8" s="259">
        <v>941.07142859999999</v>
      </c>
      <c r="EQ8" s="259">
        <v>979.4642857</v>
      </c>
      <c r="ER8" s="259">
        <v>1019.642857</v>
      </c>
      <c r="ES8" s="259">
        <v>1000</v>
      </c>
      <c r="ET8" s="259">
        <v>983.0357143</v>
      </c>
      <c r="EU8" s="259">
        <v>1043</v>
      </c>
      <c r="EV8" s="259">
        <v>1071</v>
      </c>
      <c r="EW8" s="259">
        <v>1105</v>
      </c>
      <c r="EX8" s="259">
        <v>1166</v>
      </c>
      <c r="EY8" s="259">
        <v>1159</v>
      </c>
      <c r="EZ8" s="259">
        <v>1078</v>
      </c>
      <c r="FA8" s="259">
        <v>1141</v>
      </c>
      <c r="FB8" s="259">
        <v>1132</v>
      </c>
      <c r="FC8" s="259">
        <v>1150</v>
      </c>
      <c r="FD8" s="259">
        <v>1123</v>
      </c>
      <c r="FE8" s="259">
        <v>987</v>
      </c>
      <c r="FF8" s="259">
        <v>1004</v>
      </c>
      <c r="FG8" s="259">
        <v>1007</v>
      </c>
      <c r="FH8" s="259">
        <v>1080</v>
      </c>
      <c r="FI8" s="259">
        <v>1146</v>
      </c>
      <c r="FJ8" s="259">
        <v>1220</v>
      </c>
      <c r="FK8" s="259">
        <v>1314</v>
      </c>
      <c r="FL8" s="259">
        <v>1429</v>
      </c>
      <c r="FM8" s="259">
        <v>1518</v>
      </c>
      <c r="FN8" s="259">
        <v>1449</v>
      </c>
      <c r="FO8" s="259">
        <v>1345</v>
      </c>
      <c r="FP8" s="259">
        <v>1310</v>
      </c>
      <c r="FQ8" s="259">
        <v>1290</v>
      </c>
      <c r="FR8" s="259">
        <v>1503</v>
      </c>
      <c r="FS8" s="259"/>
      <c r="FT8" s="259"/>
      <c r="FU8" s="259"/>
      <c r="FV8" s="259"/>
      <c r="FW8" s="259"/>
    </row>
    <row r="9" spans="3:179" ht="15.75" customHeight="1">
      <c r="C9" s="259" t="s">
        <v>602</v>
      </c>
      <c r="D9" s="259">
        <v>231.31324309999999</v>
      </c>
      <c r="E9" s="259">
        <v>240.51192660000001</v>
      </c>
      <c r="F9" s="259">
        <v>249.93496819999999</v>
      </c>
      <c r="G9" s="259">
        <v>259.58236870000002</v>
      </c>
      <c r="H9" s="259">
        <v>267.88361989999999</v>
      </c>
      <c r="I9" s="259">
        <v>281.34510770000003</v>
      </c>
      <c r="J9" s="259">
        <v>291.44122429999999</v>
      </c>
      <c r="K9" s="259">
        <v>299.2937594</v>
      </c>
      <c r="L9" s="259">
        <v>301.76169900000002</v>
      </c>
      <c r="M9" s="259">
        <v>304.67835480000002</v>
      </c>
      <c r="N9" s="259">
        <v>307.14629450000001</v>
      </c>
      <c r="O9" s="259">
        <v>310.06295019999999</v>
      </c>
      <c r="P9" s="259">
        <v>312.23339069999997</v>
      </c>
      <c r="Q9" s="259">
        <v>319.05477569999999</v>
      </c>
      <c r="R9" s="259">
        <v>328.66672679999999</v>
      </c>
      <c r="S9" s="259">
        <v>339.208867</v>
      </c>
      <c r="T9" s="259">
        <v>354.0918891</v>
      </c>
      <c r="U9" s="259">
        <v>372.07553999999999</v>
      </c>
      <c r="V9" s="259">
        <v>382.30761749999999</v>
      </c>
      <c r="W9" s="259">
        <v>390.98938010000001</v>
      </c>
      <c r="X9" s="259">
        <v>399.98120549999999</v>
      </c>
      <c r="Y9" s="259">
        <v>410.83340859999998</v>
      </c>
      <c r="Z9" s="259">
        <v>424.47617860000003</v>
      </c>
      <c r="AA9" s="259">
        <v>462.30385810000001</v>
      </c>
      <c r="AB9" s="259">
        <v>473.15606200000002</v>
      </c>
      <c r="AC9" s="259">
        <v>488.65920879999999</v>
      </c>
      <c r="AD9" s="259">
        <v>496.41078299999998</v>
      </c>
      <c r="AE9" s="259">
        <v>506.64286049999998</v>
      </c>
      <c r="AF9" s="259">
        <v>515.63468599999999</v>
      </c>
      <c r="AG9" s="259">
        <v>519.66550410000002</v>
      </c>
      <c r="AH9" s="259">
        <v>524.31644859999994</v>
      </c>
      <c r="AI9" s="259">
        <v>530.51770720000002</v>
      </c>
      <c r="AJ9" s="259">
        <v>536.35340210000004</v>
      </c>
      <c r="AK9" s="259">
        <v>542.71961499999998</v>
      </c>
      <c r="AL9" s="259">
        <v>561.81825200000003</v>
      </c>
      <c r="AM9" s="259">
        <v>568.71498210000004</v>
      </c>
      <c r="AN9" s="259">
        <v>574.0201591</v>
      </c>
      <c r="AO9" s="259">
        <v>584.09999589999995</v>
      </c>
      <c r="AP9" s="259">
        <v>589.93569090000005</v>
      </c>
      <c r="AQ9" s="259">
        <v>596.30190289999996</v>
      </c>
      <c r="AR9" s="259">
        <v>600.01552690000005</v>
      </c>
      <c r="AS9" s="259">
        <v>600.54604489999997</v>
      </c>
      <c r="AT9" s="259">
        <v>602.66811580000001</v>
      </c>
      <c r="AU9" s="259">
        <v>602.13759789999995</v>
      </c>
      <c r="AV9" s="259">
        <v>604.79018680000001</v>
      </c>
      <c r="AW9" s="259">
        <v>606.38173979999999</v>
      </c>
      <c r="AX9" s="259">
        <v>608.50381000000004</v>
      </c>
      <c r="AY9" s="259">
        <v>610.09536379999997</v>
      </c>
      <c r="AZ9" s="259">
        <v>610.62588089999997</v>
      </c>
      <c r="BA9" s="259">
        <v>614.33950489999995</v>
      </c>
      <c r="BB9" s="259">
        <v>617.52261169999997</v>
      </c>
      <c r="BC9" s="259">
        <v>618.5836468</v>
      </c>
      <c r="BD9" s="259">
        <v>618.5836468</v>
      </c>
      <c r="BE9" s="259">
        <v>621.05798119999997</v>
      </c>
      <c r="BF9" s="259">
        <v>628.48098530000004</v>
      </c>
      <c r="BG9" s="259">
        <v>635.90398860000005</v>
      </c>
      <c r="BH9" s="259">
        <v>643.32699270000001</v>
      </c>
      <c r="BI9" s="259">
        <v>649.51282949999995</v>
      </c>
      <c r="BJ9" s="259">
        <v>650.7499967</v>
      </c>
      <c r="BK9" s="259">
        <v>654.46149839999998</v>
      </c>
      <c r="BL9" s="259">
        <v>657.55441680000001</v>
      </c>
      <c r="BM9" s="259">
        <v>662.50308559999996</v>
      </c>
      <c r="BN9" s="259">
        <v>666.21458729999995</v>
      </c>
      <c r="BO9" s="259">
        <v>671.16325689999996</v>
      </c>
      <c r="BP9" s="259">
        <v>669.30750569999998</v>
      </c>
      <c r="BQ9" s="259">
        <v>669.92608970000003</v>
      </c>
      <c r="BR9" s="259">
        <v>673.0190073</v>
      </c>
      <c r="BS9" s="259">
        <v>676.73050980000005</v>
      </c>
      <c r="BT9" s="259">
        <v>677.96767699999998</v>
      </c>
      <c r="BU9" s="259">
        <v>681.06059540000001</v>
      </c>
      <c r="BV9" s="259">
        <v>684.7720971</v>
      </c>
      <c r="BW9" s="259">
        <v>679.20484420000003</v>
      </c>
      <c r="BX9" s="259">
        <v>677.34909300000004</v>
      </c>
      <c r="BY9" s="259">
        <v>678.58626019999997</v>
      </c>
      <c r="BZ9" s="259">
        <v>681.30060519999995</v>
      </c>
      <c r="CA9" s="259">
        <v>682.65777809999997</v>
      </c>
      <c r="CB9" s="259">
        <v>687.40788169999996</v>
      </c>
      <c r="CC9" s="259">
        <v>692.15798610000002</v>
      </c>
      <c r="CD9" s="259">
        <v>701.65819329999999</v>
      </c>
      <c r="CE9" s="259">
        <v>709.80122840000001</v>
      </c>
      <c r="CF9" s="259">
        <v>708.44405630000006</v>
      </c>
      <c r="CG9" s="259">
        <v>714.551332</v>
      </c>
      <c r="CH9" s="259">
        <v>718.62284990000001</v>
      </c>
      <c r="CI9" s="259">
        <v>722.69436789999997</v>
      </c>
      <c r="CJ9" s="259">
        <v>726.76588500000003</v>
      </c>
      <c r="CK9" s="259">
        <v>734.23033359999999</v>
      </c>
      <c r="CL9" s="259">
        <v>737.62326510000003</v>
      </c>
      <c r="CM9" s="259">
        <v>742.37336870000001</v>
      </c>
      <c r="CN9" s="259">
        <v>745.08771369999999</v>
      </c>
      <c r="CO9" s="259">
        <v>745.08771369999999</v>
      </c>
      <c r="CP9" s="259">
        <v>748.48064520000003</v>
      </c>
      <c r="CQ9" s="259">
        <v>753.90933519999999</v>
      </c>
      <c r="CR9" s="259">
        <v>756.62368030000005</v>
      </c>
      <c r="CS9" s="259">
        <v>762.73095679999994</v>
      </c>
      <c r="CT9" s="259">
        <v>767.48106040000005</v>
      </c>
      <c r="CU9" s="259">
        <v>774.26692330000003</v>
      </c>
      <c r="CV9" s="259">
        <v>777.65985479999995</v>
      </c>
      <c r="CW9" s="259">
        <v>784.44571699999995</v>
      </c>
      <c r="CX9" s="259">
        <v>793.26733850000005</v>
      </c>
      <c r="CY9" s="259">
        <v>798.69602850000001</v>
      </c>
      <c r="CZ9" s="259">
        <v>803.4461321</v>
      </c>
      <c r="DA9" s="259">
        <v>815.66068519999999</v>
      </c>
      <c r="DB9" s="259">
        <v>821.37031000000002</v>
      </c>
      <c r="DC9" s="259">
        <v>819.73898859999997</v>
      </c>
      <c r="DD9" s="259">
        <v>823.81729199999995</v>
      </c>
      <c r="DE9" s="259">
        <v>831.97389889999999</v>
      </c>
      <c r="DF9" s="259">
        <v>836.05220229999998</v>
      </c>
      <c r="DG9" s="259">
        <v>845.84013049999999</v>
      </c>
      <c r="DH9" s="259">
        <v>851.54975530000002</v>
      </c>
      <c r="DI9" s="259">
        <v>865.41598690000001</v>
      </c>
      <c r="DJ9" s="259">
        <v>878.4665579</v>
      </c>
      <c r="DK9" s="259">
        <v>874.38825450000002</v>
      </c>
      <c r="DL9" s="259">
        <v>876.83523649999995</v>
      </c>
      <c r="DM9" s="259">
        <v>881.72920069999998</v>
      </c>
      <c r="DN9" s="259">
        <v>893.14845019999996</v>
      </c>
      <c r="DO9" s="259">
        <v>891.51712889999999</v>
      </c>
      <c r="DP9" s="259">
        <v>894.7797716</v>
      </c>
      <c r="DQ9" s="259">
        <v>896.41109300000005</v>
      </c>
      <c r="DR9" s="259">
        <v>906.19902119999995</v>
      </c>
      <c r="DS9" s="259">
        <v>927.40619900000002</v>
      </c>
      <c r="DT9" s="259">
        <v>934.74714519999998</v>
      </c>
      <c r="DU9" s="259">
        <v>943.71941270000002</v>
      </c>
      <c r="DV9" s="259">
        <v>947.79771619999997</v>
      </c>
      <c r="DW9" s="259">
        <v>944.53507339999999</v>
      </c>
      <c r="DX9" s="259">
        <v>949.42903750000005</v>
      </c>
      <c r="DY9" s="259">
        <v>952.69168030000003</v>
      </c>
      <c r="DZ9" s="259">
        <v>955.13866229999996</v>
      </c>
      <c r="EA9" s="259">
        <v>953.50734090000003</v>
      </c>
      <c r="EB9" s="259">
        <v>957.58564439999998</v>
      </c>
      <c r="EC9" s="259">
        <v>959.21696569999995</v>
      </c>
      <c r="ED9" s="259">
        <v>968.18923329999996</v>
      </c>
      <c r="EE9" s="259">
        <v>969.00489400000004</v>
      </c>
      <c r="EF9" s="259">
        <v>972.26753670000005</v>
      </c>
      <c r="EG9" s="259">
        <v>974.71451879999995</v>
      </c>
      <c r="EH9" s="259">
        <v>977.97716149999997</v>
      </c>
      <c r="EI9" s="259">
        <v>976.34584010000003</v>
      </c>
      <c r="EJ9" s="259">
        <v>974.71451879999995</v>
      </c>
      <c r="EK9" s="259">
        <v>978.79282220000005</v>
      </c>
      <c r="EL9" s="259">
        <v>982.05546489999995</v>
      </c>
      <c r="EM9" s="259">
        <v>977.1615008</v>
      </c>
      <c r="EN9" s="259">
        <v>978.79282220000005</v>
      </c>
      <c r="EO9" s="259">
        <v>982.87112560000003</v>
      </c>
      <c r="EP9" s="259">
        <v>986.13376800000003</v>
      </c>
      <c r="EQ9" s="259">
        <v>990.21207179999999</v>
      </c>
      <c r="ER9" s="259">
        <v>1000</v>
      </c>
      <c r="ES9" s="259">
        <v>1000</v>
      </c>
      <c r="ET9" s="259">
        <v>1004.893964</v>
      </c>
      <c r="EU9" s="259">
        <v>1006</v>
      </c>
      <c r="EV9" s="259">
        <v>1011</v>
      </c>
      <c r="EW9" s="259">
        <v>1015</v>
      </c>
      <c r="EX9" s="259">
        <v>1024</v>
      </c>
      <c r="EY9" s="259">
        <v>1025</v>
      </c>
      <c r="EZ9" s="259">
        <v>1026</v>
      </c>
      <c r="FA9" s="259">
        <v>1032</v>
      </c>
      <c r="FB9" s="259">
        <v>1039</v>
      </c>
      <c r="FC9" s="259">
        <v>1044</v>
      </c>
      <c r="FD9" s="259">
        <v>1052</v>
      </c>
      <c r="FE9" s="259">
        <v>1047</v>
      </c>
      <c r="FF9" s="259">
        <v>1054</v>
      </c>
      <c r="FG9" s="259">
        <v>1059</v>
      </c>
      <c r="FH9" s="259">
        <v>1068</v>
      </c>
      <c r="FI9" s="259">
        <v>1082</v>
      </c>
      <c r="FJ9" s="259">
        <v>1106</v>
      </c>
      <c r="FK9" s="259">
        <v>1122</v>
      </c>
      <c r="FL9" s="259">
        <v>1142</v>
      </c>
      <c r="FM9" s="259">
        <v>1161</v>
      </c>
      <c r="FN9" s="259">
        <v>1186</v>
      </c>
      <c r="FO9" s="259">
        <v>1203</v>
      </c>
      <c r="FP9" s="259">
        <v>1218</v>
      </c>
      <c r="FQ9" s="259">
        <v>1231</v>
      </c>
      <c r="FR9" s="259">
        <v>1253</v>
      </c>
      <c r="FS9" s="259"/>
      <c r="FT9" s="259"/>
      <c r="FU9" s="259"/>
      <c r="FV9" s="259"/>
      <c r="FW9" s="259"/>
    </row>
    <row r="10" spans="3:179" ht="15.75" customHeight="1">
      <c r="C10" s="29" t="s">
        <v>603</v>
      </c>
      <c r="D10" s="29"/>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9"/>
      <c r="FS10" s="29"/>
      <c r="FT10" s="29"/>
      <c r="FU10" s="29"/>
      <c r="FV10" s="29"/>
      <c r="FW10" s="29"/>
    </row>
    <row r="11" spans="3:179" ht="15.75" customHeight="1">
      <c r="C11" s="29"/>
      <c r="D11" s="29"/>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9"/>
      <c r="FT11" s="29"/>
      <c r="FU11" s="29"/>
      <c r="FV11" s="29"/>
      <c r="FW11" s="29"/>
    </row>
    <row r="12" spans="3:179" ht="15.75" customHeight="1">
      <c r="C12" s="29" t="s">
        <v>83</v>
      </c>
      <c r="D12" s="29"/>
      <c r="E12" s="263">
        <f t="shared" ref="E12:FR12" si="0">(E9/D9)-1</f>
        <v>3.9767215126646605E-2</v>
      </c>
      <c r="F12" s="263">
        <f t="shared" si="0"/>
        <v>3.917910322872098E-2</v>
      </c>
      <c r="G12" s="263">
        <f t="shared" si="0"/>
        <v>3.8599642817007007E-2</v>
      </c>
      <c r="H12" s="263">
        <f t="shared" si="0"/>
        <v>3.1979256686704094E-2</v>
      </c>
      <c r="I12" s="263">
        <f t="shared" si="0"/>
        <v>5.0251253902814819E-2</v>
      </c>
      <c r="J12" s="263">
        <f t="shared" si="0"/>
        <v>3.588516851256407E-2</v>
      </c>
      <c r="K12" s="263">
        <f t="shared" si="0"/>
        <v>2.6943803570893765E-2</v>
      </c>
      <c r="L12" s="263">
        <f t="shared" si="0"/>
        <v>8.2458772443085859E-3</v>
      </c>
      <c r="M12" s="263">
        <f t="shared" si="0"/>
        <v>9.665427420595174E-3</v>
      </c>
      <c r="N12" s="263">
        <f t="shared" si="0"/>
        <v>8.1001477824704793E-3</v>
      </c>
      <c r="O12" s="263">
        <f t="shared" si="0"/>
        <v>9.4959820522919625E-3</v>
      </c>
      <c r="P12" s="263">
        <f t="shared" si="0"/>
        <v>6.9999995117120406E-3</v>
      </c>
      <c r="Q12" s="263">
        <f t="shared" si="0"/>
        <v>2.1847070823229675E-2</v>
      </c>
      <c r="R12" s="263">
        <f t="shared" si="0"/>
        <v>3.0126335137631299E-2</v>
      </c>
      <c r="S12" s="263">
        <f t="shared" si="0"/>
        <v>3.2075471413372192E-2</v>
      </c>
      <c r="T12" s="263">
        <f t="shared" si="0"/>
        <v>4.387568707040912E-2</v>
      </c>
      <c r="U12" s="263">
        <f t="shared" si="0"/>
        <v>5.0788090474789716E-2</v>
      </c>
      <c r="V12" s="263">
        <f t="shared" si="0"/>
        <v>2.7500000403144043E-2</v>
      </c>
      <c r="W12" s="263">
        <f t="shared" si="0"/>
        <v>2.2708840218178539E-2</v>
      </c>
      <c r="X12" s="263">
        <f t="shared" si="0"/>
        <v>2.2997620543300235E-2</v>
      </c>
      <c r="Y12" s="263">
        <f t="shared" si="0"/>
        <v>2.713178257071891E-2</v>
      </c>
      <c r="Z12" s="263">
        <f t="shared" si="0"/>
        <v>3.3207547668751225E-2</v>
      </c>
      <c r="AA12" s="263">
        <f t="shared" si="0"/>
        <v>8.9116142217362082E-2</v>
      </c>
      <c r="AB12" s="263">
        <f t="shared" si="0"/>
        <v>2.3474179827529307E-2</v>
      </c>
      <c r="AC12" s="263">
        <f t="shared" si="0"/>
        <v>3.276539823767477E-2</v>
      </c>
      <c r="AD12" s="263">
        <f t="shared" si="0"/>
        <v>1.5862945096308589E-2</v>
      </c>
      <c r="AE12" s="263">
        <f t="shared" si="0"/>
        <v>2.0612117726701351E-2</v>
      </c>
      <c r="AF12" s="263">
        <f t="shared" si="0"/>
        <v>1.7747857911440956E-2</v>
      </c>
      <c r="AG12" s="263">
        <f t="shared" si="0"/>
        <v>7.8171973481242496E-3</v>
      </c>
      <c r="AH12" s="263">
        <f t="shared" si="0"/>
        <v>8.9498811510584364E-3</v>
      </c>
      <c r="AI12" s="263">
        <f t="shared" si="0"/>
        <v>1.1827320345486614E-2</v>
      </c>
      <c r="AJ12" s="263">
        <f t="shared" si="0"/>
        <v>1.10000002277022E-2</v>
      </c>
      <c r="AK12" s="263">
        <f t="shared" si="0"/>
        <v>1.1869436970240343E-2</v>
      </c>
      <c r="AL12" s="263">
        <f t="shared" si="0"/>
        <v>3.5190614955016963E-2</v>
      </c>
      <c r="AM12" s="263">
        <f t="shared" si="0"/>
        <v>1.2275731654229016E-2</v>
      </c>
      <c r="AN12" s="263">
        <f t="shared" si="0"/>
        <v>9.3283580826557522E-3</v>
      </c>
      <c r="AO12" s="263">
        <f t="shared" si="0"/>
        <v>1.7560074572649187E-2</v>
      </c>
      <c r="AP12" s="263">
        <f t="shared" si="0"/>
        <v>9.9909177212169631E-3</v>
      </c>
      <c r="AQ12" s="263">
        <f t="shared" si="0"/>
        <v>1.0791366072948838E-2</v>
      </c>
      <c r="AR12" s="263">
        <f t="shared" si="0"/>
        <v>6.2277580902216911E-3</v>
      </c>
      <c r="AS12" s="263">
        <f t="shared" si="0"/>
        <v>8.8417378587002382E-4</v>
      </c>
      <c r="AT12" s="263">
        <f t="shared" si="0"/>
        <v>3.5335690210953619E-3</v>
      </c>
      <c r="AU12" s="263">
        <f t="shared" si="0"/>
        <v>-8.8028200943701673E-4</v>
      </c>
      <c r="AV12" s="263">
        <f t="shared" si="0"/>
        <v>4.4052869464574762E-3</v>
      </c>
      <c r="AW12" s="263">
        <f t="shared" si="0"/>
        <v>2.631578743730989E-3</v>
      </c>
      <c r="AX12" s="263">
        <f t="shared" si="0"/>
        <v>3.4995615149955306E-3</v>
      </c>
      <c r="AY12" s="263">
        <f t="shared" si="0"/>
        <v>2.6155198600974483E-3</v>
      </c>
      <c r="AZ12" s="263">
        <f t="shared" si="0"/>
        <v>8.6956422139583545E-4</v>
      </c>
      <c r="BA12" s="263">
        <f t="shared" si="0"/>
        <v>6.0816681967794661E-3</v>
      </c>
      <c r="BB12" s="263">
        <f t="shared" si="0"/>
        <v>5.1813480569153914E-3</v>
      </c>
      <c r="BC12" s="263">
        <f t="shared" si="0"/>
        <v>1.718212547843434E-3</v>
      </c>
      <c r="BD12" s="263">
        <f t="shared" si="0"/>
        <v>0</v>
      </c>
      <c r="BE12" s="263">
        <f t="shared" si="0"/>
        <v>3.9999996973731911E-3</v>
      </c>
      <c r="BF12" s="263">
        <f t="shared" si="0"/>
        <v>1.1952191783539234E-2</v>
      </c>
      <c r="BG12" s="263">
        <f t="shared" si="0"/>
        <v>1.1811022884736344E-2</v>
      </c>
      <c r="BH12" s="263">
        <f t="shared" si="0"/>
        <v>1.1673152288826483E-2</v>
      </c>
      <c r="BI12" s="263">
        <f t="shared" si="0"/>
        <v>9.6153851310332161E-3</v>
      </c>
      <c r="BJ12" s="263">
        <f t="shared" si="0"/>
        <v>1.9047617595981947E-3</v>
      </c>
      <c r="BK12" s="263">
        <f t="shared" si="0"/>
        <v>5.7034217730638215E-3</v>
      </c>
      <c r="BL12" s="263">
        <f t="shared" si="0"/>
        <v>4.7258981736304495E-3</v>
      </c>
      <c r="BM12" s="263">
        <f t="shared" si="0"/>
        <v>7.5258696064772757E-3</v>
      </c>
      <c r="BN12" s="263">
        <f t="shared" si="0"/>
        <v>5.6022406244926604E-3</v>
      </c>
      <c r="BO12" s="263">
        <f t="shared" si="0"/>
        <v>7.4280414964429387E-3</v>
      </c>
      <c r="BP12" s="263">
        <f t="shared" si="0"/>
        <v>-2.7649773448138459E-3</v>
      </c>
      <c r="BQ12" s="263">
        <f t="shared" si="0"/>
        <v>9.2421494564454143E-4</v>
      </c>
      <c r="BR12" s="263">
        <f t="shared" si="0"/>
        <v>4.6168042229628448E-3</v>
      </c>
      <c r="BS12" s="263">
        <f t="shared" si="0"/>
        <v>5.5147068058147841E-3</v>
      </c>
      <c r="BT12" s="263">
        <f t="shared" si="0"/>
        <v>1.8281534260449206E-3</v>
      </c>
      <c r="BU12" s="263">
        <f t="shared" si="0"/>
        <v>4.5620440397484696E-3</v>
      </c>
      <c r="BV12" s="263">
        <f t="shared" si="0"/>
        <v>5.4495910129996883E-3</v>
      </c>
      <c r="BW12" s="263">
        <f t="shared" si="0"/>
        <v>-8.1300814147906575E-3</v>
      </c>
      <c r="BX12" s="263">
        <f t="shared" si="0"/>
        <v>-2.7322408193153347E-3</v>
      </c>
      <c r="BY12" s="263">
        <f t="shared" si="0"/>
        <v>1.8264838807422468E-3</v>
      </c>
      <c r="BZ12" s="263">
        <f t="shared" si="0"/>
        <v>3.9999999398749875E-3</v>
      </c>
      <c r="CA12" s="263">
        <f t="shared" si="0"/>
        <v>1.9920324297988401E-3</v>
      </c>
      <c r="CB12" s="263">
        <f t="shared" si="0"/>
        <v>6.9582501692440069E-3</v>
      </c>
      <c r="CC12" s="263">
        <f t="shared" si="0"/>
        <v>6.9101686588939337E-3</v>
      </c>
      <c r="CD12" s="263">
        <f t="shared" si="0"/>
        <v>1.3725489542538272E-2</v>
      </c>
      <c r="CE12" s="263">
        <f t="shared" si="0"/>
        <v>1.1605415824622822E-2</v>
      </c>
      <c r="CF12" s="263">
        <f t="shared" si="0"/>
        <v>-1.912045296201037E-3</v>
      </c>
      <c r="CG12" s="263">
        <f t="shared" si="0"/>
        <v>8.6206887413191602E-3</v>
      </c>
      <c r="CH12" s="263">
        <f t="shared" si="0"/>
        <v>5.698006172074388E-3</v>
      </c>
      <c r="CI12" s="263">
        <f t="shared" si="0"/>
        <v>5.6657229874703674E-3</v>
      </c>
      <c r="CJ12" s="263">
        <f t="shared" si="0"/>
        <v>5.6338021725990117E-3</v>
      </c>
      <c r="CK12" s="263">
        <f t="shared" si="0"/>
        <v>1.0270774611276678E-2</v>
      </c>
      <c r="CL12" s="263">
        <f t="shared" si="0"/>
        <v>4.6210723593564929E-3</v>
      </c>
      <c r="CM12" s="263">
        <f t="shared" si="0"/>
        <v>6.4397421078576933E-3</v>
      </c>
      <c r="CN12" s="263">
        <f t="shared" si="0"/>
        <v>3.6563070746371551E-3</v>
      </c>
      <c r="CO12" s="263">
        <f t="shared" si="0"/>
        <v>0</v>
      </c>
      <c r="CP12" s="263">
        <f t="shared" si="0"/>
        <v>4.5537343290109611E-3</v>
      </c>
      <c r="CQ12" s="263">
        <f t="shared" si="0"/>
        <v>7.25294639856644E-3</v>
      </c>
      <c r="CR12" s="263">
        <f t="shared" si="0"/>
        <v>3.6003601139651398E-3</v>
      </c>
      <c r="CS12" s="263">
        <f t="shared" si="0"/>
        <v>8.0717490861221819E-3</v>
      </c>
      <c r="CT12" s="263">
        <f t="shared" si="0"/>
        <v>6.2277577141078844E-3</v>
      </c>
      <c r="CU12" s="263">
        <f t="shared" si="0"/>
        <v>8.8417333666361841E-3</v>
      </c>
      <c r="CV12" s="263">
        <f t="shared" si="0"/>
        <v>4.3821212012247202E-3</v>
      </c>
      <c r="CW12" s="263">
        <f t="shared" si="0"/>
        <v>8.7260029666120786E-3</v>
      </c>
      <c r="CX12" s="263">
        <f t="shared" si="0"/>
        <v>1.1245674887151003E-2</v>
      </c>
      <c r="CY12" s="263">
        <f t="shared" si="0"/>
        <v>6.8434558395724654E-3</v>
      </c>
      <c r="CZ12" s="263">
        <f t="shared" si="0"/>
        <v>5.9473234253097917E-3</v>
      </c>
      <c r="DA12" s="263">
        <f t="shared" si="0"/>
        <v>1.5202703220531077E-2</v>
      </c>
      <c r="DB12" s="263">
        <f t="shared" si="0"/>
        <v>7.0000000044136979E-3</v>
      </c>
      <c r="DC12" s="263">
        <f t="shared" si="0"/>
        <v>-1.9860973547972671E-3</v>
      </c>
      <c r="DD12" s="263">
        <f t="shared" si="0"/>
        <v>4.9751243465498973E-3</v>
      </c>
      <c r="DE12" s="263">
        <f t="shared" si="0"/>
        <v>9.9009901579003579E-3</v>
      </c>
      <c r="DF12" s="263">
        <f t="shared" si="0"/>
        <v>4.901960753086243E-3</v>
      </c>
      <c r="DG12" s="263">
        <f t="shared" si="0"/>
        <v>1.1707317046798282E-2</v>
      </c>
      <c r="DH12" s="263">
        <f t="shared" si="0"/>
        <v>6.7502410847128935E-3</v>
      </c>
      <c r="DI12" s="263">
        <f t="shared" si="0"/>
        <v>1.6283524848310194E-2</v>
      </c>
      <c r="DJ12" s="263">
        <f t="shared" si="0"/>
        <v>1.5080113145064855E-2</v>
      </c>
      <c r="DK12" s="263">
        <f t="shared" si="0"/>
        <v>-4.6425255046126379E-3</v>
      </c>
      <c r="DL12" s="263">
        <f t="shared" si="0"/>
        <v>2.7985073992091714E-3</v>
      </c>
      <c r="DM12" s="263">
        <f t="shared" si="0"/>
        <v>5.5813954506833685E-3</v>
      </c>
      <c r="DN12" s="263">
        <f t="shared" si="0"/>
        <v>1.2950971217619012E-2</v>
      </c>
      <c r="DO12" s="263">
        <f t="shared" si="0"/>
        <v>-1.8264839396348043E-3</v>
      </c>
      <c r="DP12" s="263">
        <f t="shared" si="0"/>
        <v>3.6596522873606485E-3</v>
      </c>
      <c r="DQ12" s="263">
        <f t="shared" si="0"/>
        <v>1.8231540897297727E-3</v>
      </c>
      <c r="DR12" s="263">
        <f t="shared" si="0"/>
        <v>1.0919017263879338E-2</v>
      </c>
      <c r="DS12" s="263">
        <f t="shared" si="0"/>
        <v>2.3402340218727335E-2</v>
      </c>
      <c r="DT12" s="263">
        <f t="shared" si="0"/>
        <v>7.9155673187385478E-3</v>
      </c>
      <c r="DU12" s="263">
        <f t="shared" si="0"/>
        <v>9.5986038000472895E-3</v>
      </c>
      <c r="DV12" s="263">
        <f t="shared" si="0"/>
        <v>4.3215212542166981E-3</v>
      </c>
      <c r="DW12" s="263">
        <f t="shared" si="0"/>
        <v>-3.4423408542076928E-3</v>
      </c>
      <c r="DX12" s="263">
        <f t="shared" si="0"/>
        <v>5.1813471387394117E-3</v>
      </c>
      <c r="DY12" s="263">
        <f t="shared" si="0"/>
        <v>3.4364261794552764E-3</v>
      </c>
      <c r="DZ12" s="263">
        <f t="shared" si="0"/>
        <v>2.5684930923606242E-3</v>
      </c>
      <c r="EA12" s="263">
        <f t="shared" si="0"/>
        <v>-1.7079419610883662E-3</v>
      </c>
      <c r="EB12" s="263">
        <f t="shared" si="0"/>
        <v>4.2771600438340496E-3</v>
      </c>
      <c r="EC12" s="263">
        <f t="shared" si="0"/>
        <v>1.703577439302606E-3</v>
      </c>
      <c r="ED12" s="263">
        <f t="shared" si="0"/>
        <v>9.3537415629969534E-3</v>
      </c>
      <c r="EE12" s="263">
        <f t="shared" si="0"/>
        <v>8.4245999846532804E-4</v>
      </c>
      <c r="EF12" s="263">
        <f t="shared" si="0"/>
        <v>3.3670033249595388E-3</v>
      </c>
      <c r="EG12" s="263">
        <f t="shared" si="0"/>
        <v>2.5167785693074318E-3</v>
      </c>
      <c r="EH12" s="263">
        <f t="shared" si="0"/>
        <v>3.3472802929177536E-3</v>
      </c>
      <c r="EI12" s="263">
        <f t="shared" si="0"/>
        <v>-1.668056744288271E-3</v>
      </c>
      <c r="EJ12" s="263">
        <f t="shared" si="0"/>
        <v>-1.6708437041458302E-3</v>
      </c>
      <c r="EK12" s="263">
        <f t="shared" si="0"/>
        <v>4.1841003917957309E-3</v>
      </c>
      <c r="EL12" s="263">
        <f t="shared" si="0"/>
        <v>3.3333332917855341E-3</v>
      </c>
      <c r="EM12" s="263">
        <f t="shared" si="0"/>
        <v>-4.9833886933242644E-3</v>
      </c>
      <c r="EN12" s="263">
        <f t="shared" si="0"/>
        <v>1.6694491122137833E-3</v>
      </c>
      <c r="EO12" s="263">
        <f t="shared" si="0"/>
        <v>4.1666666402735419E-3</v>
      </c>
      <c r="EP12" s="263">
        <f t="shared" si="0"/>
        <v>3.3195017281724137E-3</v>
      </c>
      <c r="EQ12" s="263">
        <f t="shared" si="0"/>
        <v>4.1356496779045848E-3</v>
      </c>
      <c r="ER12" s="263">
        <f t="shared" si="0"/>
        <v>9.8846787256468005E-3</v>
      </c>
      <c r="ES12" s="263">
        <f t="shared" si="0"/>
        <v>0</v>
      </c>
      <c r="ET12" s="263">
        <f t="shared" si="0"/>
        <v>4.8939640000000839E-3</v>
      </c>
      <c r="EU12" s="263">
        <f t="shared" si="0"/>
        <v>1.1006494611605078E-3</v>
      </c>
      <c r="EV12" s="263">
        <f t="shared" si="0"/>
        <v>4.9701789264413598E-3</v>
      </c>
      <c r="EW12" s="263">
        <f t="shared" si="0"/>
        <v>3.9564787339267937E-3</v>
      </c>
      <c r="EX12" s="263">
        <f t="shared" si="0"/>
        <v>8.8669950738915482E-3</v>
      </c>
      <c r="EY12" s="263">
        <f t="shared" si="0"/>
        <v>9.765625E-4</v>
      </c>
      <c r="EZ12" s="263">
        <f t="shared" si="0"/>
        <v>9.7560975609756184E-4</v>
      </c>
      <c r="FA12" s="263">
        <f t="shared" si="0"/>
        <v>5.8479532163742132E-3</v>
      </c>
      <c r="FB12" s="263">
        <f t="shared" si="0"/>
        <v>6.7829457364341206E-3</v>
      </c>
      <c r="FC12" s="263">
        <f t="shared" si="0"/>
        <v>4.8123195380174177E-3</v>
      </c>
      <c r="FD12" s="263">
        <f t="shared" si="0"/>
        <v>7.6628352490422103E-3</v>
      </c>
      <c r="FE12" s="263">
        <f t="shared" si="0"/>
        <v>-4.7528517110265733E-3</v>
      </c>
      <c r="FF12" s="263">
        <f t="shared" si="0"/>
        <v>6.6857688634192058E-3</v>
      </c>
      <c r="FG12" s="263">
        <f t="shared" si="0"/>
        <v>4.7438330170777032E-3</v>
      </c>
      <c r="FH12" s="263">
        <f t="shared" si="0"/>
        <v>8.4985835694051381E-3</v>
      </c>
      <c r="FI12" s="263">
        <f t="shared" si="0"/>
        <v>1.3108614232209659E-2</v>
      </c>
      <c r="FJ12" s="263">
        <f t="shared" si="0"/>
        <v>2.2181146025878062E-2</v>
      </c>
      <c r="FK12" s="263">
        <f t="shared" si="0"/>
        <v>1.4466546112115841E-2</v>
      </c>
      <c r="FL12" s="263">
        <f t="shared" si="0"/>
        <v>1.7825311942958999E-2</v>
      </c>
      <c r="FM12" s="263">
        <f t="shared" si="0"/>
        <v>1.6637478108581405E-2</v>
      </c>
      <c r="FN12" s="263">
        <f t="shared" si="0"/>
        <v>2.1533161068044704E-2</v>
      </c>
      <c r="FO12" s="263">
        <f t="shared" si="0"/>
        <v>1.4333895446880351E-2</v>
      </c>
      <c r="FP12" s="263">
        <f t="shared" si="0"/>
        <v>1.2468827930174564E-2</v>
      </c>
      <c r="FQ12" s="263">
        <f t="shared" si="0"/>
        <v>1.0673234811165777E-2</v>
      </c>
      <c r="FR12" s="263">
        <f t="shared" si="0"/>
        <v>1.7871649065800188E-2</v>
      </c>
      <c r="FS12" s="29"/>
      <c r="FT12" s="29"/>
      <c r="FU12" s="29"/>
      <c r="FV12" s="29"/>
      <c r="FW12" s="29"/>
    </row>
    <row r="13" spans="3:179" ht="15.75" customHeight="1">
      <c r="C13" s="29" t="s">
        <v>604</v>
      </c>
      <c r="D13" s="263">
        <f>AVERAGE(E12:FR12)*4</f>
        <v>4.0239721367250375E-2</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63"/>
      <c r="FN13" s="29"/>
      <c r="FO13" s="29"/>
      <c r="FP13" s="29"/>
      <c r="FQ13" s="29"/>
      <c r="FR13" s="29"/>
      <c r="FS13" s="29"/>
      <c r="FT13" s="29"/>
      <c r="FU13" s="29"/>
      <c r="FV13" s="29"/>
      <c r="FW13" s="29"/>
    </row>
    <row r="14" spans="3:179" ht="15.75" customHeight="1">
      <c r="C14" s="29" t="s">
        <v>605</v>
      </c>
      <c r="D14" s="263">
        <f>AVERAGE(EE12:FR12)*4</f>
        <v>2.5956630328575491E-2</v>
      </c>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63"/>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row>
    <row r="15" spans="3:179" ht="15.75" customHeight="1">
      <c r="C15" s="29" t="s">
        <v>606</v>
      </c>
      <c r="D15" s="263">
        <f>AVERAGE(EY12:FR12)*4</f>
        <v>4.066668489573011E-2</v>
      </c>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63"/>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row>
    <row r="17" spans="3:136" ht="12.95">
      <c r="C17" s="54" t="s">
        <v>607</v>
      </c>
      <c r="D17" s="54">
        <v>1981</v>
      </c>
      <c r="E17" s="54">
        <v>1982</v>
      </c>
      <c r="F17" s="54">
        <v>1983</v>
      </c>
      <c r="G17" s="54">
        <v>1984</v>
      </c>
      <c r="H17" s="54">
        <v>1985</v>
      </c>
      <c r="I17" s="54">
        <v>1986</v>
      </c>
      <c r="J17" s="54">
        <v>1987</v>
      </c>
      <c r="K17" s="54">
        <v>1988</v>
      </c>
      <c r="L17" s="54">
        <v>1989</v>
      </c>
      <c r="M17" s="54">
        <v>1990</v>
      </c>
      <c r="N17" s="54">
        <v>1991</v>
      </c>
      <c r="O17" s="54">
        <v>1992</v>
      </c>
      <c r="P17" s="54">
        <v>1993</v>
      </c>
      <c r="Q17" s="54">
        <v>1994</v>
      </c>
      <c r="R17" s="54">
        <v>1995</v>
      </c>
      <c r="S17" s="54">
        <v>1996</v>
      </c>
      <c r="T17" s="54">
        <v>1997</v>
      </c>
      <c r="U17" s="54">
        <v>1998</v>
      </c>
      <c r="V17" s="54">
        <v>1999</v>
      </c>
      <c r="W17" s="54">
        <v>2000</v>
      </c>
      <c r="X17" s="54">
        <v>2001</v>
      </c>
      <c r="Y17" s="54">
        <v>2002</v>
      </c>
      <c r="Z17" s="54">
        <v>2003</v>
      </c>
      <c r="AA17" s="54">
        <v>2004</v>
      </c>
      <c r="AB17" s="54">
        <v>2005</v>
      </c>
      <c r="AC17" s="54">
        <v>2006</v>
      </c>
      <c r="AD17" s="54">
        <v>2007</v>
      </c>
      <c r="AE17" s="54">
        <v>2008</v>
      </c>
      <c r="AF17" s="54">
        <v>2009</v>
      </c>
      <c r="AG17" s="54">
        <v>2010</v>
      </c>
      <c r="AH17" s="54">
        <v>2011</v>
      </c>
      <c r="AI17" s="54">
        <v>2012</v>
      </c>
      <c r="AJ17" s="54">
        <v>2013</v>
      </c>
      <c r="AK17" s="54">
        <v>2014</v>
      </c>
      <c r="AL17" s="54">
        <v>2015</v>
      </c>
      <c r="AM17" s="54">
        <v>2016</v>
      </c>
      <c r="AN17" s="54">
        <v>2017</v>
      </c>
      <c r="AO17" s="54">
        <v>2018</v>
      </c>
      <c r="AP17" s="54">
        <v>2019</v>
      </c>
      <c r="AQ17" s="54">
        <v>2020</v>
      </c>
      <c r="AR17" s="54">
        <v>2021</v>
      </c>
      <c r="AS17" s="54">
        <v>2022</v>
      </c>
      <c r="AT17" s="57">
        <v>2023</v>
      </c>
      <c r="AU17" s="54">
        <v>2024</v>
      </c>
      <c r="AV17" s="54">
        <v>2025</v>
      </c>
      <c r="AW17" s="54">
        <v>2026</v>
      </c>
      <c r="AX17" s="54">
        <v>2027</v>
      </c>
      <c r="AY17" s="54">
        <v>2028</v>
      </c>
      <c r="AZ17" s="54">
        <v>2029</v>
      </c>
      <c r="BA17" s="57">
        <v>2030</v>
      </c>
      <c r="BB17" s="54">
        <v>2031</v>
      </c>
      <c r="BC17" s="54">
        <v>2032</v>
      </c>
      <c r="BD17" s="54">
        <v>2033</v>
      </c>
      <c r="BE17" s="54">
        <v>2034</v>
      </c>
      <c r="BF17" s="54">
        <v>2035</v>
      </c>
      <c r="BG17" s="54">
        <v>2036</v>
      </c>
      <c r="BH17" s="54">
        <v>2037</v>
      </c>
      <c r="BI17" s="54">
        <v>2038</v>
      </c>
      <c r="BJ17" s="54">
        <v>2039</v>
      </c>
      <c r="BK17" s="54">
        <v>2040</v>
      </c>
      <c r="BL17" s="54">
        <v>2041</v>
      </c>
      <c r="BM17" s="54">
        <v>2042</v>
      </c>
      <c r="BN17" s="54">
        <v>2043</v>
      </c>
      <c r="BO17" s="54">
        <v>2044</v>
      </c>
      <c r="BP17" s="54">
        <v>2045</v>
      </c>
      <c r="BQ17" s="54">
        <v>2046</v>
      </c>
      <c r="BR17" s="54">
        <v>2047</v>
      </c>
      <c r="BS17" s="54">
        <v>2048</v>
      </c>
      <c r="BT17" s="54">
        <v>2049</v>
      </c>
      <c r="BU17" s="54">
        <v>2050</v>
      </c>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row>
    <row r="18" spans="3:136" ht="15.75" customHeight="1">
      <c r="C18" s="260" t="s">
        <v>36</v>
      </c>
      <c r="D18" s="260">
        <f t="shared" ref="D18:D22" si="1">AVERAGE(D5:G5)</f>
        <v>135.10820972499999</v>
      </c>
      <c r="E18" s="260">
        <f t="shared" ref="E18:E22" si="2">AVERAGE(H5:K5)</f>
        <v>153.39099145</v>
      </c>
      <c r="F18" s="260">
        <f t="shared" ref="F18:F22" si="3">AVERAGE(L5:O5)</f>
        <v>157.622400325</v>
      </c>
      <c r="G18" s="260">
        <f t="shared" ref="G18:G22" si="4">AVERAGE(P5:S5)</f>
        <v>160.05618584999999</v>
      </c>
      <c r="H18" s="260">
        <f t="shared" ref="H18:H22" si="5">AVERAGE(T5:W5)</f>
        <v>189.490779925</v>
      </c>
      <c r="I18" s="260">
        <f t="shared" ref="I18:I22" si="6">AVERAGE(X5:AA5)</f>
        <v>222.42687057500001</v>
      </c>
      <c r="J18" s="260">
        <f t="shared" ref="J18:J22" si="7">AVERAGE(AB5:AE5)</f>
        <v>267.05718554999999</v>
      </c>
      <c r="K18" s="260">
        <f t="shared" ref="K18:K22" si="8">AVERAGE(AF5:AI5)</f>
        <v>287.52524030000001</v>
      </c>
      <c r="L18" s="260">
        <f t="shared" ref="L18:L22" si="9">AVERAGE(AJ5:AM5)</f>
        <v>302.17706117500001</v>
      </c>
      <c r="M18" s="260">
        <f t="shared" ref="M18:M22" si="10">AVERAGE(AN5:AQ5)</f>
        <v>312.33184722499999</v>
      </c>
      <c r="N18" s="260">
        <f t="shared" ref="N18:N22" si="11">AVERAGE(AR5:AU5)</f>
        <v>331.60570280000002</v>
      </c>
      <c r="O18" s="260">
        <f t="shared" ref="O18:O22" si="12">AVERAGE(AV5:AY5)</f>
        <v>346.68311954999996</v>
      </c>
      <c r="P18" s="260">
        <f t="shared" ref="P18:P22" si="13">AVERAGE(AZ5:BC5)</f>
        <v>367.87067039999999</v>
      </c>
      <c r="Q18" s="260">
        <f t="shared" ref="Q18:Q22" si="14">AVERAGE(BD5:BG5)</f>
        <v>391.61818540000002</v>
      </c>
      <c r="R18" s="260">
        <f t="shared" ref="R18:R22" si="15">AVERAGE(BH5:BK5)</f>
        <v>408.34512040000004</v>
      </c>
      <c r="S18" s="260">
        <f t="shared" ref="S18:S22" si="16">AVERAGE(BL5:BO5)</f>
        <v>430.269690475</v>
      </c>
      <c r="T18" s="260">
        <f t="shared" ref="T18:T22" si="17">AVERAGE(BP5:BS5)</f>
        <v>448.69767009999998</v>
      </c>
      <c r="U18" s="260">
        <f t="shared" ref="U18:U22" si="18">AVERAGE(BT5:BW5)</f>
        <v>461.64450677499997</v>
      </c>
      <c r="V18" s="260">
        <f t="shared" ref="V18:V22" si="19">AVERAGE(BX5:CA5)</f>
        <v>470.36490985</v>
      </c>
      <c r="W18" s="260">
        <f t="shared" ref="W18:W22" si="20">AVERAGE(CB5:CE5)</f>
        <v>474.59361149999995</v>
      </c>
      <c r="X18" s="260">
        <f t="shared" ref="X18:X22" si="21">AVERAGE(CF5:CI5)</f>
        <v>474.23837682499999</v>
      </c>
      <c r="Y18" s="260">
        <f t="shared" ref="Y18:Y22" si="22">AVERAGE(CJ5:CM5)</f>
        <v>497.9206926</v>
      </c>
      <c r="Z18" s="260">
        <f t="shared" ref="Z18:Z22" si="23">AVERAGE(CN5:CQ5)</f>
        <v>529.77340755</v>
      </c>
      <c r="AA18" s="260">
        <f t="shared" ref="AA18:AA22" si="24">AVERAGE(CR5:CU5)</f>
        <v>578.67738995000002</v>
      </c>
      <c r="AB18" s="260">
        <f t="shared" ref="AB18:AB22" si="25">AVERAGE(CV5:CY5)</f>
        <v>621.30555872499997</v>
      </c>
      <c r="AC18" s="260">
        <f t="shared" ref="AC18:AC22" si="26">AVERAGE(CZ5:DC5)</f>
        <v>659.57274734999999</v>
      </c>
      <c r="AD18" s="260">
        <f t="shared" ref="AD18:AD22" si="27">AVERAGE(DD5:DG5)</f>
        <v>703.28947367499995</v>
      </c>
      <c r="AE18" s="260">
        <f t="shared" ref="AE18:AE22" si="28">AVERAGE(DH5:DK5)</f>
        <v>751.15131577500006</v>
      </c>
      <c r="AF18" s="260">
        <f t="shared" ref="AF18:AF22" si="29">AVERAGE(DL5:DO5)</f>
        <v>787.33552630000008</v>
      </c>
      <c r="AG18" s="260">
        <f t="shared" ref="AG18:AG22" si="30">AVERAGE(DP5:DS5)</f>
        <v>811.34868422499994</v>
      </c>
      <c r="AH18" s="260">
        <f t="shared" ref="AH18:AH22" si="31">AVERAGE(DT5:DW5)</f>
        <v>853.125</v>
      </c>
      <c r="AI18" s="260">
        <f t="shared" ref="AI18:AI22" si="32">AVERAGE(DX5:EA5)</f>
        <v>886.019736825</v>
      </c>
      <c r="AJ18" s="260">
        <f t="shared" ref="AJ18:AJ22" si="33">AVERAGE(EB5:EE5)</f>
        <v>919.57236839999996</v>
      </c>
      <c r="AK18" s="260">
        <f t="shared" ref="AK18:AK22" si="34">AVERAGE(EF5:EI5)</f>
        <v>953.28947367500007</v>
      </c>
      <c r="AL18" s="260">
        <f t="shared" ref="AL18:AL22" si="35">AVERAGE(EJ5:EM5)</f>
        <v>962.82894734999991</v>
      </c>
      <c r="AM18" s="260">
        <f t="shared" ref="AM18:AM22" si="36">AVERAGE(EN5:EQ5)</f>
        <v>979.11184209999999</v>
      </c>
      <c r="AN18" s="260">
        <f t="shared" ref="AN18:AN22" si="37">AVERAGE(ER5:EU5)</f>
        <v>997.87499995000007</v>
      </c>
      <c r="AO18" s="260">
        <f t="shared" ref="AO18:AO22" si="38">AVERAGE(EV5:EY5)</f>
        <v>1023.25</v>
      </c>
      <c r="AP18" s="260">
        <f t="shared" ref="AP18:AP22" si="39">AVERAGE(EZ5:FC5)</f>
        <v>1040.25</v>
      </c>
      <c r="AQ18" s="260">
        <f t="shared" ref="AQ18:AQ22" si="40">AVERAGE(FD5:FG5)</f>
        <v>1052.5</v>
      </c>
      <c r="AR18" s="260">
        <f t="shared" ref="AR18:AR22" si="41">AVERAGE(FH5:FK5)</f>
        <v>1046.25</v>
      </c>
      <c r="AS18" s="260">
        <f t="shared" ref="AS18:AS22" si="42">AVERAGE(FL5:GM5)</f>
        <v>1075.2857142857142</v>
      </c>
      <c r="AT18" s="265">
        <f t="shared" ref="AT18:AT22" si="43">AVERAGE(FP5:FS5)</f>
        <v>1097.6666666666667</v>
      </c>
      <c r="AU18" s="260">
        <f t="shared" ref="AU18:AU22" si="44">TREND(D18:AT18,$D$17:$AT$17,$AU$17:$BU$17)</f>
        <v>1136.5090841258498</v>
      </c>
      <c r="AV18" s="260">
        <v>1161.0855880749295</v>
      </c>
      <c r="AW18" s="260">
        <v>1185.6620920240166</v>
      </c>
      <c r="AX18" s="260">
        <v>1210.2385959730964</v>
      </c>
      <c r="AY18" s="260">
        <v>1234.8150999221834</v>
      </c>
      <c r="AZ18" s="260">
        <v>1259.3916038712705</v>
      </c>
      <c r="BA18" s="265">
        <v>1283.9681078203503</v>
      </c>
      <c r="BB18" s="260">
        <v>1308.5446117694373</v>
      </c>
      <c r="BC18" s="260">
        <v>1333.1211157185244</v>
      </c>
      <c r="BD18" s="260">
        <v>1357.6976196676114</v>
      </c>
      <c r="BE18" s="260">
        <v>1382.2741236166912</v>
      </c>
      <c r="BF18" s="260">
        <v>1406.8506275657783</v>
      </c>
      <c r="BG18" s="260">
        <v>1431.4271315148653</v>
      </c>
      <c r="BH18" s="260">
        <v>1456.0036354639451</v>
      </c>
      <c r="BI18" s="260">
        <v>1480.5801394130322</v>
      </c>
      <c r="BJ18" s="260">
        <v>1505.1566433621192</v>
      </c>
      <c r="BK18" s="260">
        <v>1529.733147311199</v>
      </c>
      <c r="BL18" s="260">
        <v>1554.309651260286</v>
      </c>
      <c r="BM18" s="260">
        <v>1578.8861552093731</v>
      </c>
      <c r="BN18" s="260">
        <v>1603.4626591584602</v>
      </c>
      <c r="BO18" s="260">
        <v>1628.0391631075399</v>
      </c>
      <c r="BP18" s="260">
        <v>1652.615667056627</v>
      </c>
      <c r="BQ18" s="260">
        <v>1677.192171005714</v>
      </c>
      <c r="BR18" s="260">
        <v>1701.7686749547938</v>
      </c>
      <c r="BS18" s="260">
        <v>1726.3451789038809</v>
      </c>
      <c r="BT18" s="260">
        <v>1750.9216828529679</v>
      </c>
      <c r="BU18" s="260">
        <v>1775.4981868020477</v>
      </c>
      <c r="BV18" s="260"/>
      <c r="BW18" s="260"/>
      <c r="BX18" s="260"/>
      <c r="BY18" s="260"/>
      <c r="BZ18" s="260"/>
      <c r="CA18" s="260"/>
      <c r="CB18" s="260"/>
      <c r="CC18" s="260"/>
      <c r="CD18" s="260"/>
      <c r="CE18" s="260"/>
      <c r="CF18" s="260"/>
      <c r="CG18" s="260"/>
      <c r="CH18" s="260"/>
      <c r="CI18" s="260"/>
      <c r="CJ18" s="260"/>
      <c r="CK18" s="260"/>
      <c r="CL18" s="260"/>
      <c r="CM18" s="260"/>
      <c r="CN18" s="260"/>
      <c r="CO18" s="260"/>
      <c r="CP18" s="260"/>
      <c r="CQ18" s="260"/>
      <c r="CR18" s="260"/>
      <c r="CS18" s="260"/>
      <c r="CT18" s="260"/>
      <c r="CU18" s="260"/>
      <c r="CV18" s="260"/>
      <c r="CW18" s="260"/>
      <c r="CX18" s="260"/>
      <c r="CY18" s="260"/>
      <c r="CZ18" s="260"/>
      <c r="DA18" s="260"/>
      <c r="DB18" s="260"/>
      <c r="DC18" s="260"/>
      <c r="DD18" s="260"/>
      <c r="DE18" s="260"/>
      <c r="DF18" s="260"/>
      <c r="DG18" s="260"/>
      <c r="DH18" s="260"/>
      <c r="DI18" s="260"/>
      <c r="DJ18" s="260"/>
      <c r="DK18" s="260"/>
      <c r="DL18" s="260"/>
      <c r="DM18" s="260"/>
      <c r="DN18" s="260"/>
      <c r="DO18" s="260"/>
      <c r="DP18" s="260"/>
      <c r="DQ18" s="260"/>
      <c r="DR18" s="260"/>
      <c r="DS18" s="260"/>
      <c r="DT18" s="260"/>
      <c r="DU18" s="260"/>
      <c r="DV18" s="260"/>
      <c r="DW18" s="260"/>
      <c r="DX18" s="260"/>
      <c r="DY18" s="260"/>
      <c r="DZ18" s="260"/>
      <c r="EA18" s="260"/>
      <c r="EB18" s="260"/>
      <c r="EC18" s="260"/>
      <c r="ED18" s="260"/>
      <c r="EE18" s="260"/>
      <c r="EF18" s="260"/>
    </row>
    <row r="19" spans="3:136" ht="15.75" customHeight="1">
      <c r="C19" s="260" t="s">
        <v>37</v>
      </c>
      <c r="D19" s="260">
        <f t="shared" si="1"/>
        <v>136.86348947499999</v>
      </c>
      <c r="E19" s="260">
        <f t="shared" si="2"/>
        <v>133.01449067499999</v>
      </c>
      <c r="F19" s="260">
        <f t="shared" si="3"/>
        <v>124.79660460000001</v>
      </c>
      <c r="G19" s="260">
        <f t="shared" si="4"/>
        <v>124.601076225</v>
      </c>
      <c r="H19" s="260">
        <f t="shared" si="5"/>
        <v>135.47940042499999</v>
      </c>
      <c r="I19" s="260">
        <f t="shared" si="6"/>
        <v>159.93582035</v>
      </c>
      <c r="J19" s="260">
        <f t="shared" si="7"/>
        <v>183.03266372499999</v>
      </c>
      <c r="K19" s="260">
        <f t="shared" si="8"/>
        <v>209.08808264999999</v>
      </c>
      <c r="L19" s="260">
        <f t="shared" si="9"/>
        <v>232.8860913</v>
      </c>
      <c r="M19" s="260">
        <f t="shared" si="10"/>
        <v>242.45671372500001</v>
      </c>
      <c r="N19" s="260">
        <f t="shared" si="11"/>
        <v>265.11803615000002</v>
      </c>
      <c r="O19" s="260">
        <f t="shared" si="12"/>
        <v>269.50117482499996</v>
      </c>
      <c r="P19" s="260">
        <f t="shared" si="13"/>
        <v>291.5622315</v>
      </c>
      <c r="Q19" s="260">
        <f t="shared" si="14"/>
        <v>317.71541772499995</v>
      </c>
      <c r="R19" s="260">
        <f t="shared" si="15"/>
        <v>355.58376312500002</v>
      </c>
      <c r="S19" s="260">
        <f t="shared" si="16"/>
        <v>378.38050707499997</v>
      </c>
      <c r="T19" s="260">
        <f t="shared" si="17"/>
        <v>405.34276882500001</v>
      </c>
      <c r="U19" s="260">
        <f t="shared" si="18"/>
        <v>427.68509247499998</v>
      </c>
      <c r="V19" s="260">
        <f t="shared" si="19"/>
        <v>433.70721972499996</v>
      </c>
      <c r="W19" s="260">
        <f t="shared" si="20"/>
        <v>451.38325450000002</v>
      </c>
      <c r="X19" s="260">
        <f t="shared" si="21"/>
        <v>472.95435152500005</v>
      </c>
      <c r="Y19" s="260">
        <f t="shared" si="22"/>
        <v>500.53530649999999</v>
      </c>
      <c r="Z19" s="260">
        <f t="shared" si="23"/>
        <v>538.95546957500005</v>
      </c>
      <c r="AA19" s="260">
        <f t="shared" si="24"/>
        <v>601.30774500000007</v>
      </c>
      <c r="AB19" s="260">
        <f t="shared" si="25"/>
        <v>651.10371037499999</v>
      </c>
      <c r="AC19" s="260">
        <f t="shared" si="26"/>
        <v>707.46866509999995</v>
      </c>
      <c r="AD19" s="260">
        <f t="shared" si="27"/>
        <v>763.31258642500006</v>
      </c>
      <c r="AE19" s="260">
        <f t="shared" si="28"/>
        <v>855.63623787500001</v>
      </c>
      <c r="AF19" s="260">
        <f t="shared" si="29"/>
        <v>875.69156292500008</v>
      </c>
      <c r="AG19" s="260">
        <f t="shared" si="30"/>
        <v>913.90041492499995</v>
      </c>
      <c r="AH19" s="260">
        <f t="shared" si="31"/>
        <v>946.92254494999997</v>
      </c>
      <c r="AI19" s="260">
        <f t="shared" si="32"/>
        <v>946.230982025</v>
      </c>
      <c r="AJ19" s="260">
        <f t="shared" si="33"/>
        <v>942.60027665000007</v>
      </c>
      <c r="AK19" s="260">
        <f t="shared" si="34"/>
        <v>963.34716460000004</v>
      </c>
      <c r="AL19" s="260">
        <f t="shared" si="35"/>
        <v>959.54356847499992</v>
      </c>
      <c r="AM19" s="260">
        <f t="shared" si="36"/>
        <v>989.62655602500001</v>
      </c>
      <c r="AN19" s="260">
        <f t="shared" si="37"/>
        <v>1003.614453575</v>
      </c>
      <c r="AO19" s="260">
        <f t="shared" si="38"/>
        <v>1019.5</v>
      </c>
      <c r="AP19" s="260">
        <f t="shared" si="39"/>
        <v>1042.75</v>
      </c>
      <c r="AQ19" s="260">
        <f t="shared" si="40"/>
        <v>1055</v>
      </c>
      <c r="AR19" s="260">
        <f t="shared" si="41"/>
        <v>1057.25</v>
      </c>
      <c r="AS19" s="260">
        <f t="shared" si="42"/>
        <v>1150.2857142857142</v>
      </c>
      <c r="AT19" s="265">
        <f t="shared" si="43"/>
        <v>1212</v>
      </c>
      <c r="AU19" s="260">
        <f t="shared" si="44"/>
        <v>1200.4968352424839</v>
      </c>
      <c r="AV19" s="260">
        <v>1228.1645865168466</v>
      </c>
      <c r="AW19" s="260">
        <v>1255.832337791202</v>
      </c>
      <c r="AX19" s="260">
        <v>1283.5000890655574</v>
      </c>
      <c r="AY19" s="260">
        <v>1311.1678403399128</v>
      </c>
      <c r="AZ19" s="260">
        <v>1338.8355916142755</v>
      </c>
      <c r="BA19" s="265">
        <v>1366.5033428886309</v>
      </c>
      <c r="BB19" s="260">
        <v>1394.1710941629863</v>
      </c>
      <c r="BC19" s="260">
        <v>1421.8388454373417</v>
      </c>
      <c r="BD19" s="260">
        <v>1449.5065967116971</v>
      </c>
      <c r="BE19" s="260">
        <v>1477.1743479860597</v>
      </c>
      <c r="BF19" s="260">
        <v>1504.8420992604151</v>
      </c>
      <c r="BG19" s="260">
        <v>1532.5098505347705</v>
      </c>
      <c r="BH19" s="260">
        <v>1560.1776018091259</v>
      </c>
      <c r="BI19" s="260">
        <v>1587.8453530834813</v>
      </c>
      <c r="BJ19" s="260">
        <v>1615.5131043578367</v>
      </c>
      <c r="BK19" s="260">
        <v>1643.1808556321994</v>
      </c>
      <c r="BL19" s="260">
        <v>1670.8486069065548</v>
      </c>
      <c r="BM19" s="260">
        <v>1698.5163581809102</v>
      </c>
      <c r="BN19" s="260">
        <v>1726.1841094552656</v>
      </c>
      <c r="BO19" s="260">
        <v>1753.851860729621</v>
      </c>
      <c r="BP19" s="260">
        <v>1781.5196120039764</v>
      </c>
      <c r="BQ19" s="260">
        <v>1809.187363278339</v>
      </c>
      <c r="BR19" s="260">
        <v>1836.8551145526944</v>
      </c>
      <c r="BS19" s="260">
        <v>1864.5228658270498</v>
      </c>
      <c r="BT19" s="260">
        <v>1892.1906171014052</v>
      </c>
      <c r="BU19" s="260">
        <v>1919.8583683757606</v>
      </c>
      <c r="BV19" s="260"/>
      <c r="BW19" s="260"/>
      <c r="BX19" s="260"/>
      <c r="BY19" s="260"/>
      <c r="BZ19" s="260"/>
      <c r="CA19" s="260"/>
      <c r="CB19" s="260"/>
      <c r="CC19" s="260"/>
      <c r="CD19" s="260"/>
      <c r="CE19" s="260"/>
      <c r="CF19" s="260"/>
      <c r="CG19" s="260"/>
      <c r="CH19" s="260"/>
      <c r="CI19" s="260"/>
      <c r="CJ19" s="260"/>
      <c r="CK19" s="260"/>
      <c r="CL19" s="260"/>
      <c r="CM19" s="260"/>
      <c r="CN19" s="260"/>
      <c r="CO19" s="260"/>
      <c r="CP19" s="260"/>
      <c r="CQ19" s="260"/>
      <c r="CR19" s="260"/>
      <c r="CS19" s="260"/>
      <c r="CT19" s="260"/>
      <c r="CU19" s="260"/>
      <c r="CV19" s="260"/>
      <c r="CW19" s="260"/>
      <c r="CX19" s="260"/>
      <c r="CY19" s="260"/>
      <c r="CZ19" s="260"/>
      <c r="DA19" s="260"/>
      <c r="DB19" s="260"/>
      <c r="DC19" s="260"/>
      <c r="DD19" s="260"/>
      <c r="DE19" s="260"/>
      <c r="DF19" s="260"/>
      <c r="DG19" s="260"/>
      <c r="DH19" s="260"/>
      <c r="DI19" s="260"/>
      <c r="DJ19" s="260"/>
      <c r="DK19" s="260"/>
      <c r="DL19" s="260"/>
      <c r="DM19" s="260"/>
      <c r="DN19" s="260"/>
      <c r="DO19" s="260"/>
      <c r="DP19" s="260"/>
      <c r="DQ19" s="260"/>
      <c r="DR19" s="260"/>
      <c r="DS19" s="260"/>
      <c r="DT19" s="260"/>
      <c r="DU19" s="260"/>
      <c r="DV19" s="260"/>
      <c r="DW19" s="260"/>
      <c r="DX19" s="260"/>
      <c r="DY19" s="260"/>
      <c r="DZ19" s="260"/>
      <c r="EA19" s="260"/>
      <c r="EB19" s="260"/>
      <c r="EC19" s="260"/>
      <c r="ED19" s="260"/>
      <c r="EE19" s="260"/>
      <c r="EF19" s="260"/>
    </row>
    <row r="20" spans="3:136" ht="15.75" customHeight="1">
      <c r="C20" s="260" t="s">
        <v>601</v>
      </c>
      <c r="D20" s="260">
        <f t="shared" si="1"/>
        <v>200.1464991</v>
      </c>
      <c r="E20" s="260">
        <f t="shared" si="2"/>
        <v>248.88273965000002</v>
      </c>
      <c r="F20" s="260">
        <f t="shared" si="3"/>
        <v>261.66704392499997</v>
      </c>
      <c r="G20" s="260">
        <f t="shared" si="4"/>
        <v>266.47596837500004</v>
      </c>
      <c r="H20" s="260">
        <f t="shared" si="5"/>
        <v>325.183176425</v>
      </c>
      <c r="I20" s="260">
        <f t="shared" si="6"/>
        <v>389.27312745</v>
      </c>
      <c r="J20" s="260">
        <f t="shared" si="7"/>
        <v>447.20672579999996</v>
      </c>
      <c r="K20" s="260">
        <f t="shared" si="8"/>
        <v>464.14947197499998</v>
      </c>
      <c r="L20" s="260">
        <f t="shared" si="9"/>
        <v>472.77417332499999</v>
      </c>
      <c r="M20" s="260">
        <f t="shared" si="10"/>
        <v>474.71632827499997</v>
      </c>
      <c r="N20" s="260">
        <f t="shared" si="11"/>
        <v>485.75594560000002</v>
      </c>
      <c r="O20" s="260">
        <f t="shared" si="12"/>
        <v>490.40805732500002</v>
      </c>
      <c r="P20" s="260">
        <f t="shared" si="13"/>
        <v>485.52827677499999</v>
      </c>
      <c r="Q20" s="260">
        <f t="shared" si="14"/>
        <v>477.337151275</v>
      </c>
      <c r="R20" s="260">
        <f t="shared" si="15"/>
        <v>496.95374637500004</v>
      </c>
      <c r="S20" s="260">
        <f t="shared" si="16"/>
        <v>515.14368002499998</v>
      </c>
      <c r="T20" s="260">
        <f t="shared" si="17"/>
        <v>535.83027167499995</v>
      </c>
      <c r="U20" s="260">
        <f t="shared" si="18"/>
        <v>540.82358692500009</v>
      </c>
      <c r="V20" s="260">
        <f t="shared" si="19"/>
        <v>541.35501825000006</v>
      </c>
      <c r="W20" s="260">
        <f t="shared" si="20"/>
        <v>553.79396057500003</v>
      </c>
      <c r="X20" s="260">
        <f t="shared" si="21"/>
        <v>580.75156147500002</v>
      </c>
      <c r="Y20" s="260">
        <f t="shared" si="22"/>
        <v>605.24603124999999</v>
      </c>
      <c r="Z20" s="260">
        <f t="shared" si="23"/>
        <v>617.28800522500001</v>
      </c>
      <c r="AA20" s="260">
        <f t="shared" si="24"/>
        <v>638.49830005000001</v>
      </c>
      <c r="AB20" s="260">
        <f t="shared" si="25"/>
        <v>684.61358674999997</v>
      </c>
      <c r="AC20" s="260">
        <f t="shared" si="26"/>
        <v>726.493656375</v>
      </c>
      <c r="AD20" s="260">
        <f t="shared" si="27"/>
        <v>748.19233550000001</v>
      </c>
      <c r="AE20" s="260">
        <f t="shared" si="28"/>
        <v>759.94215469999995</v>
      </c>
      <c r="AF20" s="260">
        <f t="shared" si="29"/>
        <v>785.24945769999999</v>
      </c>
      <c r="AG20" s="260">
        <f t="shared" si="30"/>
        <v>804.22993495000014</v>
      </c>
      <c r="AH20" s="260">
        <f t="shared" si="31"/>
        <v>829.898770775</v>
      </c>
      <c r="AI20" s="260">
        <f t="shared" si="32"/>
        <v>853.94070859999988</v>
      </c>
      <c r="AJ20" s="260">
        <f t="shared" si="33"/>
        <v>852.49457700000016</v>
      </c>
      <c r="AK20" s="260">
        <f t="shared" si="34"/>
        <v>877.98264639999991</v>
      </c>
      <c r="AL20" s="260">
        <f t="shared" si="35"/>
        <v>902.2053506499999</v>
      </c>
      <c r="AM20" s="260">
        <f t="shared" si="36"/>
        <v>936.91250904999993</v>
      </c>
      <c r="AN20" s="260">
        <f t="shared" si="37"/>
        <v>989.72324652499992</v>
      </c>
      <c r="AO20" s="260">
        <f t="shared" si="38"/>
        <v>1046.75</v>
      </c>
      <c r="AP20" s="260">
        <f t="shared" si="39"/>
        <v>1099.5</v>
      </c>
      <c r="AQ20" s="260">
        <f t="shared" si="40"/>
        <v>1151.75</v>
      </c>
      <c r="AR20" s="260">
        <f t="shared" si="41"/>
        <v>1184</v>
      </c>
      <c r="AS20" s="260">
        <f t="shared" si="42"/>
        <v>1243.1428571428571</v>
      </c>
      <c r="AT20" s="265">
        <f t="shared" si="43"/>
        <v>1287</v>
      </c>
      <c r="AU20" s="260">
        <f t="shared" si="44"/>
        <v>1151.1465346119003</v>
      </c>
      <c r="AV20" s="260">
        <v>1172.9436702874809</v>
      </c>
      <c r="AW20" s="260">
        <v>1194.7408059630543</v>
      </c>
      <c r="AX20" s="260">
        <v>1216.5379416386277</v>
      </c>
      <c r="AY20" s="260">
        <v>1238.3350773142083</v>
      </c>
      <c r="AZ20" s="260">
        <v>1260.1322129897817</v>
      </c>
      <c r="BA20" s="265">
        <v>1281.9293486653551</v>
      </c>
      <c r="BB20" s="260">
        <v>1303.7264843409284</v>
      </c>
      <c r="BC20" s="260">
        <v>1325.5236200165018</v>
      </c>
      <c r="BD20" s="260">
        <v>1347.3207556920825</v>
      </c>
      <c r="BE20" s="260">
        <v>1369.1178913676558</v>
      </c>
      <c r="BF20" s="260">
        <v>1390.9150270432292</v>
      </c>
      <c r="BG20" s="260">
        <v>1412.7121627188026</v>
      </c>
      <c r="BH20" s="260">
        <v>1434.5092983943832</v>
      </c>
      <c r="BI20" s="260">
        <v>1456.3064340699566</v>
      </c>
      <c r="BJ20" s="260">
        <v>1478.10356974553</v>
      </c>
      <c r="BK20" s="260">
        <v>1499.9007054211033</v>
      </c>
      <c r="BL20" s="260">
        <v>1521.6978410966767</v>
      </c>
      <c r="BM20" s="260">
        <v>1543.4949767722574</v>
      </c>
      <c r="BN20" s="260">
        <v>1565.2921124478307</v>
      </c>
      <c r="BO20" s="260">
        <v>1587.0892481234041</v>
      </c>
      <c r="BP20" s="260">
        <v>1608.8863837989775</v>
      </c>
      <c r="BQ20" s="260">
        <v>1630.6835194745581</v>
      </c>
      <c r="BR20" s="260">
        <v>1652.4806551501315</v>
      </c>
      <c r="BS20" s="260">
        <v>1674.2777908257049</v>
      </c>
      <c r="BT20" s="260">
        <v>1696.0749265012782</v>
      </c>
      <c r="BU20" s="260">
        <v>1717.8720621768516</v>
      </c>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row>
    <row r="21" spans="3:136" ht="15.75" customHeight="1">
      <c r="C21" s="260" t="s">
        <v>40</v>
      </c>
      <c r="D21" s="260">
        <f t="shared" si="1"/>
        <v>296.09902477499998</v>
      </c>
      <c r="E21" s="260">
        <f t="shared" si="2"/>
        <v>339.06044754999999</v>
      </c>
      <c r="F21" s="260">
        <f t="shared" si="3"/>
        <v>358.85489460000002</v>
      </c>
      <c r="G21" s="260">
        <f t="shared" si="4"/>
        <v>395.95494192500001</v>
      </c>
      <c r="H21" s="260">
        <f t="shared" si="5"/>
        <v>470.365329675</v>
      </c>
      <c r="I21" s="260">
        <f t="shared" si="6"/>
        <v>424.21818237499997</v>
      </c>
      <c r="J21" s="260">
        <f t="shared" si="7"/>
        <v>460.67392565</v>
      </c>
      <c r="K21" s="260">
        <f t="shared" si="8"/>
        <v>455.74768570000003</v>
      </c>
      <c r="L21" s="260">
        <f t="shared" si="9"/>
        <v>458.70410045</v>
      </c>
      <c r="M21" s="260">
        <f t="shared" si="10"/>
        <v>489.92711207499997</v>
      </c>
      <c r="N21" s="260">
        <f t="shared" si="11"/>
        <v>502.39372075</v>
      </c>
      <c r="O21" s="260">
        <f t="shared" si="12"/>
        <v>508.31550022499999</v>
      </c>
      <c r="P21" s="260">
        <f t="shared" si="13"/>
        <v>503.799779925</v>
      </c>
      <c r="Q21" s="260">
        <f t="shared" si="14"/>
        <v>479.85009375000004</v>
      </c>
      <c r="R21" s="260">
        <f t="shared" si="15"/>
        <v>479.97182145000005</v>
      </c>
      <c r="S21" s="260">
        <f t="shared" si="16"/>
        <v>482.284645275</v>
      </c>
      <c r="T21" s="260">
        <f t="shared" si="17"/>
        <v>483.258466075</v>
      </c>
      <c r="U21" s="260">
        <f t="shared" si="18"/>
        <v>453.55693817500003</v>
      </c>
      <c r="V21" s="260">
        <f t="shared" si="19"/>
        <v>456.494954925</v>
      </c>
      <c r="W21" s="260">
        <f t="shared" si="20"/>
        <v>569.43964042499999</v>
      </c>
      <c r="X21" s="260">
        <f t="shared" si="21"/>
        <v>557.98166717499998</v>
      </c>
      <c r="Y21" s="260">
        <f t="shared" si="22"/>
        <v>548.57748192500003</v>
      </c>
      <c r="Z21" s="260">
        <f t="shared" si="23"/>
        <v>560.25164307499995</v>
      </c>
      <c r="AA21" s="260">
        <f t="shared" si="24"/>
        <v>620.78433079999991</v>
      </c>
      <c r="AB21" s="260">
        <f t="shared" si="25"/>
        <v>702.71964734999995</v>
      </c>
      <c r="AC21" s="260">
        <f t="shared" si="26"/>
        <v>827.04351874999998</v>
      </c>
      <c r="AD21" s="260">
        <f t="shared" si="27"/>
        <v>821.42857142499997</v>
      </c>
      <c r="AE21" s="260">
        <f t="shared" si="28"/>
        <v>963.61607142499997</v>
      </c>
      <c r="AF21" s="260">
        <f t="shared" si="29"/>
        <v>854.4642857</v>
      </c>
      <c r="AG21" s="260">
        <f t="shared" si="30"/>
        <v>941.9642857</v>
      </c>
      <c r="AH21" s="260">
        <f t="shared" si="31"/>
        <v>1097.0982142500002</v>
      </c>
      <c r="AI21" s="260">
        <f t="shared" si="32"/>
        <v>1117.1874997499999</v>
      </c>
      <c r="AJ21" s="260">
        <f t="shared" si="33"/>
        <v>1122.5446430000002</v>
      </c>
      <c r="AK21" s="260">
        <f t="shared" si="34"/>
        <v>1114.7321427500001</v>
      </c>
      <c r="AL21" s="260">
        <f t="shared" si="35"/>
        <v>1010.937499975</v>
      </c>
      <c r="AM21" s="260">
        <f t="shared" si="36"/>
        <v>946.65178569999989</v>
      </c>
      <c r="AN21" s="260">
        <f t="shared" si="37"/>
        <v>1011.419642825</v>
      </c>
      <c r="AO21" s="260">
        <f t="shared" si="38"/>
        <v>1125.25</v>
      </c>
      <c r="AP21" s="260">
        <f t="shared" si="39"/>
        <v>1125.25</v>
      </c>
      <c r="AQ21" s="260">
        <f t="shared" si="40"/>
        <v>1030.25</v>
      </c>
      <c r="AR21" s="260">
        <f t="shared" si="41"/>
        <v>1190</v>
      </c>
      <c r="AS21" s="260">
        <f t="shared" si="42"/>
        <v>1406.2857142857142</v>
      </c>
      <c r="AT21" s="265">
        <f t="shared" si="43"/>
        <v>1367.6666666666667</v>
      </c>
      <c r="AU21" s="260">
        <f t="shared" si="44"/>
        <v>1237.9832603373943</v>
      </c>
      <c r="AV21" s="260">
        <v>1261.3449978386852</v>
      </c>
      <c r="AW21" s="260">
        <v>1284.7067353399907</v>
      </c>
      <c r="AX21" s="260">
        <v>1308.0684728412889</v>
      </c>
      <c r="AY21" s="260">
        <v>1331.4302103425871</v>
      </c>
      <c r="AZ21" s="260">
        <v>1354.7919478438926</v>
      </c>
      <c r="BA21" s="265">
        <v>1378.1536853451908</v>
      </c>
      <c r="BB21" s="260">
        <v>1401.5154228464962</v>
      </c>
      <c r="BC21" s="260">
        <v>1424.8771603477944</v>
      </c>
      <c r="BD21" s="260">
        <v>1448.2388978490926</v>
      </c>
      <c r="BE21" s="260">
        <v>1471.6006353503981</v>
      </c>
      <c r="BF21" s="260">
        <v>1494.9623728516963</v>
      </c>
      <c r="BG21" s="260">
        <v>1518.3241103529945</v>
      </c>
      <c r="BH21" s="260">
        <v>1541.6858478542999</v>
      </c>
      <c r="BI21" s="260">
        <v>1565.0475853555981</v>
      </c>
      <c r="BJ21" s="260">
        <v>1588.4093228569036</v>
      </c>
      <c r="BK21" s="260">
        <v>1611.7710603582018</v>
      </c>
      <c r="BL21" s="260">
        <v>1635.1327978595</v>
      </c>
      <c r="BM21" s="260">
        <v>1658.4945353608055</v>
      </c>
      <c r="BN21" s="260">
        <v>1681.8562728621037</v>
      </c>
      <c r="BO21" s="260">
        <v>1705.2180103634018</v>
      </c>
      <c r="BP21" s="260">
        <v>1728.5797478647073</v>
      </c>
      <c r="BQ21" s="260">
        <v>1751.9414853660055</v>
      </c>
      <c r="BR21" s="260">
        <v>1775.303222867311</v>
      </c>
      <c r="BS21" s="260">
        <v>1798.6649603686092</v>
      </c>
      <c r="BT21" s="260">
        <v>1822.0266978699074</v>
      </c>
      <c r="BU21" s="260">
        <v>1845.3884353712128</v>
      </c>
      <c r="BV21" s="260"/>
      <c r="BW21" s="260"/>
      <c r="BX21" s="260"/>
      <c r="BY21" s="260"/>
      <c r="BZ21" s="260"/>
      <c r="CA21" s="260"/>
      <c r="CB21" s="260"/>
      <c r="CC21" s="260"/>
      <c r="CD21" s="260"/>
      <c r="CE21" s="260"/>
      <c r="CF21" s="260"/>
      <c r="CG21" s="260"/>
      <c r="CH21" s="260"/>
      <c r="CI21" s="260"/>
      <c r="CJ21" s="260"/>
      <c r="CK21" s="260"/>
      <c r="CL21" s="260"/>
      <c r="CM21" s="260"/>
      <c r="CN21" s="260"/>
      <c r="CO21" s="260"/>
      <c r="CP21" s="260"/>
      <c r="CQ21" s="260"/>
      <c r="CR21" s="260"/>
      <c r="CS21" s="260"/>
      <c r="CT21" s="260"/>
      <c r="CU21" s="260"/>
      <c r="CV21" s="260"/>
      <c r="CW21" s="260"/>
      <c r="CX21" s="260"/>
      <c r="CY21" s="260"/>
      <c r="CZ21" s="260"/>
      <c r="DA21" s="260"/>
      <c r="DB21" s="260"/>
      <c r="DC21" s="260"/>
      <c r="DD21" s="260"/>
      <c r="DE21" s="260"/>
      <c r="DF21" s="260"/>
      <c r="DG21" s="260"/>
      <c r="DH21" s="260"/>
      <c r="DI21" s="260"/>
      <c r="DJ21" s="260"/>
      <c r="DK21" s="260"/>
      <c r="DL21" s="260"/>
      <c r="DM21" s="260"/>
      <c r="DN21" s="260"/>
      <c r="DO21" s="260"/>
      <c r="DP21" s="260"/>
      <c r="DQ21" s="260"/>
      <c r="DR21" s="260"/>
      <c r="DS21" s="260"/>
      <c r="DT21" s="260"/>
      <c r="DU21" s="260"/>
      <c r="DV21" s="260"/>
      <c r="DW21" s="260"/>
      <c r="DX21" s="260"/>
      <c r="DY21" s="260"/>
      <c r="DZ21" s="260"/>
      <c r="EA21" s="260"/>
      <c r="EB21" s="260"/>
      <c r="EC21" s="260"/>
      <c r="ED21" s="260"/>
      <c r="EE21" s="260"/>
      <c r="EF21" s="260"/>
    </row>
    <row r="22" spans="3:136" ht="15.75" customHeight="1">
      <c r="C22" s="260" t="s">
        <v>602</v>
      </c>
      <c r="D22" s="260">
        <f t="shared" si="1"/>
        <v>245.33562664999999</v>
      </c>
      <c r="E22" s="260">
        <f t="shared" si="2"/>
        <v>284.99092782499997</v>
      </c>
      <c r="F22" s="260">
        <f t="shared" si="3"/>
        <v>305.912324625</v>
      </c>
      <c r="G22" s="260">
        <f t="shared" si="4"/>
        <v>324.79094004999996</v>
      </c>
      <c r="H22" s="260">
        <f t="shared" si="5"/>
        <v>374.86610667500003</v>
      </c>
      <c r="I22" s="260">
        <f t="shared" si="6"/>
        <v>424.39866270000005</v>
      </c>
      <c r="J22" s="260">
        <f t="shared" si="7"/>
        <v>491.21722857500004</v>
      </c>
      <c r="K22" s="260">
        <f t="shared" si="8"/>
        <v>522.53358647499999</v>
      </c>
      <c r="L22" s="260">
        <f t="shared" si="9"/>
        <v>552.40156279999997</v>
      </c>
      <c r="M22" s="260">
        <f t="shared" si="10"/>
        <v>586.08943720000002</v>
      </c>
      <c r="N22" s="260">
        <f t="shared" si="11"/>
        <v>601.34182137499999</v>
      </c>
      <c r="O22" s="260">
        <f t="shared" si="12"/>
        <v>607.44277510000006</v>
      </c>
      <c r="P22" s="260">
        <f t="shared" si="13"/>
        <v>615.26791107500003</v>
      </c>
      <c r="Q22" s="260">
        <f t="shared" si="14"/>
        <v>626.00665047500001</v>
      </c>
      <c r="R22" s="260">
        <f t="shared" si="15"/>
        <v>649.51282932499998</v>
      </c>
      <c r="S22" s="260">
        <f t="shared" si="16"/>
        <v>664.35883664999994</v>
      </c>
      <c r="T22" s="260">
        <f t="shared" si="17"/>
        <v>672.24577812500002</v>
      </c>
      <c r="U22" s="260">
        <f t="shared" si="18"/>
        <v>680.75130342499995</v>
      </c>
      <c r="V22" s="260">
        <f t="shared" si="19"/>
        <v>679.97343412500004</v>
      </c>
      <c r="W22" s="260">
        <f t="shared" si="20"/>
        <v>697.75632237499997</v>
      </c>
      <c r="X22" s="260">
        <f t="shared" si="21"/>
        <v>716.07815152500007</v>
      </c>
      <c r="Y22" s="260">
        <f t="shared" si="22"/>
        <v>735.24821310000004</v>
      </c>
      <c r="Z22" s="260">
        <f t="shared" si="23"/>
        <v>748.14135194999994</v>
      </c>
      <c r="AA22" s="260">
        <f t="shared" si="24"/>
        <v>765.27565520000007</v>
      </c>
      <c r="AB22" s="260">
        <f t="shared" si="25"/>
        <v>788.5172346999999</v>
      </c>
      <c r="AC22" s="260">
        <f t="shared" si="26"/>
        <v>815.05402897499994</v>
      </c>
      <c r="AD22" s="260">
        <f t="shared" si="27"/>
        <v>834.42088092499989</v>
      </c>
      <c r="AE22" s="260">
        <f t="shared" si="28"/>
        <v>867.45513865000009</v>
      </c>
      <c r="AF22" s="260">
        <f t="shared" si="29"/>
        <v>885.807504075</v>
      </c>
      <c r="AG22" s="260">
        <f t="shared" si="30"/>
        <v>906.19902120000006</v>
      </c>
      <c r="AH22" s="260">
        <f t="shared" si="31"/>
        <v>942.69983687499996</v>
      </c>
      <c r="AI22" s="260">
        <f t="shared" si="32"/>
        <v>952.69168024999999</v>
      </c>
      <c r="AJ22" s="260">
        <f t="shared" si="33"/>
        <v>963.49918435000006</v>
      </c>
      <c r="AK22" s="260">
        <f t="shared" si="34"/>
        <v>975.32626427500009</v>
      </c>
      <c r="AL22" s="260">
        <f t="shared" si="35"/>
        <v>978.18107667499999</v>
      </c>
      <c r="AM22" s="260">
        <f t="shared" si="36"/>
        <v>984.50244690000011</v>
      </c>
      <c r="AN22" s="260">
        <f t="shared" si="37"/>
        <v>1002.723491</v>
      </c>
      <c r="AO22" s="260">
        <f t="shared" si="38"/>
        <v>1018.75</v>
      </c>
      <c r="AP22" s="260">
        <f t="shared" si="39"/>
        <v>1035.25</v>
      </c>
      <c r="AQ22" s="260">
        <f t="shared" si="40"/>
        <v>1053</v>
      </c>
      <c r="AR22" s="260">
        <f t="shared" si="41"/>
        <v>1094.5</v>
      </c>
      <c r="AS22" s="260">
        <f t="shared" si="42"/>
        <v>1199.1428571428571</v>
      </c>
      <c r="AT22" s="265">
        <f t="shared" si="43"/>
        <v>1234</v>
      </c>
      <c r="AU22" s="260">
        <f t="shared" si="44"/>
        <v>1177.0163244321666</v>
      </c>
      <c r="AV22" s="260">
        <v>1196.5808528329944</v>
      </c>
      <c r="AW22" s="260">
        <v>1216.1453812338295</v>
      </c>
      <c r="AX22" s="260">
        <v>1235.7099096346647</v>
      </c>
      <c r="AY22" s="260">
        <v>1255.2744380354998</v>
      </c>
      <c r="AZ22" s="260">
        <v>1274.8389664363349</v>
      </c>
      <c r="BA22" s="265">
        <v>1294.40349483717</v>
      </c>
      <c r="BB22" s="260">
        <v>1313.9680232380051</v>
      </c>
      <c r="BC22" s="260">
        <v>1333.5325516388402</v>
      </c>
      <c r="BD22" s="260">
        <v>1353.0970800396753</v>
      </c>
      <c r="BE22" s="260">
        <v>1372.6616084405105</v>
      </c>
      <c r="BF22" s="260">
        <v>1392.2261368413456</v>
      </c>
      <c r="BG22" s="260">
        <v>1411.7906652421807</v>
      </c>
      <c r="BH22" s="260">
        <v>1431.3551936430158</v>
      </c>
      <c r="BI22" s="260">
        <v>1450.9197220438582</v>
      </c>
      <c r="BJ22" s="260">
        <v>1470.4842504446933</v>
      </c>
      <c r="BK22" s="260">
        <v>1490.0487788455284</v>
      </c>
      <c r="BL22" s="260">
        <v>1509.6133072463635</v>
      </c>
      <c r="BM22" s="260">
        <v>1529.1778356471987</v>
      </c>
      <c r="BN22" s="260">
        <v>1548.7423640480338</v>
      </c>
      <c r="BO22" s="260">
        <v>1568.3068924488689</v>
      </c>
      <c r="BP22" s="260">
        <v>1587.871420849704</v>
      </c>
      <c r="BQ22" s="260">
        <v>1607.4359492505391</v>
      </c>
      <c r="BR22" s="260">
        <v>1627.0004776513742</v>
      </c>
      <c r="BS22" s="260">
        <v>1646.5650060522094</v>
      </c>
      <c r="BT22" s="260">
        <v>1666.1295344530445</v>
      </c>
      <c r="BU22" s="260">
        <v>1685.6940628538796</v>
      </c>
      <c r="BV22" s="260"/>
      <c r="BW22" s="260"/>
      <c r="BX22" s="260"/>
      <c r="BY22" s="260"/>
      <c r="BZ22" s="260"/>
      <c r="CA22" s="260"/>
      <c r="CB22" s="260"/>
      <c r="CC22" s="260"/>
      <c r="CD22" s="260"/>
      <c r="CE22" s="260"/>
      <c r="CF22" s="260"/>
      <c r="CG22" s="260"/>
      <c r="CH22" s="260"/>
      <c r="CI22" s="260"/>
      <c r="CJ22" s="260"/>
      <c r="CK22" s="260"/>
      <c r="CL22" s="260"/>
      <c r="CM22" s="260"/>
      <c r="CN22" s="260"/>
      <c r="CO22" s="260"/>
      <c r="CP22" s="260"/>
      <c r="CQ22" s="260"/>
      <c r="CR22" s="260"/>
      <c r="CS22" s="260"/>
      <c r="CT22" s="260"/>
      <c r="CU22" s="260"/>
      <c r="CV22" s="260"/>
      <c r="CW22" s="260"/>
      <c r="CX22" s="260"/>
      <c r="CY22" s="260"/>
      <c r="CZ22" s="260"/>
      <c r="DA22" s="260"/>
      <c r="DB22" s="260"/>
      <c r="DC22" s="260"/>
      <c r="DD22" s="260"/>
      <c r="DE22" s="260"/>
      <c r="DF22" s="260"/>
      <c r="DG22" s="260"/>
      <c r="DH22" s="260"/>
      <c r="DI22" s="260"/>
      <c r="DJ22" s="260"/>
      <c r="DK22" s="260"/>
      <c r="DL22" s="260"/>
      <c r="DM22" s="260"/>
      <c r="DN22" s="260"/>
      <c r="DO22" s="260"/>
      <c r="DP22" s="260"/>
      <c r="DQ22" s="260"/>
      <c r="DR22" s="260"/>
      <c r="DS22" s="260"/>
      <c r="DT22" s="260"/>
      <c r="DU22" s="260"/>
      <c r="DV22" s="260"/>
      <c r="DW22" s="260"/>
      <c r="DX22" s="260"/>
      <c r="DY22" s="260"/>
      <c r="DZ22" s="260"/>
      <c r="EA22" s="260"/>
      <c r="EB22" s="260"/>
      <c r="EC22" s="260"/>
      <c r="ED22" s="260"/>
      <c r="EE22" s="260"/>
      <c r="EF22" s="260"/>
    </row>
    <row r="23" spans="3:136" ht="15.75" customHeight="1">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51"/>
      <c r="AU23" s="9"/>
      <c r="AV23" s="9"/>
      <c r="AW23" s="9"/>
      <c r="AX23" s="9"/>
      <c r="AY23" s="9"/>
      <c r="AZ23" s="9"/>
      <c r="BA23" s="51"/>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row>
    <row r="24" spans="3:136" ht="15.75" customHeight="1">
      <c r="C24" s="9" t="s">
        <v>608</v>
      </c>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t="s">
        <v>609</v>
      </c>
      <c r="AG24" s="9"/>
      <c r="AH24" s="9"/>
      <c r="AI24" s="9"/>
      <c r="AJ24" s="9"/>
      <c r="AK24" s="9"/>
      <c r="AL24" s="9"/>
      <c r="AM24" s="9"/>
      <c r="AN24" s="9"/>
      <c r="AO24" s="9"/>
      <c r="AP24" s="9"/>
      <c r="AQ24" s="9"/>
      <c r="AR24" s="9"/>
      <c r="AS24" s="9"/>
      <c r="AT24" s="51"/>
      <c r="AU24" s="9"/>
      <c r="AV24" s="9"/>
      <c r="AW24" s="9"/>
      <c r="AX24" s="9"/>
      <c r="AY24" s="9"/>
      <c r="AZ24" s="9"/>
      <c r="BA24" s="51"/>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row>
    <row r="25" spans="3:136" ht="15.75" customHeight="1">
      <c r="C25" s="9" t="s">
        <v>610</v>
      </c>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t="s">
        <v>37</v>
      </c>
      <c r="AJ25" s="9"/>
      <c r="AK25" s="9"/>
      <c r="AL25" s="9"/>
      <c r="AM25" s="9"/>
      <c r="AN25" s="9"/>
      <c r="AO25" s="9"/>
      <c r="AP25" s="9"/>
      <c r="AQ25" s="9"/>
      <c r="AR25" s="9"/>
      <c r="AS25" s="9"/>
      <c r="AT25" s="51"/>
      <c r="AU25" s="9"/>
      <c r="AV25" s="9"/>
      <c r="AW25" s="9"/>
      <c r="AX25" s="9"/>
      <c r="AY25" s="9"/>
      <c r="AZ25" s="9"/>
      <c r="BA25" s="51"/>
      <c r="BB25" s="9"/>
      <c r="BC25" s="9"/>
      <c r="BD25" s="9"/>
      <c r="BE25" s="9"/>
      <c r="BF25" s="9"/>
      <c r="BG25" s="9"/>
      <c r="BH25" s="9"/>
      <c r="BI25" s="9"/>
      <c r="BJ25" s="9"/>
      <c r="BK25" s="9"/>
      <c r="BL25" s="9"/>
      <c r="BM25" s="9"/>
      <c r="BN25" s="9" t="s">
        <v>37</v>
      </c>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row>
    <row r="26" spans="3:136" ht="15.75" customHeight="1">
      <c r="C26" s="9" t="s">
        <v>611</v>
      </c>
      <c r="D26" s="9"/>
      <c r="E26" s="9"/>
      <c r="F26" s="9"/>
      <c r="G26" s="9"/>
      <c r="H26" s="9"/>
      <c r="I26" s="9"/>
      <c r="J26" s="9"/>
      <c r="K26" s="9"/>
      <c r="L26" s="9"/>
      <c r="M26" s="9"/>
      <c r="N26" s="9" t="s">
        <v>601</v>
      </c>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51"/>
      <c r="AU26" s="9"/>
      <c r="AV26" s="9"/>
      <c r="AW26" s="9"/>
      <c r="AX26" s="9"/>
      <c r="AY26" s="9"/>
      <c r="AZ26" s="9"/>
      <c r="BA26" s="51"/>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row>
    <row r="27" spans="3:136" ht="15.75" customHeight="1">
      <c r="C27" s="9" t="s">
        <v>612</v>
      </c>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t="s">
        <v>40</v>
      </c>
      <c r="AT27" s="51"/>
      <c r="AU27" s="9"/>
      <c r="AV27" s="9"/>
      <c r="AW27" s="9"/>
      <c r="AX27" s="9"/>
      <c r="AY27" s="9"/>
      <c r="AZ27" s="9"/>
      <c r="BA27" s="51"/>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t="s">
        <v>40</v>
      </c>
    </row>
    <row r="28" spans="3:136" ht="15.75" customHeight="1">
      <c r="C28" s="9" t="s">
        <v>613</v>
      </c>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51"/>
      <c r="AU28" s="9"/>
      <c r="AV28" s="9"/>
      <c r="AW28" s="9"/>
      <c r="AX28" s="9"/>
      <c r="AY28" s="9"/>
      <c r="AZ28" s="9"/>
      <c r="BA28" s="51"/>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t="s">
        <v>602</v>
      </c>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row>
    <row r="29" spans="3:136" ht="15.75" customHeight="1">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51"/>
      <c r="AU29" s="9"/>
      <c r="AV29" s="9"/>
      <c r="AW29" s="9"/>
      <c r="AX29" s="9"/>
      <c r="AY29" s="9"/>
      <c r="AZ29" s="9"/>
      <c r="BA29" s="51"/>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row>
    <row r="30" spans="3:136" ht="15.75" customHeight="1">
      <c r="C30" s="9" t="s">
        <v>614</v>
      </c>
      <c r="D30" s="9"/>
      <c r="E30" s="9"/>
      <c r="F30" s="9"/>
      <c r="G30" s="9"/>
      <c r="H30" s="9"/>
      <c r="I30" s="9"/>
      <c r="J30" s="9"/>
      <c r="K30" s="9"/>
      <c r="L30" s="9"/>
      <c r="M30" s="9"/>
      <c r="N30" s="9"/>
      <c r="O30" s="9"/>
      <c r="P30" s="9"/>
      <c r="Q30" s="9"/>
      <c r="R30" s="9" t="s">
        <v>38</v>
      </c>
      <c r="S30" s="9"/>
      <c r="T30" s="9"/>
      <c r="U30" s="9"/>
      <c r="V30" s="9"/>
      <c r="W30" s="9"/>
      <c r="X30" s="9"/>
      <c r="Y30" s="9"/>
      <c r="Z30" s="9"/>
      <c r="AA30" s="9"/>
      <c r="AB30" s="9"/>
      <c r="AC30" s="9"/>
      <c r="AD30" s="9"/>
      <c r="AE30" s="9"/>
      <c r="AF30" s="9"/>
      <c r="AG30" s="9"/>
      <c r="AH30" s="9"/>
      <c r="AI30" s="9"/>
      <c r="AJ30" s="9"/>
      <c r="AK30" s="9"/>
      <c r="AL30" s="9"/>
      <c r="AM30" s="9" t="s">
        <v>38</v>
      </c>
      <c r="AN30" s="9"/>
      <c r="AO30" s="9"/>
      <c r="AP30" s="9"/>
      <c r="AQ30" s="9"/>
      <c r="AR30" s="9"/>
      <c r="AS30" s="9"/>
      <c r="AT30" s="51"/>
      <c r="AU30" s="9"/>
      <c r="AV30" s="9"/>
      <c r="AW30" s="9"/>
      <c r="AX30" s="9"/>
      <c r="AY30" s="9"/>
      <c r="AZ30" s="9"/>
      <c r="BA30" s="51"/>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row>
    <row r="31" spans="3:136" ht="15.75" customHeight="1">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51"/>
      <c r="AU31" s="9"/>
      <c r="AV31" s="9"/>
      <c r="AW31" s="9"/>
      <c r="AX31" s="9"/>
      <c r="AY31" s="9"/>
      <c r="AZ31" s="9"/>
      <c r="BA31" s="51"/>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row>
    <row r="32" spans="3:136" ht="15.75" customHeight="1">
      <c r="C32" s="9" t="s">
        <v>615</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t="s">
        <v>616</v>
      </c>
      <c r="AI32" s="9"/>
      <c r="AJ32" s="9"/>
      <c r="AK32" s="9"/>
      <c r="AL32" s="9"/>
      <c r="AM32" s="9"/>
      <c r="AN32" s="9"/>
      <c r="AO32" s="9"/>
      <c r="AP32" s="9"/>
      <c r="AQ32" s="9"/>
      <c r="AR32" s="9"/>
      <c r="AS32" s="9"/>
      <c r="AT32" s="51"/>
      <c r="AU32" s="9"/>
      <c r="AV32" s="9"/>
      <c r="AW32" s="9"/>
      <c r="AX32" s="9"/>
      <c r="AY32" s="9"/>
      <c r="AZ32" s="9"/>
      <c r="BA32" s="51"/>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row>
    <row r="38" spans="3:73" ht="12.95">
      <c r="C38" s="57" t="s">
        <v>617</v>
      </c>
      <c r="D38" s="266">
        <f t="shared" ref="D38:BR38" si="45">D1</f>
        <v>1981</v>
      </c>
      <c r="E38" s="266">
        <f t="shared" si="45"/>
        <v>1982</v>
      </c>
      <c r="F38" s="266">
        <f t="shared" si="45"/>
        <v>1983</v>
      </c>
      <c r="G38" s="266">
        <f t="shared" si="45"/>
        <v>1984</v>
      </c>
      <c r="H38" s="266">
        <f t="shared" si="45"/>
        <v>1985</v>
      </c>
      <c r="I38" s="266">
        <f t="shared" si="45"/>
        <v>1986</v>
      </c>
      <c r="J38" s="266">
        <f t="shared" si="45"/>
        <v>1987</v>
      </c>
      <c r="K38" s="266">
        <f t="shared" si="45"/>
        <v>1988</v>
      </c>
      <c r="L38" s="266">
        <f t="shared" si="45"/>
        <v>1989</v>
      </c>
      <c r="M38" s="266">
        <f t="shared" si="45"/>
        <v>1990</v>
      </c>
      <c r="N38" s="266">
        <f t="shared" si="45"/>
        <v>1991</v>
      </c>
      <c r="O38" s="266">
        <f t="shared" si="45"/>
        <v>1992</v>
      </c>
      <c r="P38" s="266">
        <f t="shared" si="45"/>
        <v>1993</v>
      </c>
      <c r="Q38" s="266">
        <f t="shared" si="45"/>
        <v>1994</v>
      </c>
      <c r="R38" s="266">
        <f t="shared" si="45"/>
        <v>1995</v>
      </c>
      <c r="S38" s="266">
        <f t="shared" si="45"/>
        <v>1996</v>
      </c>
      <c r="T38" s="266">
        <f t="shared" si="45"/>
        <v>1997</v>
      </c>
      <c r="U38" s="266">
        <f t="shared" si="45"/>
        <v>1998</v>
      </c>
      <c r="V38" s="266">
        <f t="shared" si="45"/>
        <v>1999</v>
      </c>
      <c r="W38" s="266">
        <f t="shared" si="45"/>
        <v>2000</v>
      </c>
      <c r="X38" s="266">
        <f t="shared" si="45"/>
        <v>2001</v>
      </c>
      <c r="Y38" s="266">
        <f t="shared" si="45"/>
        <v>2002</v>
      </c>
      <c r="Z38" s="266">
        <f t="shared" si="45"/>
        <v>2003</v>
      </c>
      <c r="AA38" s="266">
        <f t="shared" si="45"/>
        <v>2004</v>
      </c>
      <c r="AB38" s="266">
        <f t="shared" si="45"/>
        <v>2005</v>
      </c>
      <c r="AC38" s="266">
        <f t="shared" si="45"/>
        <v>2006</v>
      </c>
      <c r="AD38" s="266">
        <f t="shared" si="45"/>
        <v>2007</v>
      </c>
      <c r="AE38" s="266">
        <f t="shared" si="45"/>
        <v>2008</v>
      </c>
      <c r="AF38" s="266">
        <f t="shared" si="45"/>
        <v>2009</v>
      </c>
      <c r="AG38" s="266">
        <f t="shared" si="45"/>
        <v>2010</v>
      </c>
      <c r="AH38" s="266">
        <f t="shared" si="45"/>
        <v>2011</v>
      </c>
      <c r="AI38" s="266">
        <f t="shared" si="45"/>
        <v>2012</v>
      </c>
      <c r="AJ38" s="266">
        <f t="shared" si="45"/>
        <v>2013</v>
      </c>
      <c r="AK38" s="266">
        <f t="shared" si="45"/>
        <v>2014</v>
      </c>
      <c r="AL38" s="266">
        <f t="shared" si="45"/>
        <v>2015</v>
      </c>
      <c r="AM38" s="266">
        <f t="shared" si="45"/>
        <v>2016</v>
      </c>
      <c r="AN38" s="266">
        <f t="shared" si="45"/>
        <v>2017</v>
      </c>
      <c r="AO38" s="266">
        <f t="shared" si="45"/>
        <v>2018</v>
      </c>
      <c r="AP38" s="266">
        <f t="shared" si="45"/>
        <v>2019</v>
      </c>
      <c r="AQ38" s="266">
        <f t="shared" si="45"/>
        <v>2020</v>
      </c>
      <c r="AR38" s="266">
        <f t="shared" si="45"/>
        <v>2021</v>
      </c>
      <c r="AS38" s="266">
        <f t="shared" si="45"/>
        <v>2022</v>
      </c>
      <c r="AT38" s="266">
        <f t="shared" si="45"/>
        <v>2023</v>
      </c>
      <c r="AU38" s="266">
        <f t="shared" si="45"/>
        <v>2024</v>
      </c>
      <c r="AV38" s="266">
        <f t="shared" si="45"/>
        <v>2025</v>
      </c>
      <c r="AW38" s="266">
        <f t="shared" si="45"/>
        <v>2026</v>
      </c>
      <c r="AX38" s="266">
        <f t="shared" si="45"/>
        <v>2027</v>
      </c>
      <c r="AY38" s="266">
        <f t="shared" si="45"/>
        <v>2028</v>
      </c>
      <c r="AZ38" s="266">
        <f t="shared" si="45"/>
        <v>2029</v>
      </c>
      <c r="BA38" s="266">
        <f t="shared" si="45"/>
        <v>2030</v>
      </c>
      <c r="BB38" s="266">
        <f t="shared" si="45"/>
        <v>2031</v>
      </c>
      <c r="BC38" s="266">
        <f t="shared" si="45"/>
        <v>2032</v>
      </c>
      <c r="BD38" s="266">
        <f t="shared" si="45"/>
        <v>2033</v>
      </c>
      <c r="BE38" s="266">
        <f t="shared" si="45"/>
        <v>2034</v>
      </c>
      <c r="BF38" s="266">
        <f t="shared" si="45"/>
        <v>2035</v>
      </c>
      <c r="BG38" s="266">
        <f t="shared" si="45"/>
        <v>2036</v>
      </c>
      <c r="BH38" s="266">
        <f t="shared" si="45"/>
        <v>2037</v>
      </c>
      <c r="BI38" s="266">
        <f t="shared" si="45"/>
        <v>2038</v>
      </c>
      <c r="BJ38" s="266">
        <f t="shared" si="45"/>
        <v>2039</v>
      </c>
      <c r="BK38" s="266">
        <f t="shared" si="45"/>
        <v>2040</v>
      </c>
      <c r="BL38" s="267">
        <f t="shared" si="45"/>
        <v>0</v>
      </c>
      <c r="BM38" s="267">
        <f t="shared" si="45"/>
        <v>0</v>
      </c>
      <c r="BN38" s="267">
        <f t="shared" si="45"/>
        <v>0</v>
      </c>
      <c r="BO38" s="267">
        <f t="shared" si="45"/>
        <v>0</v>
      </c>
      <c r="BP38" s="267">
        <f t="shared" si="45"/>
        <v>0</v>
      </c>
      <c r="BQ38" s="267">
        <f t="shared" si="45"/>
        <v>0</v>
      </c>
      <c r="BR38" s="267">
        <f t="shared" si="45"/>
        <v>0</v>
      </c>
      <c r="BS38" s="9"/>
      <c r="BT38" s="9"/>
      <c r="BU38" s="9"/>
    </row>
    <row r="39" spans="3:73" ht="15.75" customHeight="1">
      <c r="C39" s="268" t="s">
        <v>618</v>
      </c>
      <c r="D39" s="268">
        <f t="shared" ref="D39:AR39" si="46">$AT39*(D18/$AT18)</f>
        <v>2.9776656459611847E-2</v>
      </c>
      <c r="E39" s="268">
        <f t="shared" si="46"/>
        <v>3.3806020120483893E-2</v>
      </c>
      <c r="F39" s="268">
        <f t="shared" si="46"/>
        <v>3.4738585274499953E-2</v>
      </c>
      <c r="G39" s="268">
        <f t="shared" si="46"/>
        <v>3.5274970114635179E-2</v>
      </c>
      <c r="H39" s="268">
        <f t="shared" si="46"/>
        <v>4.1762094750387224E-2</v>
      </c>
      <c r="I39" s="268">
        <f t="shared" si="46"/>
        <v>4.9020918314135568E-2</v>
      </c>
      <c r="J39" s="268">
        <f t="shared" si="46"/>
        <v>5.8857045662723637E-2</v>
      </c>
      <c r="K39" s="268">
        <f t="shared" si="46"/>
        <v>6.3368024203019568E-2</v>
      </c>
      <c r="L39" s="268">
        <f t="shared" si="46"/>
        <v>6.659715615281489E-2</v>
      </c>
      <c r="M39" s="268">
        <f t="shared" si="46"/>
        <v>6.883518133460928E-2</v>
      </c>
      <c r="N39" s="268">
        <f t="shared" si="46"/>
        <v>7.3082968921145228E-2</v>
      </c>
      <c r="O39" s="268">
        <f t="shared" si="46"/>
        <v>7.6405898443910367E-2</v>
      </c>
      <c r="P39" s="268">
        <f t="shared" si="46"/>
        <v>8.1075447571717876E-2</v>
      </c>
      <c r="Q39" s="268">
        <f t="shared" si="46"/>
        <v>8.6309190194492305E-2</v>
      </c>
      <c r="R39" s="268">
        <f t="shared" si="46"/>
        <v>8.9995658974820592E-2</v>
      </c>
      <c r="S39" s="268">
        <f t="shared" si="46"/>
        <v>9.482764063216588E-2</v>
      </c>
      <c r="T39" s="268">
        <f t="shared" si="46"/>
        <v>9.8889004628145288E-2</v>
      </c>
      <c r="U39" s="268">
        <f t="shared" si="46"/>
        <v>0.1017423731147447</v>
      </c>
      <c r="V39" s="268">
        <f t="shared" si="46"/>
        <v>0.10366427295400792</v>
      </c>
      <c r="W39" s="268">
        <f t="shared" si="46"/>
        <v>0.10459624145953793</v>
      </c>
      <c r="X39" s="268">
        <f t="shared" si="46"/>
        <v>0.10451795087378044</v>
      </c>
      <c r="Y39" s="268">
        <f t="shared" si="46"/>
        <v>0.10973732416305389</v>
      </c>
      <c r="Z39" s="268">
        <f t="shared" si="46"/>
        <v>0.11675738128839519</v>
      </c>
      <c r="AA39" s="268">
        <f t="shared" si="46"/>
        <v>0.12753538720228935</v>
      </c>
      <c r="AB39" s="268">
        <f t="shared" si="46"/>
        <v>0.13693025920673021</v>
      </c>
      <c r="AC39" s="268">
        <f t="shared" si="46"/>
        <v>0.14536400969221938</v>
      </c>
      <c r="AD39" s="268">
        <f t="shared" si="46"/>
        <v>0.15499879016905319</v>
      </c>
      <c r="AE39" s="268">
        <f t="shared" si="46"/>
        <v>0.16554711756260448</v>
      </c>
      <c r="AF39" s="268">
        <f t="shared" si="46"/>
        <v>0.17352179806690715</v>
      </c>
      <c r="AG39" s="268">
        <f t="shared" si="46"/>
        <v>0.17881408604480653</v>
      </c>
      <c r="AH39" s="268">
        <f t="shared" si="46"/>
        <v>0.1880212171696464</v>
      </c>
      <c r="AI39" s="268">
        <f t="shared" si="46"/>
        <v>0.19527092671550625</v>
      </c>
      <c r="AJ39" s="268">
        <f t="shared" si="46"/>
        <v>0.20266563045525857</v>
      </c>
      <c r="AK39" s="268">
        <f t="shared" si="46"/>
        <v>0.21009658274623896</v>
      </c>
      <c r="AL39" s="268">
        <f t="shared" si="46"/>
        <v>0.21219899851360161</v>
      </c>
      <c r="AM39" s="268">
        <f t="shared" si="46"/>
        <v>0.21578760474356823</v>
      </c>
      <c r="AN39" s="268">
        <f t="shared" si="46"/>
        <v>0.21992283906081742</v>
      </c>
      <c r="AO39" s="268">
        <f t="shared" si="46"/>
        <v>0.22551526501842131</v>
      </c>
      <c r="AP39" s="268">
        <f t="shared" si="46"/>
        <v>0.22926191491366996</v>
      </c>
      <c r="AQ39" s="268">
        <f t="shared" si="46"/>
        <v>0.23196170674995206</v>
      </c>
      <c r="AR39" s="268">
        <f t="shared" si="46"/>
        <v>0.23058426193552239</v>
      </c>
      <c r="AS39" s="268">
        <f>$AT39*(AS$18/$AT$18)</f>
        <v>0.23698347698770125</v>
      </c>
      <c r="AT39" s="268">
        <f>'Energy prices'!C3</f>
        <v>0.24191604127556363</v>
      </c>
      <c r="AU39" s="268"/>
      <c r="AV39" s="268"/>
      <c r="AW39" s="268"/>
      <c r="AX39" s="268"/>
      <c r="AY39" s="268"/>
      <c r="AZ39" s="268"/>
      <c r="BA39" s="268"/>
      <c r="BB39" s="268"/>
      <c r="BC39" s="268"/>
      <c r="BD39" s="268"/>
      <c r="BE39" s="268"/>
      <c r="BF39" s="268"/>
      <c r="BG39" s="268"/>
      <c r="BH39" s="268"/>
      <c r="BI39" s="268"/>
      <c r="BJ39" s="268"/>
      <c r="BK39" s="268"/>
      <c r="BL39" s="269"/>
      <c r="BM39" s="269"/>
      <c r="BN39" s="269"/>
      <c r="BO39" s="269"/>
      <c r="BP39" s="269"/>
      <c r="BQ39" s="269"/>
      <c r="BR39" s="269"/>
      <c r="BS39" s="269"/>
      <c r="BT39" s="269"/>
      <c r="BU39" s="269"/>
    </row>
    <row r="40" spans="3:73" ht="15.75" customHeight="1">
      <c r="C40" s="268" t="s">
        <v>619</v>
      </c>
      <c r="D40" s="268"/>
      <c r="E40" s="268"/>
      <c r="F40" s="268"/>
      <c r="G40" s="268"/>
      <c r="H40" s="268"/>
      <c r="I40" s="268"/>
      <c r="J40" s="268"/>
      <c r="K40" s="268"/>
      <c r="L40" s="268"/>
      <c r="M40" s="268"/>
      <c r="N40" s="268"/>
      <c r="O40" s="268"/>
      <c r="P40" s="268"/>
      <c r="Q40" s="268"/>
      <c r="R40" s="268"/>
      <c r="S40" s="268"/>
      <c r="T40" s="268"/>
      <c r="U40" s="268"/>
      <c r="V40" s="268"/>
      <c r="W40" s="268">
        <f t="shared" ref="W40:AS40" si="47">$AT40*(W$18/$AT$18)</f>
        <v>0.13966983333156974</v>
      </c>
      <c r="X40" s="268">
        <f t="shared" si="47"/>
        <v>0.13956529006202587</v>
      </c>
      <c r="Y40" s="268">
        <f t="shared" si="47"/>
        <v>0.14653484257400665</v>
      </c>
      <c r="Z40" s="268">
        <f t="shared" si="47"/>
        <v>0.15590889077108083</v>
      </c>
      <c r="AA40" s="268">
        <f t="shared" si="47"/>
        <v>0.17030101680385618</v>
      </c>
      <c r="AB40" s="268">
        <f t="shared" si="47"/>
        <v>0.18284621143725313</v>
      </c>
      <c r="AC40" s="268">
        <f t="shared" si="47"/>
        <v>0.19410799779048449</v>
      </c>
      <c r="AD40" s="268">
        <f t="shared" si="47"/>
        <v>0.20697354787725511</v>
      </c>
      <c r="AE40" s="268">
        <f t="shared" si="47"/>
        <v>0.22105897875341202</v>
      </c>
      <c r="AF40" s="268">
        <f t="shared" si="47"/>
        <v>0.23170775811074051</v>
      </c>
      <c r="AG40" s="268">
        <f t="shared" si="47"/>
        <v>0.23877467532976715</v>
      </c>
      <c r="AH40" s="268">
        <f t="shared" si="47"/>
        <v>0.25106917512941584</v>
      </c>
      <c r="AI40" s="268">
        <f t="shared" si="47"/>
        <v>0.26074988363139617</v>
      </c>
      <c r="AJ40" s="268">
        <f t="shared" si="47"/>
        <v>0.27062420630738904</v>
      </c>
      <c r="AK40" s="268">
        <f t="shared" si="47"/>
        <v>0.28054693253056379</v>
      </c>
      <c r="AL40" s="268">
        <f t="shared" si="47"/>
        <v>0.2833543379948873</v>
      </c>
      <c r="AM40" s="268">
        <f t="shared" si="47"/>
        <v>0.28814628870973169</v>
      </c>
      <c r="AN40" s="268">
        <f t="shared" si="47"/>
        <v>0.2936681648289669</v>
      </c>
      <c r="AO40" s="268">
        <f t="shared" si="47"/>
        <v>0.30113586338599241</v>
      </c>
      <c r="AP40" s="268">
        <f t="shared" si="47"/>
        <v>0.30613885354241738</v>
      </c>
      <c r="AQ40" s="268">
        <f t="shared" si="47"/>
        <v>0.30974394939042948</v>
      </c>
      <c r="AR40" s="268">
        <f t="shared" si="47"/>
        <v>0.30790461477409675</v>
      </c>
      <c r="AS40" s="268">
        <f t="shared" si="47"/>
        <v>0.31644963787740243</v>
      </c>
      <c r="AT40" s="268">
        <f>'Energy prices'!C17</f>
        <v>0.32303620755112727</v>
      </c>
      <c r="AU40" s="268"/>
      <c r="AV40" s="268"/>
      <c r="AW40" s="268"/>
      <c r="AX40" s="268"/>
      <c r="AY40" s="268"/>
      <c r="AZ40" s="268"/>
      <c r="BA40" s="268"/>
      <c r="BB40" s="268"/>
      <c r="BC40" s="268"/>
      <c r="BD40" s="268"/>
      <c r="BE40" s="268"/>
      <c r="BF40" s="268"/>
      <c r="BG40" s="268"/>
      <c r="BH40" s="268"/>
      <c r="BI40" s="268"/>
      <c r="BJ40" s="268"/>
      <c r="BK40" s="268"/>
      <c r="BL40" s="269"/>
      <c r="BM40" s="269"/>
      <c r="BN40" s="269"/>
      <c r="BO40" s="269"/>
      <c r="BP40" s="269"/>
      <c r="BQ40" s="269"/>
      <c r="BR40" s="269"/>
      <c r="BS40" s="269"/>
      <c r="BT40" s="269"/>
      <c r="BU40" s="269"/>
    </row>
    <row r="41" spans="3:73" ht="15.75" customHeight="1">
      <c r="C41" s="268" t="s">
        <v>620</v>
      </c>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68"/>
      <c r="BE41" s="268"/>
      <c r="BF41" s="268"/>
      <c r="BG41" s="268"/>
      <c r="BH41" s="268"/>
      <c r="BI41" s="268"/>
      <c r="BJ41" s="268"/>
      <c r="BK41" s="268"/>
      <c r="BL41" s="269"/>
      <c r="BM41" s="269"/>
      <c r="BN41" s="269"/>
      <c r="BO41" s="269"/>
      <c r="BP41" s="269"/>
      <c r="BQ41" s="269"/>
      <c r="BR41" s="269"/>
      <c r="BS41" s="269"/>
      <c r="BT41" s="269"/>
      <c r="BU41" s="269"/>
    </row>
    <row r="42" spans="3:73" ht="12.6">
      <c r="C42" s="268" t="s">
        <v>621</v>
      </c>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9"/>
      <c r="BM42" s="269"/>
      <c r="BN42" s="269"/>
      <c r="BO42" s="269"/>
      <c r="BP42" s="269"/>
      <c r="BQ42" s="269"/>
      <c r="BR42" s="269"/>
      <c r="BS42" s="269"/>
      <c r="BT42" s="269"/>
      <c r="BU42" s="269"/>
    </row>
    <row r="43" spans="3:73" ht="12.6">
      <c r="C43" s="268" t="s">
        <v>37</v>
      </c>
      <c r="D43" s="268">
        <f t="shared" ref="D43:AS43" si="48">$AT43*(D19/$AT19)</f>
        <v>1.2421603830239273E-2</v>
      </c>
      <c r="E43" s="268">
        <f t="shared" si="48"/>
        <v>1.2072272255981849E-2</v>
      </c>
      <c r="F43" s="268">
        <f t="shared" si="48"/>
        <v>1.1326424509900991E-2</v>
      </c>
      <c r="G43" s="268">
        <f t="shared" si="48"/>
        <v>1.1308678535272277E-2</v>
      </c>
      <c r="H43" s="268">
        <f t="shared" si="48"/>
        <v>1.2295985187087459E-2</v>
      </c>
      <c r="I43" s="268">
        <f t="shared" si="48"/>
        <v>1.451562725948845E-2</v>
      </c>
      <c r="J43" s="268">
        <f t="shared" si="48"/>
        <v>1.6611875420585807E-2</v>
      </c>
      <c r="K43" s="268">
        <f t="shared" si="48"/>
        <v>1.8976641164603958E-2</v>
      </c>
      <c r="L43" s="268">
        <f t="shared" si="48"/>
        <v>2.1136526438118811E-2</v>
      </c>
      <c r="M43" s="268">
        <f t="shared" si="48"/>
        <v>2.2005147285272277E-2</v>
      </c>
      <c r="N43" s="268">
        <f t="shared" si="48"/>
        <v>2.4061867967409244E-2</v>
      </c>
      <c r="O43" s="268">
        <f t="shared" si="48"/>
        <v>2.445967758312706E-2</v>
      </c>
      <c r="P43" s="268">
        <f t="shared" si="48"/>
        <v>2.6461918700495048E-2</v>
      </c>
      <c r="Q43" s="268">
        <f t="shared" si="48"/>
        <v>2.8835557714315178E-2</v>
      </c>
      <c r="R43" s="268">
        <f t="shared" si="48"/>
        <v>3.2272453748968651E-2</v>
      </c>
      <c r="S43" s="268">
        <f t="shared" si="48"/>
        <v>3.4341465163572608E-2</v>
      </c>
      <c r="T43" s="268">
        <f t="shared" si="48"/>
        <v>3.678853512438119E-2</v>
      </c>
      <c r="U43" s="268">
        <f t="shared" si="48"/>
        <v>3.8816303772483497E-2</v>
      </c>
      <c r="V43" s="268">
        <f t="shared" si="48"/>
        <v>3.9362866476691412E-2</v>
      </c>
      <c r="W43" s="268">
        <f t="shared" si="48"/>
        <v>4.0967127058580861E-2</v>
      </c>
      <c r="X43" s="268">
        <f t="shared" si="48"/>
        <v>4.2924899890882842E-2</v>
      </c>
      <c r="Y43" s="268">
        <f t="shared" si="48"/>
        <v>4.5428121877062709E-2</v>
      </c>
      <c r="Z43" s="268">
        <f t="shared" si="48"/>
        <v>4.8915100373968651E-2</v>
      </c>
      <c r="AA43" s="268">
        <f t="shared" si="48"/>
        <v>5.4574135272277238E-2</v>
      </c>
      <c r="AB43" s="268">
        <f t="shared" si="48"/>
        <v>5.9093571073638607E-2</v>
      </c>
      <c r="AC43" s="268">
        <f t="shared" si="48"/>
        <v>6.420920227805281E-2</v>
      </c>
      <c r="AD43" s="268">
        <f t="shared" si="48"/>
        <v>6.927754497256601E-2</v>
      </c>
      <c r="AE43" s="268">
        <f t="shared" si="48"/>
        <v>7.7656754262582506E-2</v>
      </c>
      <c r="AF43" s="268">
        <f t="shared" si="48"/>
        <v>7.9476957031146864E-2</v>
      </c>
      <c r="AG43" s="268">
        <f t="shared" si="48"/>
        <v>8.2944757130156768E-2</v>
      </c>
      <c r="AH43" s="268">
        <f t="shared" si="48"/>
        <v>8.5941815135726074E-2</v>
      </c>
      <c r="AI43" s="268">
        <f t="shared" si="48"/>
        <v>8.5879049523721121E-2</v>
      </c>
      <c r="AJ43" s="268">
        <f t="shared" si="48"/>
        <v>8.5549530058993406E-2</v>
      </c>
      <c r="AK43" s="268">
        <f t="shared" si="48"/>
        <v>8.743249843729374E-2</v>
      </c>
      <c r="AL43" s="268">
        <f t="shared" si="48"/>
        <v>8.7087287567863034E-2</v>
      </c>
      <c r="AM43" s="268">
        <f t="shared" si="48"/>
        <v>8.9817591718440587E-2</v>
      </c>
      <c r="AN43" s="268">
        <f t="shared" si="48"/>
        <v>9.1087120373968641E-2</v>
      </c>
      <c r="AO43" s="268">
        <f t="shared" si="48"/>
        <v>9.2528877887788782E-2</v>
      </c>
      <c r="AP43" s="268">
        <f t="shared" si="48"/>
        <v>9.4639026402640256E-2</v>
      </c>
      <c r="AQ43" s="268">
        <f t="shared" si="48"/>
        <v>9.5750825082508248E-2</v>
      </c>
      <c r="AR43" s="268">
        <f t="shared" si="48"/>
        <v>9.5955033003300327E-2</v>
      </c>
      <c r="AS43" s="268">
        <f t="shared" si="48"/>
        <v>0.10439886845827438</v>
      </c>
      <c r="AT43" s="268">
        <f>'Energy prices'!C45</f>
        <v>0.11</v>
      </c>
      <c r="AU43" s="268"/>
      <c r="AV43" s="268"/>
      <c r="AW43" s="268"/>
      <c r="AX43" s="268"/>
      <c r="AY43" s="268"/>
      <c r="AZ43" s="268"/>
      <c r="BA43" s="268"/>
      <c r="BB43" s="268"/>
      <c r="BC43" s="268"/>
      <c r="BD43" s="268"/>
      <c r="BE43" s="268"/>
      <c r="BF43" s="268"/>
      <c r="BG43" s="268"/>
      <c r="BH43" s="268"/>
      <c r="BI43" s="268"/>
      <c r="BJ43" s="268"/>
      <c r="BK43" s="268"/>
      <c r="BL43" s="269"/>
      <c r="BM43" s="269"/>
      <c r="BN43" s="269"/>
      <c r="BO43" s="269"/>
      <c r="BP43" s="269"/>
      <c r="BQ43" s="269"/>
      <c r="BR43" s="269"/>
      <c r="BS43" s="269"/>
      <c r="BT43" s="269"/>
      <c r="BU43" s="269"/>
    </row>
    <row r="44" spans="3:73" ht="12.6">
      <c r="C44" s="268" t="s">
        <v>38</v>
      </c>
      <c r="D44" s="268">
        <f t="shared" ref="D44:AS44" si="49">$AT44*(D19/$AT19)</f>
        <v>2.7567261500613217E-2</v>
      </c>
      <c r="E44" s="268">
        <f t="shared" si="49"/>
        <v>2.6791990046975991E-2</v>
      </c>
      <c r="F44" s="268">
        <f t="shared" si="49"/>
        <v>2.5136730377061215E-2</v>
      </c>
      <c r="G44" s="268">
        <f t="shared" si="49"/>
        <v>2.5097346741110593E-2</v>
      </c>
      <c r="H44" s="268">
        <f t="shared" si="49"/>
        <v>2.7288476085102858E-2</v>
      </c>
      <c r="I44" s="268">
        <f t="shared" si="49"/>
        <v>3.2214527043086319E-2</v>
      </c>
      <c r="J44" s="268">
        <f t="shared" si="49"/>
        <v>3.6866729932255204E-2</v>
      </c>
      <c r="K44" s="268">
        <f t="shared" si="49"/>
        <v>4.2114853809329847E-2</v>
      </c>
      <c r="L44" s="268">
        <f t="shared" si="49"/>
        <v>4.6908286522210088E-2</v>
      </c>
      <c r="M44" s="268">
        <f t="shared" si="49"/>
        <v>4.8836016496987635E-2</v>
      </c>
      <c r="N44" s="268">
        <f t="shared" si="49"/>
        <v>5.3400496064445961E-2</v>
      </c>
      <c r="O44" s="268">
        <f t="shared" si="49"/>
        <v>5.4283354820354318E-2</v>
      </c>
      <c r="P44" s="268">
        <f t="shared" si="49"/>
        <v>5.8726927906737329E-2</v>
      </c>
      <c r="Q44" s="268">
        <f t="shared" si="49"/>
        <v>6.3994744228711972E-2</v>
      </c>
      <c r="R44" s="268">
        <f t="shared" si="49"/>
        <v>7.1622246524918096E-2</v>
      </c>
      <c r="S44" s="268">
        <f t="shared" si="49"/>
        <v>7.6214002911101461E-2</v>
      </c>
      <c r="T44" s="268">
        <f t="shared" si="49"/>
        <v>8.1644784510791726E-2</v>
      </c>
      <c r="U44" s="268">
        <f t="shared" si="49"/>
        <v>8.614501083815998E-2</v>
      </c>
      <c r="V44" s="268">
        <f t="shared" si="49"/>
        <v>8.7357997276892016E-2</v>
      </c>
      <c r="W44" s="268">
        <f t="shared" si="49"/>
        <v>9.091833228519508E-2</v>
      </c>
      <c r="X44" s="268">
        <f t="shared" si="49"/>
        <v>9.5263216920420585E-2</v>
      </c>
      <c r="Y44" s="268">
        <f t="shared" si="49"/>
        <v>0.10081861669247848</v>
      </c>
      <c r="Z44" s="268">
        <f t="shared" si="49"/>
        <v>0.10855726698151846</v>
      </c>
      <c r="AA44" s="268">
        <f t="shared" si="49"/>
        <v>0.12111636136375846</v>
      </c>
      <c r="AB44" s="268">
        <f t="shared" si="49"/>
        <v>0.13114634382609258</v>
      </c>
      <c r="AC44" s="268">
        <f t="shared" si="49"/>
        <v>0.14249946256020268</v>
      </c>
      <c r="AD44" s="268">
        <f t="shared" si="49"/>
        <v>0.15374763391905985</v>
      </c>
      <c r="AE44" s="268">
        <f t="shared" si="49"/>
        <v>0.17234361047918198</v>
      </c>
      <c r="AF44" s="268">
        <f t="shared" si="49"/>
        <v>0.176383185914924</v>
      </c>
      <c r="AG44" s="268">
        <f t="shared" si="49"/>
        <v>0.18407927359150358</v>
      </c>
      <c r="AH44" s="268">
        <f t="shared" si="49"/>
        <v>0.19073064348714483</v>
      </c>
      <c r="AI44" s="268">
        <f t="shared" si="49"/>
        <v>0.19059134778402684</v>
      </c>
      <c r="AJ44" s="268">
        <f t="shared" si="49"/>
        <v>0.18986004533888065</v>
      </c>
      <c r="AK44" s="268">
        <f t="shared" si="49"/>
        <v>0.19403891647270516</v>
      </c>
      <c r="AL44" s="268">
        <f t="shared" si="49"/>
        <v>0.19327279009800277</v>
      </c>
      <c r="AM44" s="268">
        <f t="shared" si="49"/>
        <v>0.1993321532465803</v>
      </c>
      <c r="AN44" s="268">
        <f t="shared" si="49"/>
        <v>0.20214961779526167</v>
      </c>
      <c r="AO44" s="268">
        <f t="shared" si="49"/>
        <v>0.20534930979535568</v>
      </c>
      <c r="AP44" s="268">
        <f t="shared" si="49"/>
        <v>0.21003236173526937</v>
      </c>
      <c r="AQ44" s="268">
        <f t="shared" si="49"/>
        <v>0.21249977619823465</v>
      </c>
      <c r="AR44" s="268">
        <f t="shared" si="49"/>
        <v>0.21295297477306502</v>
      </c>
      <c r="AS44" s="268">
        <f t="shared" si="49"/>
        <v>0.23169237616089172</v>
      </c>
      <c r="AT44" s="268">
        <f>'Energy prices'!C51</f>
        <v>0.24412296564195299</v>
      </c>
      <c r="AU44" s="268"/>
      <c r="AV44" s="268"/>
      <c r="AW44" s="268"/>
      <c r="AX44" s="268"/>
      <c r="AY44" s="268"/>
      <c r="AZ44" s="268"/>
      <c r="BA44" s="268"/>
      <c r="BB44" s="268"/>
      <c r="BC44" s="268"/>
      <c r="BD44" s="268"/>
      <c r="BE44" s="268"/>
      <c r="BF44" s="268"/>
      <c r="BG44" s="268"/>
      <c r="BH44" s="268"/>
      <c r="BI44" s="268"/>
      <c r="BJ44" s="268"/>
      <c r="BK44" s="268"/>
      <c r="BL44" s="269"/>
      <c r="BM44" s="269"/>
      <c r="BN44" s="269"/>
      <c r="BO44" s="269"/>
      <c r="BP44" s="269"/>
      <c r="BQ44" s="269"/>
      <c r="BR44" s="269"/>
      <c r="BS44" s="269"/>
      <c r="BT44" s="269"/>
      <c r="BU44" s="269"/>
    </row>
    <row r="45" spans="3:73" ht="12.6">
      <c r="C45" s="268" t="s">
        <v>39</v>
      </c>
      <c r="D45" s="268">
        <f t="shared" ref="D45:AS45" si="50">$AT45*(D20/$AT20)</f>
        <v>1.7495323347902096E-2</v>
      </c>
      <c r="E45" s="268">
        <f t="shared" si="50"/>
        <v>2.1755484235139861E-2</v>
      </c>
      <c r="F45" s="268">
        <f t="shared" si="50"/>
        <v>2.2872993350087408E-2</v>
      </c>
      <c r="G45" s="268">
        <f t="shared" si="50"/>
        <v>2.3293353878933568E-2</v>
      </c>
      <c r="H45" s="268">
        <f t="shared" si="50"/>
        <v>2.8425102834353146E-2</v>
      </c>
      <c r="I45" s="268">
        <f t="shared" si="50"/>
        <v>3.4027371280594403E-2</v>
      </c>
      <c r="J45" s="268">
        <f t="shared" si="50"/>
        <v>3.9091497010489501E-2</v>
      </c>
      <c r="K45" s="268">
        <f t="shared" si="50"/>
        <v>4.0572506291520975E-2</v>
      </c>
      <c r="L45" s="268">
        <f t="shared" si="50"/>
        <v>4.1326413752185313E-2</v>
      </c>
      <c r="M45" s="268">
        <f t="shared" si="50"/>
        <v>4.1496182541520973E-2</v>
      </c>
      <c r="N45" s="268">
        <f t="shared" si="50"/>
        <v>4.2461184055944054E-2</v>
      </c>
      <c r="O45" s="268">
        <f t="shared" si="50"/>
        <v>4.2867837178758736E-2</v>
      </c>
      <c r="P45" s="268">
        <f t="shared" si="50"/>
        <v>4.2441282934877617E-2</v>
      </c>
      <c r="Q45" s="268">
        <f t="shared" si="50"/>
        <v>4.1725275461101392E-2</v>
      </c>
      <c r="R45" s="268">
        <f t="shared" si="50"/>
        <v>4.3440012795017482E-2</v>
      </c>
      <c r="S45" s="268">
        <f t="shared" si="50"/>
        <v>4.5030041960227266E-2</v>
      </c>
      <c r="T45" s="268">
        <f t="shared" si="50"/>
        <v>4.6838310461101387E-2</v>
      </c>
      <c r="U45" s="268">
        <f t="shared" si="50"/>
        <v>4.7274789066870632E-2</v>
      </c>
      <c r="V45" s="268">
        <f t="shared" si="50"/>
        <v>4.7321242854020978E-2</v>
      </c>
      <c r="W45" s="268">
        <f t="shared" si="50"/>
        <v>4.8408562987325168E-2</v>
      </c>
      <c r="X45" s="268">
        <f t="shared" si="50"/>
        <v>5.0764996632430066E-2</v>
      </c>
      <c r="Y45" s="268">
        <f t="shared" si="50"/>
        <v>5.290612161276223E-2</v>
      </c>
      <c r="Z45" s="268">
        <f t="shared" si="50"/>
        <v>5.3958741715472019E-2</v>
      </c>
      <c r="AA45" s="268">
        <f t="shared" si="50"/>
        <v>5.5812788465909084E-2</v>
      </c>
      <c r="AB45" s="268">
        <f t="shared" si="50"/>
        <v>5.9843844995629357E-2</v>
      </c>
      <c r="AC45" s="268">
        <f t="shared" si="50"/>
        <v>6.3504690242569925E-2</v>
      </c>
      <c r="AD45" s="268">
        <f t="shared" si="50"/>
        <v>6.5401427928321668E-2</v>
      </c>
      <c r="AE45" s="268">
        <f t="shared" si="50"/>
        <v>6.6428510026223769E-2</v>
      </c>
      <c r="AF45" s="268">
        <f t="shared" si="50"/>
        <v>6.8640686861888109E-2</v>
      </c>
      <c r="AG45" s="268">
        <f t="shared" si="50"/>
        <v>7.0299819488636367E-2</v>
      </c>
      <c r="AH45" s="268">
        <f t="shared" si="50"/>
        <v>7.2543598843968535E-2</v>
      </c>
      <c r="AI45" s="268">
        <f t="shared" si="50"/>
        <v>7.4645166835664314E-2</v>
      </c>
      <c r="AJ45" s="268">
        <f t="shared" si="50"/>
        <v>7.4518756730769242E-2</v>
      </c>
      <c r="AK45" s="268">
        <f t="shared" si="50"/>
        <v>7.67467348251748E-2</v>
      </c>
      <c r="AL45" s="268">
        <f t="shared" si="50"/>
        <v>7.886410407779719E-2</v>
      </c>
      <c r="AM45" s="268">
        <f t="shared" si="50"/>
        <v>8.18979465952797E-2</v>
      </c>
      <c r="AN45" s="268">
        <f t="shared" si="50"/>
        <v>8.6514269801136343E-2</v>
      </c>
      <c r="AO45" s="268">
        <f t="shared" si="50"/>
        <v>9.1499125874125856E-2</v>
      </c>
      <c r="AP45" s="268">
        <f t="shared" si="50"/>
        <v>9.6110139860139845E-2</v>
      </c>
      <c r="AQ45" s="268">
        <f t="shared" si="50"/>
        <v>0.10067744755244754</v>
      </c>
      <c r="AR45" s="268">
        <f t="shared" si="50"/>
        <v>0.10349650349650348</v>
      </c>
      <c r="AS45" s="268">
        <f t="shared" si="50"/>
        <v>0.10866633366633366</v>
      </c>
      <c r="AT45" s="268">
        <f>'Energy prices'!C54</f>
        <v>0.11249999999999999</v>
      </c>
      <c r="AU45" s="268"/>
      <c r="AV45" s="268"/>
      <c r="AW45" s="268"/>
      <c r="AX45" s="268"/>
      <c r="AY45" s="268"/>
      <c r="AZ45" s="268"/>
      <c r="BA45" s="268"/>
      <c r="BB45" s="268"/>
      <c r="BC45" s="268"/>
      <c r="BD45" s="268"/>
      <c r="BE45" s="268"/>
      <c r="BF45" s="268"/>
      <c r="BG45" s="268"/>
      <c r="BH45" s="268"/>
      <c r="BI45" s="268"/>
      <c r="BJ45" s="268"/>
      <c r="BK45" s="268"/>
      <c r="BL45" s="269"/>
      <c r="BM45" s="269"/>
      <c r="BN45" s="269"/>
      <c r="BO45" s="269"/>
      <c r="BP45" s="269"/>
      <c r="BQ45" s="269"/>
      <c r="BR45" s="269"/>
      <c r="BS45" s="269"/>
      <c r="BT45" s="269"/>
      <c r="BU45" s="269"/>
    </row>
    <row r="46" spans="3:73" ht="12.6">
      <c r="C46" s="268" t="s">
        <v>40</v>
      </c>
      <c r="D46" s="268">
        <f t="shared" ref="D46:AS46" si="51">$AT46*(D21/$AT21)</f>
        <v>5.9236259908853048E-2</v>
      </c>
      <c r="E46" s="268">
        <f t="shared" si="51"/>
        <v>6.7830931936185196E-2</v>
      </c>
      <c r="F46" s="268">
        <f t="shared" si="51"/>
        <v>7.1790921372478764E-2</v>
      </c>
      <c r="G46" s="268">
        <f t="shared" si="51"/>
        <v>7.9212992578705857E-2</v>
      </c>
      <c r="H46" s="268">
        <f t="shared" si="51"/>
        <v>9.4099205297666799E-2</v>
      </c>
      <c r="I46" s="268">
        <f t="shared" si="51"/>
        <v>8.4867211326757466E-2</v>
      </c>
      <c r="J46" s="268">
        <f t="shared" si="51"/>
        <v>9.2160385917417778E-2</v>
      </c>
      <c r="K46" s="268">
        <f t="shared" si="51"/>
        <v>9.1174864164101241E-2</v>
      </c>
      <c r="L46" s="268">
        <f t="shared" si="51"/>
        <v>9.1766311409368057E-2</v>
      </c>
      <c r="M46" s="268">
        <f t="shared" si="51"/>
        <v>9.8012648874211322E-2</v>
      </c>
      <c r="N46" s="268">
        <f t="shared" si="51"/>
        <v>0.10050666340943452</v>
      </c>
      <c r="O46" s="268">
        <f t="shared" si="51"/>
        <v>0.10169134839234038</v>
      </c>
      <c r="P46" s="268">
        <f t="shared" si="51"/>
        <v>0.10078795338261433</v>
      </c>
      <c r="Q46" s="268">
        <f t="shared" si="51"/>
        <v>9.5996685204423615E-2</v>
      </c>
      <c r="R46" s="268">
        <f t="shared" si="51"/>
        <v>9.6021037509132448E-2</v>
      </c>
      <c r="S46" s="268">
        <f t="shared" si="51"/>
        <v>9.6483730803462578E-2</v>
      </c>
      <c r="T46" s="268">
        <f t="shared" si="51"/>
        <v>9.6678549081088735E-2</v>
      </c>
      <c r="U46" s="268">
        <f t="shared" si="51"/>
        <v>9.0736592913852471E-2</v>
      </c>
      <c r="V46" s="268">
        <f t="shared" si="51"/>
        <v>9.1324359536697014E-2</v>
      </c>
      <c r="W46" s="268">
        <f t="shared" si="51"/>
        <v>0.11391957325172221</v>
      </c>
      <c r="X46" s="268">
        <f t="shared" si="51"/>
        <v>0.11162734185385983</v>
      </c>
      <c r="Y46" s="268">
        <f t="shared" si="51"/>
        <v>0.10974598219006727</v>
      </c>
      <c r="Z46" s="268">
        <f t="shared" si="51"/>
        <v>0.11208146318202498</v>
      </c>
      <c r="AA46" s="268">
        <f t="shared" si="51"/>
        <v>0.12419136467793253</v>
      </c>
      <c r="AB46" s="268">
        <f t="shared" si="51"/>
        <v>0.14058298133576538</v>
      </c>
      <c r="AC46" s="268">
        <f t="shared" si="51"/>
        <v>0.16545466460024541</v>
      </c>
      <c r="AD46" s="268">
        <f t="shared" si="51"/>
        <v>0.16433136309875968</v>
      </c>
      <c r="AE46" s="268">
        <f t="shared" si="51"/>
        <v>0.19277676480918496</v>
      </c>
      <c r="AF46" s="268">
        <f t="shared" si="51"/>
        <v>0.17094034182996465</v>
      </c>
      <c r="AG46" s="268">
        <f t="shared" si="51"/>
        <v>0.18844520442099558</v>
      </c>
      <c r="AH46" s="268">
        <f t="shared" si="51"/>
        <v>0.21948061130641919</v>
      </c>
      <c r="AI46" s="268">
        <f t="shared" si="51"/>
        <v>0.22349958481761331</v>
      </c>
      <c r="AJ46" s="268">
        <f t="shared" si="51"/>
        <v>0.22457131117729015</v>
      </c>
      <c r="AK46" s="268">
        <f t="shared" si="51"/>
        <v>0.22300837696736275</v>
      </c>
      <c r="AL46" s="268">
        <f t="shared" si="51"/>
        <v>0.20224368028780254</v>
      </c>
      <c r="AM46" s="268">
        <f t="shared" si="51"/>
        <v>0.18938296491694365</v>
      </c>
      <c r="AN46" s="268">
        <f t="shared" si="51"/>
        <v>0.20234013565167108</v>
      </c>
      <c r="AO46" s="268">
        <f t="shared" si="51"/>
        <v>0.22511253292065792</v>
      </c>
      <c r="AP46" s="268">
        <f t="shared" si="51"/>
        <v>0.22511253292065792</v>
      </c>
      <c r="AQ46" s="268">
        <f t="shared" si="51"/>
        <v>0.20610725353611004</v>
      </c>
      <c r="AR46" s="268">
        <f t="shared" si="51"/>
        <v>0.23806613123802084</v>
      </c>
      <c r="AS46" s="268">
        <f t="shared" si="51"/>
        <v>0.28133529362629978</v>
      </c>
      <c r="AT46" s="268">
        <f>'Energy prices'!C57</f>
        <v>0.27360933794666653</v>
      </c>
      <c r="AU46" s="268"/>
      <c r="AV46" s="268"/>
      <c r="AW46" s="268"/>
      <c r="AX46" s="268"/>
      <c r="AY46" s="268"/>
      <c r="AZ46" s="268"/>
      <c r="BA46" s="268"/>
      <c r="BB46" s="268"/>
      <c r="BC46" s="268"/>
      <c r="BD46" s="268"/>
      <c r="BE46" s="268"/>
      <c r="BF46" s="268"/>
      <c r="BG46" s="268"/>
      <c r="BH46" s="268"/>
      <c r="BI46" s="268"/>
      <c r="BJ46" s="268"/>
      <c r="BK46" s="268"/>
      <c r="BL46" s="269"/>
      <c r="BM46" s="269"/>
      <c r="BN46" s="269"/>
      <c r="BO46" s="269"/>
      <c r="BP46" s="269"/>
      <c r="BQ46" s="269"/>
      <c r="BR46" s="269"/>
      <c r="BS46" s="269"/>
      <c r="BT46" s="269"/>
      <c r="BU46" s="269"/>
    </row>
    <row r="47" spans="3:73" ht="12.6">
      <c r="C47" s="268" t="s">
        <v>41</v>
      </c>
      <c r="D47" s="268">
        <f t="shared" ref="D47:AS47" si="52">$AT47*(D21/$AT21)</f>
        <v>4.4684131876202814E-2</v>
      </c>
      <c r="E47" s="268">
        <f t="shared" si="52"/>
        <v>5.1167415238335269E-2</v>
      </c>
      <c r="F47" s="268">
        <f t="shared" si="52"/>
        <v>5.4154583747487994E-2</v>
      </c>
      <c r="G47" s="268">
        <f t="shared" si="52"/>
        <v>5.9753330344317838E-2</v>
      </c>
      <c r="H47" s="268">
        <f t="shared" si="52"/>
        <v>7.0982558747575711E-2</v>
      </c>
      <c r="I47" s="268">
        <f t="shared" si="52"/>
        <v>6.4018519547410599E-2</v>
      </c>
      <c r="J47" s="268">
        <f t="shared" si="52"/>
        <v>6.9520034594219488E-2</v>
      </c>
      <c r="K47" s="268">
        <f t="shared" si="52"/>
        <v>6.8776618584163771E-2</v>
      </c>
      <c r="L47" s="268">
        <f t="shared" si="52"/>
        <v>6.9222769417217445E-2</v>
      </c>
      <c r="M47" s="268">
        <f t="shared" si="52"/>
        <v>7.3934615969511494E-2</v>
      </c>
      <c r="N47" s="268">
        <f t="shared" si="52"/>
        <v>7.5815944644963953E-2</v>
      </c>
      <c r="O47" s="268">
        <f t="shared" si="52"/>
        <v>7.6709596946601094E-2</v>
      </c>
      <c r="P47" s="268">
        <f t="shared" si="52"/>
        <v>7.6028132218527181E-2</v>
      </c>
      <c r="Q47" s="268">
        <f t="shared" si="52"/>
        <v>7.2413898986078765E-2</v>
      </c>
      <c r="R47" s="268">
        <f t="shared" si="52"/>
        <v>7.2432268842595252E-2</v>
      </c>
      <c r="S47" s="268">
        <f t="shared" si="52"/>
        <v>7.2781295742907579E-2</v>
      </c>
      <c r="T47" s="268">
        <f t="shared" si="52"/>
        <v>7.2928254474311907E-2</v>
      </c>
      <c r="U47" s="268">
        <f t="shared" si="52"/>
        <v>6.844601414739146E-2</v>
      </c>
      <c r="V47" s="268">
        <f t="shared" si="52"/>
        <v>6.8889388548949368E-2</v>
      </c>
      <c r="W47" s="268">
        <f t="shared" si="52"/>
        <v>8.5933805447766382E-2</v>
      </c>
      <c r="X47" s="268">
        <f t="shared" si="52"/>
        <v>8.4204689358559223E-2</v>
      </c>
      <c r="Y47" s="268">
        <f t="shared" si="52"/>
        <v>8.2785509223742657E-2</v>
      </c>
      <c r="Z47" s="268">
        <f t="shared" si="52"/>
        <v>8.4547250103392729E-2</v>
      </c>
      <c r="AA47" s="268">
        <f t="shared" si="52"/>
        <v>9.3682202855027985E-2</v>
      </c>
      <c r="AB47" s="268">
        <f t="shared" si="52"/>
        <v>0.10604701389356723</v>
      </c>
      <c r="AC47" s="268">
        <f t="shared" si="52"/>
        <v>0.12480865712835686</v>
      </c>
      <c r="AD47" s="268">
        <f t="shared" si="52"/>
        <v>0.12396130868829061</v>
      </c>
      <c r="AE47" s="268">
        <f t="shared" si="52"/>
        <v>0.14541874174122116</v>
      </c>
      <c r="AF47" s="268">
        <f t="shared" si="52"/>
        <v>0.12894670914481143</v>
      </c>
      <c r="AG47" s="268">
        <f t="shared" si="52"/>
        <v>0.14215128333123023</v>
      </c>
      <c r="AH47" s="268">
        <f t="shared" si="52"/>
        <v>0.16556245439830533</v>
      </c>
      <c r="AI47" s="268">
        <f t="shared" si="52"/>
        <v>0.16859411680672698</v>
      </c>
      <c r="AJ47" s="268">
        <f t="shared" si="52"/>
        <v>0.16940256018354868</v>
      </c>
      <c r="AK47" s="268">
        <f t="shared" si="52"/>
        <v>0.16822358030774823</v>
      </c>
      <c r="AL47" s="268">
        <f t="shared" si="52"/>
        <v>0.15255999104288734</v>
      </c>
      <c r="AM47" s="268">
        <f t="shared" si="52"/>
        <v>0.14285867123407409</v>
      </c>
      <c r="AN47" s="268">
        <f t="shared" si="52"/>
        <v>0.15263275094038764</v>
      </c>
      <c r="AO47" s="268">
        <f t="shared" si="52"/>
        <v>0.16981082403734579</v>
      </c>
      <c r="AP47" s="268">
        <f t="shared" si="52"/>
        <v>0.16981082403734579</v>
      </c>
      <c r="AQ47" s="268">
        <f t="shared" si="52"/>
        <v>0.1554744292063768</v>
      </c>
      <c r="AR47" s="268">
        <f t="shared" si="52"/>
        <v>0.17958220893529572</v>
      </c>
      <c r="AS47" s="268">
        <f t="shared" si="52"/>
        <v>0.21222176047527622</v>
      </c>
      <c r="AT47" s="268">
        <f>'Energy prices'!C58</f>
        <v>0.2063937824261956</v>
      </c>
      <c r="AU47" s="268"/>
      <c r="AV47" s="268"/>
      <c r="AW47" s="268"/>
      <c r="AX47" s="268"/>
      <c r="AY47" s="268"/>
      <c r="AZ47" s="268"/>
      <c r="BA47" s="268"/>
      <c r="BB47" s="268"/>
      <c r="BC47" s="268"/>
      <c r="BD47" s="268"/>
      <c r="BE47" s="268"/>
      <c r="BF47" s="268"/>
      <c r="BG47" s="268"/>
      <c r="BH47" s="268"/>
      <c r="BI47" s="268"/>
      <c r="BJ47" s="268"/>
      <c r="BK47" s="268"/>
      <c r="BL47" s="269"/>
      <c r="BM47" s="269"/>
      <c r="BN47" s="269"/>
      <c r="BO47" s="269"/>
      <c r="BP47" s="269"/>
      <c r="BQ47" s="269"/>
      <c r="BR47" s="269"/>
      <c r="BS47" s="269"/>
      <c r="BT47" s="269"/>
      <c r="BU47" s="269"/>
    </row>
    <row r="48" spans="3:73" ht="12.6">
      <c r="C48" s="268" t="s">
        <v>505</v>
      </c>
      <c r="D48" s="268">
        <f t="shared" ref="D48:AS48" si="53">$AT48*(D19/$AT19)</f>
        <v>2.1363937791566315E-2</v>
      </c>
      <c r="E48" s="268">
        <f t="shared" si="53"/>
        <v>2.0763121816184994E-2</v>
      </c>
      <c r="F48" s="268">
        <f t="shared" si="53"/>
        <v>1.9480336994915706E-2</v>
      </c>
      <c r="G48" s="268">
        <f t="shared" si="53"/>
        <v>1.9449815662630449E-2</v>
      </c>
      <c r="H48" s="268">
        <f t="shared" si="53"/>
        <v>2.1147886071157789E-2</v>
      </c>
      <c r="I48" s="268">
        <f t="shared" si="53"/>
        <v>2.496545228904647E-2</v>
      </c>
      <c r="J48" s="268">
        <f t="shared" si="53"/>
        <v>2.8570793106658634E-2</v>
      </c>
      <c r="K48" s="268">
        <f t="shared" si="53"/>
        <v>3.2637957776960123E-2</v>
      </c>
      <c r="L48" s="268">
        <f t="shared" si="53"/>
        <v>3.6352748173668716E-2</v>
      </c>
      <c r="M48" s="268">
        <f t="shared" si="53"/>
        <v>3.7846690662630453E-2</v>
      </c>
      <c r="N48" s="268">
        <f t="shared" si="53"/>
        <v>4.1384048101195253E-2</v>
      </c>
      <c r="O48" s="268">
        <f t="shared" si="53"/>
        <v>4.2068241543461768E-2</v>
      </c>
      <c r="P48" s="268">
        <f t="shared" si="53"/>
        <v>4.5511899484880915E-2</v>
      </c>
      <c r="Q48" s="268">
        <f t="shared" si="53"/>
        <v>4.9594325307175981E-2</v>
      </c>
      <c r="R48" s="268">
        <f t="shared" si="53"/>
        <v>5.5505448708299883E-2</v>
      </c>
      <c r="S48" s="268">
        <f t="shared" si="53"/>
        <v>5.9063944998773515E-2</v>
      </c>
      <c r="T48" s="268">
        <f t="shared" si="53"/>
        <v>6.3272664833088035E-2</v>
      </c>
      <c r="U48" s="268">
        <f t="shared" si="53"/>
        <v>6.6760227618521975E-2</v>
      </c>
      <c r="V48" s="268">
        <f t="shared" si="53"/>
        <v>6.7700261753523311E-2</v>
      </c>
      <c r="W48" s="268">
        <f t="shared" si="53"/>
        <v>7.045943228748551E-2</v>
      </c>
      <c r="X48" s="268">
        <f t="shared" si="53"/>
        <v>7.3826609148938543E-2</v>
      </c>
      <c r="Y48" s="268">
        <f t="shared" si="53"/>
        <v>7.8131904948265093E-2</v>
      </c>
      <c r="Z48" s="268">
        <f t="shared" si="53"/>
        <v>8.4129165262353936E-2</v>
      </c>
      <c r="AA48" s="268">
        <f t="shared" si="53"/>
        <v>9.3862149116938728E-2</v>
      </c>
      <c r="AB48" s="268">
        <f t="shared" si="53"/>
        <v>0.10163513452468556</v>
      </c>
      <c r="AC48" s="268">
        <f t="shared" si="53"/>
        <v>0.11043351743154044</v>
      </c>
      <c r="AD48" s="268">
        <f t="shared" si="53"/>
        <v>0.11915056874888501</v>
      </c>
      <c r="AE48" s="268">
        <f t="shared" si="53"/>
        <v>0.13356198521820087</v>
      </c>
      <c r="AF48" s="268">
        <f t="shared" si="53"/>
        <v>0.13669255509042458</v>
      </c>
      <c r="AG48" s="268">
        <f t="shared" si="53"/>
        <v>0.14265683044498706</v>
      </c>
      <c r="AH48" s="268">
        <f t="shared" si="53"/>
        <v>0.14781147566341091</v>
      </c>
      <c r="AI48" s="268">
        <f t="shared" si="53"/>
        <v>0.14770352497937292</v>
      </c>
      <c r="AJ48" s="268">
        <f t="shared" si="53"/>
        <v>0.14713678388524665</v>
      </c>
      <c r="AK48" s="268">
        <f t="shared" si="53"/>
        <v>0.15037530443760591</v>
      </c>
      <c r="AL48" s="268">
        <f t="shared" si="53"/>
        <v>0.14978157566954328</v>
      </c>
      <c r="AM48" s="268">
        <f t="shared" si="53"/>
        <v>0.15447743047397644</v>
      </c>
      <c r="AN48" s="268">
        <f t="shared" si="53"/>
        <v>0.15666089499208366</v>
      </c>
      <c r="AO48" s="268">
        <f t="shared" si="53"/>
        <v>0.15914057621978414</v>
      </c>
      <c r="AP48" s="268">
        <f t="shared" si="53"/>
        <v>0.16276982427972525</v>
      </c>
      <c r="AQ48" s="268">
        <f t="shared" si="53"/>
        <v>0.16468200874141467</v>
      </c>
      <c r="AR48" s="268">
        <f t="shared" si="53"/>
        <v>0.16503322629560252</v>
      </c>
      <c r="AS48" s="268">
        <f t="shared" si="53"/>
        <v>0.17955579341717953</v>
      </c>
      <c r="AT48" s="268">
        <f>'Energy prices'!C59</f>
        <v>0.18918918918918917</v>
      </c>
      <c r="AU48" s="268"/>
      <c r="AV48" s="268"/>
      <c r="AW48" s="268"/>
      <c r="AX48" s="268"/>
      <c r="AY48" s="268"/>
      <c r="AZ48" s="268"/>
      <c r="BA48" s="268"/>
      <c r="BB48" s="268"/>
      <c r="BC48" s="268"/>
      <c r="BD48" s="268"/>
      <c r="BE48" s="268"/>
      <c r="BF48" s="268"/>
      <c r="BG48" s="268"/>
      <c r="BH48" s="268"/>
      <c r="BI48" s="268"/>
      <c r="BJ48" s="268"/>
      <c r="BK48" s="268"/>
      <c r="BL48" s="269"/>
      <c r="BM48" s="269"/>
      <c r="BN48" s="269"/>
      <c r="BO48" s="269"/>
      <c r="BP48" s="269"/>
      <c r="BQ48" s="269"/>
      <c r="BR48" s="269"/>
      <c r="BS48" s="269"/>
      <c r="BT48" s="269"/>
      <c r="BU48" s="269"/>
    </row>
    <row r="49" spans="2:73" ht="12.6">
      <c r="B49" s="262"/>
      <c r="C49" s="268" t="str">
        <f t="shared" ref="C49:C51" si="54">"Linear Trend: "&amp;C39</f>
        <v>Linear Trend: Electricity (excl fixed)</v>
      </c>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f t="shared" ref="AU49:AV49" si="55">$AT39*(AU$18/$AT$18)</f>
        <v>0.25047656711701377</v>
      </c>
      <c r="AV49" s="268">
        <f t="shared" si="55"/>
        <v>0.25589301158444888</v>
      </c>
      <c r="AW49" s="268">
        <f t="shared" ref="AW49:BU49" si="56">$AT39*(AW18/$AT18)</f>
        <v>0.2613094560518856</v>
      </c>
      <c r="AX49" s="268">
        <f t="shared" si="56"/>
        <v>0.26672590051932077</v>
      </c>
      <c r="AY49" s="268">
        <f t="shared" si="56"/>
        <v>0.27214234498675749</v>
      </c>
      <c r="AZ49" s="268">
        <f t="shared" si="56"/>
        <v>0.27755878945419427</v>
      </c>
      <c r="BA49" s="268">
        <f t="shared" si="56"/>
        <v>0.28297523392162938</v>
      </c>
      <c r="BB49" s="268">
        <f t="shared" si="56"/>
        <v>0.2883916783890661</v>
      </c>
      <c r="BC49" s="268">
        <f t="shared" si="56"/>
        <v>0.29380812285650287</v>
      </c>
      <c r="BD49" s="268">
        <f t="shared" si="56"/>
        <v>0.29922456732393959</v>
      </c>
      <c r="BE49" s="268">
        <f t="shared" si="56"/>
        <v>0.30464101179137471</v>
      </c>
      <c r="BF49" s="268">
        <f t="shared" si="56"/>
        <v>0.31005745625881148</v>
      </c>
      <c r="BG49" s="268">
        <f t="shared" si="56"/>
        <v>0.3154739007262482</v>
      </c>
      <c r="BH49" s="268">
        <f t="shared" si="56"/>
        <v>0.32089034519368337</v>
      </c>
      <c r="BI49" s="268">
        <f t="shared" si="56"/>
        <v>0.32630678966112009</v>
      </c>
      <c r="BJ49" s="268">
        <f t="shared" si="56"/>
        <v>0.33172323412855681</v>
      </c>
      <c r="BK49" s="268">
        <f t="shared" si="56"/>
        <v>0.33713967859599198</v>
      </c>
      <c r="BL49" s="268">
        <f t="shared" si="56"/>
        <v>0.3425561230634287</v>
      </c>
      <c r="BM49" s="268">
        <f t="shared" si="56"/>
        <v>0.34797256753086547</v>
      </c>
      <c r="BN49" s="268">
        <f t="shared" si="56"/>
        <v>0.35338901199830219</v>
      </c>
      <c r="BO49" s="268">
        <f t="shared" si="56"/>
        <v>0.3588054564657373</v>
      </c>
      <c r="BP49" s="268">
        <f t="shared" si="56"/>
        <v>0.36422190093317408</v>
      </c>
      <c r="BQ49" s="268">
        <f t="shared" si="56"/>
        <v>0.3696383454006108</v>
      </c>
      <c r="BR49" s="268">
        <f t="shared" si="56"/>
        <v>0.37505478986804591</v>
      </c>
      <c r="BS49" s="268">
        <f t="shared" si="56"/>
        <v>0.38047123433548269</v>
      </c>
      <c r="BT49" s="268">
        <f t="shared" si="56"/>
        <v>0.38588767880291941</v>
      </c>
      <c r="BU49" s="268">
        <f t="shared" si="56"/>
        <v>0.39130412327035458</v>
      </c>
    </row>
    <row r="50" spans="2:73" ht="12.6">
      <c r="B50" s="262"/>
      <c r="C50" s="268" t="str">
        <f t="shared" si="54"/>
        <v>Linear Trend: Electricity (incl fixed)</v>
      </c>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f t="shared" ref="AU50:BU50" si="57">$AT40*(AU$18/$AT$18)</f>
        <v>0.33446728003348275</v>
      </c>
      <c r="AV50" s="268">
        <f t="shared" si="57"/>
        <v>0.34169998634739956</v>
      </c>
      <c r="AW50" s="268">
        <f t="shared" si="57"/>
        <v>0.34893269266131854</v>
      </c>
      <c r="AX50" s="268">
        <f t="shared" si="57"/>
        <v>0.35616539897523536</v>
      </c>
      <c r="AY50" s="268">
        <f t="shared" si="57"/>
        <v>0.36339810528915434</v>
      </c>
      <c r="AZ50" s="268">
        <f t="shared" si="57"/>
        <v>0.37063081160307332</v>
      </c>
      <c r="BA50" s="268">
        <f t="shared" si="57"/>
        <v>0.37786351791699013</v>
      </c>
      <c r="BB50" s="268">
        <f t="shared" si="57"/>
        <v>0.38509622423090906</v>
      </c>
      <c r="BC50" s="268">
        <f t="shared" si="57"/>
        <v>0.39232893054482804</v>
      </c>
      <c r="BD50" s="268">
        <f t="shared" si="57"/>
        <v>0.39956163685874702</v>
      </c>
      <c r="BE50" s="268">
        <f t="shared" si="57"/>
        <v>0.40679434317266383</v>
      </c>
      <c r="BF50" s="268">
        <f t="shared" si="57"/>
        <v>0.41402704948658281</v>
      </c>
      <c r="BG50" s="268">
        <f t="shared" si="57"/>
        <v>0.42125975580050179</v>
      </c>
      <c r="BH50" s="268">
        <f t="shared" si="57"/>
        <v>0.4284924621144186</v>
      </c>
      <c r="BI50" s="268">
        <f t="shared" si="57"/>
        <v>0.43572516842833753</v>
      </c>
      <c r="BJ50" s="268">
        <f t="shared" si="57"/>
        <v>0.44295787474225651</v>
      </c>
      <c r="BK50" s="268">
        <f t="shared" si="57"/>
        <v>0.45019058105617332</v>
      </c>
      <c r="BL50" s="268">
        <f t="shared" si="57"/>
        <v>0.4574232873700923</v>
      </c>
      <c r="BM50" s="268">
        <f t="shared" si="57"/>
        <v>0.46465599368401128</v>
      </c>
      <c r="BN50" s="268">
        <f t="shared" si="57"/>
        <v>0.47188869999793026</v>
      </c>
      <c r="BO50" s="268">
        <f t="shared" si="57"/>
        <v>0.47912140631184708</v>
      </c>
      <c r="BP50" s="268">
        <f t="shared" si="57"/>
        <v>0.486354112625766</v>
      </c>
      <c r="BQ50" s="268">
        <f t="shared" si="57"/>
        <v>0.49358681893968498</v>
      </c>
      <c r="BR50" s="268">
        <f t="shared" si="57"/>
        <v>0.50081952525360185</v>
      </c>
      <c r="BS50" s="268">
        <f t="shared" si="57"/>
        <v>0.50805223156752077</v>
      </c>
      <c r="BT50" s="268">
        <f t="shared" si="57"/>
        <v>0.5152849378814397</v>
      </c>
      <c r="BU50" s="268">
        <f t="shared" si="57"/>
        <v>0.52251764419535651</v>
      </c>
    </row>
    <row r="51" spans="2:73" ht="12.6">
      <c r="B51" s="262"/>
      <c r="C51" s="268" t="str">
        <f t="shared" si="54"/>
        <v>Linear Trend: Electricity fixed price</v>
      </c>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f>Machines!D291</f>
        <v>689</v>
      </c>
      <c r="AU51" s="268">
        <f t="shared" ref="AU51:BU51" si="58">$AT$51*AU49/$AT$39</f>
        <v>713.38119553238141</v>
      </c>
      <c r="AV51" s="268">
        <f t="shared" si="58"/>
        <v>728.80774690278747</v>
      </c>
      <c r="AW51" s="268">
        <f t="shared" si="58"/>
        <v>744.23429827319831</v>
      </c>
      <c r="AX51" s="268">
        <f t="shared" si="58"/>
        <v>759.66084964360471</v>
      </c>
      <c r="AY51" s="268">
        <f t="shared" si="58"/>
        <v>775.08740101401554</v>
      </c>
      <c r="AZ51" s="268">
        <f t="shared" si="58"/>
        <v>790.51395238442649</v>
      </c>
      <c r="BA51" s="268">
        <f t="shared" si="58"/>
        <v>805.94050375483266</v>
      </c>
      <c r="BB51" s="268">
        <f t="shared" si="58"/>
        <v>821.3670551252435</v>
      </c>
      <c r="BC51" s="268">
        <f t="shared" si="58"/>
        <v>836.79360649565444</v>
      </c>
      <c r="BD51" s="268">
        <f t="shared" si="58"/>
        <v>852.22015786606528</v>
      </c>
      <c r="BE51" s="268">
        <f t="shared" si="58"/>
        <v>867.64670923647134</v>
      </c>
      <c r="BF51" s="268">
        <f t="shared" si="58"/>
        <v>883.0732606068824</v>
      </c>
      <c r="BG51" s="268">
        <f t="shared" si="58"/>
        <v>898.49981197729323</v>
      </c>
      <c r="BH51" s="268">
        <f t="shared" si="58"/>
        <v>913.92636334769952</v>
      </c>
      <c r="BI51" s="268">
        <f t="shared" si="58"/>
        <v>929.35291471811036</v>
      </c>
      <c r="BJ51" s="268">
        <f t="shared" si="58"/>
        <v>944.77946608852108</v>
      </c>
      <c r="BK51" s="268">
        <f t="shared" si="58"/>
        <v>960.20601745892748</v>
      </c>
      <c r="BL51" s="268">
        <f t="shared" si="58"/>
        <v>975.63256882933831</v>
      </c>
      <c r="BM51" s="268">
        <f t="shared" si="58"/>
        <v>991.05912019974926</v>
      </c>
      <c r="BN51" s="268">
        <f t="shared" si="58"/>
        <v>1006.4856715701601</v>
      </c>
      <c r="BO51" s="268">
        <f t="shared" si="58"/>
        <v>1021.9122229405663</v>
      </c>
      <c r="BP51" s="268">
        <f t="shared" si="58"/>
        <v>1037.3387743109772</v>
      </c>
      <c r="BQ51" s="268">
        <f t="shared" si="58"/>
        <v>1052.765325681388</v>
      </c>
      <c r="BR51" s="268">
        <f t="shared" si="58"/>
        <v>1068.1918770517943</v>
      </c>
      <c r="BS51" s="268">
        <f t="shared" si="58"/>
        <v>1083.6184284222052</v>
      </c>
      <c r="BT51" s="268">
        <f t="shared" si="58"/>
        <v>1099.044979792616</v>
      </c>
      <c r="BU51" s="268">
        <f t="shared" si="58"/>
        <v>1114.4715311630223</v>
      </c>
    </row>
    <row r="52" spans="2:73" ht="12.6">
      <c r="B52" s="262"/>
      <c r="C52" s="268" t="str">
        <f t="shared" ref="C52:C57" si="59">"Linear Trend: "&amp;C43</f>
        <v>Linear Trend: Gas</v>
      </c>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f t="shared" ref="AT52:AT56" si="60">AT43</f>
        <v>0.11</v>
      </c>
      <c r="AU52" s="268">
        <f t="shared" ref="AU52:BU52" si="61">$AT43*(AU19/$AT19)</f>
        <v>0.10895598339659508</v>
      </c>
      <c r="AV52" s="268">
        <f t="shared" si="61"/>
        <v>0.11146708293469731</v>
      </c>
      <c r="AW52" s="268">
        <f t="shared" si="61"/>
        <v>0.11397818247279887</v>
      </c>
      <c r="AX52" s="268">
        <f t="shared" si="61"/>
        <v>0.11648928201090042</v>
      </c>
      <c r="AY52" s="268">
        <f t="shared" si="61"/>
        <v>0.11900038154900197</v>
      </c>
      <c r="AZ52" s="268">
        <f t="shared" si="61"/>
        <v>0.12151148108710422</v>
      </c>
      <c r="BA52" s="268">
        <f t="shared" si="61"/>
        <v>0.12402258062520577</v>
      </c>
      <c r="BB52" s="268">
        <f t="shared" si="61"/>
        <v>0.12653368016330732</v>
      </c>
      <c r="BC52" s="268">
        <f t="shared" si="61"/>
        <v>0.1290447797014089</v>
      </c>
      <c r="BD52" s="268">
        <f t="shared" si="61"/>
        <v>0.13155587923951045</v>
      </c>
      <c r="BE52" s="268">
        <f t="shared" si="61"/>
        <v>0.13406697877761267</v>
      </c>
      <c r="BF52" s="268">
        <f t="shared" si="61"/>
        <v>0.13657807831571422</v>
      </c>
      <c r="BG52" s="268">
        <f t="shared" si="61"/>
        <v>0.1390891778538158</v>
      </c>
      <c r="BH52" s="268">
        <f t="shared" si="61"/>
        <v>0.14160027739191736</v>
      </c>
      <c r="BI52" s="268">
        <f t="shared" si="61"/>
        <v>0.14411137693001894</v>
      </c>
      <c r="BJ52" s="268">
        <f t="shared" si="61"/>
        <v>0.14662247646812052</v>
      </c>
      <c r="BK52" s="268">
        <f t="shared" si="61"/>
        <v>0.14913357600622271</v>
      </c>
      <c r="BL52" s="268">
        <f t="shared" si="61"/>
        <v>0.15164467554432429</v>
      </c>
      <c r="BM52" s="268">
        <f t="shared" si="61"/>
        <v>0.15415577508242584</v>
      </c>
      <c r="BN52" s="268">
        <f t="shared" si="61"/>
        <v>0.15666687462052742</v>
      </c>
      <c r="BO52" s="268">
        <f t="shared" si="61"/>
        <v>0.15917797415862897</v>
      </c>
      <c r="BP52" s="268">
        <f t="shared" si="61"/>
        <v>0.16168907369673052</v>
      </c>
      <c r="BQ52" s="268">
        <f t="shared" si="61"/>
        <v>0.16420017323483277</v>
      </c>
      <c r="BR52" s="268">
        <f t="shared" si="61"/>
        <v>0.16671127277293432</v>
      </c>
      <c r="BS52" s="268">
        <f t="shared" si="61"/>
        <v>0.16922237231103587</v>
      </c>
      <c r="BT52" s="268">
        <f t="shared" si="61"/>
        <v>0.17173347184913743</v>
      </c>
      <c r="BU52" s="268">
        <f t="shared" si="61"/>
        <v>0.17424457138723901</v>
      </c>
    </row>
    <row r="53" spans="2:73" ht="12.6">
      <c r="B53" s="262"/>
      <c r="C53" s="268" t="str">
        <f t="shared" si="59"/>
        <v>Linear Trend: LPG</v>
      </c>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c r="AO53" s="268"/>
      <c r="AP53" s="268"/>
      <c r="AQ53" s="268"/>
      <c r="AR53" s="268"/>
      <c r="AS53" s="268"/>
      <c r="AT53" s="268">
        <f t="shared" si="60"/>
        <v>0.24412296564195299</v>
      </c>
      <c r="AU53" s="268">
        <f t="shared" ref="AU53:BU53" si="62">$AT44*(AU19/$AT19)</f>
        <v>0.24180597992011074</v>
      </c>
      <c r="AV53" s="268">
        <f t="shared" si="62"/>
        <v>0.24737886234068943</v>
      </c>
      <c r="AW53" s="268">
        <f t="shared" si="62"/>
        <v>0.25295174476126658</v>
      </c>
      <c r="AX53" s="268">
        <f t="shared" si="62"/>
        <v>0.25852462718184377</v>
      </c>
      <c r="AY53" s="268">
        <f t="shared" si="62"/>
        <v>0.26409750960242095</v>
      </c>
      <c r="AZ53" s="268">
        <f t="shared" si="62"/>
        <v>0.26967039202299964</v>
      </c>
      <c r="BA53" s="268">
        <f t="shared" si="62"/>
        <v>0.27524327444357682</v>
      </c>
      <c r="BB53" s="268">
        <f t="shared" si="62"/>
        <v>0.28081615686415401</v>
      </c>
      <c r="BC53" s="268">
        <f t="shared" si="62"/>
        <v>0.28638903928473125</v>
      </c>
      <c r="BD53" s="268">
        <f t="shared" si="62"/>
        <v>0.29196192170530844</v>
      </c>
      <c r="BE53" s="268">
        <f t="shared" si="62"/>
        <v>0.29753480412588706</v>
      </c>
      <c r="BF53" s="268">
        <f t="shared" si="62"/>
        <v>0.30310768654646425</v>
      </c>
      <c r="BG53" s="268">
        <f t="shared" si="62"/>
        <v>0.30868056896704149</v>
      </c>
      <c r="BH53" s="268">
        <f t="shared" si="62"/>
        <v>0.31425345138761868</v>
      </c>
      <c r="BI53" s="268">
        <f t="shared" si="62"/>
        <v>0.31982633380819586</v>
      </c>
      <c r="BJ53" s="268">
        <f t="shared" si="62"/>
        <v>0.3253992162287731</v>
      </c>
      <c r="BK53" s="268">
        <f t="shared" si="62"/>
        <v>0.33097209864935173</v>
      </c>
      <c r="BL53" s="268">
        <f t="shared" si="62"/>
        <v>0.33654498106992892</v>
      </c>
      <c r="BM53" s="268">
        <f t="shared" si="62"/>
        <v>0.3421178634905061</v>
      </c>
      <c r="BN53" s="268">
        <f t="shared" si="62"/>
        <v>0.34769074591108334</v>
      </c>
      <c r="BO53" s="268">
        <f t="shared" si="62"/>
        <v>0.35326362833166053</v>
      </c>
      <c r="BP53" s="268">
        <f t="shared" si="62"/>
        <v>0.35883651075223771</v>
      </c>
      <c r="BQ53" s="268">
        <f t="shared" si="62"/>
        <v>0.3644093931728164</v>
      </c>
      <c r="BR53" s="268">
        <f t="shared" si="62"/>
        <v>0.36998227559339358</v>
      </c>
      <c r="BS53" s="268">
        <f t="shared" si="62"/>
        <v>0.37555515801397077</v>
      </c>
      <c r="BT53" s="268">
        <f t="shared" si="62"/>
        <v>0.38112804043454795</v>
      </c>
      <c r="BU53" s="268">
        <f t="shared" si="62"/>
        <v>0.3867009228551252</v>
      </c>
    </row>
    <row r="54" spans="2:73" ht="12.6">
      <c r="B54" s="262"/>
      <c r="C54" s="268" t="str">
        <f t="shared" si="59"/>
        <v>Linear Trend: Wood</v>
      </c>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c r="AO54" s="268"/>
      <c r="AP54" s="268"/>
      <c r="AQ54" s="268"/>
      <c r="AR54" s="268"/>
      <c r="AS54" s="268"/>
      <c r="AT54" s="268">
        <f t="shared" si="60"/>
        <v>0.11249999999999999</v>
      </c>
      <c r="AU54" s="268">
        <f t="shared" ref="AU54:BU54" si="63">$AT45*(AU20/$AT20)</f>
        <v>0.10062469708145981</v>
      </c>
      <c r="AV54" s="268">
        <f t="shared" si="63"/>
        <v>0.10253004110904552</v>
      </c>
      <c r="AW54" s="268">
        <f t="shared" si="63"/>
        <v>0.10443538513663062</v>
      </c>
      <c r="AX54" s="268">
        <f t="shared" si="63"/>
        <v>0.10634072916421569</v>
      </c>
      <c r="AY54" s="268">
        <f t="shared" si="63"/>
        <v>0.10824607319180142</v>
      </c>
      <c r="AZ54" s="268">
        <f t="shared" si="63"/>
        <v>0.1101514172193865</v>
      </c>
      <c r="BA54" s="268">
        <f t="shared" si="63"/>
        <v>0.11205676124697159</v>
      </c>
      <c r="BB54" s="268">
        <f t="shared" si="63"/>
        <v>0.11396210527455668</v>
      </c>
      <c r="BC54" s="268">
        <f t="shared" si="63"/>
        <v>0.11586744930214175</v>
      </c>
      <c r="BD54" s="268">
        <f t="shared" si="63"/>
        <v>0.11777279332972747</v>
      </c>
      <c r="BE54" s="268">
        <f t="shared" si="63"/>
        <v>0.11967813735731254</v>
      </c>
      <c r="BF54" s="268">
        <f t="shared" si="63"/>
        <v>0.12158348138489763</v>
      </c>
      <c r="BG54" s="268">
        <f t="shared" si="63"/>
        <v>0.12348882541248273</v>
      </c>
      <c r="BH54" s="268">
        <f t="shared" si="63"/>
        <v>0.12539416944006845</v>
      </c>
      <c r="BI54" s="268">
        <f t="shared" si="63"/>
        <v>0.12729951346765353</v>
      </c>
      <c r="BJ54" s="268">
        <f t="shared" si="63"/>
        <v>0.12920485749523863</v>
      </c>
      <c r="BK54" s="268">
        <f t="shared" si="63"/>
        <v>0.13111020152282371</v>
      </c>
      <c r="BL54" s="268">
        <f t="shared" si="63"/>
        <v>0.13301554555040879</v>
      </c>
      <c r="BM54" s="268">
        <f t="shared" si="63"/>
        <v>0.1349208895779945</v>
      </c>
      <c r="BN54" s="268">
        <f t="shared" si="63"/>
        <v>0.13682623360557958</v>
      </c>
      <c r="BO54" s="268">
        <f t="shared" si="63"/>
        <v>0.13873157763316468</v>
      </c>
      <c r="BP54" s="268">
        <f t="shared" si="63"/>
        <v>0.14063692166074979</v>
      </c>
      <c r="BQ54" s="268">
        <f t="shared" si="63"/>
        <v>0.14254226568833547</v>
      </c>
      <c r="BR54" s="268">
        <f t="shared" si="63"/>
        <v>0.14444760971592058</v>
      </c>
      <c r="BS54" s="268">
        <f t="shared" si="63"/>
        <v>0.14635295374350565</v>
      </c>
      <c r="BT54" s="268">
        <f t="shared" si="63"/>
        <v>0.14825829777109073</v>
      </c>
      <c r="BU54" s="268">
        <f t="shared" si="63"/>
        <v>0.15016364179867583</v>
      </c>
    </row>
    <row r="55" spans="2:73" ht="12.6">
      <c r="B55" s="262"/>
      <c r="C55" s="268" t="str">
        <f t="shared" si="59"/>
        <v>Linear Trend: Petrol</v>
      </c>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f t="shared" si="60"/>
        <v>0.27360933794666653</v>
      </c>
      <c r="AU55" s="268">
        <f t="shared" ref="AU55:BU55" si="64">$AT46*(AU21/$AT21)</f>
        <v>0.24766544985374372</v>
      </c>
      <c r="AV55" s="268">
        <f t="shared" si="64"/>
        <v>0.25233909562343321</v>
      </c>
      <c r="AW55" s="268">
        <f t="shared" si="64"/>
        <v>0.25701274139312563</v>
      </c>
      <c r="AX55" s="268">
        <f t="shared" si="64"/>
        <v>0.26168638716281661</v>
      </c>
      <c r="AY55" s="268">
        <f t="shared" si="64"/>
        <v>0.26636003293250754</v>
      </c>
      <c r="AZ55" s="268">
        <f t="shared" si="64"/>
        <v>0.27103367870219996</v>
      </c>
      <c r="BA55" s="268">
        <f t="shared" si="64"/>
        <v>0.275707324471891</v>
      </c>
      <c r="BB55" s="268">
        <f t="shared" si="64"/>
        <v>0.28038097024158343</v>
      </c>
      <c r="BC55" s="268">
        <f t="shared" si="64"/>
        <v>0.28505461601127435</v>
      </c>
      <c r="BD55" s="268">
        <f t="shared" si="64"/>
        <v>0.28972826178096533</v>
      </c>
      <c r="BE55" s="268">
        <f t="shared" si="64"/>
        <v>0.29440190755065776</v>
      </c>
      <c r="BF55" s="268">
        <f t="shared" si="64"/>
        <v>0.29907555332034874</v>
      </c>
      <c r="BG55" s="268">
        <f t="shared" si="64"/>
        <v>0.30374919909003967</v>
      </c>
      <c r="BH55" s="268">
        <f t="shared" si="64"/>
        <v>0.30842284485973209</v>
      </c>
      <c r="BI55" s="268">
        <f t="shared" si="64"/>
        <v>0.31309649062942307</v>
      </c>
      <c r="BJ55" s="268">
        <f t="shared" si="64"/>
        <v>0.3177701363991155</v>
      </c>
      <c r="BK55" s="268">
        <f t="shared" si="64"/>
        <v>0.32244378216880648</v>
      </c>
      <c r="BL55" s="268">
        <f t="shared" si="64"/>
        <v>0.32711742793849741</v>
      </c>
      <c r="BM55" s="268">
        <f t="shared" si="64"/>
        <v>0.33179107370818983</v>
      </c>
      <c r="BN55" s="268">
        <f t="shared" si="64"/>
        <v>0.33646471947788081</v>
      </c>
      <c r="BO55" s="268">
        <f t="shared" si="64"/>
        <v>0.3411383652475718</v>
      </c>
      <c r="BP55" s="268">
        <f t="shared" si="64"/>
        <v>0.34581201101726422</v>
      </c>
      <c r="BQ55" s="268">
        <f t="shared" si="64"/>
        <v>0.35048565678695515</v>
      </c>
      <c r="BR55" s="268">
        <f t="shared" si="64"/>
        <v>0.35515930255664757</v>
      </c>
      <c r="BS55" s="268">
        <f t="shared" si="64"/>
        <v>0.35983294832633855</v>
      </c>
      <c r="BT55" s="268">
        <f t="shared" si="64"/>
        <v>0.36450659409602953</v>
      </c>
      <c r="BU55" s="268">
        <f t="shared" si="64"/>
        <v>0.3691802398657219</v>
      </c>
    </row>
    <row r="56" spans="2:73" ht="12.6">
      <c r="B56" s="262"/>
      <c r="C56" s="268" t="str">
        <f t="shared" si="59"/>
        <v>Linear Trend: Diesel</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f t="shared" si="60"/>
        <v>0.2063937824261956</v>
      </c>
      <c r="AU56" s="268">
        <f t="shared" ref="AU56:BU56" si="65">$AT47*(AU21/$AT21)</f>
        <v>0.18682333488765421</v>
      </c>
      <c r="AV56" s="268">
        <f t="shared" si="65"/>
        <v>0.19034884112719064</v>
      </c>
      <c r="AW56" s="268">
        <f t="shared" si="65"/>
        <v>0.19387434736672929</v>
      </c>
      <c r="AX56" s="268">
        <f t="shared" si="65"/>
        <v>0.1973998536062668</v>
      </c>
      <c r="AY56" s="268">
        <f t="shared" si="65"/>
        <v>0.20092535984580434</v>
      </c>
      <c r="AZ56" s="268">
        <f t="shared" si="65"/>
        <v>0.20445086608534299</v>
      </c>
      <c r="BA56" s="268">
        <f t="shared" si="65"/>
        <v>0.20797637232488053</v>
      </c>
      <c r="BB56" s="268">
        <f t="shared" si="65"/>
        <v>0.21150187856441915</v>
      </c>
      <c r="BC56" s="268">
        <f t="shared" si="65"/>
        <v>0.21502738480395669</v>
      </c>
      <c r="BD56" s="268">
        <f t="shared" si="65"/>
        <v>0.21855289104349424</v>
      </c>
      <c r="BE56" s="268">
        <f t="shared" si="65"/>
        <v>0.22207839728303286</v>
      </c>
      <c r="BF56" s="268">
        <f t="shared" si="65"/>
        <v>0.2256039035225704</v>
      </c>
      <c r="BG56" s="268">
        <f t="shared" si="65"/>
        <v>0.22912940976210794</v>
      </c>
      <c r="BH56" s="268">
        <f t="shared" si="65"/>
        <v>0.23265491600164656</v>
      </c>
      <c r="BI56" s="268">
        <f t="shared" si="65"/>
        <v>0.2361804222411841</v>
      </c>
      <c r="BJ56" s="268">
        <f t="shared" si="65"/>
        <v>0.23970592848072272</v>
      </c>
      <c r="BK56" s="268">
        <f t="shared" si="65"/>
        <v>0.24323143472026026</v>
      </c>
      <c r="BL56" s="268">
        <f t="shared" si="65"/>
        <v>0.2467569409597978</v>
      </c>
      <c r="BM56" s="268">
        <f t="shared" si="65"/>
        <v>0.25028244719933646</v>
      </c>
      <c r="BN56" s="268">
        <f t="shared" si="65"/>
        <v>0.25380795343887397</v>
      </c>
      <c r="BO56" s="268">
        <f t="shared" si="65"/>
        <v>0.25733345967841148</v>
      </c>
      <c r="BP56" s="268">
        <f t="shared" si="65"/>
        <v>0.2608589659179501</v>
      </c>
      <c r="BQ56" s="268">
        <f t="shared" si="65"/>
        <v>0.26438447215748767</v>
      </c>
      <c r="BR56" s="268">
        <f t="shared" si="65"/>
        <v>0.26790997839702629</v>
      </c>
      <c r="BS56" s="268">
        <f t="shared" si="65"/>
        <v>0.27143548463656381</v>
      </c>
      <c r="BT56" s="268">
        <f t="shared" si="65"/>
        <v>0.27496099087610137</v>
      </c>
      <c r="BU56" s="268">
        <f t="shared" si="65"/>
        <v>0.27848649711564</v>
      </c>
    </row>
    <row r="57" spans="2:73" ht="12.6">
      <c r="B57" s="262"/>
      <c r="C57" s="268" t="str">
        <f t="shared" si="59"/>
        <v>Linear Trend: AutoLPG</v>
      </c>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f t="shared" ref="AU57:BU57" si="66">$AT48*(AU19/$AT19)</f>
        <v>0.18739358323738711</v>
      </c>
      <c r="AV57" s="268">
        <f t="shared" si="66"/>
        <v>0.19171242765181354</v>
      </c>
      <c r="AW57" s="268">
        <f t="shared" si="66"/>
        <v>0.19603127206623883</v>
      </c>
      <c r="AX57" s="268">
        <f t="shared" si="66"/>
        <v>0.20035011648066409</v>
      </c>
      <c r="AY57" s="268">
        <f t="shared" si="66"/>
        <v>0.20466896089508937</v>
      </c>
      <c r="AZ57" s="268">
        <f t="shared" si="66"/>
        <v>0.20898780530951583</v>
      </c>
      <c r="BA57" s="268">
        <f t="shared" si="66"/>
        <v>0.21330664972394112</v>
      </c>
      <c r="BB57" s="268">
        <f t="shared" si="66"/>
        <v>0.2176254941383664</v>
      </c>
      <c r="BC57" s="268">
        <f t="shared" si="66"/>
        <v>0.22194433855279172</v>
      </c>
      <c r="BD57" s="268">
        <f t="shared" si="66"/>
        <v>0.22626318296721698</v>
      </c>
      <c r="BE57" s="268">
        <f t="shared" si="66"/>
        <v>0.23058202738164341</v>
      </c>
      <c r="BF57" s="268">
        <f t="shared" si="66"/>
        <v>0.23490087179606869</v>
      </c>
      <c r="BG57" s="268">
        <f t="shared" si="66"/>
        <v>0.23921971621049401</v>
      </c>
      <c r="BH57" s="268">
        <f t="shared" si="66"/>
        <v>0.2435385606249193</v>
      </c>
      <c r="BI57" s="268">
        <f t="shared" si="66"/>
        <v>0.24785740503934456</v>
      </c>
      <c r="BJ57" s="268">
        <f t="shared" si="66"/>
        <v>0.25217624945376987</v>
      </c>
      <c r="BK57" s="268">
        <f t="shared" si="66"/>
        <v>0.2564950938681963</v>
      </c>
      <c r="BL57" s="268">
        <f t="shared" si="66"/>
        <v>0.26081393828262156</v>
      </c>
      <c r="BM57" s="268">
        <f t="shared" si="66"/>
        <v>0.26513278269704688</v>
      </c>
      <c r="BN57" s="268">
        <f t="shared" si="66"/>
        <v>0.26945162711147219</v>
      </c>
      <c r="BO57" s="268">
        <f t="shared" si="66"/>
        <v>0.27377047152589745</v>
      </c>
      <c r="BP57" s="268">
        <f t="shared" si="66"/>
        <v>0.27808931594032271</v>
      </c>
      <c r="BQ57" s="268">
        <f t="shared" si="66"/>
        <v>0.28240816035474919</v>
      </c>
      <c r="BR57" s="268">
        <f t="shared" si="66"/>
        <v>0.28672700476917445</v>
      </c>
      <c r="BS57" s="268">
        <f t="shared" si="66"/>
        <v>0.29104584918359977</v>
      </c>
      <c r="BT57" s="268">
        <f t="shared" si="66"/>
        <v>0.29536469359802503</v>
      </c>
      <c r="BU57" s="268">
        <f t="shared" si="66"/>
        <v>0.29968353801245035</v>
      </c>
    </row>
    <row r="58" spans="2:73" ht="12.6">
      <c r="B58" s="262"/>
      <c r="C58" s="262"/>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62"/>
      <c r="AS58" s="270"/>
      <c r="AT58" s="270"/>
      <c r="AU58" s="270"/>
      <c r="AV58" s="270"/>
      <c r="AW58" s="270"/>
      <c r="AX58" s="270"/>
      <c r="AY58" s="270"/>
      <c r="AZ58" s="270"/>
      <c r="BA58" s="270"/>
      <c r="BB58" s="270"/>
      <c r="BC58" s="270"/>
      <c r="BD58" s="270"/>
      <c r="BE58" s="270"/>
      <c r="BF58" s="270"/>
      <c r="BG58" s="270"/>
      <c r="BH58" s="270"/>
      <c r="BI58" s="270"/>
      <c r="BJ58" s="270"/>
      <c r="BK58" s="270"/>
      <c r="BL58" s="270"/>
      <c r="BM58" s="270"/>
      <c r="BN58" s="270"/>
      <c r="BO58" s="270"/>
      <c r="BP58" s="270"/>
      <c r="BQ58" s="270"/>
      <c r="BR58" s="270"/>
      <c r="BS58" s="270"/>
      <c r="BT58" s="270"/>
      <c r="BU58" s="270"/>
    </row>
    <row r="59" spans="2:73" ht="12.95">
      <c r="B59" s="264"/>
      <c r="C59" s="57" t="s">
        <v>622</v>
      </c>
      <c r="D59" s="266">
        <f t="shared" ref="D59:BK59" si="67">D17</f>
        <v>1981</v>
      </c>
      <c r="E59" s="266">
        <f t="shared" si="67"/>
        <v>1982</v>
      </c>
      <c r="F59" s="266">
        <f t="shared" si="67"/>
        <v>1983</v>
      </c>
      <c r="G59" s="266">
        <f t="shared" si="67"/>
        <v>1984</v>
      </c>
      <c r="H59" s="266">
        <f t="shared" si="67"/>
        <v>1985</v>
      </c>
      <c r="I59" s="266">
        <f t="shared" si="67"/>
        <v>1986</v>
      </c>
      <c r="J59" s="266">
        <f t="shared" si="67"/>
        <v>1987</v>
      </c>
      <c r="K59" s="266">
        <f t="shared" si="67"/>
        <v>1988</v>
      </c>
      <c r="L59" s="266">
        <f t="shared" si="67"/>
        <v>1989</v>
      </c>
      <c r="M59" s="266">
        <f t="shared" si="67"/>
        <v>1990</v>
      </c>
      <c r="N59" s="266">
        <f t="shared" si="67"/>
        <v>1991</v>
      </c>
      <c r="O59" s="266">
        <f t="shared" si="67"/>
        <v>1992</v>
      </c>
      <c r="P59" s="266">
        <f t="shared" si="67"/>
        <v>1993</v>
      </c>
      <c r="Q59" s="266">
        <f t="shared" si="67"/>
        <v>1994</v>
      </c>
      <c r="R59" s="266">
        <f t="shared" si="67"/>
        <v>1995</v>
      </c>
      <c r="S59" s="266">
        <f t="shared" si="67"/>
        <v>1996</v>
      </c>
      <c r="T59" s="266">
        <f t="shared" si="67"/>
        <v>1997</v>
      </c>
      <c r="U59" s="266">
        <f t="shared" si="67"/>
        <v>1998</v>
      </c>
      <c r="V59" s="266">
        <f t="shared" si="67"/>
        <v>1999</v>
      </c>
      <c r="W59" s="266">
        <f t="shared" si="67"/>
        <v>2000</v>
      </c>
      <c r="X59" s="266">
        <f t="shared" si="67"/>
        <v>2001</v>
      </c>
      <c r="Y59" s="266">
        <f t="shared" si="67"/>
        <v>2002</v>
      </c>
      <c r="Z59" s="266">
        <f t="shared" si="67"/>
        <v>2003</v>
      </c>
      <c r="AA59" s="266">
        <f t="shared" si="67"/>
        <v>2004</v>
      </c>
      <c r="AB59" s="266">
        <f t="shared" si="67"/>
        <v>2005</v>
      </c>
      <c r="AC59" s="266">
        <f t="shared" si="67"/>
        <v>2006</v>
      </c>
      <c r="AD59" s="266">
        <f t="shared" si="67"/>
        <v>2007</v>
      </c>
      <c r="AE59" s="266">
        <f t="shared" si="67"/>
        <v>2008</v>
      </c>
      <c r="AF59" s="266">
        <f t="shared" si="67"/>
        <v>2009</v>
      </c>
      <c r="AG59" s="266">
        <f t="shared" si="67"/>
        <v>2010</v>
      </c>
      <c r="AH59" s="266">
        <f t="shared" si="67"/>
        <v>2011</v>
      </c>
      <c r="AI59" s="266">
        <f t="shared" si="67"/>
        <v>2012</v>
      </c>
      <c r="AJ59" s="266">
        <f t="shared" si="67"/>
        <v>2013</v>
      </c>
      <c r="AK59" s="266">
        <f t="shared" si="67"/>
        <v>2014</v>
      </c>
      <c r="AL59" s="266">
        <f t="shared" si="67"/>
        <v>2015</v>
      </c>
      <c r="AM59" s="266">
        <f t="shared" si="67"/>
        <v>2016</v>
      </c>
      <c r="AN59" s="266">
        <f t="shared" si="67"/>
        <v>2017</v>
      </c>
      <c r="AO59" s="266">
        <f t="shared" si="67"/>
        <v>2018</v>
      </c>
      <c r="AP59" s="266">
        <f t="shared" si="67"/>
        <v>2019</v>
      </c>
      <c r="AQ59" s="266">
        <f t="shared" si="67"/>
        <v>2020</v>
      </c>
      <c r="AR59" s="266">
        <f t="shared" si="67"/>
        <v>2021</v>
      </c>
      <c r="AS59" s="266">
        <f t="shared" si="67"/>
        <v>2022</v>
      </c>
      <c r="AT59" s="266">
        <f t="shared" si="67"/>
        <v>2023</v>
      </c>
      <c r="AU59" s="266">
        <f t="shared" si="67"/>
        <v>2024</v>
      </c>
      <c r="AV59" s="266">
        <f t="shared" si="67"/>
        <v>2025</v>
      </c>
      <c r="AW59" s="266">
        <f t="shared" si="67"/>
        <v>2026</v>
      </c>
      <c r="AX59" s="266">
        <f t="shared" si="67"/>
        <v>2027</v>
      </c>
      <c r="AY59" s="266">
        <f t="shared" si="67"/>
        <v>2028</v>
      </c>
      <c r="AZ59" s="266">
        <f t="shared" si="67"/>
        <v>2029</v>
      </c>
      <c r="BA59" s="266">
        <f t="shared" si="67"/>
        <v>2030</v>
      </c>
      <c r="BB59" s="266">
        <f t="shared" si="67"/>
        <v>2031</v>
      </c>
      <c r="BC59" s="266">
        <f t="shared" si="67"/>
        <v>2032</v>
      </c>
      <c r="BD59" s="266">
        <f t="shared" si="67"/>
        <v>2033</v>
      </c>
      <c r="BE59" s="266">
        <f t="shared" si="67"/>
        <v>2034</v>
      </c>
      <c r="BF59" s="266">
        <f t="shared" si="67"/>
        <v>2035</v>
      </c>
      <c r="BG59" s="266">
        <f t="shared" si="67"/>
        <v>2036</v>
      </c>
      <c r="BH59" s="266">
        <f t="shared" si="67"/>
        <v>2037</v>
      </c>
      <c r="BI59" s="266">
        <f t="shared" si="67"/>
        <v>2038</v>
      </c>
      <c r="BJ59" s="266">
        <f t="shared" si="67"/>
        <v>2039</v>
      </c>
      <c r="BK59" s="266">
        <f t="shared" si="67"/>
        <v>2040</v>
      </c>
      <c r="BL59" s="271"/>
      <c r="BM59" s="271"/>
      <c r="BN59" s="271"/>
      <c r="BO59" s="271"/>
      <c r="BP59" s="271"/>
      <c r="BQ59" s="271"/>
      <c r="BR59" s="271"/>
      <c r="BS59" s="271"/>
      <c r="BT59" s="271"/>
      <c r="BU59" s="271"/>
    </row>
    <row r="60" spans="2:73" ht="12.6">
      <c r="B60" s="480" t="s">
        <v>623</v>
      </c>
      <c r="C60" s="269" t="s">
        <v>624</v>
      </c>
      <c r="D60" s="268">
        <f t="shared" ref="D60:AQ60" si="68">(D62/$AR$62)*$AR$60</f>
        <v>5.9353490877537372</v>
      </c>
      <c r="E60" s="268">
        <f t="shared" si="68"/>
        <v>5.332779370948443</v>
      </c>
      <c r="F60" s="268">
        <f t="shared" si="68"/>
        <v>4.3051526299042759</v>
      </c>
      <c r="G60" s="268">
        <f t="shared" si="68"/>
        <v>4.000322175248006</v>
      </c>
      <c r="H60" s="268">
        <f t="shared" si="68"/>
        <v>3.4923715558382331</v>
      </c>
      <c r="I60" s="268">
        <f t="shared" si="68"/>
        <v>2.8888842922848754</v>
      </c>
      <c r="J60" s="268">
        <f t="shared" si="68"/>
        <v>2.4560397646817229</v>
      </c>
      <c r="K60" s="268">
        <f t="shared" si="68"/>
        <v>2.2940443246323059</v>
      </c>
      <c r="L60" s="268">
        <f t="shared" si="68"/>
        <v>2.3707940826693408</v>
      </c>
      <c r="M60" s="268">
        <f t="shared" si="68"/>
        <v>2.452139026603025</v>
      </c>
      <c r="N60" s="268">
        <f t="shared" si="68"/>
        <v>2.2715711828214147</v>
      </c>
      <c r="O60" s="268">
        <f t="shared" si="68"/>
        <v>2.1162878068259818</v>
      </c>
      <c r="P60" s="268">
        <f t="shared" si="68"/>
        <v>1.9791008280771984</v>
      </c>
      <c r="Q60" s="268">
        <f t="shared" si="68"/>
        <v>1.8721947550536058</v>
      </c>
      <c r="R60" s="268">
        <f t="shared" si="68"/>
        <v>1.7310443935369801</v>
      </c>
      <c r="S60" s="268">
        <f t="shared" si="68"/>
        <v>1.618345899126435</v>
      </c>
      <c r="T60" s="268">
        <f t="shared" si="68"/>
        <v>1.6127025208660717</v>
      </c>
      <c r="U60" s="268">
        <f t="shared" si="68"/>
        <v>1.4532068135054153</v>
      </c>
      <c r="V60" s="268">
        <f t="shared" si="68"/>
        <v>1.3424153724755543</v>
      </c>
      <c r="W60" s="268">
        <f t="shared" si="68"/>
        <v>1.3173947575994163</v>
      </c>
      <c r="X60" s="268">
        <f t="shared" si="68"/>
        <v>1.2745141185602031</v>
      </c>
      <c r="Y60" s="268">
        <f t="shared" si="68"/>
        <v>1.1655684835011937</v>
      </c>
      <c r="Z60" s="268">
        <f t="shared" si="68"/>
        <v>1.1080841797349912</v>
      </c>
      <c r="AA60" s="268">
        <f t="shared" si="68"/>
        <v>0.95640298980530758</v>
      </c>
      <c r="AB60" s="268">
        <f t="shared" si="68"/>
        <v>0.96662175917206983</v>
      </c>
      <c r="AC60" s="268">
        <f t="shared" si="68"/>
        <v>1.0536119444051995</v>
      </c>
      <c r="AD60" s="268">
        <f t="shared" si="68"/>
        <v>1.0614152836016779</v>
      </c>
      <c r="AE60" s="268">
        <f t="shared" si="68"/>
        <v>0.96734112513774717</v>
      </c>
      <c r="AF60" s="268">
        <f t="shared" si="68"/>
        <v>0.6465565352996604</v>
      </c>
      <c r="AG60" s="268">
        <f t="shared" si="68"/>
        <v>0.50160906725329324</v>
      </c>
      <c r="AH60" s="268">
        <f t="shared" si="68"/>
        <v>0.41145916773647528</v>
      </c>
      <c r="AI60" s="268">
        <f t="shared" si="68"/>
        <v>0.2216327183551754</v>
      </c>
      <c r="AJ60" s="268">
        <f t="shared" si="68"/>
        <v>0.17083835505385406</v>
      </c>
      <c r="AK60" s="268">
        <f t="shared" si="68"/>
        <v>0.15742889837865948</v>
      </c>
      <c r="AL60" s="268">
        <f t="shared" si="68"/>
        <v>0.14631051401500111</v>
      </c>
      <c r="AM60" s="268">
        <f t="shared" si="68"/>
        <v>0.13508756658284507</v>
      </c>
      <c r="AN60" s="268">
        <f t="shared" si="68"/>
        <v>0.11333891409510749</v>
      </c>
      <c r="AO60" s="268">
        <f t="shared" si="68"/>
        <v>0.10094900555773621</v>
      </c>
      <c r="AP60" s="268">
        <f t="shared" si="68"/>
        <v>9.2546932176163388E-2</v>
      </c>
      <c r="AQ60" s="268">
        <f t="shared" si="68"/>
        <v>7.342632919398441E-2</v>
      </c>
      <c r="AR60" s="272">
        <f>AT125</f>
        <v>6.2079955422621826E-2</v>
      </c>
      <c r="AS60" s="268">
        <f>AT60*1.1</f>
        <v>6.828795096488402E-2</v>
      </c>
      <c r="AT60" s="268">
        <f>AT125</f>
        <v>6.2079955422621826E-2</v>
      </c>
      <c r="AU60" s="269"/>
      <c r="AV60" s="269"/>
      <c r="AW60" s="269"/>
      <c r="AX60" s="269"/>
      <c r="AY60" s="269"/>
      <c r="AZ60" s="269"/>
      <c r="BA60" s="269"/>
      <c r="BB60" s="269"/>
      <c r="BC60" s="269"/>
      <c r="BD60" s="269"/>
      <c r="BE60" s="269"/>
      <c r="BF60" s="269"/>
      <c r="BG60" s="269"/>
      <c r="BH60" s="269"/>
      <c r="BI60" s="269"/>
      <c r="BJ60" s="269"/>
      <c r="BK60" s="269"/>
      <c r="BL60" s="268"/>
      <c r="BM60" s="268"/>
      <c r="BN60" s="268"/>
      <c r="BO60" s="268"/>
      <c r="BP60" s="268"/>
      <c r="BQ60" s="268"/>
      <c r="BR60" s="268"/>
      <c r="BS60" s="268"/>
      <c r="BT60" s="268"/>
      <c r="BU60" s="268"/>
    </row>
    <row r="61" spans="2:73" ht="12.6">
      <c r="B61" s="262"/>
      <c r="C61" s="269" t="s">
        <v>625</v>
      </c>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9"/>
      <c r="AS61" s="268"/>
      <c r="AT61" s="268"/>
      <c r="AU61" s="268">
        <f t="shared" ref="AU61:BK61" si="69">$AT$60*(AU62)</f>
        <v>5.9109723419028454E-2</v>
      </c>
      <c r="AV61" s="268">
        <f t="shared" si="69"/>
        <v>5.6160556890637862E-2</v>
      </c>
      <c r="AW61" s="268">
        <f t="shared" si="69"/>
        <v>5.3190324887044484E-2</v>
      </c>
      <c r="AX61" s="268">
        <f t="shared" si="69"/>
        <v>5.0241158358653899E-2</v>
      </c>
      <c r="AY61" s="268">
        <f t="shared" si="69"/>
        <v>4.7270926355060534E-2</v>
      </c>
      <c r="AZ61" s="268">
        <f t="shared" si="69"/>
        <v>4.4300694351467156E-2</v>
      </c>
      <c r="BA61" s="268">
        <f t="shared" si="69"/>
        <v>4.1351527823076571E-2</v>
      </c>
      <c r="BB61" s="268">
        <f t="shared" si="69"/>
        <v>3.8381295819483192E-2</v>
      </c>
      <c r="BC61" s="268">
        <f t="shared" si="69"/>
        <v>3.5411063815889821E-2</v>
      </c>
      <c r="BD61" s="268">
        <f t="shared" si="69"/>
        <v>3.2461897287499229E-2</v>
      </c>
      <c r="BE61" s="268">
        <f t="shared" si="69"/>
        <v>2.9491665283905857E-2</v>
      </c>
      <c r="BF61" s="268">
        <f t="shared" si="69"/>
        <v>2.6521433280312479E-2</v>
      </c>
      <c r="BG61" s="268">
        <f t="shared" si="69"/>
        <v>2.3572266751921894E-2</v>
      </c>
      <c r="BH61" s="268">
        <f t="shared" si="69"/>
        <v>2.3214153673474468E-2</v>
      </c>
      <c r="BI61" s="268">
        <f t="shared" si="69"/>
        <v>2.287710607022983E-2</v>
      </c>
      <c r="BJ61" s="268">
        <f t="shared" si="69"/>
        <v>2.2518992991782397E-2</v>
      </c>
      <c r="BK61" s="268">
        <f t="shared" si="69"/>
        <v>2.2181945388537759E-2</v>
      </c>
      <c r="BL61" s="268"/>
      <c r="BM61" s="268"/>
      <c r="BN61" s="268"/>
      <c r="BO61" s="268"/>
      <c r="BP61" s="268"/>
      <c r="BQ61" s="268"/>
      <c r="BR61" s="268"/>
      <c r="BS61" s="268"/>
      <c r="BT61" s="268"/>
      <c r="BU61" s="268"/>
    </row>
    <row r="62" spans="2:73" ht="12.6">
      <c r="B62" s="480" t="s">
        <v>623</v>
      </c>
      <c r="C62" s="269" t="s">
        <v>626</v>
      </c>
      <c r="D62" s="269">
        <v>25.486740000000001</v>
      </c>
      <c r="E62" s="269">
        <v>22.899270000000001</v>
      </c>
      <c r="F62" s="269">
        <v>18.48658</v>
      </c>
      <c r="G62" s="269">
        <v>17.177620000000001</v>
      </c>
      <c r="H62" s="269">
        <v>14.996449999999999</v>
      </c>
      <c r="I62" s="269">
        <v>12.40504</v>
      </c>
      <c r="J62" s="269">
        <v>10.546379999999999</v>
      </c>
      <c r="K62" s="269">
        <v>9.8507619999999996</v>
      </c>
      <c r="L62" s="269">
        <v>10.18033</v>
      </c>
      <c r="M62" s="269">
        <v>10.529629999999999</v>
      </c>
      <c r="N62" s="269">
        <v>9.7542609999999996</v>
      </c>
      <c r="O62" s="269">
        <v>9.0874649999999999</v>
      </c>
      <c r="P62" s="269">
        <v>8.4983760000000004</v>
      </c>
      <c r="Q62" s="269">
        <v>8.0393150000000002</v>
      </c>
      <c r="R62" s="269">
        <v>7.4332070000000003</v>
      </c>
      <c r="S62" s="269">
        <v>6.9492729999999998</v>
      </c>
      <c r="T62" s="269">
        <v>6.9250400000000001</v>
      </c>
      <c r="U62" s="269">
        <v>6.2401559999999998</v>
      </c>
      <c r="V62" s="269">
        <v>5.764411</v>
      </c>
      <c r="W62" s="272">
        <v>5.6569710000000004</v>
      </c>
      <c r="X62" s="272">
        <v>5.4728389999999996</v>
      </c>
      <c r="Y62" s="272">
        <v>5.00502</v>
      </c>
      <c r="Z62" s="272">
        <v>4.7581790000000002</v>
      </c>
      <c r="AA62" s="272">
        <v>4.1068509999999998</v>
      </c>
      <c r="AB62" s="272">
        <v>4.1507310000000004</v>
      </c>
      <c r="AC62" s="272">
        <v>4.5242719999999998</v>
      </c>
      <c r="AD62" s="272">
        <v>4.5577800000000002</v>
      </c>
      <c r="AE62" s="272">
        <v>4.1538199999999996</v>
      </c>
      <c r="AF62" s="272">
        <v>2.7763520000000002</v>
      </c>
      <c r="AG62" s="272">
        <v>2.1539389999999998</v>
      </c>
      <c r="AH62" s="272">
        <v>1.7668299999999999</v>
      </c>
      <c r="AI62" s="272">
        <v>0.95170399999999999</v>
      </c>
      <c r="AJ62" s="272">
        <v>0.73358999999999996</v>
      </c>
      <c r="AK62" s="272">
        <v>0.67600899999999997</v>
      </c>
      <c r="AL62" s="272">
        <v>0.62826599999999999</v>
      </c>
      <c r="AM62" s="272">
        <v>0.58007399999999998</v>
      </c>
      <c r="AN62" s="272">
        <v>0.48668400000000001</v>
      </c>
      <c r="AO62" s="272">
        <v>0.43348100000000001</v>
      </c>
      <c r="AP62" s="272">
        <v>0.39740199999999998</v>
      </c>
      <c r="AQ62" s="272">
        <v>0.31529699999999999</v>
      </c>
      <c r="AR62" s="272">
        <v>0.26657500000000001</v>
      </c>
      <c r="AS62" s="268"/>
      <c r="AT62" s="268">
        <v>1</v>
      </c>
      <c r="AU62" s="268">
        <v>0.95215473362741776</v>
      </c>
      <c r="AV62" s="268">
        <v>0.90464879538513743</v>
      </c>
      <c r="AW62" s="268">
        <v>0.85680352901255508</v>
      </c>
      <c r="AX62" s="268">
        <v>0.80929759077027474</v>
      </c>
      <c r="AY62" s="268">
        <v>0.76145232439769261</v>
      </c>
      <c r="AZ62" s="268">
        <v>0.71360705802511037</v>
      </c>
      <c r="BA62" s="268">
        <v>0.66610111978283004</v>
      </c>
      <c r="BB62" s="268">
        <v>0.61825585341024769</v>
      </c>
      <c r="BC62" s="268">
        <v>0.57041058703766545</v>
      </c>
      <c r="BD62" s="268">
        <v>0.52290464879538512</v>
      </c>
      <c r="BE62" s="268">
        <v>0.47505938242280288</v>
      </c>
      <c r="BF62" s="268">
        <v>0.42721411605022053</v>
      </c>
      <c r="BG62" s="268">
        <v>0.37970817780794025</v>
      </c>
      <c r="BH62" s="268">
        <v>0.37393959959280626</v>
      </c>
      <c r="BI62" s="268">
        <v>0.36851034950797423</v>
      </c>
      <c r="BJ62" s="268">
        <v>0.36274177129284013</v>
      </c>
      <c r="BK62" s="268">
        <v>0.3573125212080081</v>
      </c>
      <c r="BL62" s="268"/>
      <c r="BM62" s="268"/>
      <c r="BN62" s="268"/>
      <c r="BO62" s="268"/>
      <c r="BP62" s="268"/>
      <c r="BQ62" s="268"/>
      <c r="BR62" s="268"/>
      <c r="BS62" s="268"/>
      <c r="BT62" s="268"/>
      <c r="BU62" s="268"/>
    </row>
    <row r="63" spans="2:73" ht="12.6">
      <c r="B63" s="262"/>
      <c r="C63" s="269" t="s">
        <v>387</v>
      </c>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t="s">
        <v>627</v>
      </c>
      <c r="AD63" s="268"/>
      <c r="AE63" s="268"/>
      <c r="AF63" s="268"/>
      <c r="AG63" s="268"/>
      <c r="AI63" s="268"/>
      <c r="AJ63" s="268"/>
      <c r="AK63" s="268"/>
      <c r="AL63" s="268"/>
      <c r="AM63" s="268"/>
      <c r="AN63" s="268"/>
      <c r="AO63" s="268"/>
      <c r="AP63" s="268"/>
      <c r="AQ63" s="268"/>
      <c r="AR63" s="269"/>
      <c r="AS63" s="268"/>
      <c r="AT63" s="268"/>
      <c r="AU63" s="268"/>
      <c r="AV63" s="268"/>
      <c r="AW63" s="268"/>
      <c r="AX63" s="268"/>
      <c r="AY63" s="268"/>
      <c r="AZ63" s="268"/>
      <c r="BA63" s="268"/>
      <c r="BB63" s="268"/>
      <c r="BC63" s="268"/>
      <c r="BD63" s="268"/>
      <c r="BE63" s="268"/>
      <c r="BF63" s="268"/>
      <c r="BG63" s="268"/>
      <c r="BH63" s="268"/>
      <c r="BI63" s="268"/>
      <c r="BJ63" s="268"/>
      <c r="BK63" s="268"/>
      <c r="BL63" s="268"/>
      <c r="BM63" s="268"/>
      <c r="BN63" s="268"/>
      <c r="BO63" s="268"/>
      <c r="BP63" s="268"/>
      <c r="BQ63" s="268"/>
      <c r="BR63" s="268"/>
      <c r="BS63" s="268"/>
      <c r="BT63" s="268"/>
      <c r="BU63" s="268"/>
    </row>
    <row r="65" spans="3:63" ht="12.6">
      <c r="C65" s="269" t="s">
        <v>628</v>
      </c>
      <c r="D65" s="268"/>
      <c r="E65" s="268"/>
      <c r="F65" s="268"/>
      <c r="G65" s="268"/>
      <c r="H65" s="268"/>
      <c r="I65" s="268"/>
      <c r="J65" s="268"/>
      <c r="K65" s="268"/>
      <c r="L65" s="268"/>
      <c r="M65" s="268"/>
      <c r="N65" s="268"/>
      <c r="O65" s="268"/>
      <c r="P65" s="268"/>
      <c r="Q65" s="268"/>
      <c r="R65" s="268"/>
      <c r="S65" s="268"/>
      <c r="T65" s="268"/>
      <c r="U65" s="268"/>
      <c r="V65" s="268"/>
      <c r="W65" s="268">
        <f t="shared" ref="W65:AQ65" si="70">(W62/$AR$62)*$AR$65</f>
        <v>2.5775505116079467</v>
      </c>
      <c r="X65" s="268">
        <f t="shared" si="70"/>
        <v>2.4936523387512364</v>
      </c>
      <c r="Y65" s="268">
        <f t="shared" si="70"/>
        <v>2.2804946077340693</v>
      </c>
      <c r="Z65" s="268">
        <f t="shared" si="70"/>
        <v>2.1680236147175207</v>
      </c>
      <c r="AA65" s="268">
        <f t="shared" si="70"/>
        <v>1.8712515754716801</v>
      </c>
      <c r="AB65" s="268">
        <f t="shared" si="70"/>
        <v>1.8912451226278097</v>
      </c>
      <c r="AC65" s="268">
        <f t="shared" si="70"/>
        <v>2.0614458883125804</v>
      </c>
      <c r="AD65" s="268">
        <f t="shared" si="70"/>
        <v>2.0767135222712767</v>
      </c>
      <c r="AE65" s="268">
        <f t="shared" si="70"/>
        <v>1.8926525990900995</v>
      </c>
      <c r="AF65" s="268">
        <f t="shared" si="70"/>
        <v>1.265021071878174</v>
      </c>
      <c r="AG65" s="268">
        <f t="shared" si="70"/>
        <v>0.98142390537662449</v>
      </c>
      <c r="AH65" s="268">
        <f t="shared" si="70"/>
        <v>0.80504099639617521</v>
      </c>
      <c r="AI65" s="268">
        <f t="shared" si="70"/>
        <v>0.43363579769090721</v>
      </c>
      <c r="AJ65" s="268">
        <f t="shared" si="70"/>
        <v>0.33425401682463518</v>
      </c>
      <c r="AK65" s="268">
        <f t="shared" si="70"/>
        <v>0.30801772605897682</v>
      </c>
      <c r="AL65" s="268">
        <f t="shared" si="70"/>
        <v>0.28626403595243427</v>
      </c>
      <c r="AM65" s="268">
        <f t="shared" si="70"/>
        <v>0.26430576283146362</v>
      </c>
      <c r="AN65" s="268">
        <f t="shared" si="70"/>
        <v>0.22175340711334773</v>
      </c>
      <c r="AO65" s="268">
        <f t="shared" si="70"/>
        <v>0.19751191464872705</v>
      </c>
      <c r="AP65" s="268">
        <f t="shared" si="70"/>
        <v>0.18107282650273815</v>
      </c>
      <c r="AQ65" s="268">
        <f t="shared" si="70"/>
        <v>0.14366238463277445</v>
      </c>
      <c r="AR65" s="272">
        <f>AT127</f>
        <v>0.12146262153931642</v>
      </c>
      <c r="AS65" s="268">
        <f>AT65*1.1</f>
        <v>0.13360888369324808</v>
      </c>
      <c r="AT65" s="268">
        <f>AT127</f>
        <v>0.12146262153931642</v>
      </c>
      <c r="AU65" s="268"/>
      <c r="AV65" s="268"/>
      <c r="AW65" s="268"/>
      <c r="AX65" s="268"/>
      <c r="AY65" s="268"/>
      <c r="AZ65" s="268"/>
      <c r="BA65" s="268"/>
      <c r="BB65" s="268"/>
      <c r="BC65" s="268"/>
      <c r="BD65" s="268"/>
      <c r="BE65" s="268"/>
      <c r="BF65" s="268"/>
      <c r="BG65" s="268"/>
      <c r="BH65" s="268"/>
      <c r="BI65" s="268"/>
      <c r="BJ65" s="268"/>
      <c r="BK65" s="268"/>
    </row>
    <row r="66" spans="3:63" ht="12.6">
      <c r="C66" s="269" t="s">
        <v>629</v>
      </c>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10" t="s">
        <v>630</v>
      </c>
      <c r="AI66" s="268"/>
      <c r="AJ66" s="268"/>
      <c r="AK66" s="268"/>
      <c r="AL66" s="268"/>
      <c r="AM66" s="268"/>
      <c r="AO66" s="268"/>
      <c r="AP66" s="268"/>
      <c r="AQ66" s="268"/>
      <c r="AR66" s="269"/>
      <c r="AS66" s="268"/>
      <c r="AT66" s="268"/>
      <c r="AU66" s="268">
        <f t="shared" ref="AU66:BK66" si="71">$AT$65*(AU62)</f>
        <v>0.11565121005745568</v>
      </c>
      <c r="AV66" s="268">
        <f t="shared" si="71"/>
        <v>0.10988101425986345</v>
      </c>
      <c r="AW66" s="268">
        <f t="shared" si="71"/>
        <v>0.10406960277800269</v>
      </c>
      <c r="AX66" s="268">
        <f t="shared" si="71"/>
        <v>9.8299406980410453E-2</v>
      </c>
      <c r="AY66" s="268">
        <f t="shared" si="71"/>
        <v>9.2487995498549733E-2</v>
      </c>
      <c r="AZ66" s="268">
        <f t="shared" si="71"/>
        <v>8.6676584016688998E-2</v>
      </c>
      <c r="BA66" s="268">
        <f t="shared" si="71"/>
        <v>8.0906388219096764E-2</v>
      </c>
      <c r="BB66" s="268">
        <f t="shared" si="71"/>
        <v>7.5094976737236002E-2</v>
      </c>
      <c r="BC66" s="268">
        <f t="shared" si="71"/>
        <v>6.9283565255375268E-2</v>
      </c>
      <c r="BD66" s="268">
        <f t="shared" si="71"/>
        <v>6.3513369457783034E-2</v>
      </c>
      <c r="BE66" s="268">
        <f t="shared" si="71"/>
        <v>5.7701957975922293E-2</v>
      </c>
      <c r="BF66" s="268">
        <f t="shared" si="71"/>
        <v>5.1890546494061537E-2</v>
      </c>
      <c r="BG66" s="268">
        <f t="shared" si="71"/>
        <v>4.612035069646931E-2</v>
      </c>
      <c r="BH66" s="268">
        <f t="shared" si="71"/>
        <v>4.5419684063904543E-2</v>
      </c>
      <c r="BI66" s="268">
        <f t="shared" si="71"/>
        <v>4.476023311560829E-2</v>
      </c>
      <c r="BJ66" s="268">
        <f t="shared" si="71"/>
        <v>4.4059566483043516E-2</v>
      </c>
      <c r="BK66" s="268">
        <f t="shared" si="71"/>
        <v>4.3400115534747256E-2</v>
      </c>
    </row>
    <row r="67" spans="3:63" ht="12.6">
      <c r="C67" s="269" t="s">
        <v>631</v>
      </c>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8"/>
      <c r="AN67" s="268"/>
      <c r="AO67" s="268"/>
      <c r="AP67" s="268"/>
      <c r="AQ67" s="268"/>
      <c r="AR67" s="269"/>
      <c r="AS67" s="268"/>
      <c r="AT67" s="268"/>
      <c r="AU67" s="268"/>
      <c r="AV67" s="268"/>
      <c r="AW67" s="268"/>
      <c r="AX67" s="268"/>
      <c r="AY67" s="268"/>
      <c r="AZ67" s="268"/>
      <c r="BA67" s="268"/>
      <c r="BB67" s="268"/>
      <c r="BC67" s="268"/>
      <c r="BD67" s="268"/>
      <c r="BE67" s="268"/>
      <c r="BF67" s="268"/>
      <c r="BG67" s="268"/>
      <c r="BH67" s="268"/>
      <c r="BI67" s="268"/>
      <c r="BJ67" s="268"/>
      <c r="BK67" s="268"/>
    </row>
    <row r="68" spans="3:63" ht="12.6">
      <c r="C68" s="269" t="s">
        <v>632</v>
      </c>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8"/>
      <c r="AN68" s="268"/>
      <c r="AO68" s="268"/>
      <c r="AP68" s="268"/>
      <c r="AQ68" s="268"/>
      <c r="AR68" s="269"/>
      <c r="AS68" s="268"/>
      <c r="AT68" s="268">
        <f t="shared" ref="AT68:BK68" si="72">$AT$127</f>
        <v>0.12146262153931642</v>
      </c>
      <c r="AU68" s="268">
        <f t="shared" si="72"/>
        <v>0.12146262153931642</v>
      </c>
      <c r="AV68" s="268">
        <f t="shared" si="72"/>
        <v>0.12146262153931642</v>
      </c>
      <c r="AW68" s="268">
        <f t="shared" si="72"/>
        <v>0.12146262153931642</v>
      </c>
      <c r="AX68" s="268">
        <f t="shared" si="72"/>
        <v>0.12146262153931642</v>
      </c>
      <c r="AY68" s="268">
        <f t="shared" si="72"/>
        <v>0.12146262153931642</v>
      </c>
      <c r="AZ68" s="268">
        <f t="shared" si="72"/>
        <v>0.12146262153931642</v>
      </c>
      <c r="BA68" s="268">
        <f t="shared" si="72"/>
        <v>0.12146262153931642</v>
      </c>
      <c r="BB68" s="268">
        <f t="shared" si="72"/>
        <v>0.12146262153931642</v>
      </c>
      <c r="BC68" s="268">
        <f t="shared" si="72"/>
        <v>0.12146262153931642</v>
      </c>
      <c r="BD68" s="268">
        <f t="shared" si="72"/>
        <v>0.12146262153931642</v>
      </c>
      <c r="BE68" s="268">
        <f t="shared" si="72"/>
        <v>0.12146262153931642</v>
      </c>
      <c r="BF68" s="268">
        <f t="shared" si="72"/>
        <v>0.12146262153931642</v>
      </c>
      <c r="BG68" s="268">
        <f t="shared" si="72"/>
        <v>0.12146262153931642</v>
      </c>
      <c r="BH68" s="268">
        <f t="shared" si="72"/>
        <v>0.12146262153931642</v>
      </c>
      <c r="BI68" s="268">
        <f t="shared" si="72"/>
        <v>0.12146262153931642</v>
      </c>
      <c r="BJ68" s="268">
        <f t="shared" si="72"/>
        <v>0.12146262153931642</v>
      </c>
      <c r="BK68" s="268">
        <f t="shared" si="72"/>
        <v>0.12146262153931642</v>
      </c>
    </row>
    <row r="69" spans="3:63" ht="12.6">
      <c r="C69" s="269" t="s">
        <v>633</v>
      </c>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8"/>
      <c r="AN69" s="268"/>
      <c r="AO69" s="268"/>
      <c r="AP69" s="268"/>
      <c r="AQ69" s="268"/>
      <c r="AR69" s="269"/>
      <c r="AS69" s="268"/>
      <c r="AT69" s="268"/>
      <c r="AU69" s="268"/>
      <c r="AV69" s="268"/>
      <c r="AW69" s="268"/>
      <c r="AX69" s="268"/>
      <c r="AY69" s="268"/>
      <c r="AZ69" s="268"/>
      <c r="BA69" s="268"/>
      <c r="BB69" s="268"/>
      <c r="BC69" s="268"/>
      <c r="BD69" s="268" t="s">
        <v>634</v>
      </c>
      <c r="BE69" s="268"/>
      <c r="BF69" s="268"/>
      <c r="BG69" s="268"/>
      <c r="BH69" s="268"/>
      <c r="BI69" s="268"/>
      <c r="BJ69" s="268"/>
      <c r="BK69" s="268"/>
    </row>
    <row r="70" spans="3:63" ht="12.6">
      <c r="C70" s="269"/>
      <c r="D70" s="268"/>
      <c r="E70" s="268"/>
      <c r="F70" s="268"/>
      <c r="G70" s="268"/>
      <c r="H70" s="268"/>
      <c r="I70" s="268"/>
      <c r="J70" s="268"/>
      <c r="K70" s="268"/>
      <c r="L70" s="268"/>
      <c r="M70" s="268"/>
      <c r="N70" s="268"/>
      <c r="O70" s="268"/>
      <c r="P70" s="268"/>
      <c r="Q70" s="268"/>
      <c r="R70" s="268"/>
      <c r="S70" s="268"/>
      <c r="T70" s="268"/>
      <c r="U70" s="268"/>
      <c r="V70" s="268"/>
      <c r="W70" s="268"/>
      <c r="X70" s="268"/>
      <c r="Y70" s="268"/>
      <c r="Z70" s="268"/>
      <c r="AA70" s="268"/>
      <c r="AB70" s="268"/>
      <c r="AC70" s="268"/>
      <c r="AD70" s="268"/>
      <c r="AE70" s="268"/>
      <c r="AF70" s="268"/>
      <c r="AG70" s="268"/>
      <c r="AH70" s="268"/>
      <c r="AI70" s="268"/>
      <c r="AJ70" s="268"/>
      <c r="AK70" s="268"/>
      <c r="AL70" s="268"/>
      <c r="AM70" s="268"/>
      <c r="AN70" s="268"/>
      <c r="AO70" s="268"/>
      <c r="AP70" s="268"/>
      <c r="AQ70" s="268"/>
      <c r="AR70" s="269"/>
      <c r="AS70" s="268"/>
      <c r="AT70" s="268"/>
      <c r="AU70" s="268"/>
      <c r="AV70" s="268"/>
      <c r="AW70" s="268"/>
      <c r="AX70" s="268"/>
      <c r="AY70" s="268"/>
      <c r="AZ70" s="268"/>
      <c r="BA70" s="268"/>
      <c r="BB70" s="268"/>
      <c r="BC70" s="268"/>
      <c r="BD70" s="268"/>
      <c r="BE70" s="268"/>
      <c r="BF70" s="268"/>
      <c r="BG70" s="268"/>
      <c r="BH70" s="268"/>
      <c r="BI70" s="268"/>
      <c r="BJ70" s="268"/>
      <c r="BK70" s="268"/>
    </row>
    <row r="71" spans="3:63" ht="12.6">
      <c r="C71" s="269" t="s">
        <v>635</v>
      </c>
      <c r="D71" s="268"/>
      <c r="E71" s="268"/>
      <c r="F71" s="268"/>
      <c r="G71" s="268"/>
      <c r="H71" s="268"/>
      <c r="I71" s="268"/>
      <c r="J71" s="268"/>
      <c r="K71" s="268"/>
      <c r="L71" s="268"/>
      <c r="M71" s="269"/>
      <c r="N71" s="269">
        <f t="shared" ref="N71:AR71" si="73">$AS$71*(N73/$AS$73)</f>
        <v>12.248018823822548</v>
      </c>
      <c r="O71" s="269">
        <f t="shared" si="73"/>
        <v>9.824949351428188</v>
      </c>
      <c r="P71" s="269">
        <f t="shared" si="73"/>
        <v>7.8217550047524096</v>
      </c>
      <c r="Q71" s="269">
        <f t="shared" si="73"/>
        <v>8.9290598870026425</v>
      </c>
      <c r="R71" s="269">
        <f t="shared" si="73"/>
        <v>8.3804180281024134</v>
      </c>
      <c r="S71" s="269">
        <f t="shared" si="73"/>
        <v>7.0585041162761915</v>
      </c>
      <c r="T71" s="269">
        <f t="shared" si="73"/>
        <v>6.0444554289729693</v>
      </c>
      <c r="U71" s="269">
        <f t="shared" si="73"/>
        <v>4.8629975765478397</v>
      </c>
      <c r="V71" s="269">
        <f t="shared" si="73"/>
        <v>3.6834527393366012</v>
      </c>
      <c r="W71" s="269">
        <f t="shared" si="73"/>
        <v>3.5780700473232261</v>
      </c>
      <c r="X71" s="269">
        <f t="shared" si="73"/>
        <v>2.4974550370611204</v>
      </c>
      <c r="Y71" s="269">
        <f t="shared" si="73"/>
        <v>1.7893222868945469</v>
      </c>
      <c r="Z71" s="269">
        <f t="shared" si="73"/>
        <v>1.3835098840649618</v>
      </c>
      <c r="AA71" s="269">
        <f t="shared" si="73"/>
        <v>1.2379417275685423</v>
      </c>
      <c r="AB71" s="269">
        <f t="shared" si="73"/>
        <v>1.067235723153195</v>
      </c>
      <c r="AC71" s="269">
        <f t="shared" si="73"/>
        <v>0.91398497400936662</v>
      </c>
      <c r="AD71" s="269">
        <f t="shared" si="73"/>
        <v>0.87214879844859983</v>
      </c>
      <c r="AE71" s="269">
        <f t="shared" si="73"/>
        <v>0.91446513747434255</v>
      </c>
      <c r="AF71" s="269">
        <f t="shared" si="73"/>
        <v>0.81462074058264811</v>
      </c>
      <c r="AG71" s="269">
        <f t="shared" si="73"/>
        <v>0.73236347468318974</v>
      </c>
      <c r="AH71" s="269">
        <f t="shared" si="73"/>
        <v>0.69762483367543571</v>
      </c>
      <c r="AI71" s="269">
        <f t="shared" si="73"/>
        <v>0.71769792066089777</v>
      </c>
      <c r="AJ71" s="269">
        <f t="shared" si="73"/>
        <v>0.65280370252382303</v>
      </c>
      <c r="AK71" s="269">
        <f t="shared" si="73"/>
        <v>0.57750405631897672</v>
      </c>
      <c r="AL71" s="269">
        <f t="shared" si="73"/>
        <v>0.44142659351825886</v>
      </c>
      <c r="AM71" s="269">
        <f t="shared" si="73"/>
        <v>0.39647910236048356</v>
      </c>
      <c r="AN71" s="269">
        <f t="shared" si="73"/>
        <v>0.30989657525750253</v>
      </c>
      <c r="AO71" s="269">
        <f t="shared" si="73"/>
        <v>0.29582008750234379</v>
      </c>
      <c r="AP71" s="269">
        <f t="shared" si="73"/>
        <v>0.25697502468485672</v>
      </c>
      <c r="AQ71" s="269">
        <f t="shared" si="73"/>
        <v>0.22410612625437573</v>
      </c>
      <c r="AR71" s="269">
        <f t="shared" si="73"/>
        <v>0.21065975841863083</v>
      </c>
      <c r="AS71" s="268">
        <f>AT130</f>
        <v>0.22560016694412352</v>
      </c>
      <c r="AT71" s="268">
        <f>AT130</f>
        <v>0.22560016694412352</v>
      </c>
      <c r="AU71" s="269"/>
      <c r="AV71" s="269"/>
      <c r="AW71" s="269"/>
      <c r="AX71" s="269"/>
      <c r="AY71" s="269"/>
      <c r="AZ71" s="269"/>
      <c r="BA71" s="269"/>
      <c r="BB71" s="269"/>
      <c r="BC71" s="269"/>
      <c r="BD71" s="269"/>
      <c r="BE71" s="269"/>
      <c r="BF71" s="269"/>
      <c r="BG71" s="269"/>
      <c r="BH71" s="269"/>
      <c r="BI71" s="269"/>
      <c r="BJ71" s="269"/>
      <c r="BK71" s="269"/>
    </row>
    <row r="72" spans="3:63" ht="12.6">
      <c r="C72" s="269" t="s">
        <v>636</v>
      </c>
      <c r="D72" s="268"/>
      <c r="E72" s="268"/>
      <c r="F72" s="268"/>
      <c r="G72" s="268"/>
      <c r="H72" s="268"/>
      <c r="I72" s="268"/>
      <c r="J72" s="268"/>
      <c r="K72" s="268"/>
      <c r="L72" s="268"/>
      <c r="M72" s="268"/>
      <c r="N72" s="268"/>
      <c r="O72" s="268"/>
      <c r="P72" s="268"/>
      <c r="Q72" s="268"/>
      <c r="R72" s="268"/>
      <c r="S72" s="268"/>
      <c r="T72" s="268"/>
      <c r="U72" s="268"/>
      <c r="V72" s="268"/>
      <c r="W72" s="268"/>
      <c r="X72" s="268"/>
      <c r="Y72" s="268"/>
      <c r="Z72" s="268"/>
      <c r="AA72" s="268"/>
      <c r="AB72" s="268"/>
      <c r="AC72" s="268"/>
      <c r="AD72" s="268"/>
      <c r="AE72" s="268"/>
      <c r="AF72" s="268"/>
      <c r="AG72" s="268"/>
      <c r="AH72" s="268"/>
      <c r="AI72" s="268"/>
      <c r="AJ72" s="268"/>
      <c r="AK72" s="268"/>
      <c r="AL72" s="268"/>
      <c r="AM72" s="268"/>
      <c r="AN72" s="268"/>
      <c r="AO72" s="268"/>
      <c r="AP72" s="268"/>
      <c r="AQ72" s="268"/>
      <c r="AR72" s="269"/>
      <c r="AS72" s="268"/>
      <c r="AT72" s="268"/>
      <c r="AU72" s="268">
        <f t="shared" ref="AU72:BK72" si="74">$AT$71*AU73</f>
        <v>0.16229630639282255</v>
      </c>
      <c r="AV72" s="268">
        <f t="shared" si="74"/>
        <v>0.1531858357867677</v>
      </c>
      <c r="AW72" s="268">
        <f t="shared" si="74"/>
        <v>0.14539164191311904</v>
      </c>
      <c r="AX72" s="268">
        <f t="shared" si="74"/>
        <v>0.14015313196560289</v>
      </c>
      <c r="AY72" s="268">
        <f t="shared" si="74"/>
        <v>0.13491468288074601</v>
      </c>
      <c r="AZ72" s="268">
        <f t="shared" si="74"/>
        <v>0.12967623379588919</v>
      </c>
      <c r="BA72" s="268">
        <f t="shared" si="74"/>
        <v>0.124437723848373</v>
      </c>
      <c r="BB72" s="268">
        <f t="shared" si="74"/>
        <v>0.11919927476351615</v>
      </c>
      <c r="BC72" s="268">
        <f t="shared" si="74"/>
        <v>0.11695770302196531</v>
      </c>
      <c r="BD72" s="268">
        <f t="shared" si="74"/>
        <v>0.11471613128041451</v>
      </c>
      <c r="BE72" s="268">
        <f t="shared" si="74"/>
        <v>0.11247462040152301</v>
      </c>
      <c r="BF72" s="268">
        <f t="shared" si="74"/>
        <v>0.11023304865997217</v>
      </c>
      <c r="BG72" s="268">
        <f t="shared" si="74"/>
        <v>0.10799147691842137</v>
      </c>
      <c r="BH72" s="268">
        <f t="shared" si="74"/>
        <v>0.10574996603952985</v>
      </c>
      <c r="BI72" s="268">
        <f t="shared" si="74"/>
        <v>0.10350839429797903</v>
      </c>
      <c r="BJ72" s="268">
        <f t="shared" si="74"/>
        <v>0.10126682255642823</v>
      </c>
      <c r="BK72" s="268">
        <f t="shared" si="74"/>
        <v>9.9025311677536698E-2</v>
      </c>
    </row>
    <row r="73" spans="3:63" ht="12.6">
      <c r="C73" s="269" t="s">
        <v>637</v>
      </c>
      <c r="D73" s="268"/>
      <c r="E73" s="268"/>
      <c r="F73" s="268"/>
      <c r="G73" s="268"/>
      <c r="H73" s="268"/>
      <c r="I73" s="268"/>
      <c r="J73" s="268"/>
      <c r="K73" s="268"/>
      <c r="L73" s="268"/>
      <c r="M73" s="268"/>
      <c r="N73" s="269">
        <v>7523.28413</v>
      </c>
      <c r="O73" s="269">
        <v>6034.9258600000003</v>
      </c>
      <c r="P73" s="269">
        <v>4804.4737800000003</v>
      </c>
      <c r="Q73" s="269">
        <v>5484.6302500000002</v>
      </c>
      <c r="R73" s="269">
        <v>5147.6297400000003</v>
      </c>
      <c r="S73" s="269">
        <v>4335.6507499999998</v>
      </c>
      <c r="T73" s="269">
        <v>3712.7764299999999</v>
      </c>
      <c r="U73" s="269">
        <v>2987.0718700000002</v>
      </c>
      <c r="V73" s="269">
        <v>2262.5423700000001</v>
      </c>
      <c r="W73" s="269">
        <v>2197.81158</v>
      </c>
      <c r="X73" s="269">
        <v>1534.0492300000001</v>
      </c>
      <c r="Y73" s="269">
        <v>1099.08224</v>
      </c>
      <c r="Z73" s="269">
        <v>849.81400699999995</v>
      </c>
      <c r="AA73" s="269">
        <v>760.399497</v>
      </c>
      <c r="AB73" s="269">
        <v>655.54418999999996</v>
      </c>
      <c r="AC73" s="269">
        <v>561.41068600000006</v>
      </c>
      <c r="AD73" s="269">
        <v>535.71302500000002</v>
      </c>
      <c r="AE73" s="269">
        <v>561.70562399999994</v>
      </c>
      <c r="AF73" s="269">
        <v>500.37670400000002</v>
      </c>
      <c r="AG73" s="269">
        <v>449.85059100000001</v>
      </c>
      <c r="AH73" s="269">
        <v>428.51255500000002</v>
      </c>
      <c r="AI73" s="269">
        <v>440.84234800000002</v>
      </c>
      <c r="AJ73" s="269">
        <v>400.98140000000001</v>
      </c>
      <c r="AK73" s="269">
        <v>354.72897</v>
      </c>
      <c r="AL73" s="269">
        <v>271.144071</v>
      </c>
      <c r="AM73" s="269">
        <v>243.53530000000001</v>
      </c>
      <c r="AN73" s="269">
        <v>190.352417</v>
      </c>
      <c r="AO73" s="269">
        <v>181.706005</v>
      </c>
      <c r="AP73" s="269">
        <v>157.84562</v>
      </c>
      <c r="AQ73" s="269">
        <v>137.65606399999999</v>
      </c>
      <c r="AR73" s="269">
        <v>129.39670000000001</v>
      </c>
      <c r="AS73" s="269">
        <v>138.57377099999999</v>
      </c>
      <c r="AT73" s="268"/>
      <c r="AU73" s="268">
        <f>'Learning rates'!D20</f>
        <v>0.71939798888987516</v>
      </c>
      <c r="AV73" s="268">
        <f>'Learning rates'!E20</f>
        <v>0.67901472708000543</v>
      </c>
      <c r="AW73" s="268">
        <f>'Learning rates'!F20</f>
        <v>0.64446602093663141</v>
      </c>
      <c r="AX73" s="268">
        <f>'Learning rates'!G20</f>
        <v>0.62124569260764739</v>
      </c>
      <c r="AY73" s="268">
        <f>'Learning rates'!H20</f>
        <v>0.59802563405975484</v>
      </c>
      <c r="AZ73" s="268">
        <f>'Learning rates'!I20</f>
        <v>0.57480557551186251</v>
      </c>
      <c r="BA73" s="268">
        <f>'Learning rates'!J20</f>
        <v>0.55158524718287838</v>
      </c>
      <c r="BB73" s="268">
        <f>'Learning rates'!K20</f>
        <v>0.52836518863498594</v>
      </c>
      <c r="BC73" s="268">
        <f>'Learning rates'!L20</f>
        <v>0.51842915103397647</v>
      </c>
      <c r="BD73" s="268">
        <f>'Learning rates'!M20</f>
        <v>0.5084931134329671</v>
      </c>
      <c r="BE73" s="268">
        <f>'Learning rates'!N20</f>
        <v>0.49855734561304926</v>
      </c>
      <c r="BF73" s="268">
        <f>'Learning rates'!O20</f>
        <v>0.48862130801203979</v>
      </c>
      <c r="BG73" s="268">
        <f>'Learning rates'!P20</f>
        <v>0.47868527041103037</v>
      </c>
      <c r="BH73" s="268">
        <f>'Learning rates'!Q20</f>
        <v>0.46874950259111253</v>
      </c>
      <c r="BI73" s="268">
        <f>'Learning rates'!R20</f>
        <v>0.45881346499010311</v>
      </c>
      <c r="BJ73" s="268">
        <f>'Learning rates'!S20</f>
        <v>0.44887742738909375</v>
      </c>
      <c r="BK73" s="268">
        <f>'Learning rates'!T20</f>
        <v>0.4389416595691758</v>
      </c>
    </row>
    <row r="74" spans="3:63" ht="12.6">
      <c r="C74" s="269" t="s">
        <v>389</v>
      </c>
      <c r="D74" s="268"/>
      <c r="E74" s="268"/>
      <c r="F74" s="268"/>
      <c r="G74" s="268"/>
      <c r="H74" s="268"/>
      <c r="I74" s="268"/>
      <c r="J74" s="268"/>
      <c r="K74" s="268"/>
      <c r="L74" s="268"/>
      <c r="M74" s="268"/>
      <c r="N74" s="268"/>
      <c r="O74" s="268"/>
      <c r="P74" s="268"/>
      <c r="Q74" s="268"/>
      <c r="R74" s="268"/>
      <c r="S74" s="268"/>
      <c r="T74" s="268"/>
      <c r="U74" s="268"/>
      <c r="V74" s="268"/>
      <c r="W74" s="268"/>
      <c r="X74" s="268"/>
      <c r="Y74" s="268"/>
      <c r="Z74" s="268"/>
      <c r="AA74" s="268"/>
      <c r="AB74" s="268"/>
      <c r="AC74" s="268"/>
      <c r="AD74" s="268"/>
      <c r="AE74" s="268"/>
      <c r="AF74" s="268"/>
      <c r="AG74" s="268"/>
      <c r="AH74" s="268"/>
      <c r="AI74" s="268" t="s">
        <v>638</v>
      </c>
      <c r="AJ74" s="268"/>
      <c r="AK74" s="268"/>
      <c r="AL74" s="268"/>
      <c r="AM74" s="268"/>
      <c r="AN74" s="268"/>
      <c r="AO74" s="268"/>
      <c r="AP74" s="268"/>
      <c r="AQ74" s="268"/>
      <c r="AR74" s="269"/>
      <c r="AS74" s="268"/>
      <c r="AT74" s="268"/>
      <c r="AU74" s="268"/>
      <c r="AV74" s="268"/>
      <c r="AW74" s="268"/>
      <c r="AX74" s="268"/>
      <c r="AY74" s="268"/>
      <c r="AZ74" s="268"/>
      <c r="BA74" s="268"/>
      <c r="BB74" s="268"/>
      <c r="BC74" s="268"/>
      <c r="BD74" s="268"/>
      <c r="BE74" s="268"/>
      <c r="BF74" s="268"/>
      <c r="BG74" s="268"/>
      <c r="BH74" s="268"/>
      <c r="BI74" s="268"/>
      <c r="BJ74" s="268"/>
      <c r="BK74" s="268"/>
    </row>
    <row r="75" spans="3:63" ht="12.6">
      <c r="C75" s="269"/>
      <c r="D75" s="268"/>
      <c r="E75" s="268"/>
      <c r="F75" s="268"/>
      <c r="G75" s="268"/>
      <c r="H75" s="268"/>
      <c r="I75" s="268"/>
      <c r="J75" s="268"/>
      <c r="K75" s="268"/>
      <c r="L75" s="268"/>
      <c r="M75" s="268"/>
      <c r="N75" s="268"/>
      <c r="O75" s="268"/>
      <c r="P75" s="268"/>
      <c r="Q75" s="268"/>
      <c r="R75" s="268"/>
      <c r="S75" s="268"/>
      <c r="T75" s="268"/>
      <c r="U75" s="268"/>
      <c r="V75" s="268"/>
      <c r="W75" s="268"/>
      <c r="X75" s="268"/>
      <c r="Y75" s="268"/>
      <c r="Z75" s="268"/>
      <c r="AA75" s="268"/>
      <c r="AB75" s="268"/>
      <c r="AC75" s="268"/>
      <c r="AD75" s="268"/>
      <c r="AE75" s="268"/>
      <c r="AF75" s="268"/>
      <c r="AG75" s="268"/>
      <c r="AH75" s="268"/>
      <c r="AI75" s="268"/>
      <c r="AJ75" s="268"/>
      <c r="AK75" s="268"/>
      <c r="AL75" s="268"/>
      <c r="AM75" s="268"/>
      <c r="AN75" s="268"/>
      <c r="AO75" s="268"/>
      <c r="AP75" s="268"/>
      <c r="AQ75" s="268"/>
      <c r="AR75" s="269"/>
      <c r="AS75" s="268"/>
      <c r="AT75" s="268"/>
      <c r="AU75" s="268"/>
      <c r="AV75" s="268"/>
      <c r="AW75" s="268"/>
      <c r="AX75" s="268"/>
      <c r="AY75" s="268"/>
      <c r="AZ75" s="268"/>
      <c r="BA75" s="268"/>
      <c r="BB75" s="268"/>
      <c r="BC75" s="268"/>
      <c r="BD75" s="268"/>
      <c r="BE75" s="268"/>
      <c r="BF75" s="268"/>
      <c r="BG75" s="268"/>
      <c r="BH75" s="268"/>
      <c r="BI75" s="268"/>
      <c r="BJ75" s="268"/>
      <c r="BK75" s="268"/>
    </row>
    <row r="76" spans="3:63" ht="12.6">
      <c r="C76" s="269" t="s">
        <v>639</v>
      </c>
      <c r="D76" s="268"/>
      <c r="E76" s="268"/>
      <c r="F76" s="268"/>
      <c r="G76" s="268"/>
      <c r="H76" s="268"/>
      <c r="I76" s="268"/>
      <c r="J76" s="268"/>
      <c r="K76" s="268"/>
      <c r="L76" s="268"/>
      <c r="M76" s="268"/>
      <c r="N76" s="268"/>
      <c r="O76" s="268"/>
      <c r="P76" s="268"/>
      <c r="Q76" s="268"/>
      <c r="R76" s="268"/>
      <c r="S76" s="268"/>
      <c r="T76" s="268"/>
      <c r="U76" s="268"/>
      <c r="V76" s="268"/>
      <c r="W76" s="269">
        <f t="shared" ref="W76:AR76" si="75">$AS$76*(W73/$AS$73)</f>
        <v>5.068256399096466</v>
      </c>
      <c r="X76" s="269">
        <f t="shared" si="75"/>
        <v>3.537589344431658</v>
      </c>
      <c r="Y76" s="269">
        <f t="shared" si="75"/>
        <v>2.5345351015091464</v>
      </c>
      <c r="Z76" s="269">
        <f t="shared" si="75"/>
        <v>1.9597108861440973</v>
      </c>
      <c r="AA76" s="269">
        <f t="shared" si="75"/>
        <v>1.7535168399376546</v>
      </c>
      <c r="AB76" s="269">
        <f t="shared" si="75"/>
        <v>1.5117155929526995</v>
      </c>
      <c r="AC76" s="269">
        <f t="shared" si="75"/>
        <v>1.2946393256516726</v>
      </c>
      <c r="AD76" s="269">
        <f t="shared" si="75"/>
        <v>1.2353793162904234</v>
      </c>
      <c r="AE76" s="269">
        <f t="shared" si="75"/>
        <v>1.2953194664878747</v>
      </c>
      <c r="AF76" s="269">
        <f t="shared" si="75"/>
        <v>1.1538921057130831</v>
      </c>
      <c r="AG76" s="269">
        <f t="shared" si="75"/>
        <v>1.0373765236386083</v>
      </c>
      <c r="AH76" s="269">
        <f t="shared" si="75"/>
        <v>0.9881700136332553</v>
      </c>
      <c r="AI76" s="269">
        <f t="shared" si="75"/>
        <v>1.0166030935389425</v>
      </c>
      <c r="AJ76" s="269">
        <f t="shared" si="75"/>
        <v>0.92468188126875717</v>
      </c>
      <c r="AK76" s="269">
        <f t="shared" si="75"/>
        <v>0.81802161227460557</v>
      </c>
      <c r="AL76" s="269">
        <f t="shared" si="75"/>
        <v>0.62527092196084277</v>
      </c>
      <c r="AM76" s="269">
        <f t="shared" si="75"/>
        <v>0.56160380346657268</v>
      </c>
      <c r="AN76" s="269">
        <f t="shared" si="75"/>
        <v>0.43896158538928481</v>
      </c>
      <c r="AO76" s="269">
        <f t="shared" si="75"/>
        <v>0.41902255451557158</v>
      </c>
      <c r="AP76" s="269">
        <f t="shared" si="75"/>
        <v>0.36399938962663447</v>
      </c>
      <c r="AQ76" s="269">
        <f t="shared" si="75"/>
        <v>0.31744132827002058</v>
      </c>
      <c r="AR76" s="269">
        <f t="shared" si="75"/>
        <v>0.2983948482048519</v>
      </c>
      <c r="AS76" s="268">
        <f>AT132</f>
        <v>0.31955760357658969</v>
      </c>
      <c r="AT76" s="268">
        <f>AT132</f>
        <v>0.31955760357658969</v>
      </c>
      <c r="AU76" s="268"/>
      <c r="AV76" s="268"/>
      <c r="AW76" s="268"/>
      <c r="AX76" s="268"/>
      <c r="AY76" s="268"/>
      <c r="AZ76" s="268"/>
      <c r="BA76" s="268"/>
      <c r="BB76" s="268"/>
      <c r="BC76" s="268"/>
      <c r="BD76" s="268"/>
      <c r="BE76" s="268"/>
      <c r="BF76" s="268"/>
      <c r="BG76" s="268"/>
      <c r="BH76" s="268"/>
      <c r="BI76" s="268"/>
      <c r="BJ76" s="268"/>
      <c r="BK76" s="268"/>
    </row>
    <row r="77" spans="3:63" ht="12.6">
      <c r="C77" s="269" t="s">
        <v>640</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c r="AA77" s="268"/>
      <c r="AB77" s="268"/>
      <c r="AC77" s="268"/>
      <c r="AD77" s="268"/>
      <c r="AE77" s="268"/>
      <c r="AF77" s="268"/>
      <c r="AG77" s="268"/>
      <c r="AH77" s="268"/>
      <c r="AI77" s="268"/>
      <c r="AJ77" s="268"/>
      <c r="AK77" s="268"/>
      <c r="AL77" s="268"/>
      <c r="AM77" s="268"/>
      <c r="AN77" s="268"/>
      <c r="AO77" s="268"/>
      <c r="AP77" s="268"/>
      <c r="AQ77" s="268"/>
      <c r="AR77" s="269"/>
      <c r="AS77" s="268"/>
      <c r="AT77" s="268"/>
      <c r="AU77" s="268">
        <f t="shared" ref="AU77:BK77" si="76">$AT$76*AU73</f>
        <v>0.2298890973474666</v>
      </c>
      <c r="AV77" s="268">
        <f t="shared" si="76"/>
        <v>0.21698431897889861</v>
      </c>
      <c r="AW77" s="268">
        <f t="shared" si="76"/>
        <v>0.20594401723705022</v>
      </c>
      <c r="AX77" s="268">
        <f t="shared" si="76"/>
        <v>0.19852378476197849</v>
      </c>
      <c r="AY77" s="268">
        <f t="shared" si="76"/>
        <v>0.19110363849750583</v>
      </c>
      <c r="AZ77" s="268">
        <f t="shared" si="76"/>
        <v>0.18368349223303326</v>
      </c>
      <c r="BA77" s="268">
        <f t="shared" si="76"/>
        <v>0.17626325975796148</v>
      </c>
      <c r="BB77" s="268">
        <f t="shared" si="76"/>
        <v>0.16884311349348888</v>
      </c>
      <c r="BC77" s="268">
        <f t="shared" si="76"/>
        <v>0.16566797712866338</v>
      </c>
      <c r="BD77" s="268">
        <f t="shared" si="76"/>
        <v>0.16249284076383796</v>
      </c>
      <c r="BE77" s="268">
        <f t="shared" si="76"/>
        <v>0.15931779060961163</v>
      </c>
      <c r="BF77" s="268">
        <f t="shared" si="76"/>
        <v>0.15614265424478613</v>
      </c>
      <c r="BG77" s="268">
        <f t="shared" si="76"/>
        <v>0.15296751787996068</v>
      </c>
      <c r="BH77" s="268">
        <f t="shared" si="76"/>
        <v>0.14979246772573435</v>
      </c>
      <c r="BI77" s="268">
        <f t="shared" si="76"/>
        <v>0.14661733136090888</v>
      </c>
      <c r="BJ77" s="268">
        <f t="shared" si="76"/>
        <v>0.14344219499608343</v>
      </c>
      <c r="BK77" s="268">
        <f t="shared" si="76"/>
        <v>0.14026714484185707</v>
      </c>
    </row>
    <row r="78" spans="3:63" ht="12.6">
      <c r="C78" s="269" t="s">
        <v>641</v>
      </c>
      <c r="D78" s="268"/>
      <c r="E78" s="268"/>
      <c r="F78" s="268"/>
      <c r="G78" s="268"/>
      <c r="H78" s="268"/>
      <c r="I78" s="268"/>
      <c r="J78" s="268"/>
      <c r="K78" s="268"/>
      <c r="L78" s="268"/>
      <c r="M78" s="268"/>
      <c r="N78" s="268"/>
      <c r="O78" s="268"/>
      <c r="P78" s="268"/>
      <c r="Q78" s="268"/>
      <c r="R78" s="268"/>
      <c r="S78" s="268"/>
      <c r="T78" s="268"/>
      <c r="U78" s="268"/>
      <c r="V78" s="268"/>
      <c r="W78" s="268"/>
      <c r="X78" s="268"/>
      <c r="Y78" s="268"/>
      <c r="Z78" s="268"/>
      <c r="AA78" s="268"/>
      <c r="AB78" s="268"/>
      <c r="AC78" s="268"/>
      <c r="AD78" s="268"/>
      <c r="AE78" s="268"/>
      <c r="AF78" s="268"/>
      <c r="AG78" s="268"/>
      <c r="AH78" s="268"/>
      <c r="AI78" s="268" t="s">
        <v>642</v>
      </c>
      <c r="AJ78" s="268"/>
      <c r="AK78" s="268"/>
      <c r="AL78" s="268"/>
      <c r="AM78" s="268"/>
      <c r="AN78" s="268"/>
      <c r="AO78" s="268"/>
      <c r="AP78" s="268"/>
      <c r="AQ78" s="268"/>
      <c r="AR78" s="269"/>
      <c r="AS78" s="268"/>
      <c r="AT78" s="268"/>
      <c r="AU78" s="268"/>
      <c r="AV78" s="268"/>
      <c r="AW78" s="268"/>
      <c r="AX78" s="268"/>
      <c r="AY78" s="268"/>
      <c r="AZ78" s="268"/>
      <c r="BA78" s="268"/>
      <c r="BB78" s="268"/>
      <c r="BC78" s="268"/>
      <c r="BD78" s="268"/>
      <c r="BE78" s="268"/>
      <c r="BF78" s="268"/>
      <c r="BG78" s="268"/>
      <c r="BH78" s="268"/>
      <c r="BI78" s="268"/>
      <c r="BJ78" s="268"/>
      <c r="BK78" s="268"/>
    </row>
    <row r="81" spans="3:73" ht="12.6">
      <c r="C81" s="269" t="s">
        <v>643</v>
      </c>
      <c r="D81" s="268"/>
      <c r="E81" s="268"/>
      <c r="F81" s="268"/>
      <c r="G81" s="268"/>
      <c r="H81" s="268"/>
      <c r="I81" s="268"/>
      <c r="J81" s="268"/>
      <c r="K81" s="268"/>
      <c r="L81" s="268"/>
      <c r="M81" s="268"/>
      <c r="N81" s="268"/>
      <c r="O81" s="268"/>
      <c r="P81" s="268"/>
      <c r="Q81" s="268"/>
      <c r="R81" s="268"/>
      <c r="S81" s="268"/>
      <c r="T81" s="268"/>
      <c r="U81" s="268"/>
      <c r="V81" s="268"/>
      <c r="W81" s="268">
        <f t="shared" ref="W81:AT81" si="77">(W71/2)+W60</f>
        <v>3.1064297812610295</v>
      </c>
      <c r="X81" s="268">
        <f t="shared" si="77"/>
        <v>2.5232416370907633</v>
      </c>
      <c r="Y81" s="268">
        <f t="shared" si="77"/>
        <v>2.060229626948467</v>
      </c>
      <c r="Z81" s="268">
        <f t="shared" si="77"/>
        <v>1.7998391217674721</v>
      </c>
      <c r="AA81" s="268">
        <f t="shared" si="77"/>
        <v>1.5753738535895787</v>
      </c>
      <c r="AB81" s="268">
        <f t="shared" si="77"/>
        <v>1.5002396207486672</v>
      </c>
      <c r="AC81" s="268">
        <f t="shared" si="77"/>
        <v>1.5106044314098828</v>
      </c>
      <c r="AD81" s="268">
        <f t="shared" si="77"/>
        <v>1.4974896828259778</v>
      </c>
      <c r="AE81" s="268">
        <f t="shared" si="77"/>
        <v>1.4245736938749185</v>
      </c>
      <c r="AF81" s="268">
        <f t="shared" si="77"/>
        <v>1.0538669055909844</v>
      </c>
      <c r="AG81" s="268">
        <f t="shared" si="77"/>
        <v>0.86779080459488811</v>
      </c>
      <c r="AH81" s="268">
        <f t="shared" si="77"/>
        <v>0.76027158457419319</v>
      </c>
      <c r="AI81" s="268">
        <f t="shared" si="77"/>
        <v>0.58048167868562428</v>
      </c>
      <c r="AJ81" s="268">
        <f t="shared" si="77"/>
        <v>0.4972402063157656</v>
      </c>
      <c r="AK81" s="268">
        <f t="shared" si="77"/>
        <v>0.44618092653814784</v>
      </c>
      <c r="AL81" s="268">
        <f t="shared" si="77"/>
        <v>0.36702381077413054</v>
      </c>
      <c r="AM81" s="268">
        <f t="shared" si="77"/>
        <v>0.33332711776308688</v>
      </c>
      <c r="AN81" s="268">
        <f t="shared" si="77"/>
        <v>0.26828720172385878</v>
      </c>
      <c r="AO81" s="268">
        <f t="shared" si="77"/>
        <v>0.24885904930890812</v>
      </c>
      <c r="AP81" s="268">
        <f t="shared" si="77"/>
        <v>0.22103444451859175</v>
      </c>
      <c r="AQ81" s="268">
        <f t="shared" si="77"/>
        <v>0.18547939232117228</v>
      </c>
      <c r="AR81" s="268">
        <f t="shared" si="77"/>
        <v>0.16740983463193723</v>
      </c>
      <c r="AS81" s="268">
        <f t="shared" si="77"/>
        <v>0.18108803443694577</v>
      </c>
      <c r="AT81" s="268">
        <f t="shared" si="77"/>
        <v>0.17488003889468359</v>
      </c>
      <c r="AU81" s="268"/>
      <c r="AV81" s="268"/>
      <c r="AW81" s="268"/>
      <c r="AX81" s="268"/>
      <c r="AY81" s="268"/>
      <c r="AZ81" s="268"/>
      <c r="BA81" s="268"/>
      <c r="BB81" s="268"/>
      <c r="BC81" s="268"/>
      <c r="BD81" s="268"/>
      <c r="BE81" s="268"/>
      <c r="BF81" s="268"/>
      <c r="BG81" s="268"/>
      <c r="BH81" s="268"/>
      <c r="BI81" s="268"/>
      <c r="BJ81" s="268"/>
      <c r="BK81" s="268"/>
      <c r="BL81" s="268"/>
      <c r="BM81" s="268"/>
      <c r="BN81" s="268"/>
      <c r="BO81" s="268"/>
      <c r="BP81" s="268"/>
      <c r="BQ81" s="268"/>
      <c r="BR81" s="268"/>
      <c r="BS81" s="268"/>
      <c r="BT81" s="268"/>
      <c r="BU81" s="268"/>
    </row>
    <row r="82" spans="3:73" ht="12.6">
      <c r="C82" s="269" t="s">
        <v>644</v>
      </c>
      <c r="D82" s="268"/>
      <c r="E82" s="268"/>
      <c r="F82" s="268"/>
      <c r="G82" s="268"/>
      <c r="H82" s="268"/>
      <c r="I82" s="268"/>
      <c r="J82" s="268"/>
      <c r="K82" s="268"/>
      <c r="L82" s="268"/>
      <c r="M82" s="268"/>
      <c r="N82" s="268"/>
      <c r="O82" s="268"/>
      <c r="P82" s="268"/>
      <c r="Q82" s="268"/>
      <c r="R82" s="268"/>
      <c r="S82" s="268"/>
      <c r="T82" s="268"/>
      <c r="U82" s="268"/>
      <c r="V82" s="268"/>
      <c r="W82" s="268"/>
      <c r="X82" s="268"/>
      <c r="Y82" s="268"/>
      <c r="Z82" s="268"/>
      <c r="AA82" s="268"/>
      <c r="AB82" s="268"/>
      <c r="AC82" s="268"/>
      <c r="AD82" s="268"/>
      <c r="AF82" s="268"/>
      <c r="AG82" s="273" t="s">
        <v>645</v>
      </c>
      <c r="AH82" s="268"/>
      <c r="AI82" s="268"/>
      <c r="AJ82" s="268"/>
      <c r="AK82" s="268"/>
      <c r="AL82" s="268"/>
      <c r="AM82" s="268"/>
      <c r="AO82" s="268"/>
      <c r="AP82" s="268"/>
      <c r="AQ82" s="268"/>
      <c r="AR82" s="269"/>
      <c r="AS82" s="268"/>
      <c r="AT82" s="268"/>
      <c r="AU82" s="268"/>
      <c r="AV82" s="268"/>
      <c r="AW82" s="268"/>
      <c r="AX82" s="268"/>
      <c r="AY82" s="268"/>
      <c r="AZ82" s="268"/>
      <c r="BA82" s="268"/>
      <c r="BB82" s="268"/>
      <c r="BC82" s="268"/>
      <c r="BD82" s="268"/>
      <c r="BE82" s="268"/>
      <c r="BF82" s="268"/>
      <c r="BG82" s="268"/>
      <c r="BH82" s="268"/>
      <c r="BI82" s="268"/>
      <c r="BJ82" s="268"/>
      <c r="BK82" s="268"/>
      <c r="BL82" s="268"/>
      <c r="BM82" s="268"/>
      <c r="BN82" s="268"/>
      <c r="BO82" s="268"/>
      <c r="BP82" s="268"/>
      <c r="BQ82" s="268"/>
      <c r="BR82" s="268"/>
      <c r="BS82" s="268"/>
      <c r="BT82" s="268"/>
      <c r="BU82" s="268"/>
    </row>
    <row r="83" spans="3:73" ht="12.6">
      <c r="C83" s="269" t="s">
        <v>646</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c r="AA83" s="268"/>
      <c r="AB83" s="268"/>
      <c r="AC83" s="268"/>
      <c r="AD83" s="268"/>
      <c r="AE83" s="268"/>
      <c r="AF83" s="268"/>
      <c r="AG83" s="268"/>
      <c r="AH83" s="268"/>
      <c r="AI83" s="268"/>
      <c r="AJ83" s="268"/>
      <c r="AK83" s="268"/>
      <c r="AL83" s="268"/>
      <c r="AM83" s="268"/>
      <c r="AN83" s="268"/>
      <c r="AO83" s="268"/>
      <c r="AP83" s="268"/>
      <c r="AQ83" s="268"/>
      <c r="AR83" s="269"/>
      <c r="AS83" s="268"/>
      <c r="AT83" s="268"/>
      <c r="AU83" s="268">
        <f t="shared" ref="AU83:BK83" si="78">(AU72/2)+AU61</f>
        <v>0.14025787661543973</v>
      </c>
      <c r="AV83" s="268">
        <f t="shared" si="78"/>
        <v>0.13275347478402172</v>
      </c>
      <c r="AW83" s="268">
        <f t="shared" si="78"/>
        <v>0.125886145843604</v>
      </c>
      <c r="AX83" s="268">
        <f t="shared" si="78"/>
        <v>0.12031772434145535</v>
      </c>
      <c r="AY83" s="268">
        <f t="shared" si="78"/>
        <v>0.11472826779543355</v>
      </c>
      <c r="AZ83" s="268">
        <f t="shared" si="78"/>
        <v>0.10913881124941174</v>
      </c>
      <c r="BA83" s="268">
        <f t="shared" si="78"/>
        <v>0.10357038974726307</v>
      </c>
      <c r="BB83" s="268">
        <f t="shared" si="78"/>
        <v>9.7980933201241266E-2</v>
      </c>
      <c r="BC83" s="268">
        <f t="shared" si="78"/>
        <v>9.3889915326872478E-2</v>
      </c>
      <c r="BD83" s="268">
        <f t="shared" si="78"/>
        <v>8.9819962927706484E-2</v>
      </c>
      <c r="BE83" s="268">
        <f t="shared" si="78"/>
        <v>8.5728975484667361E-2</v>
      </c>
      <c r="BF83" s="268">
        <f t="shared" si="78"/>
        <v>8.1637957610298573E-2</v>
      </c>
      <c r="BG83" s="268">
        <f t="shared" si="78"/>
        <v>7.7568005211132579E-2</v>
      </c>
      <c r="BH83" s="268">
        <f t="shared" si="78"/>
        <v>7.6089136693239398E-2</v>
      </c>
      <c r="BI83" s="268">
        <f t="shared" si="78"/>
        <v>7.4631303219219347E-2</v>
      </c>
      <c r="BJ83" s="268">
        <f t="shared" si="78"/>
        <v>7.3152404269996515E-2</v>
      </c>
      <c r="BK83" s="268">
        <f t="shared" si="78"/>
        <v>7.1694601227306115E-2</v>
      </c>
      <c r="BL83" s="268"/>
      <c r="BM83" s="268"/>
      <c r="BN83" s="268"/>
      <c r="BO83" s="268"/>
      <c r="BP83" s="268"/>
      <c r="BQ83" s="268"/>
      <c r="BR83" s="268"/>
      <c r="BS83" s="268"/>
      <c r="BT83" s="268"/>
      <c r="BU83" s="268"/>
    </row>
    <row r="84" spans="3:73" ht="12.6">
      <c r="C84" s="269"/>
      <c r="D84" s="268"/>
      <c r="E84" s="268"/>
      <c r="F84" s="268"/>
      <c r="G84" s="268"/>
      <c r="H84" s="268"/>
      <c r="I84" s="268"/>
      <c r="J84" s="268"/>
      <c r="K84" s="268"/>
      <c r="L84" s="268"/>
      <c r="M84" s="268"/>
      <c r="N84" s="268"/>
      <c r="O84" s="268"/>
      <c r="P84" s="268"/>
      <c r="Q84" s="268"/>
      <c r="R84" s="268"/>
      <c r="S84" s="268"/>
      <c r="T84" s="268"/>
      <c r="U84" s="268"/>
      <c r="V84" s="268"/>
      <c r="W84" s="268"/>
      <c r="X84" s="268"/>
      <c r="Y84" s="268"/>
      <c r="Z84" s="268"/>
      <c r="AA84" s="268"/>
      <c r="AB84" s="268"/>
      <c r="AC84" s="268"/>
      <c r="AD84" s="268"/>
      <c r="AE84" s="268"/>
      <c r="AF84" s="268"/>
      <c r="AG84" s="268"/>
      <c r="AH84" s="268"/>
      <c r="AI84" s="268"/>
      <c r="AJ84" s="268"/>
      <c r="AK84" s="268"/>
      <c r="AL84" s="268"/>
      <c r="AM84" s="268"/>
      <c r="AN84" s="268"/>
      <c r="AO84" s="268"/>
      <c r="AP84" s="268"/>
      <c r="AQ84" s="268"/>
      <c r="AR84" s="269"/>
      <c r="AS84" s="268"/>
      <c r="AT84" s="268"/>
      <c r="AU84" s="268"/>
      <c r="AV84" s="268"/>
      <c r="AW84" s="268"/>
      <c r="AX84" s="268"/>
      <c r="AY84" s="268"/>
      <c r="AZ84" s="268"/>
      <c r="BA84" s="268"/>
      <c r="BB84" s="268"/>
      <c r="BC84" s="268"/>
      <c r="BD84" s="268"/>
      <c r="BE84" s="268"/>
      <c r="BF84" s="268"/>
      <c r="BG84" s="268"/>
      <c r="BH84" s="268"/>
      <c r="BI84" s="268"/>
      <c r="BJ84" s="268"/>
      <c r="BK84" s="268"/>
      <c r="BL84" s="268"/>
      <c r="BM84" s="268"/>
      <c r="BN84" s="268"/>
      <c r="BO84" s="268"/>
      <c r="BP84" s="268"/>
      <c r="BQ84" s="268"/>
      <c r="BR84" s="268"/>
      <c r="BS84" s="268"/>
      <c r="BT84" s="268"/>
      <c r="BU84" s="268"/>
    </row>
    <row r="85" spans="3:73" ht="12.6">
      <c r="C85" s="269"/>
      <c r="D85" s="268"/>
      <c r="E85" s="268"/>
      <c r="F85" s="268"/>
      <c r="G85" s="268"/>
      <c r="H85" s="268"/>
      <c r="I85" s="268"/>
      <c r="J85" s="268"/>
      <c r="K85" s="268"/>
      <c r="L85" s="268"/>
      <c r="M85" s="268"/>
      <c r="N85" s="268"/>
      <c r="O85" s="268"/>
      <c r="P85" s="268"/>
      <c r="Q85" s="268"/>
      <c r="R85" s="268"/>
      <c r="S85" s="268"/>
      <c r="T85" s="268"/>
      <c r="U85" s="268"/>
      <c r="V85" s="268"/>
      <c r="W85" s="268"/>
      <c r="X85" s="268"/>
      <c r="Y85" s="268"/>
      <c r="Z85" s="268"/>
      <c r="AA85" s="268"/>
      <c r="AB85" s="268"/>
      <c r="AC85" s="268"/>
      <c r="AD85" s="268"/>
      <c r="AE85" s="268"/>
      <c r="AF85" s="268"/>
      <c r="AG85" s="268"/>
      <c r="AH85" s="268"/>
      <c r="AI85" s="268"/>
      <c r="AJ85" s="268"/>
      <c r="AK85" s="268"/>
      <c r="AL85" s="268"/>
      <c r="AM85" s="268"/>
      <c r="AN85" s="268"/>
      <c r="AO85" s="268"/>
      <c r="AP85" s="268"/>
      <c r="AQ85" s="268"/>
      <c r="AR85" s="269"/>
      <c r="AS85" s="268"/>
      <c r="AT85" s="268"/>
      <c r="AU85" s="268"/>
      <c r="AV85" s="268"/>
      <c r="AW85" s="268"/>
      <c r="AX85" s="268"/>
      <c r="AY85" s="268"/>
      <c r="AZ85" s="268"/>
      <c r="BA85" s="268"/>
      <c r="BB85" s="268"/>
      <c r="BC85" s="268"/>
      <c r="BD85" s="268"/>
      <c r="BE85" s="268"/>
      <c r="BF85" s="268"/>
      <c r="BG85" s="268"/>
      <c r="BH85" s="268"/>
      <c r="BI85" s="268"/>
      <c r="BJ85" s="268"/>
      <c r="BK85" s="268"/>
      <c r="BL85" s="268"/>
      <c r="BM85" s="268"/>
      <c r="BN85" s="268"/>
      <c r="BO85" s="268"/>
      <c r="BP85" s="268"/>
      <c r="BQ85" s="268"/>
      <c r="BR85" s="268"/>
      <c r="BS85" s="268"/>
      <c r="BT85" s="268"/>
      <c r="BU85" s="268"/>
    </row>
    <row r="86" spans="3:73" ht="12.6">
      <c r="C86" s="269" t="s">
        <v>647</v>
      </c>
      <c r="D86" s="268"/>
      <c r="E86" s="268"/>
      <c r="F86" s="268"/>
      <c r="G86" s="268"/>
      <c r="H86" s="268"/>
      <c r="I86" s="268"/>
      <c r="J86" s="268"/>
      <c r="K86" s="268"/>
      <c r="L86" s="268"/>
      <c r="M86" s="268"/>
      <c r="N86" s="268"/>
      <c r="O86" s="268"/>
      <c r="P86" s="268"/>
      <c r="Q86" s="268"/>
      <c r="R86" s="268"/>
      <c r="S86" s="268"/>
      <c r="T86" s="268"/>
      <c r="U86" s="268"/>
      <c r="V86" s="268"/>
      <c r="W86" s="268">
        <f t="shared" ref="W86:AT86" si="79">(W76/2)+W65</f>
        <v>5.1116787111561797</v>
      </c>
      <c r="X86" s="268">
        <f t="shared" si="79"/>
        <v>4.2624470109670654</v>
      </c>
      <c r="Y86" s="268">
        <f t="shared" si="79"/>
        <v>3.5477621584886423</v>
      </c>
      <c r="Z86" s="268">
        <f t="shared" si="79"/>
        <v>3.1478790577895692</v>
      </c>
      <c r="AA86" s="268">
        <f t="shared" si="79"/>
        <v>2.7480099954405075</v>
      </c>
      <c r="AB86" s="268">
        <f t="shared" si="79"/>
        <v>2.6471029191041593</v>
      </c>
      <c r="AC86" s="268">
        <f t="shared" si="79"/>
        <v>2.7087655511384168</v>
      </c>
      <c r="AD86" s="268">
        <f t="shared" si="79"/>
        <v>2.6944031804164883</v>
      </c>
      <c r="AE86" s="268">
        <f t="shared" si="79"/>
        <v>2.5403123323340369</v>
      </c>
      <c r="AF86" s="268">
        <f t="shared" si="79"/>
        <v>1.8419671247347156</v>
      </c>
      <c r="AG86" s="268">
        <f t="shared" si="79"/>
        <v>1.5001121671959288</v>
      </c>
      <c r="AH86" s="268">
        <f t="shared" si="79"/>
        <v>1.2991260032128029</v>
      </c>
      <c r="AI86" s="268">
        <f t="shared" si="79"/>
        <v>0.94193734446037847</v>
      </c>
      <c r="AJ86" s="268">
        <f t="shared" si="79"/>
        <v>0.79659495745901376</v>
      </c>
      <c r="AK86" s="268">
        <f t="shared" si="79"/>
        <v>0.7170285321962796</v>
      </c>
      <c r="AL86" s="268">
        <f t="shared" si="79"/>
        <v>0.5988994969328556</v>
      </c>
      <c r="AM86" s="268">
        <f t="shared" si="79"/>
        <v>0.54510766456474991</v>
      </c>
      <c r="AN86" s="268">
        <f t="shared" si="79"/>
        <v>0.44123419980799017</v>
      </c>
      <c r="AO86" s="268">
        <f t="shared" si="79"/>
        <v>0.40702319190651282</v>
      </c>
      <c r="AP86" s="268">
        <f t="shared" si="79"/>
        <v>0.36307252131605539</v>
      </c>
      <c r="AQ86" s="268">
        <f t="shared" si="79"/>
        <v>0.30238304876778477</v>
      </c>
      <c r="AR86" s="268">
        <f t="shared" si="79"/>
        <v>0.2706600456417424</v>
      </c>
      <c r="AS86" s="268">
        <f t="shared" si="79"/>
        <v>0.29338768548154293</v>
      </c>
      <c r="AT86" s="268">
        <f t="shared" si="79"/>
        <v>0.28124142332761126</v>
      </c>
      <c r="AU86" s="268"/>
      <c r="AV86" s="268"/>
      <c r="AW86" s="268"/>
      <c r="AX86" s="268"/>
      <c r="AY86" s="268"/>
      <c r="AZ86" s="268"/>
      <c r="BA86" s="268"/>
      <c r="BB86" s="268"/>
      <c r="BC86" s="268"/>
      <c r="BD86" s="268"/>
      <c r="BE86" s="268"/>
      <c r="BF86" s="268"/>
      <c r="BG86" s="268"/>
      <c r="BH86" s="268"/>
      <c r="BI86" s="268"/>
      <c r="BJ86" s="268"/>
      <c r="BK86" s="268"/>
      <c r="BL86" s="268"/>
      <c r="BM86" s="268"/>
      <c r="BN86" s="268"/>
      <c r="BO86" s="268"/>
      <c r="BP86" s="268"/>
      <c r="BQ86" s="268"/>
      <c r="BR86" s="268"/>
      <c r="BS86" s="268"/>
      <c r="BT86" s="268"/>
      <c r="BU86" s="268"/>
    </row>
    <row r="87" spans="3:73" ht="12.6">
      <c r="C87" s="269" t="s">
        <v>648</v>
      </c>
      <c r="D87" s="268"/>
      <c r="E87" s="268"/>
      <c r="F87" s="268"/>
      <c r="G87" s="268"/>
      <c r="H87" s="268"/>
      <c r="I87" s="268"/>
      <c r="J87" s="268"/>
      <c r="K87" s="268"/>
      <c r="L87" s="268"/>
      <c r="M87" s="268"/>
      <c r="N87" s="268"/>
      <c r="O87" s="268"/>
      <c r="P87" s="268"/>
      <c r="Q87" s="268"/>
      <c r="R87" s="268"/>
      <c r="S87" s="268"/>
      <c r="T87" s="268"/>
      <c r="U87" s="268"/>
      <c r="V87" s="268"/>
      <c r="W87" s="268"/>
      <c r="X87" s="268"/>
      <c r="Y87" s="268"/>
      <c r="Z87" s="268"/>
      <c r="AA87" s="268"/>
      <c r="AB87" s="268"/>
      <c r="AC87" s="268"/>
      <c r="AD87" s="268"/>
      <c r="AE87" s="268"/>
      <c r="AF87" s="268"/>
      <c r="AG87" s="268"/>
      <c r="AH87" s="268"/>
      <c r="AI87" s="268" t="s">
        <v>649</v>
      </c>
      <c r="AJ87" s="268"/>
      <c r="AK87" s="268"/>
      <c r="AL87" s="268"/>
      <c r="AM87" s="268"/>
      <c r="AN87" s="268"/>
      <c r="AO87" s="268"/>
      <c r="AP87" s="268"/>
      <c r="AR87" s="269"/>
      <c r="AS87" s="268"/>
      <c r="AT87" s="268"/>
      <c r="AU87" s="268"/>
      <c r="AV87" s="268"/>
      <c r="AW87" s="268"/>
      <c r="AX87" s="268"/>
      <c r="AY87" s="268"/>
      <c r="AZ87" s="268"/>
      <c r="BA87" s="268"/>
      <c r="BB87" s="268"/>
      <c r="BC87" s="268"/>
      <c r="BD87" s="268"/>
      <c r="BE87" s="268"/>
      <c r="BF87" s="268"/>
      <c r="BG87" s="268"/>
      <c r="BH87" s="268"/>
      <c r="BI87" s="268"/>
      <c r="BJ87" s="268"/>
      <c r="BK87" s="268"/>
      <c r="BL87" s="268"/>
      <c r="BM87" s="268"/>
      <c r="BN87" s="268"/>
      <c r="BO87" s="268"/>
      <c r="BP87" s="268"/>
      <c r="BQ87" s="268"/>
      <c r="BR87" s="268"/>
      <c r="BS87" s="268"/>
      <c r="BT87" s="268"/>
      <c r="BU87" s="268"/>
    </row>
    <row r="88" spans="3:73" ht="12.6">
      <c r="C88" s="269" t="s">
        <v>650</v>
      </c>
      <c r="D88" s="268"/>
      <c r="E88" s="268"/>
      <c r="F88" s="268"/>
      <c r="G88" s="268"/>
      <c r="H88" s="268"/>
      <c r="I88" s="268"/>
      <c r="J88" s="268"/>
      <c r="K88" s="268"/>
      <c r="L88" s="268"/>
      <c r="M88" s="268"/>
      <c r="N88" s="268"/>
      <c r="O88" s="268"/>
      <c r="P88" s="268"/>
      <c r="Q88" s="268"/>
      <c r="R88" s="268"/>
      <c r="S88" s="268"/>
      <c r="T88" s="268"/>
      <c r="U88" s="268"/>
      <c r="V88" s="268"/>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9"/>
      <c r="AS88" s="268"/>
      <c r="AT88" s="268"/>
      <c r="AU88" s="268">
        <f t="shared" ref="AU88:BK88" si="80">(AU77/2)+AU66</f>
        <v>0.23059575873118898</v>
      </c>
      <c r="AV88" s="268">
        <f t="shared" si="80"/>
        <v>0.21837317374931275</v>
      </c>
      <c r="AW88" s="268">
        <f t="shared" si="80"/>
        <v>0.2070416113965278</v>
      </c>
      <c r="AX88" s="268">
        <f t="shared" si="80"/>
        <v>0.19756129936139971</v>
      </c>
      <c r="AY88" s="268">
        <f t="shared" si="80"/>
        <v>0.18803981474730264</v>
      </c>
      <c r="AZ88" s="268">
        <f t="shared" si="80"/>
        <v>0.17851833013320562</v>
      </c>
      <c r="BA88" s="268">
        <f t="shared" si="80"/>
        <v>0.1690380180980775</v>
      </c>
      <c r="BB88" s="268">
        <f t="shared" si="80"/>
        <v>0.15951653348398043</v>
      </c>
      <c r="BC88" s="268">
        <f t="shared" si="80"/>
        <v>0.15211755381970696</v>
      </c>
      <c r="BD88" s="268">
        <f t="shared" si="80"/>
        <v>0.144759789839702</v>
      </c>
      <c r="BE88" s="268">
        <f t="shared" si="80"/>
        <v>0.13736085328072811</v>
      </c>
      <c r="BF88" s="268">
        <f t="shared" si="80"/>
        <v>0.12996187361645462</v>
      </c>
      <c r="BG88" s="268">
        <f t="shared" si="80"/>
        <v>0.12260410963644966</v>
      </c>
      <c r="BH88" s="268">
        <f t="shared" si="80"/>
        <v>0.12031591792677171</v>
      </c>
      <c r="BI88" s="268">
        <f t="shared" si="80"/>
        <v>0.11806889879606272</v>
      </c>
      <c r="BJ88" s="268">
        <f t="shared" si="80"/>
        <v>0.11578066398108523</v>
      </c>
      <c r="BK88" s="268">
        <f t="shared" si="80"/>
        <v>0.11353368795567578</v>
      </c>
      <c r="BL88" s="268"/>
      <c r="BM88" s="268"/>
      <c r="BN88" s="268"/>
      <c r="BO88" s="268"/>
      <c r="BP88" s="268"/>
      <c r="BQ88" s="268"/>
      <c r="BR88" s="268"/>
      <c r="BS88" s="268"/>
      <c r="BT88" s="268"/>
      <c r="BU88" s="268"/>
    </row>
    <row r="89" spans="3:73" ht="12.6">
      <c r="C89" s="269" t="s">
        <v>651</v>
      </c>
      <c r="D89" s="268"/>
      <c r="E89" s="268"/>
      <c r="F89" s="268"/>
      <c r="G89" s="268"/>
      <c r="H89" s="268"/>
      <c r="I89" s="268"/>
      <c r="J89" s="268"/>
      <c r="K89" s="268"/>
      <c r="L89" s="268"/>
      <c r="M89" s="268"/>
      <c r="N89" s="268"/>
      <c r="O89" s="268"/>
      <c r="P89" s="268"/>
      <c r="Q89" s="268"/>
      <c r="R89" s="268"/>
      <c r="S89" s="268"/>
      <c r="T89" s="268"/>
      <c r="U89" s="268"/>
      <c r="V89" s="268"/>
      <c r="W89" s="268"/>
      <c r="X89" s="268"/>
      <c r="Y89" s="268"/>
      <c r="Z89" s="268"/>
      <c r="AA89" s="268"/>
      <c r="AB89" s="268"/>
      <c r="AC89" s="268"/>
      <c r="AD89" s="268"/>
      <c r="AE89" s="268"/>
      <c r="AF89" s="268"/>
      <c r="AG89" s="268"/>
      <c r="AH89" s="268"/>
      <c r="AI89" s="268"/>
      <c r="AJ89" s="268"/>
      <c r="AK89" s="268"/>
      <c r="AL89" s="268"/>
      <c r="AM89" s="268"/>
      <c r="AN89" s="268"/>
      <c r="AO89" s="268"/>
      <c r="AP89" s="268"/>
      <c r="AQ89" s="268"/>
      <c r="AR89" s="269"/>
      <c r="AS89" s="268"/>
      <c r="AT89" s="268">
        <f t="shared" ref="AT89:BK89" si="81">$AT$86</f>
        <v>0.28124142332761126</v>
      </c>
      <c r="AU89" s="268">
        <f t="shared" si="81"/>
        <v>0.28124142332761126</v>
      </c>
      <c r="AV89" s="268">
        <f t="shared" si="81"/>
        <v>0.28124142332761126</v>
      </c>
      <c r="AW89" s="268">
        <f t="shared" si="81"/>
        <v>0.28124142332761126</v>
      </c>
      <c r="AX89" s="268">
        <f t="shared" si="81"/>
        <v>0.28124142332761126</v>
      </c>
      <c r="AY89" s="268">
        <f t="shared" si="81"/>
        <v>0.28124142332761126</v>
      </c>
      <c r="AZ89" s="268">
        <f t="shared" si="81"/>
        <v>0.28124142332761126</v>
      </c>
      <c r="BA89" s="268">
        <f t="shared" si="81"/>
        <v>0.28124142332761126</v>
      </c>
      <c r="BB89" s="268">
        <f t="shared" si="81"/>
        <v>0.28124142332761126</v>
      </c>
      <c r="BC89" s="268">
        <f t="shared" si="81"/>
        <v>0.28124142332761126</v>
      </c>
      <c r="BD89" s="268">
        <f t="shared" si="81"/>
        <v>0.28124142332761126</v>
      </c>
      <c r="BE89" s="268">
        <f t="shared" si="81"/>
        <v>0.28124142332761126</v>
      </c>
      <c r="BF89" s="268">
        <f t="shared" si="81"/>
        <v>0.28124142332761126</v>
      </c>
      <c r="BG89" s="268">
        <f t="shared" si="81"/>
        <v>0.28124142332761126</v>
      </c>
      <c r="BH89" s="268">
        <f t="shared" si="81"/>
        <v>0.28124142332761126</v>
      </c>
      <c r="BI89" s="268">
        <f t="shared" si="81"/>
        <v>0.28124142332761126</v>
      </c>
      <c r="BJ89" s="268">
        <f t="shared" si="81"/>
        <v>0.28124142332761126</v>
      </c>
      <c r="BK89" s="268">
        <f t="shared" si="81"/>
        <v>0.28124142332761126</v>
      </c>
      <c r="BL89" s="268"/>
      <c r="BM89" s="268"/>
      <c r="BN89" s="268"/>
      <c r="BO89" s="268"/>
      <c r="BP89" s="268"/>
      <c r="BQ89" s="268"/>
      <c r="BR89" s="268"/>
      <c r="BS89" s="268"/>
      <c r="BT89" s="268"/>
      <c r="BU89" s="268"/>
    </row>
    <row r="90" spans="3:73" ht="12.6">
      <c r="C90" s="269" t="s">
        <v>652</v>
      </c>
      <c r="D90" s="268"/>
      <c r="E90" s="268"/>
      <c r="F90" s="268"/>
      <c r="G90" s="268"/>
      <c r="H90" s="268"/>
      <c r="I90" s="268"/>
      <c r="J90" s="268"/>
      <c r="K90" s="268"/>
      <c r="L90" s="268"/>
      <c r="M90" s="268"/>
      <c r="N90" s="268"/>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268"/>
      <c r="AN90" s="268"/>
      <c r="AO90" s="268"/>
      <c r="AP90" s="268"/>
      <c r="AQ90" s="268"/>
      <c r="AR90" s="269"/>
      <c r="AS90" s="268"/>
      <c r="AT90" s="268"/>
      <c r="AU90" s="268"/>
      <c r="AV90" s="268"/>
      <c r="AW90" s="268"/>
      <c r="AX90" s="268"/>
      <c r="AY90" s="268"/>
      <c r="AZ90" s="268"/>
      <c r="BA90" s="268"/>
      <c r="BB90" s="268"/>
      <c r="BC90" s="268"/>
      <c r="BD90" s="268" t="s">
        <v>653</v>
      </c>
      <c r="BE90" s="268"/>
      <c r="BF90" s="268"/>
      <c r="BG90" s="268"/>
      <c r="BH90" s="268"/>
      <c r="BI90" s="268"/>
      <c r="BJ90" s="268"/>
      <c r="BK90" s="268"/>
      <c r="BL90" s="268"/>
      <c r="BM90" s="268"/>
      <c r="BN90" s="268"/>
      <c r="BO90" s="268"/>
      <c r="BP90" s="268"/>
      <c r="BQ90" s="268"/>
      <c r="BR90" s="268"/>
      <c r="BS90" s="268"/>
      <c r="BT90" s="268"/>
      <c r="BU90" s="268"/>
    </row>
    <row r="91" spans="3:73" ht="12.6">
      <c r="C91" s="269"/>
      <c r="D91" s="268"/>
      <c r="E91" s="268"/>
      <c r="F91" s="268"/>
      <c r="G91" s="268"/>
      <c r="H91" s="268"/>
      <c r="I91" s="268"/>
      <c r="J91" s="268"/>
      <c r="K91" s="268"/>
      <c r="L91" s="268"/>
      <c r="M91" s="268"/>
      <c r="N91" s="268"/>
      <c r="O91" s="268"/>
      <c r="P91" s="268"/>
      <c r="Q91" s="268"/>
      <c r="R91" s="268"/>
      <c r="S91" s="268"/>
      <c r="T91" s="268"/>
      <c r="U91" s="268"/>
      <c r="V91" s="268"/>
      <c r="W91" s="268"/>
      <c r="X91" s="268"/>
      <c r="Y91" s="268"/>
      <c r="Z91" s="268"/>
      <c r="AA91" s="268"/>
      <c r="AB91" s="268"/>
      <c r="AC91" s="268"/>
      <c r="AD91" s="268"/>
      <c r="AE91" s="268"/>
      <c r="AF91" s="268"/>
      <c r="AG91" s="268"/>
      <c r="AH91" s="268"/>
      <c r="AI91" s="268"/>
      <c r="AJ91" s="268"/>
      <c r="AK91" s="268"/>
      <c r="AL91" s="268"/>
      <c r="AM91" s="268"/>
      <c r="AN91" s="268"/>
      <c r="AO91" s="268"/>
      <c r="AP91" s="268"/>
      <c r="AQ91" s="268"/>
      <c r="AR91" s="269"/>
      <c r="AS91" s="268"/>
      <c r="AT91" s="268"/>
      <c r="AU91" s="268"/>
      <c r="AV91" s="268"/>
      <c r="AW91" s="268"/>
      <c r="AX91" s="268"/>
      <c r="AY91" s="268"/>
      <c r="AZ91" s="268"/>
      <c r="BA91" s="268"/>
      <c r="BB91" s="268"/>
      <c r="BC91" s="268"/>
      <c r="BD91" s="268"/>
      <c r="BE91" s="268"/>
      <c r="BF91" s="268"/>
      <c r="BG91" s="268"/>
      <c r="BH91" s="268"/>
      <c r="BI91" s="268"/>
      <c r="BJ91" s="268"/>
      <c r="BK91" s="268"/>
      <c r="BL91" s="268"/>
      <c r="BM91" s="268"/>
      <c r="BN91" s="268"/>
      <c r="BO91" s="268"/>
      <c r="BP91" s="268"/>
      <c r="BQ91" s="268"/>
      <c r="BR91" s="268"/>
      <c r="BS91" s="268"/>
      <c r="BT91" s="268"/>
      <c r="BU91" s="268"/>
    </row>
    <row r="92" spans="3:73" ht="12.6">
      <c r="C92" s="269" t="s">
        <v>654</v>
      </c>
      <c r="D92" s="268"/>
      <c r="E92" s="268"/>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9"/>
      <c r="AS92" s="268"/>
      <c r="AT92" s="268"/>
      <c r="AU92" s="268"/>
      <c r="AV92" s="268"/>
      <c r="AW92" s="268"/>
      <c r="AX92" s="268"/>
      <c r="AY92" s="268"/>
      <c r="AZ92" s="268"/>
      <c r="BA92" s="268"/>
      <c r="BB92" s="268"/>
      <c r="BC92" s="268"/>
      <c r="BD92" s="268"/>
      <c r="BE92" s="268"/>
      <c r="BF92" s="268"/>
      <c r="BG92" s="268"/>
      <c r="BH92" s="268"/>
      <c r="BI92" s="268"/>
      <c r="BJ92" s="268"/>
      <c r="BK92" s="268"/>
      <c r="BL92" s="268"/>
      <c r="BM92" s="268"/>
      <c r="BN92" s="268"/>
      <c r="BO92" s="268"/>
      <c r="BP92" s="268"/>
      <c r="BQ92" s="268"/>
      <c r="BR92" s="268"/>
      <c r="BS92" s="268"/>
      <c r="BT92" s="268"/>
      <c r="BU92" s="268"/>
    </row>
    <row r="93" spans="3:73" ht="12.6">
      <c r="C93" s="269" t="s">
        <v>655</v>
      </c>
      <c r="D93" s="268"/>
      <c r="E93" s="268"/>
      <c r="F93" s="268"/>
      <c r="G93" s="268"/>
      <c r="H93" s="268"/>
      <c r="I93" s="268"/>
      <c r="J93" s="268"/>
      <c r="K93" s="268"/>
      <c r="L93" s="268"/>
      <c r="M93" s="268"/>
      <c r="N93" s="268"/>
      <c r="O93" s="268"/>
      <c r="P93" s="268"/>
      <c r="Q93" s="268"/>
      <c r="R93" s="268"/>
      <c r="S93" s="268"/>
      <c r="T93" s="268"/>
      <c r="U93" s="268"/>
      <c r="V93" s="268"/>
      <c r="W93" s="268">
        <f>W46*(1/Misc!$B$49)</f>
        <v>0.55570523537425465</v>
      </c>
      <c r="X93" s="268">
        <f>X46*(1/Misc!$B$49)</f>
        <v>0.54452361879931621</v>
      </c>
      <c r="Y93" s="268">
        <f>Y46*(1/Misc!$B$49)</f>
        <v>0.53534625458569396</v>
      </c>
      <c r="Z93" s="268">
        <f>Z46*(1/Misc!$B$49)</f>
        <v>0.54673884479036572</v>
      </c>
      <c r="AA93" s="268">
        <f>AA46*(1/Misc!$B$49)</f>
        <v>0.60581153501430496</v>
      </c>
      <c r="AB93" s="268">
        <f>AB46*(1/Misc!$B$49)</f>
        <v>0.68577064066227011</v>
      </c>
      <c r="AC93" s="268">
        <f>AC46*(1/Misc!$B$49)</f>
        <v>0.80709592487924586</v>
      </c>
      <c r="AD93" s="268">
        <f>AD46*(1/Misc!$B$49)</f>
        <v>0.80161640535980327</v>
      </c>
      <c r="AE93" s="268">
        <f>AE46*(1/Misc!$B$49)</f>
        <v>0.94037446248382905</v>
      </c>
      <c r="AF93" s="268">
        <f>AF46*(1/Misc!$B$49)</f>
        <v>0.83385532599982748</v>
      </c>
      <c r="AG93" s="268">
        <f>AG46*(1/Misc!$B$49)</f>
        <v>0.91924489961461253</v>
      </c>
      <c r="AH93" s="268">
        <f>AH46*(1/Misc!$B$49)</f>
        <v>1.0706371283239959</v>
      </c>
      <c r="AI93" s="268">
        <f>AI46*(1/Misc!$B$49)</f>
        <v>1.0902418771590894</v>
      </c>
      <c r="AJ93" s="268">
        <f>AJ46*(1/Misc!$B$49)</f>
        <v>1.0954698106209275</v>
      </c>
      <c r="AK93" s="268">
        <f>AK46*(1/Misc!$B$49)</f>
        <v>1.0878457413042086</v>
      </c>
      <c r="AL93" s="268">
        <f>AL46*(1/Misc!$B$49)</f>
        <v>0.98655453798928061</v>
      </c>
      <c r="AM93" s="268">
        <f>AM46*(1/Misc!$B$49)</f>
        <v>0.92381934105826169</v>
      </c>
      <c r="AN93" s="268">
        <f>AN46*(1/Misc!$B$49)</f>
        <v>0.98702505195937107</v>
      </c>
      <c r="AO93" s="268">
        <f>AO46*(1/Misc!$B$49)</f>
        <v>1.0981099166861361</v>
      </c>
      <c r="AP93" s="268">
        <f>AP46*(1/Misc!$B$49)</f>
        <v>1.0981099166861361</v>
      </c>
      <c r="AQ93" s="268">
        <f>AQ46*(1/Misc!$B$49)</f>
        <v>1.0054012367615124</v>
      </c>
      <c r="AR93" s="268">
        <f>AR46*(1/Misc!$B$49)</f>
        <v>1.1612982011610773</v>
      </c>
      <c r="AS93" s="268">
        <f>AS46*(1/Misc!$B$49)</f>
        <v>1.37236728598195</v>
      </c>
      <c r="AT93" s="268">
        <f>AT46*(1/Misc!$B$49)</f>
        <v>1.3346796973008124</v>
      </c>
      <c r="AU93" s="269"/>
      <c r="AV93" s="268"/>
      <c r="AW93" s="268"/>
      <c r="AX93" s="268"/>
      <c r="AY93" s="268"/>
      <c r="AZ93" s="268"/>
      <c r="BA93" s="268"/>
      <c r="BB93" s="268"/>
      <c r="BC93" s="268"/>
      <c r="BD93" s="268"/>
      <c r="BE93" s="268"/>
      <c r="BF93" s="268"/>
      <c r="BG93" s="268"/>
      <c r="BH93" s="268"/>
      <c r="BI93" s="268"/>
      <c r="BJ93" s="268"/>
      <c r="BK93" s="268"/>
      <c r="BL93" s="268"/>
      <c r="BM93" s="268"/>
      <c r="BN93" s="268"/>
      <c r="BO93" s="268"/>
      <c r="BP93" s="268"/>
      <c r="BQ93" s="268"/>
      <c r="BR93" s="268"/>
      <c r="BS93" s="268"/>
      <c r="BT93" s="268"/>
      <c r="BU93" s="268"/>
    </row>
    <row r="94" spans="3:73" ht="12.6">
      <c r="C94" s="269" t="s">
        <v>656</v>
      </c>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9"/>
      <c r="AS94" s="268"/>
      <c r="AT94" s="268"/>
      <c r="AU94" s="268">
        <f>AU55*(1/Misc!$B$49)</f>
        <v>1.2081241456280181</v>
      </c>
      <c r="AV94" s="268">
        <f>AV55*(1/Misc!$B$49)</f>
        <v>1.230922417675284</v>
      </c>
      <c r="AW94" s="268">
        <f>AW55*(1/Misc!$B$49)</f>
        <v>1.2537206897225641</v>
      </c>
      <c r="AX94" s="268">
        <f>AX55*(1/Misc!$B$49)</f>
        <v>1.2765189617698371</v>
      </c>
      <c r="AY94" s="268">
        <f>AY55*(1/Misc!$B$49)</f>
        <v>1.29931723381711</v>
      </c>
      <c r="AZ94" s="268">
        <f>AZ55*(1/Misc!$B$49)</f>
        <v>1.3221155058643901</v>
      </c>
      <c r="BA94" s="268">
        <f>BA55*(1/Misc!$B$49)</f>
        <v>1.3449137779116633</v>
      </c>
      <c r="BB94" s="268">
        <f>BB55*(1/Misc!$B$49)</f>
        <v>1.3677120499589435</v>
      </c>
      <c r="BC94" s="268">
        <f>BC55*(1/Misc!$B$49)</f>
        <v>1.3905103220062163</v>
      </c>
      <c r="BD94" s="268">
        <f>BD55*(1/Misc!$B$49)</f>
        <v>1.4133085940534893</v>
      </c>
      <c r="BE94" s="268">
        <f>BE55*(1/Misc!$B$49)</f>
        <v>1.4361068661007694</v>
      </c>
      <c r="BF94" s="268">
        <f>BF55*(1/Misc!$B$49)</f>
        <v>1.4589051381480427</v>
      </c>
      <c r="BG94" s="268">
        <f>BG55*(1/Misc!$B$49)</f>
        <v>1.4817034101953155</v>
      </c>
      <c r="BH94" s="268">
        <f>BH55*(1/Misc!$B$49)</f>
        <v>1.5045016822425956</v>
      </c>
      <c r="BI94" s="268">
        <f>BI55*(1/Misc!$B$49)</f>
        <v>1.5272999542898686</v>
      </c>
      <c r="BJ94" s="268">
        <f>BJ55*(1/Misc!$B$49)</f>
        <v>1.5500982263371488</v>
      </c>
      <c r="BK94" s="268">
        <f>BK55*(1/Misc!$B$49)</f>
        <v>1.5728964983844218</v>
      </c>
      <c r="BL94" s="268">
        <f>BL55*(1/Misc!$B$49)</f>
        <v>1.5956947704316946</v>
      </c>
      <c r="BM94" s="268">
        <f>BM55*(1/Misc!$B$49)</f>
        <v>1.6184930424789747</v>
      </c>
      <c r="BN94" s="268">
        <f>BN55*(1/Misc!$B$49)</f>
        <v>1.6412913145262478</v>
      </c>
      <c r="BO94" s="268">
        <f>BO55*(1/Misc!$B$49)</f>
        <v>1.664089586573521</v>
      </c>
      <c r="BP94" s="268">
        <f>BP55*(1/Misc!$B$49)</f>
        <v>1.6868878586208009</v>
      </c>
      <c r="BQ94" s="268">
        <f>BQ55*(1/Misc!$B$49)</f>
        <v>1.709686130668074</v>
      </c>
      <c r="BR94" s="268">
        <f>BR55*(1/Misc!$B$49)</f>
        <v>1.7324844027153539</v>
      </c>
      <c r="BS94" s="268">
        <f>BS55*(1/Misc!$B$49)</f>
        <v>1.7552826747626271</v>
      </c>
      <c r="BT94" s="268">
        <f>BT55*(1/Misc!$B$49)</f>
        <v>1.7780809468099001</v>
      </c>
      <c r="BU94" s="268">
        <f>BU55*(1/Misc!$B$49)</f>
        <v>1.8008792188571801</v>
      </c>
    </row>
    <row r="95" spans="3:73" ht="12.6">
      <c r="C95" s="269" t="s">
        <v>657</v>
      </c>
      <c r="D95" s="268"/>
      <c r="E95" s="268"/>
      <c r="F95" s="268"/>
      <c r="G95" s="268"/>
      <c r="H95" s="268"/>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t="s">
        <v>658</v>
      </c>
      <c r="AR95" s="269"/>
      <c r="AS95" s="268"/>
      <c r="AT95" s="268"/>
      <c r="AU95" s="268"/>
      <c r="AV95" s="268"/>
      <c r="AW95" s="268"/>
      <c r="AX95" s="268"/>
      <c r="AY95" s="268"/>
      <c r="AZ95" s="268"/>
      <c r="BA95" s="268"/>
      <c r="BB95" s="268"/>
      <c r="BC95" s="268"/>
      <c r="BD95" s="268"/>
      <c r="BE95" s="268"/>
      <c r="BF95" s="268"/>
      <c r="BG95" s="268"/>
      <c r="BH95" s="268"/>
      <c r="BI95" s="268"/>
      <c r="BJ95" s="268"/>
      <c r="BK95" s="268"/>
      <c r="BL95" s="268"/>
      <c r="BM95" s="268"/>
      <c r="BN95" s="268"/>
      <c r="BO95" s="268"/>
      <c r="BP95" s="268"/>
      <c r="BQ95" s="268"/>
      <c r="BR95" s="268"/>
      <c r="BS95" s="268"/>
      <c r="BT95" s="268"/>
      <c r="BU95" s="268"/>
    </row>
    <row r="97" spans="3:73" ht="12.6">
      <c r="C97" s="269" t="s">
        <v>659</v>
      </c>
      <c r="D97" s="268"/>
      <c r="E97" s="268"/>
      <c r="F97" s="268"/>
      <c r="G97" s="268"/>
      <c r="H97" s="268"/>
      <c r="I97" s="268"/>
      <c r="J97" s="268"/>
      <c r="K97" s="268"/>
      <c r="L97" s="268"/>
      <c r="M97" s="268"/>
      <c r="N97" s="268"/>
      <c r="O97" s="268"/>
      <c r="P97" s="268"/>
      <c r="Q97" s="268"/>
      <c r="R97" s="268"/>
      <c r="S97" s="268"/>
      <c r="T97" s="268"/>
      <c r="U97" s="268"/>
      <c r="V97" s="268"/>
      <c r="W97" s="268">
        <f t="shared" ref="W97:AT97" si="82">W43*(1/0.9)</f>
        <v>4.5519030065089845E-2</v>
      </c>
      <c r="X97" s="268">
        <f t="shared" si="82"/>
        <v>4.7694333212092051E-2</v>
      </c>
      <c r="Y97" s="268">
        <f t="shared" si="82"/>
        <v>5.0475690974514126E-2</v>
      </c>
      <c r="Z97" s="268">
        <f t="shared" si="82"/>
        <v>5.4350111526631835E-2</v>
      </c>
      <c r="AA97" s="268">
        <f t="shared" si="82"/>
        <v>6.0637928080308046E-2</v>
      </c>
      <c r="AB97" s="268">
        <f t="shared" si="82"/>
        <v>6.5659523415154006E-2</v>
      </c>
      <c r="AC97" s="268">
        <f t="shared" si="82"/>
        <v>7.134355808672535E-2</v>
      </c>
      <c r="AD97" s="268">
        <f t="shared" si="82"/>
        <v>7.6975049969517789E-2</v>
      </c>
      <c r="AE97" s="268">
        <f t="shared" si="82"/>
        <v>8.6285282513980571E-2</v>
      </c>
      <c r="AF97" s="268">
        <f t="shared" si="82"/>
        <v>8.8307730034607637E-2</v>
      </c>
      <c r="AG97" s="268">
        <f t="shared" si="82"/>
        <v>9.216084125572975E-2</v>
      </c>
      <c r="AH97" s="268">
        <f t="shared" si="82"/>
        <v>9.5490905706362303E-2</v>
      </c>
      <c r="AI97" s="268">
        <f t="shared" si="82"/>
        <v>9.5421166137467914E-2</v>
      </c>
      <c r="AJ97" s="268">
        <f t="shared" si="82"/>
        <v>9.5055033398881564E-2</v>
      </c>
      <c r="AK97" s="268">
        <f t="shared" si="82"/>
        <v>9.7147220485881938E-2</v>
      </c>
      <c r="AL97" s="268">
        <f t="shared" si="82"/>
        <v>9.6763652853181156E-2</v>
      </c>
      <c r="AM97" s="268">
        <f t="shared" si="82"/>
        <v>9.9797324131600654E-2</v>
      </c>
      <c r="AN97" s="268">
        <f t="shared" si="82"/>
        <v>0.10120791152663183</v>
      </c>
      <c r="AO97" s="268">
        <f t="shared" si="82"/>
        <v>0.10280986431976531</v>
      </c>
      <c r="AP97" s="268">
        <f t="shared" si="82"/>
        <v>0.1051544737807114</v>
      </c>
      <c r="AQ97" s="268">
        <f t="shared" si="82"/>
        <v>0.1063898056472314</v>
      </c>
      <c r="AR97" s="268">
        <f t="shared" si="82"/>
        <v>0.10661670333700037</v>
      </c>
      <c r="AS97" s="268">
        <f t="shared" si="82"/>
        <v>0.11599874273141599</v>
      </c>
      <c r="AT97" s="268">
        <f t="shared" si="82"/>
        <v>0.12222222222222223</v>
      </c>
      <c r="AU97" s="268"/>
      <c r="AV97" s="268"/>
      <c r="AW97" s="268"/>
      <c r="AX97" s="268"/>
      <c r="AY97" s="268"/>
      <c r="AZ97" s="268"/>
      <c r="BA97" s="268"/>
      <c r="BB97" s="268"/>
      <c r="BC97" s="268"/>
      <c r="BD97" s="268"/>
      <c r="BE97" s="268"/>
      <c r="BF97" s="268"/>
      <c r="BG97" s="268"/>
      <c r="BH97" s="268"/>
      <c r="BI97" s="268"/>
      <c r="BJ97" s="268"/>
      <c r="BK97" s="268"/>
      <c r="BL97" s="268"/>
      <c r="BM97" s="268"/>
      <c r="BN97" s="268"/>
      <c r="BO97" s="268"/>
      <c r="BP97" s="268"/>
      <c r="BQ97" s="268"/>
      <c r="BR97" s="268"/>
      <c r="BS97" s="268"/>
      <c r="BT97" s="268"/>
      <c r="BU97" s="268"/>
    </row>
    <row r="98" spans="3:73" ht="12.6">
      <c r="C98" s="269" t="s">
        <v>660</v>
      </c>
      <c r="D98" s="268"/>
      <c r="E98" s="268"/>
      <c r="F98" s="268"/>
      <c r="G98" s="268"/>
      <c r="H98" s="268"/>
      <c r="I98" s="268"/>
      <c r="J98" s="268"/>
      <c r="K98" s="268"/>
      <c r="L98" s="268"/>
      <c r="M98" s="268"/>
      <c r="N98" s="268"/>
      <c r="O98" s="268"/>
      <c r="P98" s="268"/>
      <c r="Q98" s="268"/>
      <c r="R98" s="268"/>
      <c r="S98" s="268"/>
      <c r="T98" s="268"/>
      <c r="U98" s="268"/>
      <c r="V98" s="268"/>
      <c r="W98" s="268"/>
      <c r="X98" s="268"/>
      <c r="Y98" s="268"/>
      <c r="Z98" s="268"/>
      <c r="AA98" s="268"/>
      <c r="AB98" s="268"/>
      <c r="AC98" s="268"/>
      <c r="AD98" s="268"/>
      <c r="AE98" s="268"/>
      <c r="AF98" s="268"/>
      <c r="AG98" s="268"/>
      <c r="AH98" s="268"/>
      <c r="AI98" s="268"/>
      <c r="AJ98" s="268"/>
      <c r="AK98" s="268"/>
      <c r="AL98" s="268"/>
      <c r="AM98" s="268"/>
      <c r="AN98" s="268"/>
      <c r="AO98" s="268"/>
      <c r="AP98" s="268"/>
      <c r="AQ98" s="268"/>
      <c r="AR98" s="269"/>
      <c r="AS98" s="268"/>
      <c r="AT98" s="268"/>
      <c r="AU98" s="268">
        <f t="shared" ref="AU98:BU98" si="83">AU52*(1/0.9)</f>
        <v>0.12106220377399454</v>
      </c>
      <c r="AV98" s="268">
        <f t="shared" si="83"/>
        <v>0.12385231437188592</v>
      </c>
      <c r="AW98" s="268">
        <f t="shared" si="83"/>
        <v>0.12664242496977651</v>
      </c>
      <c r="AX98" s="268">
        <f t="shared" si="83"/>
        <v>0.12943253556766715</v>
      </c>
      <c r="AY98" s="268">
        <f t="shared" si="83"/>
        <v>0.13222264616555776</v>
      </c>
      <c r="AZ98" s="268">
        <f t="shared" si="83"/>
        <v>0.13501275676344915</v>
      </c>
      <c r="BA98" s="268">
        <f t="shared" si="83"/>
        <v>0.13780286736133976</v>
      </c>
      <c r="BB98" s="268">
        <f t="shared" si="83"/>
        <v>0.14059297795923037</v>
      </c>
      <c r="BC98" s="268">
        <f t="shared" si="83"/>
        <v>0.14338308855712101</v>
      </c>
      <c r="BD98" s="268">
        <f t="shared" si="83"/>
        <v>0.14617319915501162</v>
      </c>
      <c r="BE98" s="268">
        <f t="shared" si="83"/>
        <v>0.14896330975290298</v>
      </c>
      <c r="BF98" s="268">
        <f t="shared" si="83"/>
        <v>0.15175342035079359</v>
      </c>
      <c r="BG98" s="268">
        <f t="shared" si="83"/>
        <v>0.15454353094868423</v>
      </c>
      <c r="BH98" s="268">
        <f t="shared" si="83"/>
        <v>0.15733364154657484</v>
      </c>
      <c r="BI98" s="268">
        <f t="shared" si="83"/>
        <v>0.1601237521444655</v>
      </c>
      <c r="BJ98" s="268">
        <f t="shared" si="83"/>
        <v>0.16291386274235614</v>
      </c>
      <c r="BK98" s="268">
        <f t="shared" si="83"/>
        <v>0.16570397334024745</v>
      </c>
      <c r="BL98" s="268">
        <f t="shared" si="83"/>
        <v>0.16849408393813811</v>
      </c>
      <c r="BM98" s="268">
        <f t="shared" si="83"/>
        <v>0.17128419453602872</v>
      </c>
      <c r="BN98" s="268">
        <f t="shared" si="83"/>
        <v>0.17407430513391936</v>
      </c>
      <c r="BO98" s="268">
        <f t="shared" si="83"/>
        <v>0.17686441573180997</v>
      </c>
      <c r="BP98" s="268">
        <f t="shared" si="83"/>
        <v>0.17965452632970058</v>
      </c>
      <c r="BQ98" s="268">
        <f t="shared" si="83"/>
        <v>0.18244463692759197</v>
      </c>
      <c r="BR98" s="268">
        <f t="shared" si="83"/>
        <v>0.18523474752548258</v>
      </c>
      <c r="BS98" s="268">
        <f t="shared" si="83"/>
        <v>0.18802485812337319</v>
      </c>
      <c r="BT98" s="268">
        <f t="shared" si="83"/>
        <v>0.19081496872126383</v>
      </c>
      <c r="BU98" s="268">
        <f t="shared" si="83"/>
        <v>0.19360507931915447</v>
      </c>
    </row>
    <row r="99" spans="3:73" ht="12.6">
      <c r="C99" s="269" t="s">
        <v>661</v>
      </c>
      <c r="D99" s="268"/>
      <c r="E99" s="268"/>
      <c r="F99" s="268"/>
      <c r="G99" s="268"/>
      <c r="H99" s="268"/>
      <c r="I99" s="268"/>
      <c r="J99" s="268"/>
      <c r="K99" s="268"/>
      <c r="L99" s="268"/>
      <c r="M99" s="268"/>
      <c r="N99" s="268"/>
      <c r="O99" s="268"/>
      <c r="P99" s="268"/>
      <c r="Q99" s="268"/>
      <c r="R99" s="268"/>
      <c r="S99" s="268"/>
      <c r="T99" s="268"/>
      <c r="U99" s="268"/>
      <c r="V99" s="268"/>
      <c r="W99" s="268"/>
      <c r="X99" s="268"/>
      <c r="Y99" s="268"/>
      <c r="Z99" s="268"/>
      <c r="AA99" s="268"/>
      <c r="AB99" s="268"/>
      <c r="AC99" s="268"/>
      <c r="AD99" s="268"/>
      <c r="AE99" s="268"/>
      <c r="AF99" s="268"/>
      <c r="AG99" s="268"/>
      <c r="AH99" s="268"/>
      <c r="AI99" s="268"/>
      <c r="AJ99" s="268"/>
      <c r="AK99" s="268"/>
      <c r="AL99" s="268"/>
      <c r="AM99" s="268"/>
      <c r="AN99" s="268"/>
      <c r="AO99" s="268"/>
      <c r="AP99" s="269" t="s">
        <v>103</v>
      </c>
      <c r="AQ99" s="268"/>
      <c r="AR99" s="269"/>
      <c r="AS99" s="268"/>
      <c r="AT99" s="268"/>
      <c r="AU99" s="268"/>
      <c r="AV99" s="268"/>
      <c r="AW99" s="268"/>
      <c r="AX99" s="268"/>
      <c r="AY99" s="268"/>
      <c r="AZ99" s="268"/>
      <c r="BA99" s="268"/>
      <c r="BB99" s="268"/>
      <c r="BC99" s="268"/>
      <c r="BD99" s="268"/>
      <c r="BE99" s="268"/>
      <c r="BF99" s="268"/>
      <c r="BG99" s="268"/>
      <c r="BH99" s="268"/>
      <c r="BI99" s="268"/>
      <c r="BJ99" s="268"/>
      <c r="BK99" s="268"/>
      <c r="BL99" s="268"/>
      <c r="BM99" s="268"/>
      <c r="BN99" s="268"/>
      <c r="BO99" s="268"/>
      <c r="BP99" s="268"/>
      <c r="BQ99" s="268"/>
      <c r="BR99" s="268"/>
      <c r="BS99" s="268"/>
      <c r="BT99" s="268"/>
      <c r="BU99" s="268"/>
    </row>
    <row r="100" spans="3:73" ht="12.6">
      <c r="C100" s="269"/>
      <c r="D100" s="268"/>
      <c r="E100" s="268"/>
      <c r="F100" s="268"/>
      <c r="G100" s="268"/>
      <c r="H100" s="268"/>
      <c r="I100" s="268"/>
      <c r="J100" s="268"/>
      <c r="K100" s="268"/>
      <c r="L100" s="268"/>
      <c r="M100" s="268"/>
      <c r="N100" s="268"/>
      <c r="O100" s="268"/>
      <c r="P100" s="268"/>
      <c r="Q100" s="268"/>
      <c r="R100" s="268"/>
      <c r="S100" s="268"/>
      <c r="T100" s="268"/>
      <c r="U100" s="268"/>
      <c r="V100" s="268"/>
      <c r="W100" s="268"/>
      <c r="X100" s="268"/>
      <c r="Y100" s="268"/>
      <c r="Z100" s="268"/>
      <c r="AA100" s="268"/>
      <c r="AB100" s="268"/>
      <c r="AC100" s="268"/>
      <c r="AD100" s="268"/>
      <c r="AE100" s="268"/>
      <c r="AF100" s="268"/>
      <c r="AG100" s="268"/>
      <c r="AH100" s="268"/>
      <c r="AI100" s="268"/>
      <c r="AJ100" s="268"/>
      <c r="AK100" s="268"/>
      <c r="AL100" s="268"/>
      <c r="AM100" s="268"/>
      <c r="AN100" s="268"/>
      <c r="AO100" s="268"/>
      <c r="AP100" s="268"/>
      <c r="AQ100" s="268"/>
      <c r="AR100" s="269"/>
      <c r="AS100" s="268"/>
      <c r="AT100" s="268"/>
      <c r="AU100" s="268"/>
      <c r="AV100" s="268"/>
      <c r="AW100" s="268"/>
      <c r="AX100" s="268"/>
      <c r="AY100" s="268"/>
      <c r="AZ100" s="268"/>
      <c r="BA100" s="268"/>
      <c r="BB100" s="268"/>
      <c r="BC100" s="268"/>
      <c r="BD100" s="268"/>
      <c r="BE100" s="268"/>
      <c r="BF100" s="268"/>
      <c r="BG100" s="268"/>
      <c r="BH100" s="268"/>
      <c r="BI100" s="268"/>
      <c r="BJ100" s="268"/>
      <c r="BK100" s="268"/>
      <c r="BL100" s="268"/>
      <c r="BM100" s="268"/>
      <c r="BN100" s="268"/>
      <c r="BO100" s="268"/>
      <c r="BP100" s="268"/>
      <c r="BQ100" s="268"/>
      <c r="BR100" s="268"/>
      <c r="BS100" s="268"/>
      <c r="BT100" s="268"/>
      <c r="BU100" s="268"/>
    </row>
    <row r="101" spans="3:73" ht="12.6">
      <c r="C101" s="269" t="s">
        <v>662</v>
      </c>
      <c r="D101" s="268"/>
      <c r="E101" s="268"/>
      <c r="F101" s="268"/>
      <c r="G101" s="268"/>
      <c r="H101" s="268"/>
      <c r="I101" s="268"/>
      <c r="J101" s="268"/>
      <c r="K101" s="268"/>
      <c r="L101" s="268"/>
      <c r="M101" s="268"/>
      <c r="N101" s="268"/>
      <c r="O101" s="268"/>
      <c r="P101" s="268"/>
      <c r="Q101" s="268"/>
      <c r="R101" s="268"/>
      <c r="S101" s="268"/>
      <c r="T101" s="268"/>
      <c r="U101" s="268"/>
      <c r="V101" s="268"/>
      <c r="W101" s="268">
        <f t="shared" ref="W101:AT101" si="84">W44*(1/0.9)</f>
        <v>0.10102036920577231</v>
      </c>
      <c r="X101" s="268">
        <f t="shared" si="84"/>
        <v>0.10584801880046732</v>
      </c>
      <c r="Y101" s="268">
        <f t="shared" si="84"/>
        <v>0.11202068521386498</v>
      </c>
      <c r="Z101" s="268">
        <f t="shared" si="84"/>
        <v>0.12061918553502052</v>
      </c>
      <c r="AA101" s="268">
        <f t="shared" si="84"/>
        <v>0.13457373484862051</v>
      </c>
      <c r="AB101" s="268">
        <f t="shared" si="84"/>
        <v>0.14571815980676955</v>
      </c>
      <c r="AC101" s="268">
        <f t="shared" si="84"/>
        <v>0.15833273617800298</v>
      </c>
      <c r="AD101" s="268">
        <f t="shared" si="84"/>
        <v>0.17083070435451095</v>
      </c>
      <c r="AE101" s="268">
        <f t="shared" si="84"/>
        <v>0.19149290053242443</v>
      </c>
      <c r="AF101" s="268">
        <f t="shared" si="84"/>
        <v>0.19598131768324889</v>
      </c>
      <c r="AG101" s="268">
        <f t="shared" si="84"/>
        <v>0.20453252621278176</v>
      </c>
      <c r="AH101" s="268">
        <f t="shared" si="84"/>
        <v>0.2119229372079387</v>
      </c>
      <c r="AI101" s="268">
        <f t="shared" si="84"/>
        <v>0.21176816420447428</v>
      </c>
      <c r="AJ101" s="268">
        <f t="shared" si="84"/>
        <v>0.21095560593208962</v>
      </c>
      <c r="AK101" s="268">
        <f t="shared" si="84"/>
        <v>0.21559879608078353</v>
      </c>
      <c r="AL101" s="268">
        <f t="shared" si="84"/>
        <v>0.21474754455333642</v>
      </c>
      <c r="AM101" s="268">
        <f t="shared" si="84"/>
        <v>0.22148017027397812</v>
      </c>
      <c r="AN101" s="268">
        <f t="shared" si="84"/>
        <v>0.22461068643917964</v>
      </c>
      <c r="AO101" s="268">
        <f t="shared" si="84"/>
        <v>0.22816589977261742</v>
      </c>
      <c r="AP101" s="268">
        <f t="shared" si="84"/>
        <v>0.23336929081696597</v>
      </c>
      <c r="AQ101" s="268">
        <f t="shared" si="84"/>
        <v>0.23611086244248294</v>
      </c>
      <c r="AR101" s="268">
        <f t="shared" si="84"/>
        <v>0.23661441641451669</v>
      </c>
      <c r="AS101" s="268">
        <f t="shared" si="84"/>
        <v>0.2574359735121019</v>
      </c>
      <c r="AT101" s="268">
        <f t="shared" si="84"/>
        <v>0.27124773960217002</v>
      </c>
      <c r="AU101" s="268"/>
      <c r="AV101" s="268"/>
      <c r="AW101" s="268"/>
      <c r="AX101" s="268"/>
      <c r="AY101" s="268"/>
      <c r="AZ101" s="268"/>
      <c r="BA101" s="268"/>
      <c r="BB101" s="268"/>
      <c r="BC101" s="268"/>
      <c r="BD101" s="268"/>
      <c r="BE101" s="268"/>
      <c r="BF101" s="268"/>
      <c r="BG101" s="268"/>
      <c r="BH101" s="268"/>
      <c r="BI101" s="268"/>
      <c r="BJ101" s="268"/>
      <c r="BK101" s="268"/>
      <c r="BL101" s="268"/>
      <c r="BM101" s="268"/>
      <c r="BN101" s="268"/>
      <c r="BO101" s="268"/>
      <c r="BP101" s="268"/>
      <c r="BQ101" s="268"/>
      <c r="BR101" s="268"/>
      <c r="BS101" s="268"/>
      <c r="BT101" s="268"/>
      <c r="BU101" s="268"/>
    </row>
    <row r="102" spans="3:73" ht="12.6">
      <c r="C102" s="269" t="s">
        <v>663</v>
      </c>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c r="AA102" s="268"/>
      <c r="AB102" s="268"/>
      <c r="AC102" s="268"/>
      <c r="AD102" s="268"/>
      <c r="AE102" s="268"/>
      <c r="AF102" s="268"/>
      <c r="AG102" s="268"/>
      <c r="AH102" s="268"/>
      <c r="AI102" s="268"/>
      <c r="AJ102" s="268"/>
      <c r="AK102" s="268"/>
      <c r="AL102" s="268"/>
      <c r="AM102" s="268"/>
      <c r="AN102" s="268"/>
      <c r="AO102" s="268"/>
      <c r="AP102" s="268"/>
      <c r="AQ102" s="268"/>
      <c r="AR102" s="269"/>
      <c r="AS102" s="268"/>
      <c r="AT102" s="268"/>
      <c r="AU102" s="268">
        <f t="shared" ref="AU102:BU102" si="85">AU53*(1/0.9)</f>
        <v>0.26867331102234526</v>
      </c>
      <c r="AV102" s="268">
        <f t="shared" si="85"/>
        <v>0.27486540260076603</v>
      </c>
      <c r="AW102" s="268">
        <f t="shared" si="85"/>
        <v>0.28105749417918513</v>
      </c>
      <c r="AX102" s="268">
        <f t="shared" si="85"/>
        <v>0.28724958575760418</v>
      </c>
      <c r="AY102" s="268">
        <f t="shared" si="85"/>
        <v>0.29344167733602328</v>
      </c>
      <c r="AZ102" s="268">
        <f t="shared" si="85"/>
        <v>0.29963376891444404</v>
      </c>
      <c r="BA102" s="268">
        <f t="shared" si="85"/>
        <v>0.30582586049286314</v>
      </c>
      <c r="BB102" s="268">
        <f t="shared" si="85"/>
        <v>0.31201795207128225</v>
      </c>
      <c r="BC102" s="268">
        <f t="shared" si="85"/>
        <v>0.3182100436497014</v>
      </c>
      <c r="BD102" s="268">
        <f t="shared" si="85"/>
        <v>0.3244021352281205</v>
      </c>
      <c r="BE102" s="268">
        <f t="shared" si="85"/>
        <v>0.33059422680654121</v>
      </c>
      <c r="BF102" s="268">
        <f t="shared" si="85"/>
        <v>0.33678631838496031</v>
      </c>
      <c r="BG102" s="268">
        <f t="shared" si="85"/>
        <v>0.34297840996337947</v>
      </c>
      <c r="BH102" s="268">
        <f t="shared" si="85"/>
        <v>0.34917050154179857</v>
      </c>
      <c r="BI102" s="268">
        <f t="shared" si="85"/>
        <v>0.35536259312021762</v>
      </c>
      <c r="BJ102" s="268">
        <f t="shared" si="85"/>
        <v>0.36155468469863677</v>
      </c>
      <c r="BK102" s="268">
        <f t="shared" si="85"/>
        <v>0.36774677627705749</v>
      </c>
      <c r="BL102" s="268">
        <f t="shared" si="85"/>
        <v>0.37393886785547659</v>
      </c>
      <c r="BM102" s="268">
        <f t="shared" si="85"/>
        <v>0.38013095943389569</v>
      </c>
      <c r="BN102" s="268">
        <f t="shared" si="85"/>
        <v>0.38632305101231484</v>
      </c>
      <c r="BO102" s="268">
        <f t="shared" si="85"/>
        <v>0.39251514259073395</v>
      </c>
      <c r="BP102" s="268">
        <f t="shared" si="85"/>
        <v>0.39870723416915305</v>
      </c>
      <c r="BQ102" s="268">
        <f t="shared" si="85"/>
        <v>0.40489932574757381</v>
      </c>
      <c r="BR102" s="268">
        <f t="shared" si="85"/>
        <v>0.41109141732599291</v>
      </c>
      <c r="BS102" s="268">
        <f t="shared" si="85"/>
        <v>0.41728350890441196</v>
      </c>
      <c r="BT102" s="268">
        <f t="shared" si="85"/>
        <v>0.42347560048283106</v>
      </c>
      <c r="BU102" s="268">
        <f t="shared" si="85"/>
        <v>0.42966769206125022</v>
      </c>
    </row>
    <row r="103" spans="3:73" ht="12.6">
      <c r="C103" s="269" t="s">
        <v>664</v>
      </c>
      <c r="D103" s="268"/>
      <c r="E103" s="268"/>
      <c r="F103" s="268"/>
      <c r="G103" s="268"/>
      <c r="H103" s="268"/>
      <c r="I103" s="268"/>
      <c r="J103" s="268"/>
      <c r="K103" s="268"/>
      <c r="L103" s="268"/>
      <c r="M103" s="268"/>
      <c r="N103" s="268"/>
      <c r="O103" s="268"/>
      <c r="P103" s="268"/>
      <c r="Q103" s="268"/>
      <c r="R103" s="268"/>
      <c r="S103" s="268"/>
      <c r="T103" s="268"/>
      <c r="U103" s="268"/>
      <c r="V103" s="268"/>
      <c r="W103" s="268"/>
      <c r="X103" s="268"/>
      <c r="Y103" s="268"/>
      <c r="Z103" s="268"/>
      <c r="AA103" s="268"/>
      <c r="AB103" s="268"/>
      <c r="AC103" s="268"/>
      <c r="AD103" s="268"/>
      <c r="AE103" s="268"/>
      <c r="AF103" s="268"/>
      <c r="AG103" s="268"/>
      <c r="AH103" s="268"/>
      <c r="AI103" s="268"/>
      <c r="AJ103" s="268"/>
      <c r="AK103" s="268"/>
      <c r="AL103" s="268"/>
      <c r="AM103" s="269" t="s">
        <v>102</v>
      </c>
      <c r="AN103" s="268"/>
      <c r="AO103" s="268"/>
      <c r="AP103" s="268"/>
      <c r="AQ103" s="268"/>
      <c r="AR103" s="269"/>
      <c r="AS103" s="268"/>
      <c r="AT103" s="268"/>
      <c r="AU103" s="268"/>
      <c r="AV103" s="268"/>
      <c r="AW103" s="268"/>
      <c r="AX103" s="268"/>
      <c r="AY103" s="268"/>
      <c r="AZ103" s="268"/>
      <c r="BA103" s="268"/>
      <c r="BB103" s="268"/>
      <c r="BC103" s="268"/>
      <c r="BD103" s="268"/>
      <c r="BE103" s="268"/>
      <c r="BF103" s="268"/>
      <c r="BG103" s="268"/>
      <c r="BH103" s="268"/>
      <c r="BI103" s="268"/>
      <c r="BJ103" s="268"/>
      <c r="BK103" s="268"/>
      <c r="BL103" s="268"/>
      <c r="BM103" s="268"/>
      <c r="BN103" s="268"/>
      <c r="BO103" s="268"/>
      <c r="BP103" s="268"/>
      <c r="BQ103" s="268"/>
      <c r="BR103" s="268"/>
      <c r="BS103" s="268"/>
      <c r="BT103" s="268"/>
      <c r="BU103" s="268"/>
    </row>
    <row r="104" spans="3:73" ht="12.6">
      <c r="C104" s="269"/>
      <c r="D104" s="268"/>
      <c r="E104" s="268"/>
      <c r="F104" s="268"/>
      <c r="G104" s="268"/>
      <c r="H104" s="268"/>
      <c r="I104" s="268"/>
      <c r="J104" s="268"/>
      <c r="K104" s="268"/>
      <c r="L104" s="268"/>
      <c r="M104" s="268"/>
      <c r="N104" s="268"/>
      <c r="O104" s="268"/>
      <c r="P104" s="268"/>
      <c r="Q104" s="268"/>
      <c r="R104" s="268"/>
      <c r="S104" s="268"/>
      <c r="T104" s="268"/>
      <c r="U104" s="268"/>
      <c r="V104" s="268"/>
      <c r="W104" s="268"/>
      <c r="X104" s="268"/>
      <c r="Y104" s="268"/>
      <c r="Z104" s="268"/>
      <c r="AA104" s="268"/>
      <c r="AB104" s="268"/>
      <c r="AC104" s="268"/>
      <c r="AD104" s="268"/>
      <c r="AE104" s="268"/>
      <c r="AF104" s="268"/>
      <c r="AG104" s="268"/>
      <c r="AH104" s="268"/>
      <c r="AI104" s="268"/>
      <c r="AJ104" s="268"/>
      <c r="AK104" s="268"/>
      <c r="AL104" s="268"/>
      <c r="AM104" s="268"/>
      <c r="AN104" s="268"/>
      <c r="AO104" s="268"/>
      <c r="AP104" s="268"/>
      <c r="AQ104" s="268"/>
      <c r="AR104" s="269"/>
      <c r="AS104" s="268"/>
      <c r="AT104" s="268"/>
      <c r="AU104" s="268"/>
      <c r="AV104" s="268"/>
      <c r="AW104" s="268"/>
      <c r="AX104" s="268"/>
      <c r="AY104" s="268"/>
      <c r="AZ104" s="268"/>
      <c r="BA104" s="268"/>
      <c r="BB104" s="268"/>
      <c r="BC104" s="268"/>
      <c r="BD104" s="268"/>
      <c r="BE104" s="268"/>
      <c r="BF104" s="268"/>
      <c r="BG104" s="268"/>
      <c r="BH104" s="268"/>
      <c r="BI104" s="268"/>
      <c r="BJ104" s="268"/>
      <c r="BK104" s="268"/>
      <c r="BL104" s="268"/>
      <c r="BM104" s="268"/>
      <c r="BN104" s="268"/>
      <c r="BO104" s="268"/>
      <c r="BP104" s="268"/>
      <c r="BQ104" s="268"/>
      <c r="BR104" s="268"/>
      <c r="BS104" s="268"/>
      <c r="BT104" s="268"/>
      <c r="BU104" s="268"/>
    </row>
    <row r="105" spans="3:73" ht="12.6">
      <c r="C105" s="269" t="s">
        <v>665</v>
      </c>
      <c r="D105" s="268"/>
      <c r="E105" s="268"/>
      <c r="F105" s="268"/>
      <c r="G105" s="268"/>
      <c r="H105" s="268"/>
      <c r="I105" s="268"/>
      <c r="J105" s="268"/>
      <c r="K105" s="268"/>
      <c r="L105" s="268"/>
      <c r="M105" s="268"/>
      <c r="N105" s="268"/>
      <c r="O105" s="268"/>
      <c r="P105" s="268"/>
      <c r="Q105" s="268"/>
      <c r="R105" s="268"/>
      <c r="S105" s="268"/>
      <c r="T105" s="268"/>
      <c r="U105" s="268"/>
      <c r="V105" s="268"/>
      <c r="W105" s="268">
        <f t="shared" ref="W105:AT105" si="86">W39*(1/3)</f>
        <v>3.4865413819845974E-2</v>
      </c>
      <c r="X105" s="268">
        <f t="shared" si="86"/>
        <v>3.4839316957926809E-2</v>
      </c>
      <c r="Y105" s="268">
        <f t="shared" si="86"/>
        <v>3.6579108054351293E-2</v>
      </c>
      <c r="Z105" s="268">
        <f t="shared" si="86"/>
        <v>3.8919127096131725E-2</v>
      </c>
      <c r="AA105" s="268">
        <f t="shared" si="86"/>
        <v>4.2511795734096448E-2</v>
      </c>
      <c r="AB105" s="268">
        <f t="shared" si="86"/>
        <v>4.5643419735576736E-2</v>
      </c>
      <c r="AC105" s="268">
        <f t="shared" si="86"/>
        <v>4.845466989740646E-2</v>
      </c>
      <c r="AD105" s="268">
        <f t="shared" si="86"/>
        <v>5.1666263389684393E-2</v>
      </c>
      <c r="AE105" s="268">
        <f t="shared" si="86"/>
        <v>5.5182372520868161E-2</v>
      </c>
      <c r="AF105" s="268">
        <f t="shared" si="86"/>
        <v>5.7840599355635715E-2</v>
      </c>
      <c r="AG105" s="268">
        <f t="shared" si="86"/>
        <v>5.9604695348268844E-2</v>
      </c>
      <c r="AH105" s="268">
        <f t="shared" si="86"/>
        <v>6.26737390565488E-2</v>
      </c>
      <c r="AI105" s="268">
        <f t="shared" si="86"/>
        <v>6.5090308905168745E-2</v>
      </c>
      <c r="AJ105" s="268">
        <f t="shared" si="86"/>
        <v>6.7555210151752851E-2</v>
      </c>
      <c r="AK105" s="268">
        <f t="shared" si="86"/>
        <v>7.0032194248746321E-2</v>
      </c>
      <c r="AL105" s="268">
        <f t="shared" si="86"/>
        <v>7.0732999504533864E-2</v>
      </c>
      <c r="AM105" s="268">
        <f t="shared" si="86"/>
        <v>7.19292015811894E-2</v>
      </c>
      <c r="AN105" s="268">
        <f t="shared" si="86"/>
        <v>7.3307613020272472E-2</v>
      </c>
      <c r="AO105" s="268">
        <f t="shared" si="86"/>
        <v>7.5171755006140428E-2</v>
      </c>
      <c r="AP105" s="268">
        <f t="shared" si="86"/>
        <v>7.6420638304556643E-2</v>
      </c>
      <c r="AQ105" s="268">
        <f t="shared" si="86"/>
        <v>7.7320568916650678E-2</v>
      </c>
      <c r="AR105" s="268">
        <f t="shared" si="86"/>
        <v>7.6861420645174122E-2</v>
      </c>
      <c r="AS105" s="268">
        <f t="shared" si="86"/>
        <v>7.8994492329233751E-2</v>
      </c>
      <c r="AT105" s="268">
        <f t="shared" si="86"/>
        <v>8.0638680425187875E-2</v>
      </c>
      <c r="AU105" s="268"/>
      <c r="AV105" s="268"/>
      <c r="AW105" s="268"/>
      <c r="AX105" s="268"/>
      <c r="AY105" s="268"/>
      <c r="AZ105" s="268"/>
      <c r="BA105" s="268"/>
      <c r="BB105" s="268"/>
      <c r="BC105" s="268"/>
      <c r="BD105" s="268"/>
      <c r="BE105" s="268"/>
      <c r="BF105" s="268"/>
      <c r="BG105" s="268"/>
      <c r="BH105" s="268"/>
      <c r="BI105" s="268"/>
      <c r="BJ105" s="268"/>
      <c r="BK105" s="268"/>
      <c r="BL105" s="268"/>
      <c r="BM105" s="268"/>
      <c r="BN105" s="268"/>
      <c r="BO105" s="268"/>
      <c r="BP105" s="268"/>
      <c r="BQ105" s="268"/>
      <c r="BR105" s="268"/>
      <c r="BS105" s="268"/>
      <c r="BT105" s="268"/>
      <c r="BU105" s="268"/>
    </row>
    <row r="106" spans="3:73" ht="12.6">
      <c r="C106" s="269" t="s">
        <v>666</v>
      </c>
      <c r="D106" s="268"/>
      <c r="E106" s="268"/>
      <c r="F106" s="268"/>
      <c r="G106" s="268"/>
      <c r="H106" s="268"/>
      <c r="I106" s="268"/>
      <c r="J106" s="268"/>
      <c r="K106" s="268"/>
      <c r="L106" s="268"/>
      <c r="M106" s="268"/>
      <c r="N106" s="268"/>
      <c r="O106" s="268"/>
      <c r="P106" s="268"/>
      <c r="Q106" s="268"/>
      <c r="R106" s="268"/>
      <c r="S106" s="268"/>
      <c r="T106" s="268"/>
      <c r="U106" s="268"/>
      <c r="V106" s="268"/>
      <c r="W106" s="268"/>
      <c r="X106" s="268"/>
      <c r="Y106" s="268"/>
      <c r="Z106" s="268"/>
      <c r="AA106" s="268"/>
      <c r="AB106" s="268"/>
      <c r="AC106" s="268"/>
      <c r="AD106" s="268"/>
      <c r="AE106" s="268"/>
      <c r="AF106" s="268"/>
      <c r="AG106" s="268"/>
      <c r="AH106" s="268"/>
      <c r="AI106" s="268"/>
      <c r="AJ106" s="268"/>
      <c r="AK106" s="268"/>
      <c r="AL106" s="268"/>
      <c r="AM106" s="268"/>
      <c r="AN106" s="268"/>
      <c r="AO106" s="268"/>
      <c r="AP106" s="268"/>
      <c r="AQ106" s="268"/>
      <c r="AR106" s="269"/>
      <c r="AS106" s="268"/>
      <c r="AT106" s="268"/>
      <c r="AU106" s="268">
        <f t="shared" ref="AU106:BU106" si="87">AU49*(1/3)</f>
        <v>8.3492189039004586E-2</v>
      </c>
      <c r="AV106" s="268">
        <f t="shared" si="87"/>
        <v>8.5297670528149627E-2</v>
      </c>
      <c r="AW106" s="268">
        <f t="shared" si="87"/>
        <v>8.7103152017295196E-2</v>
      </c>
      <c r="AX106" s="268">
        <f t="shared" si="87"/>
        <v>8.8908633506440252E-2</v>
      </c>
      <c r="AY106" s="268">
        <f t="shared" si="87"/>
        <v>9.0714114995585821E-2</v>
      </c>
      <c r="AZ106" s="268">
        <f t="shared" si="87"/>
        <v>9.2519596484731417E-2</v>
      </c>
      <c r="BA106" s="268">
        <f t="shared" si="87"/>
        <v>9.4325077973876459E-2</v>
      </c>
      <c r="BB106" s="268">
        <f t="shared" si="87"/>
        <v>9.6130559463022028E-2</v>
      </c>
      <c r="BC106" s="268">
        <f t="shared" si="87"/>
        <v>9.7936040952167625E-2</v>
      </c>
      <c r="BD106" s="268">
        <f t="shared" si="87"/>
        <v>9.9741522441313193E-2</v>
      </c>
      <c r="BE106" s="268">
        <f t="shared" si="87"/>
        <v>0.10154700393045824</v>
      </c>
      <c r="BF106" s="268">
        <f t="shared" si="87"/>
        <v>0.10335248541960382</v>
      </c>
      <c r="BG106" s="268">
        <f t="shared" si="87"/>
        <v>0.1051579669087494</v>
      </c>
      <c r="BH106" s="268">
        <f t="shared" si="87"/>
        <v>0.10696344839789446</v>
      </c>
      <c r="BI106" s="268">
        <f t="shared" si="87"/>
        <v>0.10876892988704003</v>
      </c>
      <c r="BJ106" s="268">
        <f t="shared" si="87"/>
        <v>0.11057441137618559</v>
      </c>
      <c r="BK106" s="268">
        <f t="shared" si="87"/>
        <v>0.11237989286533065</v>
      </c>
      <c r="BL106" s="268">
        <f t="shared" si="87"/>
        <v>0.11418537435447623</v>
      </c>
      <c r="BM106" s="268">
        <f t="shared" si="87"/>
        <v>0.11599085584362182</v>
      </c>
      <c r="BN106" s="268">
        <f t="shared" si="87"/>
        <v>0.1177963373327674</v>
      </c>
      <c r="BO106" s="268">
        <f t="shared" si="87"/>
        <v>0.11960181882191243</v>
      </c>
      <c r="BP106" s="268">
        <f t="shared" si="87"/>
        <v>0.12140730031105802</v>
      </c>
      <c r="BQ106" s="268">
        <f t="shared" si="87"/>
        <v>0.12321278180020359</v>
      </c>
      <c r="BR106" s="268">
        <f t="shared" si="87"/>
        <v>0.12501826328934862</v>
      </c>
      <c r="BS106" s="268">
        <f t="shared" si="87"/>
        <v>0.12682374477849423</v>
      </c>
      <c r="BT106" s="268">
        <f t="shared" si="87"/>
        <v>0.12862922626763978</v>
      </c>
      <c r="BU106" s="268">
        <f t="shared" si="87"/>
        <v>0.13043470775678484</v>
      </c>
    </row>
    <row r="107" spans="3:73" ht="12.6">
      <c r="C107" s="269" t="s">
        <v>47</v>
      </c>
      <c r="D107" s="269"/>
      <c r="E107" s="269"/>
      <c r="F107" s="269"/>
      <c r="G107" s="269"/>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t="s">
        <v>667</v>
      </c>
      <c r="AJ107" s="269"/>
      <c r="AK107" s="269"/>
      <c r="AL107" s="269"/>
      <c r="AM107" s="269"/>
      <c r="AN107" s="269"/>
      <c r="AO107" s="269"/>
      <c r="AP107" s="269"/>
      <c r="AQ107" s="269"/>
      <c r="AR107" s="269"/>
      <c r="AS107" s="269"/>
      <c r="AT107" s="268"/>
      <c r="AU107" s="269"/>
      <c r="AV107" s="269"/>
      <c r="AW107" s="269"/>
      <c r="AX107" s="269"/>
      <c r="AY107" s="269"/>
      <c r="AZ107" s="269"/>
      <c r="BA107" s="269"/>
      <c r="BB107" s="269"/>
      <c r="BC107" s="269"/>
      <c r="BD107" s="269"/>
      <c r="BE107" s="269"/>
      <c r="BF107" s="269"/>
      <c r="BG107" s="269"/>
      <c r="BH107" s="269"/>
      <c r="BI107" s="269"/>
      <c r="BJ107" s="269"/>
      <c r="BK107" s="269"/>
      <c r="BL107" s="269"/>
      <c r="BM107" s="269"/>
      <c r="BN107" s="269"/>
      <c r="BO107" s="269"/>
      <c r="BP107" s="269"/>
      <c r="BQ107" s="269"/>
      <c r="BR107" s="269"/>
      <c r="BS107" s="269"/>
      <c r="BT107" s="269"/>
      <c r="BU107" s="269"/>
    </row>
    <row r="108" spans="3:73" ht="12.6">
      <c r="C108" s="269"/>
      <c r="D108" s="269"/>
      <c r="E108" s="269"/>
      <c r="F108" s="269"/>
      <c r="G108" s="269"/>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8"/>
      <c r="AU108" s="269"/>
      <c r="AV108" s="269"/>
      <c r="AW108" s="269"/>
      <c r="AX108" s="269"/>
      <c r="AY108" s="269"/>
      <c r="AZ108" s="269"/>
      <c r="BA108" s="269"/>
      <c r="BB108" s="269"/>
      <c r="BC108" s="269"/>
      <c r="BD108" s="269"/>
      <c r="BE108" s="269"/>
      <c r="BF108" s="269"/>
      <c r="BG108" s="269"/>
      <c r="BH108" s="269"/>
      <c r="BI108" s="269"/>
      <c r="BJ108" s="269"/>
      <c r="BK108" s="269"/>
      <c r="BL108" s="269"/>
      <c r="BM108" s="269"/>
      <c r="BN108" s="269"/>
      <c r="BO108" s="269"/>
      <c r="BP108" s="269"/>
      <c r="BQ108" s="269"/>
      <c r="BR108" s="269"/>
      <c r="BS108" s="269"/>
      <c r="BT108" s="269"/>
      <c r="BU108" s="269"/>
    </row>
    <row r="109" spans="3:73" ht="12.6">
      <c r="C109" s="269"/>
      <c r="D109" s="269"/>
      <c r="E109" s="269"/>
      <c r="F109" s="269"/>
      <c r="G109" s="269"/>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8"/>
      <c r="AU109" s="269"/>
      <c r="AV109" s="269"/>
      <c r="AW109" s="269"/>
      <c r="AX109" s="269"/>
      <c r="AY109" s="269"/>
      <c r="AZ109" s="269"/>
      <c r="BA109" s="269"/>
      <c r="BB109" s="269"/>
      <c r="BC109" s="269"/>
      <c r="BD109" s="269"/>
      <c r="BE109" s="269"/>
      <c r="BF109" s="269"/>
      <c r="BG109" s="269"/>
      <c r="BH109" s="269"/>
      <c r="BI109" s="269"/>
      <c r="BJ109" s="269"/>
      <c r="BK109" s="269"/>
      <c r="BL109" s="269"/>
      <c r="BM109" s="269"/>
      <c r="BN109" s="269"/>
      <c r="BO109" s="269"/>
      <c r="BP109" s="269"/>
      <c r="BQ109" s="269"/>
      <c r="BR109" s="269"/>
      <c r="BS109" s="269"/>
      <c r="BT109" s="269"/>
      <c r="BU109" s="269"/>
    </row>
    <row r="110" spans="3:73" ht="12.6">
      <c r="C110" s="269" t="s">
        <v>668</v>
      </c>
      <c r="D110" s="269"/>
      <c r="E110" s="269"/>
      <c r="F110" s="269"/>
      <c r="G110" s="269"/>
      <c r="H110" s="269"/>
      <c r="I110" s="269"/>
      <c r="J110" s="269"/>
      <c r="K110" s="269"/>
      <c r="L110" s="269"/>
      <c r="M110" s="269"/>
      <c r="N110" s="269"/>
      <c r="O110" s="269"/>
      <c r="P110" s="269"/>
      <c r="Q110" s="269"/>
      <c r="R110" s="269"/>
      <c r="S110" s="269"/>
      <c r="T110" s="269"/>
      <c r="U110" s="269"/>
      <c r="V110" s="269"/>
      <c r="W110" s="269">
        <f t="shared" ref="W110:AT110" si="88">W60*(1/3)</f>
        <v>0.43913158586647205</v>
      </c>
      <c r="X110" s="269">
        <f t="shared" si="88"/>
        <v>0.42483803952006771</v>
      </c>
      <c r="Y110" s="269">
        <f t="shared" si="88"/>
        <v>0.38852282783373121</v>
      </c>
      <c r="Z110" s="269">
        <f t="shared" si="88"/>
        <v>0.36936139324499706</v>
      </c>
      <c r="AA110" s="269">
        <f t="shared" si="88"/>
        <v>0.31880099660176919</v>
      </c>
      <c r="AB110" s="269">
        <f t="shared" si="88"/>
        <v>0.32220725305735659</v>
      </c>
      <c r="AC110" s="269">
        <f t="shared" si="88"/>
        <v>0.35120398146839982</v>
      </c>
      <c r="AD110" s="269">
        <f t="shared" si="88"/>
        <v>0.35380509453389264</v>
      </c>
      <c r="AE110" s="269">
        <f t="shared" si="88"/>
        <v>0.32244704171258237</v>
      </c>
      <c r="AF110" s="269">
        <f t="shared" si="88"/>
        <v>0.21551884509988678</v>
      </c>
      <c r="AG110" s="269">
        <f t="shared" si="88"/>
        <v>0.16720302241776441</v>
      </c>
      <c r="AH110" s="269">
        <f t="shared" si="88"/>
        <v>0.13715305591215843</v>
      </c>
      <c r="AI110" s="269">
        <f t="shared" si="88"/>
        <v>7.3877572785058465E-2</v>
      </c>
      <c r="AJ110" s="269">
        <f t="shared" si="88"/>
        <v>5.6946118351284686E-2</v>
      </c>
      <c r="AK110" s="269">
        <f t="shared" si="88"/>
        <v>5.2476299459553157E-2</v>
      </c>
      <c r="AL110" s="269">
        <f t="shared" si="88"/>
        <v>4.8770171338333702E-2</v>
      </c>
      <c r="AM110" s="269">
        <f t="shared" si="88"/>
        <v>4.5029188860948352E-2</v>
      </c>
      <c r="AN110" s="269">
        <f t="shared" si="88"/>
        <v>3.7779638031702492E-2</v>
      </c>
      <c r="AO110" s="269">
        <f t="shared" si="88"/>
        <v>3.3649668519245404E-2</v>
      </c>
      <c r="AP110" s="269">
        <f t="shared" si="88"/>
        <v>3.0848977392054461E-2</v>
      </c>
      <c r="AQ110" s="269">
        <f t="shared" si="88"/>
        <v>2.447544306466147E-2</v>
      </c>
      <c r="AR110" s="272">
        <f t="shared" si="88"/>
        <v>2.0693318474207273E-2</v>
      </c>
      <c r="AS110" s="269">
        <f t="shared" si="88"/>
        <v>2.2762650321628004E-2</v>
      </c>
      <c r="AT110" s="269">
        <f t="shared" si="88"/>
        <v>2.0693318474207273E-2</v>
      </c>
      <c r="AU110" s="269"/>
      <c r="AV110" s="269"/>
      <c r="AW110" s="269"/>
      <c r="AX110" s="269"/>
      <c r="AY110" s="269"/>
      <c r="AZ110" s="269"/>
      <c r="BA110" s="269"/>
      <c r="BB110" s="269"/>
      <c r="BC110" s="269"/>
      <c r="BD110" s="269"/>
      <c r="BE110" s="269"/>
      <c r="BF110" s="269"/>
      <c r="BG110" s="269"/>
      <c r="BH110" s="269"/>
      <c r="BI110" s="269"/>
      <c r="BJ110" s="269"/>
      <c r="BK110" s="269"/>
      <c r="BL110" s="269"/>
      <c r="BM110" s="269"/>
      <c r="BN110" s="269"/>
      <c r="BO110" s="269"/>
      <c r="BP110" s="269"/>
      <c r="BQ110" s="269"/>
      <c r="BR110" s="269"/>
      <c r="BS110" s="269"/>
      <c r="BT110" s="269"/>
      <c r="BU110" s="269"/>
    </row>
    <row r="111" spans="3:73" ht="12.6">
      <c r="C111" s="269" t="s">
        <v>666</v>
      </c>
      <c r="D111" s="269"/>
      <c r="E111" s="269"/>
      <c r="F111" s="269"/>
      <c r="G111" s="269"/>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8"/>
      <c r="AU111" s="269">
        <f t="shared" ref="AU111:BK111" si="89">AU61*(1/3)</f>
        <v>1.9703241139676149E-2</v>
      </c>
      <c r="AV111" s="269">
        <f t="shared" si="89"/>
        <v>1.8720185630212618E-2</v>
      </c>
      <c r="AW111" s="269">
        <f t="shared" si="89"/>
        <v>1.7730108295681495E-2</v>
      </c>
      <c r="AX111" s="269">
        <f t="shared" si="89"/>
        <v>1.6747052786217964E-2</v>
      </c>
      <c r="AY111" s="269">
        <f t="shared" si="89"/>
        <v>1.5756975451686844E-2</v>
      </c>
      <c r="AZ111" s="269">
        <f t="shared" si="89"/>
        <v>1.4766898117155718E-2</v>
      </c>
      <c r="BA111" s="269">
        <f t="shared" si="89"/>
        <v>1.3783842607692189E-2</v>
      </c>
      <c r="BB111" s="269">
        <f t="shared" si="89"/>
        <v>1.2793765273161064E-2</v>
      </c>
      <c r="BC111" s="269">
        <f t="shared" si="89"/>
        <v>1.180368793862994E-2</v>
      </c>
      <c r="BD111" s="269">
        <f t="shared" si="89"/>
        <v>1.0820632429166409E-2</v>
      </c>
      <c r="BE111" s="269">
        <f t="shared" si="89"/>
        <v>9.8305550946352852E-3</v>
      </c>
      <c r="BF111" s="269">
        <f t="shared" si="89"/>
        <v>8.8404777601041595E-3</v>
      </c>
      <c r="BG111" s="269">
        <f t="shared" si="89"/>
        <v>7.8574222506406308E-3</v>
      </c>
      <c r="BH111" s="269">
        <f t="shared" si="89"/>
        <v>7.7380512244914889E-3</v>
      </c>
      <c r="BI111" s="269">
        <f t="shared" si="89"/>
        <v>7.6257020234099431E-3</v>
      </c>
      <c r="BJ111" s="269">
        <f t="shared" si="89"/>
        <v>7.5063309972607985E-3</v>
      </c>
      <c r="BK111" s="269">
        <f t="shared" si="89"/>
        <v>7.3939817961792527E-3</v>
      </c>
      <c r="BL111" s="269"/>
      <c r="BM111" s="269"/>
      <c r="BN111" s="269"/>
      <c r="BO111" s="269"/>
      <c r="BP111" s="269"/>
      <c r="BQ111" s="269"/>
      <c r="BR111" s="269"/>
      <c r="BS111" s="269"/>
      <c r="BT111" s="269"/>
      <c r="BU111" s="269"/>
    </row>
    <row r="112" spans="3:73" ht="12.6">
      <c r="C112" s="269" t="s">
        <v>47</v>
      </c>
      <c r="D112" s="269"/>
      <c r="E112" s="269"/>
      <c r="F112" s="269"/>
      <c r="G112" s="269"/>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8"/>
      <c r="AU112" s="269"/>
      <c r="AV112" s="269"/>
      <c r="AW112" s="269"/>
      <c r="AX112" s="269"/>
      <c r="AY112" s="269"/>
      <c r="AZ112" s="269"/>
      <c r="BA112" s="269"/>
      <c r="BB112" s="269"/>
      <c r="BC112" s="269"/>
      <c r="BD112" s="269"/>
      <c r="BE112" s="269"/>
      <c r="BF112" s="269"/>
      <c r="BG112" s="269"/>
      <c r="BH112" s="269"/>
      <c r="BI112" s="269"/>
      <c r="BJ112" s="269"/>
      <c r="BK112" s="269"/>
      <c r="BL112" s="269"/>
      <c r="BM112" s="269"/>
      <c r="BN112" s="269"/>
      <c r="BO112" s="269"/>
      <c r="BP112" s="269"/>
      <c r="BQ112" s="269"/>
      <c r="BR112" s="269"/>
      <c r="BS112" s="269"/>
      <c r="BT112" s="269"/>
      <c r="BU112" s="269"/>
    </row>
    <row r="114" spans="1:73" ht="12.6">
      <c r="A114" s="262"/>
      <c r="B114" s="262"/>
      <c r="C114" s="269" t="s">
        <v>669</v>
      </c>
      <c r="D114" s="269"/>
      <c r="E114" s="269"/>
      <c r="F114" s="269"/>
      <c r="G114" s="269"/>
      <c r="H114" s="269"/>
      <c r="I114" s="269"/>
      <c r="J114" s="269"/>
      <c r="K114" s="269"/>
      <c r="L114" s="269"/>
      <c r="M114" s="269"/>
      <c r="N114" s="269"/>
      <c r="O114" s="269"/>
      <c r="P114" s="269"/>
      <c r="Q114" s="269"/>
      <c r="R114" s="269"/>
      <c r="S114" s="269"/>
      <c r="T114" s="269"/>
      <c r="U114" s="269"/>
      <c r="V114" s="269"/>
      <c r="W114" s="269">
        <f t="shared" ref="W114:AL114" si="90">W39*(1/0.85)</f>
        <v>0.12305440171710345</v>
      </c>
      <c r="X114" s="269">
        <f t="shared" si="90"/>
        <v>0.12296229514562404</v>
      </c>
      <c r="Y114" s="269">
        <f t="shared" si="90"/>
        <v>0.12910273430947516</v>
      </c>
      <c r="Z114" s="269">
        <f t="shared" si="90"/>
        <v>0.13736162504517083</v>
      </c>
      <c r="AA114" s="269">
        <f t="shared" si="90"/>
        <v>0.15004163200269335</v>
      </c>
      <c r="AB114" s="269">
        <f t="shared" si="90"/>
        <v>0.1610944225961532</v>
      </c>
      <c r="AC114" s="269">
        <f t="shared" si="90"/>
        <v>0.17101648199084635</v>
      </c>
      <c r="AD114" s="269">
        <f t="shared" si="90"/>
        <v>0.18235151784594494</v>
      </c>
      <c r="AE114" s="269">
        <f t="shared" si="90"/>
        <v>0.19476131477953471</v>
      </c>
      <c r="AF114" s="269">
        <f t="shared" si="90"/>
        <v>0.20414329184342017</v>
      </c>
      <c r="AG114" s="269">
        <f t="shared" si="90"/>
        <v>0.21036951299389003</v>
      </c>
      <c r="AH114" s="269">
        <f t="shared" si="90"/>
        <v>0.2212014319642899</v>
      </c>
      <c r="AI114" s="269">
        <f t="shared" si="90"/>
        <v>0.22973050201824266</v>
      </c>
      <c r="AJ114" s="269">
        <f t="shared" si="90"/>
        <v>0.23843015347677479</v>
      </c>
      <c r="AK114" s="269">
        <f t="shared" si="90"/>
        <v>0.2471724502896929</v>
      </c>
      <c r="AL114" s="269">
        <f t="shared" si="90"/>
        <v>0.2496458806042372</v>
      </c>
      <c r="AM114" s="269">
        <f>AM39*(1/Misc!$B$51)</f>
        <v>0.24245798285794185</v>
      </c>
      <c r="AN114" s="269">
        <f>AN39*(1/Misc!$B$51)</f>
        <v>0.24710431355148027</v>
      </c>
      <c r="AO114" s="269">
        <f>AO39*(1/Misc!$B$51)</f>
        <v>0.25338793822294531</v>
      </c>
      <c r="AP114" s="269">
        <f>AP39*(1/Misc!$B$51)</f>
        <v>0.25759765720637073</v>
      </c>
      <c r="AQ114" s="269">
        <f>AQ39*(1/Misc!$B$51)</f>
        <v>0.26063113117972142</v>
      </c>
      <c r="AR114" s="269">
        <f>AR39*(1/Misc!$B$51)</f>
        <v>0.25908344037699149</v>
      </c>
      <c r="AS114" s="269">
        <f>AS39*(1/Misc!$B$51)</f>
        <v>0.26627356964910254</v>
      </c>
      <c r="AT114" s="269">
        <f>AT39*(1/Misc!$B$51)</f>
        <v>0.27181577671411644</v>
      </c>
      <c r="AU114" s="269"/>
      <c r="AV114" s="269"/>
      <c r="AW114" s="269"/>
      <c r="AX114" s="269"/>
      <c r="AY114" s="269"/>
      <c r="AZ114" s="269"/>
      <c r="BA114" s="269"/>
      <c r="BB114" s="269"/>
      <c r="BC114" s="269"/>
      <c r="BD114" s="269"/>
      <c r="BE114" s="269"/>
      <c r="BF114" s="269"/>
      <c r="BG114" s="269"/>
      <c r="BH114" s="269"/>
      <c r="BI114" s="269"/>
      <c r="BJ114" s="269"/>
      <c r="BK114" s="269"/>
      <c r="BL114" s="269"/>
      <c r="BM114" s="269"/>
      <c r="BN114" s="269"/>
      <c r="BO114" s="269"/>
      <c r="BP114" s="269"/>
      <c r="BQ114" s="269"/>
      <c r="BR114" s="269"/>
      <c r="BS114" s="269"/>
      <c r="BT114" s="269"/>
      <c r="BU114" s="269"/>
    </row>
    <row r="115" spans="1:73" ht="12.6">
      <c r="A115" s="262"/>
      <c r="B115" s="262"/>
      <c r="C115" s="269" t="s">
        <v>666</v>
      </c>
      <c r="D115" s="269"/>
      <c r="E115" s="269"/>
      <c r="F115" s="269"/>
      <c r="G115" s="269"/>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8"/>
      <c r="AU115" s="269">
        <f>AU49*(1/Misc!$B$51)</f>
        <v>0.28143434507529641</v>
      </c>
      <c r="AV115" s="269">
        <f>AV49*(1/Misc!$B$51)</f>
        <v>0.28752023773533586</v>
      </c>
      <c r="AW115" s="269">
        <f>AW49*(1/Misc!$B$51)</f>
        <v>0.29360613039537709</v>
      </c>
      <c r="AX115" s="269">
        <f>AX49*(1/Misc!$B$51)</f>
        <v>0.29969202305541659</v>
      </c>
      <c r="AY115" s="269">
        <f>AY49*(1/Misc!$B$51)</f>
        <v>0.30577791571545787</v>
      </c>
      <c r="AZ115" s="269">
        <f>AZ49*(1/Misc!$B$51)</f>
        <v>0.31186380837549921</v>
      </c>
      <c r="BA115" s="269">
        <f>BA49*(1/Misc!$B$51)</f>
        <v>0.31794970103553866</v>
      </c>
      <c r="BB115" s="269">
        <f>BB49*(1/Misc!$B$51)</f>
        <v>0.32403559369557988</v>
      </c>
      <c r="BC115" s="269">
        <f>BC49*(1/Misc!$B$51)</f>
        <v>0.33012148635562122</v>
      </c>
      <c r="BD115" s="269">
        <f>BD49*(1/Misc!$B$51)</f>
        <v>0.3362073790156625</v>
      </c>
      <c r="BE115" s="269">
        <f>BE49*(1/Misc!$B$51)</f>
        <v>0.34229327167570195</v>
      </c>
      <c r="BF115" s="269">
        <f>BF49*(1/Misc!$B$51)</f>
        <v>0.34837916433574329</v>
      </c>
      <c r="BG115" s="269">
        <f>BG49*(1/Misc!$B$51)</f>
        <v>0.35446505699578451</v>
      </c>
      <c r="BH115" s="269">
        <f>BH49*(1/Misc!$B$51)</f>
        <v>0.36055094965582402</v>
      </c>
      <c r="BI115" s="269">
        <f>BI49*(1/Misc!$B$51)</f>
        <v>0.3666368423158653</v>
      </c>
      <c r="BJ115" s="269">
        <f>BJ49*(1/Misc!$B$51)</f>
        <v>0.37272273497590658</v>
      </c>
      <c r="BK115" s="269">
        <f>BK49*(1/Misc!$B$51)</f>
        <v>0.37880862763594608</v>
      </c>
      <c r="BL115" s="269">
        <f>BL49*(1/Misc!$B$51)</f>
        <v>0.38489452029598731</v>
      </c>
      <c r="BM115" s="269">
        <f>BM49*(1/Misc!$B$51)</f>
        <v>0.39098041295602864</v>
      </c>
      <c r="BN115" s="269">
        <f>BN49*(1/Misc!$B$51)</f>
        <v>0.39706630561606993</v>
      </c>
      <c r="BO115" s="269">
        <f>BO49*(1/Misc!$B$51)</f>
        <v>0.40315219827610937</v>
      </c>
      <c r="BP115" s="269">
        <f>BP49*(1/Misc!$B$51)</f>
        <v>0.40923809093615066</v>
      </c>
      <c r="BQ115" s="269">
        <f>BQ49*(1/Misc!$B$51)</f>
        <v>0.41532398359619194</v>
      </c>
      <c r="BR115" s="269">
        <f>BR49*(1/Misc!$B$51)</f>
        <v>0.42140987625623139</v>
      </c>
      <c r="BS115" s="269">
        <f>BS49*(1/Misc!$B$51)</f>
        <v>0.42749576891627272</v>
      </c>
      <c r="BT115" s="269">
        <f>BT49*(1/Misc!$B$51)</f>
        <v>0.43358166157631395</v>
      </c>
      <c r="BU115" s="269">
        <f>BU49*(1/Misc!$B$51)</f>
        <v>0.43966755423635351</v>
      </c>
    </row>
    <row r="116" spans="1:73" ht="12.6">
      <c r="A116" s="262"/>
      <c r="B116" s="262"/>
      <c r="C116" s="269" t="s">
        <v>47</v>
      </c>
      <c r="D116" s="269"/>
      <c r="E116" s="269"/>
      <c r="F116" s="269"/>
      <c r="G116" s="269"/>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t="s">
        <v>669</v>
      </c>
      <c r="AH116" s="269"/>
      <c r="AI116" s="269"/>
      <c r="AJ116" s="269"/>
      <c r="AK116" s="269"/>
      <c r="AL116" s="269"/>
      <c r="AM116" s="269"/>
      <c r="AN116" s="269"/>
      <c r="AO116" s="269"/>
      <c r="AP116" s="269"/>
      <c r="AQ116" s="269"/>
      <c r="AR116" s="269"/>
      <c r="AS116" s="269"/>
      <c r="AT116" s="268"/>
      <c r="AU116" s="269"/>
      <c r="AV116" s="269"/>
      <c r="AW116" s="269"/>
      <c r="AX116" s="269"/>
      <c r="AY116" s="269"/>
      <c r="AZ116" s="269"/>
      <c r="BA116" s="269"/>
      <c r="BB116" s="269"/>
      <c r="BC116" s="269"/>
      <c r="BD116" s="269"/>
      <c r="BE116" s="269"/>
      <c r="BF116" s="269"/>
      <c r="BG116" s="269"/>
      <c r="BH116" s="269"/>
      <c r="BI116" s="269"/>
      <c r="BJ116" s="269"/>
      <c r="BK116" s="269"/>
      <c r="BL116" s="269"/>
      <c r="BM116" s="269"/>
      <c r="BN116" s="269"/>
      <c r="BO116" s="269"/>
      <c r="BP116" s="269"/>
      <c r="BQ116" s="269"/>
      <c r="BR116" s="269"/>
      <c r="BS116" s="269"/>
      <c r="BT116" s="269"/>
      <c r="BU116" s="269"/>
    </row>
    <row r="117" spans="1:73" ht="12.6">
      <c r="A117" s="262"/>
      <c r="B117" s="262"/>
      <c r="C117" s="269"/>
      <c r="D117" s="269"/>
      <c r="E117" s="269"/>
      <c r="F117" s="269"/>
      <c r="G117" s="269"/>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8"/>
      <c r="AU117" s="269"/>
      <c r="AV117" s="269"/>
      <c r="AW117" s="269"/>
      <c r="AX117" s="269"/>
      <c r="AY117" s="269"/>
      <c r="AZ117" s="269"/>
      <c r="BA117" s="269"/>
      <c r="BB117" s="269"/>
      <c r="BC117" s="269"/>
      <c r="BD117" s="269"/>
      <c r="BE117" s="269"/>
      <c r="BF117" s="269"/>
      <c r="BG117" s="269"/>
      <c r="BH117" s="269"/>
      <c r="BI117" s="269"/>
      <c r="BJ117" s="269"/>
      <c r="BK117" s="269"/>
      <c r="BL117" s="269"/>
      <c r="BM117" s="269"/>
      <c r="BN117" s="269"/>
      <c r="BO117" s="269"/>
      <c r="BP117" s="269"/>
      <c r="BQ117" s="269"/>
      <c r="BR117" s="269"/>
      <c r="BS117" s="269"/>
      <c r="BT117" s="269"/>
      <c r="BU117" s="269"/>
    </row>
    <row r="118" spans="1:73" ht="12.6">
      <c r="A118" s="262"/>
      <c r="B118" s="262"/>
      <c r="C118" s="269" t="s">
        <v>670</v>
      </c>
      <c r="D118" s="269"/>
      <c r="E118" s="269"/>
      <c r="F118" s="269"/>
      <c r="G118" s="269"/>
      <c r="H118" s="269"/>
      <c r="I118" s="269"/>
      <c r="J118" s="269"/>
      <c r="K118" s="269"/>
      <c r="L118" s="269"/>
      <c r="M118" s="269"/>
      <c r="N118" s="269"/>
      <c r="O118" s="269"/>
      <c r="P118" s="269"/>
      <c r="Q118" s="269"/>
      <c r="R118" s="269"/>
      <c r="S118" s="269"/>
      <c r="T118" s="269"/>
      <c r="U118" s="269"/>
      <c r="V118" s="269"/>
      <c r="W118" s="269">
        <f t="shared" ref="W118:AT118" si="91">W60*(1/0.85)</f>
        <v>1.5498761854110781</v>
      </c>
      <c r="X118" s="269">
        <f t="shared" si="91"/>
        <v>1.4994283747767096</v>
      </c>
      <c r="Y118" s="269">
        <f t="shared" si="91"/>
        <v>1.3712570394131691</v>
      </c>
      <c r="Z118" s="269">
        <f t="shared" si="91"/>
        <v>1.3036284467470485</v>
      </c>
      <c r="AA118" s="269">
        <f t="shared" si="91"/>
        <v>1.1251799880062443</v>
      </c>
      <c r="AB118" s="269">
        <f t="shared" si="91"/>
        <v>1.1372020696141998</v>
      </c>
      <c r="AC118" s="269">
        <f t="shared" si="91"/>
        <v>1.2395434640061171</v>
      </c>
      <c r="AD118" s="269">
        <f t="shared" si="91"/>
        <v>1.2487238630607975</v>
      </c>
      <c r="AE118" s="269">
        <f t="shared" si="91"/>
        <v>1.1380483825149967</v>
      </c>
      <c r="AF118" s="269">
        <f t="shared" si="91"/>
        <v>0.76065474741136518</v>
      </c>
      <c r="AG118" s="269">
        <f t="shared" si="91"/>
        <v>0.59012831441563918</v>
      </c>
      <c r="AH118" s="269">
        <f t="shared" si="91"/>
        <v>0.48406960910173563</v>
      </c>
      <c r="AI118" s="269">
        <f t="shared" si="91"/>
        <v>0.26074437453550048</v>
      </c>
      <c r="AJ118" s="269">
        <f t="shared" si="91"/>
        <v>0.20098630006335771</v>
      </c>
      <c r="AK118" s="269">
        <f t="shared" si="91"/>
        <v>0.18521046868077587</v>
      </c>
      <c r="AL118" s="269">
        <f t="shared" si="91"/>
        <v>0.17213001648823661</v>
      </c>
      <c r="AM118" s="269">
        <f t="shared" si="91"/>
        <v>0.1589265489209942</v>
      </c>
      <c r="AN118" s="269">
        <f t="shared" si="91"/>
        <v>0.13333989893542059</v>
      </c>
      <c r="AO118" s="269">
        <f t="shared" si="91"/>
        <v>0.1187635359502779</v>
      </c>
      <c r="AP118" s="269">
        <f t="shared" si="91"/>
        <v>0.10887874373666281</v>
      </c>
      <c r="AQ118" s="269">
        <f t="shared" si="91"/>
        <v>8.6383916698805185E-2</v>
      </c>
      <c r="AR118" s="272">
        <f t="shared" si="91"/>
        <v>7.3035241673672743E-2</v>
      </c>
      <c r="AS118" s="269">
        <f t="shared" si="91"/>
        <v>8.0338765841040022E-2</v>
      </c>
      <c r="AT118" s="269">
        <f t="shared" si="91"/>
        <v>7.3035241673672743E-2</v>
      </c>
      <c r="AU118" s="269"/>
      <c r="AV118" s="269"/>
      <c r="AW118" s="269"/>
      <c r="AX118" s="269"/>
      <c r="AY118" s="269"/>
      <c r="AZ118" s="269"/>
      <c r="BA118" s="269"/>
      <c r="BB118" s="269"/>
      <c r="BC118" s="269"/>
      <c r="BD118" s="269"/>
      <c r="BE118" s="269"/>
      <c r="BF118" s="269"/>
      <c r="BG118" s="269"/>
      <c r="BH118" s="269"/>
      <c r="BI118" s="269"/>
      <c r="BJ118" s="269"/>
      <c r="BK118" s="269"/>
      <c r="BL118" s="269"/>
      <c r="BM118" s="269"/>
      <c r="BN118" s="269"/>
      <c r="BO118" s="269"/>
      <c r="BP118" s="269"/>
      <c r="BQ118" s="269"/>
      <c r="BR118" s="269"/>
      <c r="BS118" s="269"/>
      <c r="BT118" s="269"/>
      <c r="BU118" s="269"/>
    </row>
    <row r="119" spans="1:73" ht="12.6">
      <c r="A119" s="262"/>
      <c r="B119" s="262"/>
      <c r="C119" s="269" t="s">
        <v>666</v>
      </c>
      <c r="D119" s="269"/>
      <c r="E119" s="269"/>
      <c r="F119" s="269"/>
      <c r="G119" s="269"/>
      <c r="H119" s="269"/>
      <c r="I119" s="269"/>
      <c r="J119" s="269"/>
      <c r="K119" s="269"/>
      <c r="L119" s="269"/>
      <c r="M119" s="269"/>
      <c r="N119" s="269"/>
      <c r="O119" s="269"/>
      <c r="P119" s="269"/>
      <c r="Q119" s="269"/>
      <c r="R119" s="269"/>
      <c r="S119" s="269"/>
      <c r="T119" s="269"/>
      <c r="U119" s="269"/>
      <c r="V119" s="269"/>
      <c r="W119" s="269"/>
      <c r="X119" s="269"/>
      <c r="Y119" s="269"/>
      <c r="Z119" s="269"/>
      <c r="AA119" s="269"/>
      <c r="AB119" s="269"/>
      <c r="AC119" s="269"/>
      <c r="AD119" s="269"/>
      <c r="AE119" s="269"/>
      <c r="AF119" s="269"/>
      <c r="AG119" s="269"/>
      <c r="AH119" s="269"/>
      <c r="AI119" s="269"/>
      <c r="AJ119" s="269"/>
      <c r="AK119" s="269"/>
      <c r="AL119" s="269"/>
      <c r="AM119" s="269"/>
      <c r="AN119" s="269"/>
      <c r="AO119" s="269"/>
      <c r="AP119" s="269"/>
      <c r="AQ119" s="269"/>
      <c r="AR119" s="269"/>
      <c r="AS119" s="269"/>
      <c r="AT119" s="268"/>
      <c r="AU119" s="269">
        <f t="shared" ref="AU119:BK119" si="92">AU61*(1/0.85)</f>
        <v>6.9540851081209942E-2</v>
      </c>
      <c r="AV119" s="269">
        <f t="shared" si="92"/>
        <v>6.6071243400750435E-2</v>
      </c>
      <c r="AW119" s="269">
        <f t="shared" si="92"/>
        <v>6.2576852808287634E-2</v>
      </c>
      <c r="AX119" s="269">
        <f t="shared" si="92"/>
        <v>5.9107245127828119E-2</v>
      </c>
      <c r="AY119" s="269">
        <f t="shared" si="92"/>
        <v>5.5612854535365339E-2</v>
      </c>
      <c r="AZ119" s="269">
        <f t="shared" si="92"/>
        <v>5.2118463942902538E-2</v>
      </c>
      <c r="BA119" s="269">
        <f t="shared" si="92"/>
        <v>4.864885626244303E-2</v>
      </c>
      <c r="BB119" s="269">
        <f t="shared" si="92"/>
        <v>4.5154465669980229E-2</v>
      </c>
      <c r="BC119" s="269">
        <f t="shared" si="92"/>
        <v>4.1660075077517435E-2</v>
      </c>
      <c r="BD119" s="269">
        <f t="shared" si="92"/>
        <v>3.819046739705792E-2</v>
      </c>
      <c r="BE119" s="269">
        <f t="shared" si="92"/>
        <v>3.4696076804595126E-2</v>
      </c>
      <c r="BF119" s="269">
        <f t="shared" si="92"/>
        <v>3.1201686212132328E-2</v>
      </c>
      <c r="BG119" s="269">
        <f t="shared" si="92"/>
        <v>2.7732078531672817E-2</v>
      </c>
      <c r="BH119" s="269">
        <f t="shared" si="92"/>
        <v>2.7310769027617022E-2</v>
      </c>
      <c r="BI119" s="269">
        <f t="shared" si="92"/>
        <v>2.6914242435564506E-2</v>
      </c>
      <c r="BJ119" s="269">
        <f t="shared" si="92"/>
        <v>2.6492932931508704E-2</v>
      </c>
      <c r="BK119" s="269">
        <f t="shared" si="92"/>
        <v>2.6096406339456188E-2</v>
      </c>
      <c r="BL119" s="269"/>
      <c r="BM119" s="269"/>
      <c r="BN119" s="269"/>
      <c r="BO119" s="269"/>
      <c r="BP119" s="269"/>
      <c r="BQ119" s="269"/>
      <c r="BR119" s="269"/>
      <c r="BS119" s="269"/>
      <c r="BT119" s="269"/>
      <c r="BU119" s="269"/>
    </row>
    <row r="120" spans="1:73" ht="12.6">
      <c r="A120" s="262"/>
      <c r="B120" s="262"/>
      <c r="C120" s="269" t="s">
        <v>47</v>
      </c>
      <c r="D120" s="269"/>
      <c r="E120" s="269"/>
      <c r="F120" s="269"/>
      <c r="G120" s="269"/>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t="s">
        <v>665</v>
      </c>
      <c r="AG120" s="269"/>
      <c r="AH120" s="269"/>
      <c r="AI120" s="269"/>
      <c r="AJ120" s="269"/>
      <c r="AK120" s="269"/>
      <c r="AL120" s="269"/>
      <c r="AM120" s="269"/>
      <c r="AN120" s="269"/>
      <c r="AO120" s="269"/>
      <c r="AP120" s="269"/>
      <c r="AQ120" s="269"/>
      <c r="AR120" s="269"/>
      <c r="AS120" s="269"/>
      <c r="AT120" s="268"/>
      <c r="AU120" s="269"/>
      <c r="AV120" s="269"/>
      <c r="AW120" s="269"/>
      <c r="AX120" s="269"/>
      <c r="AY120" s="269"/>
      <c r="AZ120" s="269"/>
      <c r="BA120" s="269"/>
      <c r="BB120" s="269"/>
      <c r="BC120" s="269"/>
      <c r="BD120" s="269"/>
      <c r="BE120" s="269"/>
      <c r="BF120" s="269"/>
      <c r="BG120" s="269"/>
      <c r="BH120" s="269"/>
      <c r="BI120" s="269"/>
      <c r="BJ120" s="269"/>
      <c r="BK120" s="269"/>
      <c r="BL120" s="269"/>
      <c r="BM120" s="269"/>
      <c r="BN120" s="269"/>
      <c r="BO120" s="269"/>
      <c r="BP120" s="269"/>
      <c r="BQ120" s="269"/>
      <c r="BR120" s="269"/>
      <c r="BS120" s="269"/>
      <c r="BT120" s="269"/>
      <c r="BU120" s="269"/>
    </row>
    <row r="121" spans="1:73" ht="12.6">
      <c r="A121" s="262"/>
      <c r="B121" s="262"/>
      <c r="C121" s="269"/>
      <c r="D121" s="269"/>
      <c r="E121" s="269"/>
      <c r="F121" s="269"/>
      <c r="G121" s="269"/>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8"/>
      <c r="AU121" s="269"/>
      <c r="AV121" s="269"/>
      <c r="AW121" s="269"/>
      <c r="AX121" s="269"/>
      <c r="AY121" s="269"/>
      <c r="AZ121" s="269"/>
      <c r="BA121" s="269"/>
      <c r="BB121" s="269"/>
      <c r="BC121" s="269"/>
      <c r="BD121" s="269"/>
      <c r="BE121" s="269"/>
      <c r="BF121" s="269"/>
      <c r="BG121" s="269"/>
      <c r="BH121" s="269"/>
      <c r="BI121" s="269"/>
      <c r="BJ121" s="269"/>
      <c r="BK121" s="269"/>
      <c r="BL121" s="269"/>
      <c r="BM121" s="269"/>
      <c r="BN121" s="269"/>
      <c r="BO121" s="269"/>
      <c r="BP121" s="269"/>
      <c r="BQ121" s="269"/>
      <c r="BR121" s="269"/>
      <c r="BS121" s="269"/>
      <c r="BT121" s="269"/>
      <c r="BU121" s="269"/>
    </row>
    <row r="122" spans="1:73" ht="12.6">
      <c r="B122" s="10"/>
      <c r="AT122" s="52"/>
      <c r="BA122" s="51"/>
    </row>
    <row r="123" spans="1:73" ht="12.6">
      <c r="B123" s="10"/>
      <c r="AT123" s="52"/>
      <c r="BA123" s="51"/>
    </row>
    <row r="124" spans="1:73" ht="12.6">
      <c r="A124" s="37"/>
      <c r="B124" s="37" t="s">
        <v>671</v>
      </c>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52"/>
      <c r="AU124" s="37"/>
      <c r="AV124" s="37"/>
      <c r="AW124" s="37"/>
      <c r="AX124" s="37"/>
      <c r="AY124" s="37"/>
      <c r="AZ124" s="37"/>
      <c r="BA124" s="51">
        <v>2030</v>
      </c>
      <c r="BB124" s="37"/>
      <c r="BC124" s="37"/>
      <c r="BD124" s="37"/>
      <c r="BE124" s="37"/>
      <c r="BF124" s="37"/>
      <c r="BG124" s="37"/>
      <c r="BH124" s="37"/>
      <c r="BI124" s="37"/>
      <c r="BJ124" s="37"/>
      <c r="BK124" s="37"/>
      <c r="BL124" s="37"/>
      <c r="BM124" s="37"/>
      <c r="BN124" s="37"/>
      <c r="BO124" s="37"/>
      <c r="BP124" s="37"/>
      <c r="BQ124" s="37"/>
      <c r="BR124" s="37"/>
      <c r="BS124" s="37"/>
      <c r="BT124" s="37"/>
      <c r="BU124" s="37"/>
    </row>
    <row r="125" spans="1:73" ht="12.6">
      <c r="A125" s="37" t="s">
        <v>131</v>
      </c>
      <c r="B125" s="166">
        <v>0</v>
      </c>
      <c r="C125" s="37" t="s">
        <v>672</v>
      </c>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274">
        <f>'Energy prices'!C124</f>
        <v>6.2079955422621826E-2</v>
      </c>
      <c r="AU125" s="167">
        <f t="shared" ref="AU125:BU125" si="93">$AT125</f>
        <v>6.2079955422621826E-2</v>
      </c>
      <c r="AV125" s="167">
        <f t="shared" si="93"/>
        <v>6.2079955422621826E-2</v>
      </c>
      <c r="AW125" s="167">
        <f t="shared" si="93"/>
        <v>6.2079955422621826E-2</v>
      </c>
      <c r="AX125" s="167">
        <f t="shared" si="93"/>
        <v>6.2079955422621826E-2</v>
      </c>
      <c r="AY125" s="167">
        <f t="shared" si="93"/>
        <v>6.2079955422621826E-2</v>
      </c>
      <c r="AZ125" s="167">
        <f t="shared" si="93"/>
        <v>6.2079955422621826E-2</v>
      </c>
      <c r="BA125" s="274">
        <f t="shared" si="93"/>
        <v>6.2079955422621826E-2</v>
      </c>
      <c r="BB125" s="167">
        <f t="shared" si="93"/>
        <v>6.2079955422621826E-2</v>
      </c>
      <c r="BC125" s="167">
        <f t="shared" si="93"/>
        <v>6.2079955422621826E-2</v>
      </c>
      <c r="BD125" s="167">
        <f t="shared" si="93"/>
        <v>6.2079955422621826E-2</v>
      </c>
      <c r="BE125" s="167">
        <f t="shared" si="93"/>
        <v>6.2079955422621826E-2</v>
      </c>
      <c r="BF125" s="167">
        <f t="shared" si="93"/>
        <v>6.2079955422621826E-2</v>
      </c>
      <c r="BG125" s="167">
        <f t="shared" si="93"/>
        <v>6.2079955422621826E-2</v>
      </c>
      <c r="BH125" s="167">
        <f t="shared" si="93"/>
        <v>6.2079955422621826E-2</v>
      </c>
      <c r="BI125" s="167">
        <f t="shared" si="93"/>
        <v>6.2079955422621826E-2</v>
      </c>
      <c r="BJ125" s="167">
        <f t="shared" si="93"/>
        <v>6.2079955422621826E-2</v>
      </c>
      <c r="BK125" s="167">
        <f t="shared" si="93"/>
        <v>6.2079955422621826E-2</v>
      </c>
      <c r="BL125" s="167">
        <f t="shared" si="93"/>
        <v>6.2079955422621826E-2</v>
      </c>
      <c r="BM125" s="167">
        <f t="shared" si="93"/>
        <v>6.2079955422621826E-2</v>
      </c>
      <c r="BN125" s="167">
        <f t="shared" si="93"/>
        <v>6.2079955422621826E-2</v>
      </c>
      <c r="BO125" s="167">
        <f t="shared" si="93"/>
        <v>6.2079955422621826E-2</v>
      </c>
      <c r="BP125" s="167">
        <f t="shared" si="93"/>
        <v>6.2079955422621826E-2</v>
      </c>
      <c r="BQ125" s="167">
        <f t="shared" si="93"/>
        <v>6.2079955422621826E-2</v>
      </c>
      <c r="BR125" s="167">
        <f t="shared" si="93"/>
        <v>6.2079955422621826E-2</v>
      </c>
      <c r="BS125" s="167">
        <f t="shared" si="93"/>
        <v>6.2079955422621826E-2</v>
      </c>
      <c r="BT125" s="167">
        <f t="shared" si="93"/>
        <v>6.2079955422621826E-2</v>
      </c>
      <c r="BU125" s="167">
        <f t="shared" si="93"/>
        <v>6.2079955422621826E-2</v>
      </c>
    </row>
    <row r="126" spans="1:73" ht="12.6">
      <c r="A126" s="37" t="s">
        <v>131</v>
      </c>
      <c r="B126" s="166">
        <v>0.01</v>
      </c>
      <c r="C126" s="37" t="s">
        <v>673</v>
      </c>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274">
        <f>'Energy prices'!C125</f>
        <v>7.1449934885658234E-2</v>
      </c>
      <c r="AU126" s="167">
        <f t="shared" ref="AU126:BU126" si="94">$AT126</f>
        <v>7.1449934885658234E-2</v>
      </c>
      <c r="AV126" s="167">
        <f t="shared" si="94"/>
        <v>7.1449934885658234E-2</v>
      </c>
      <c r="AW126" s="167">
        <f t="shared" si="94"/>
        <v>7.1449934885658234E-2</v>
      </c>
      <c r="AX126" s="167">
        <f t="shared" si="94"/>
        <v>7.1449934885658234E-2</v>
      </c>
      <c r="AY126" s="167">
        <f t="shared" si="94"/>
        <v>7.1449934885658234E-2</v>
      </c>
      <c r="AZ126" s="167">
        <f t="shared" si="94"/>
        <v>7.1449934885658234E-2</v>
      </c>
      <c r="BA126" s="274">
        <f t="shared" si="94"/>
        <v>7.1449934885658234E-2</v>
      </c>
      <c r="BB126" s="167">
        <f t="shared" si="94"/>
        <v>7.1449934885658234E-2</v>
      </c>
      <c r="BC126" s="167">
        <f t="shared" si="94"/>
        <v>7.1449934885658234E-2</v>
      </c>
      <c r="BD126" s="167">
        <f t="shared" si="94"/>
        <v>7.1449934885658234E-2</v>
      </c>
      <c r="BE126" s="167">
        <f t="shared" si="94"/>
        <v>7.1449934885658234E-2</v>
      </c>
      <c r="BF126" s="167">
        <f t="shared" si="94"/>
        <v>7.1449934885658234E-2</v>
      </c>
      <c r="BG126" s="167">
        <f t="shared" si="94"/>
        <v>7.1449934885658234E-2</v>
      </c>
      <c r="BH126" s="167">
        <f t="shared" si="94"/>
        <v>7.1449934885658234E-2</v>
      </c>
      <c r="BI126" s="167">
        <f t="shared" si="94"/>
        <v>7.1449934885658234E-2</v>
      </c>
      <c r="BJ126" s="167">
        <f t="shared" si="94"/>
        <v>7.1449934885658234E-2</v>
      </c>
      <c r="BK126" s="167">
        <f t="shared" si="94"/>
        <v>7.1449934885658234E-2</v>
      </c>
      <c r="BL126" s="167">
        <f t="shared" si="94"/>
        <v>7.1449934885658234E-2</v>
      </c>
      <c r="BM126" s="167">
        <f t="shared" si="94"/>
        <v>7.1449934885658234E-2</v>
      </c>
      <c r="BN126" s="167">
        <f t="shared" si="94"/>
        <v>7.1449934885658234E-2</v>
      </c>
      <c r="BO126" s="167">
        <f t="shared" si="94"/>
        <v>7.1449934885658234E-2</v>
      </c>
      <c r="BP126" s="167">
        <f t="shared" si="94"/>
        <v>7.1449934885658234E-2</v>
      </c>
      <c r="BQ126" s="167">
        <f t="shared" si="94"/>
        <v>7.1449934885658234E-2</v>
      </c>
      <c r="BR126" s="167">
        <f t="shared" si="94"/>
        <v>7.1449934885658234E-2</v>
      </c>
      <c r="BS126" s="167">
        <f t="shared" si="94"/>
        <v>7.1449934885658234E-2</v>
      </c>
      <c r="BT126" s="167">
        <f t="shared" si="94"/>
        <v>7.1449934885658234E-2</v>
      </c>
      <c r="BU126" s="167">
        <f t="shared" si="94"/>
        <v>7.1449934885658234E-2</v>
      </c>
    </row>
    <row r="127" spans="1:73" ht="12.6">
      <c r="A127" s="37" t="s">
        <v>131</v>
      </c>
      <c r="B127" s="155">
        <v>5.5E-2</v>
      </c>
      <c r="C127" s="37" t="s">
        <v>674</v>
      </c>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274">
        <f>'Energy prices'!C126</f>
        <v>0.12146262153931642</v>
      </c>
      <c r="AU127" s="167">
        <f t="shared" ref="AU127:BU127" si="95">$AT127</f>
        <v>0.12146262153931642</v>
      </c>
      <c r="AV127" s="167">
        <f t="shared" si="95"/>
        <v>0.12146262153931642</v>
      </c>
      <c r="AW127" s="167">
        <f t="shared" si="95"/>
        <v>0.12146262153931642</v>
      </c>
      <c r="AX127" s="167">
        <f t="shared" si="95"/>
        <v>0.12146262153931642</v>
      </c>
      <c r="AY127" s="167">
        <f t="shared" si="95"/>
        <v>0.12146262153931642</v>
      </c>
      <c r="AZ127" s="167">
        <f t="shared" si="95"/>
        <v>0.12146262153931642</v>
      </c>
      <c r="BA127" s="274">
        <f t="shared" si="95"/>
        <v>0.12146262153931642</v>
      </c>
      <c r="BB127" s="167">
        <f t="shared" si="95"/>
        <v>0.12146262153931642</v>
      </c>
      <c r="BC127" s="167">
        <f t="shared" si="95"/>
        <v>0.12146262153931642</v>
      </c>
      <c r="BD127" s="167">
        <f t="shared" si="95"/>
        <v>0.12146262153931642</v>
      </c>
      <c r="BE127" s="167">
        <f t="shared" si="95"/>
        <v>0.12146262153931642</v>
      </c>
      <c r="BF127" s="167">
        <f t="shared" si="95"/>
        <v>0.12146262153931642</v>
      </c>
      <c r="BG127" s="167">
        <f t="shared" si="95"/>
        <v>0.12146262153931642</v>
      </c>
      <c r="BH127" s="167">
        <f t="shared" si="95"/>
        <v>0.12146262153931642</v>
      </c>
      <c r="BI127" s="167">
        <f t="shared" si="95"/>
        <v>0.12146262153931642</v>
      </c>
      <c r="BJ127" s="167">
        <f t="shared" si="95"/>
        <v>0.12146262153931642</v>
      </c>
      <c r="BK127" s="167">
        <f t="shared" si="95"/>
        <v>0.12146262153931642</v>
      </c>
      <c r="BL127" s="167">
        <f t="shared" si="95"/>
        <v>0.12146262153931642</v>
      </c>
      <c r="BM127" s="167">
        <f t="shared" si="95"/>
        <v>0.12146262153931642</v>
      </c>
      <c r="BN127" s="167">
        <f t="shared" si="95"/>
        <v>0.12146262153931642</v>
      </c>
      <c r="BO127" s="167">
        <f t="shared" si="95"/>
        <v>0.12146262153931642</v>
      </c>
      <c r="BP127" s="167">
        <f t="shared" si="95"/>
        <v>0.12146262153931642</v>
      </c>
      <c r="BQ127" s="167">
        <f t="shared" si="95"/>
        <v>0.12146262153931642</v>
      </c>
      <c r="BR127" s="167">
        <f t="shared" si="95"/>
        <v>0.12146262153931642</v>
      </c>
      <c r="BS127" s="167">
        <f t="shared" si="95"/>
        <v>0.12146262153931642</v>
      </c>
      <c r="BT127" s="167">
        <f t="shared" si="95"/>
        <v>0.12146262153931642</v>
      </c>
      <c r="BU127" s="167">
        <f t="shared" si="95"/>
        <v>0.12146262153931642</v>
      </c>
    </row>
    <row r="128" spans="1:73" ht="12.6">
      <c r="A128" s="37" t="s">
        <v>131</v>
      </c>
      <c r="B128" s="166">
        <v>0.1</v>
      </c>
      <c r="C128" s="37" t="s">
        <v>675</v>
      </c>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274">
        <f>'Energy prices'!C127</f>
        <v>0.17960168189423856</v>
      </c>
      <c r="AU128" s="167">
        <f t="shared" ref="AU128:BU128" si="96">$AT128</f>
        <v>0.17960168189423856</v>
      </c>
      <c r="AV128" s="167">
        <f t="shared" si="96"/>
        <v>0.17960168189423856</v>
      </c>
      <c r="AW128" s="167">
        <f t="shared" si="96"/>
        <v>0.17960168189423856</v>
      </c>
      <c r="AX128" s="167">
        <f t="shared" si="96"/>
        <v>0.17960168189423856</v>
      </c>
      <c r="AY128" s="167">
        <f t="shared" si="96"/>
        <v>0.17960168189423856</v>
      </c>
      <c r="AZ128" s="167">
        <f t="shared" si="96"/>
        <v>0.17960168189423856</v>
      </c>
      <c r="BA128" s="274">
        <f t="shared" si="96"/>
        <v>0.17960168189423856</v>
      </c>
      <c r="BB128" s="167">
        <f t="shared" si="96"/>
        <v>0.17960168189423856</v>
      </c>
      <c r="BC128" s="167">
        <f t="shared" si="96"/>
        <v>0.17960168189423856</v>
      </c>
      <c r="BD128" s="167">
        <f t="shared" si="96"/>
        <v>0.17960168189423856</v>
      </c>
      <c r="BE128" s="167">
        <f t="shared" si="96"/>
        <v>0.17960168189423856</v>
      </c>
      <c r="BF128" s="167">
        <f t="shared" si="96"/>
        <v>0.17960168189423856</v>
      </c>
      <c r="BG128" s="167">
        <f t="shared" si="96"/>
        <v>0.17960168189423856</v>
      </c>
      <c r="BH128" s="167">
        <f t="shared" si="96"/>
        <v>0.17960168189423856</v>
      </c>
      <c r="BI128" s="167">
        <f t="shared" si="96"/>
        <v>0.17960168189423856</v>
      </c>
      <c r="BJ128" s="167">
        <f t="shared" si="96"/>
        <v>0.17960168189423856</v>
      </c>
      <c r="BK128" s="167">
        <f t="shared" si="96"/>
        <v>0.17960168189423856</v>
      </c>
      <c r="BL128" s="167">
        <f t="shared" si="96"/>
        <v>0.17960168189423856</v>
      </c>
      <c r="BM128" s="167">
        <f t="shared" si="96"/>
        <v>0.17960168189423856</v>
      </c>
      <c r="BN128" s="167">
        <f t="shared" si="96"/>
        <v>0.17960168189423856</v>
      </c>
      <c r="BO128" s="167">
        <f t="shared" si="96"/>
        <v>0.17960168189423856</v>
      </c>
      <c r="BP128" s="167">
        <f t="shared" si="96"/>
        <v>0.17960168189423856</v>
      </c>
      <c r="BQ128" s="167">
        <f t="shared" si="96"/>
        <v>0.17960168189423856</v>
      </c>
      <c r="BR128" s="167">
        <f t="shared" si="96"/>
        <v>0.17960168189423856</v>
      </c>
      <c r="BS128" s="167">
        <f t="shared" si="96"/>
        <v>0.17960168189423856</v>
      </c>
      <c r="BT128" s="167">
        <f t="shared" si="96"/>
        <v>0.17960168189423856</v>
      </c>
      <c r="BU128" s="167">
        <f t="shared" si="96"/>
        <v>0.17960168189423856</v>
      </c>
    </row>
    <row r="130" spans="1:73" ht="12.6">
      <c r="A130" s="95" t="s">
        <v>334</v>
      </c>
      <c r="B130" s="226">
        <v>0</v>
      </c>
      <c r="C130" s="95" t="s">
        <v>676</v>
      </c>
      <c r="D130" s="95"/>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c r="AQ130" s="95"/>
      <c r="AR130" s="275"/>
      <c r="AS130" s="275"/>
      <c r="AT130" s="274">
        <f>'Energy prices'!C132</f>
        <v>0.22560016694412352</v>
      </c>
      <c r="AU130" s="223">
        <f t="shared" ref="AU130:BU130" si="97">$AT130</f>
        <v>0.22560016694412352</v>
      </c>
      <c r="AV130" s="223">
        <f t="shared" si="97"/>
        <v>0.22560016694412352</v>
      </c>
      <c r="AW130" s="223">
        <f t="shared" si="97"/>
        <v>0.22560016694412352</v>
      </c>
      <c r="AX130" s="223">
        <f t="shared" si="97"/>
        <v>0.22560016694412352</v>
      </c>
      <c r="AY130" s="223">
        <f t="shared" si="97"/>
        <v>0.22560016694412352</v>
      </c>
      <c r="AZ130" s="223">
        <f t="shared" si="97"/>
        <v>0.22560016694412352</v>
      </c>
      <c r="BA130" s="274">
        <f t="shared" si="97"/>
        <v>0.22560016694412352</v>
      </c>
      <c r="BB130" s="223">
        <f t="shared" si="97"/>
        <v>0.22560016694412352</v>
      </c>
      <c r="BC130" s="223">
        <f t="shared" si="97"/>
        <v>0.22560016694412352</v>
      </c>
      <c r="BD130" s="223">
        <f t="shared" si="97"/>
        <v>0.22560016694412352</v>
      </c>
      <c r="BE130" s="223">
        <f t="shared" si="97"/>
        <v>0.22560016694412352</v>
      </c>
      <c r="BF130" s="223">
        <f t="shared" si="97"/>
        <v>0.22560016694412352</v>
      </c>
      <c r="BG130" s="223">
        <f t="shared" si="97"/>
        <v>0.22560016694412352</v>
      </c>
      <c r="BH130" s="223">
        <f t="shared" si="97"/>
        <v>0.22560016694412352</v>
      </c>
      <c r="BI130" s="223">
        <f t="shared" si="97"/>
        <v>0.22560016694412352</v>
      </c>
      <c r="BJ130" s="223">
        <f t="shared" si="97"/>
        <v>0.22560016694412352</v>
      </c>
      <c r="BK130" s="223">
        <f t="shared" si="97"/>
        <v>0.22560016694412352</v>
      </c>
      <c r="BL130" s="223">
        <f t="shared" si="97"/>
        <v>0.22560016694412352</v>
      </c>
      <c r="BM130" s="223">
        <f t="shared" si="97"/>
        <v>0.22560016694412352</v>
      </c>
      <c r="BN130" s="223">
        <f t="shared" si="97"/>
        <v>0.22560016694412352</v>
      </c>
      <c r="BO130" s="223">
        <f t="shared" si="97"/>
        <v>0.22560016694412352</v>
      </c>
      <c r="BP130" s="223">
        <f t="shared" si="97"/>
        <v>0.22560016694412352</v>
      </c>
      <c r="BQ130" s="223">
        <f t="shared" si="97"/>
        <v>0.22560016694412352</v>
      </c>
      <c r="BR130" s="223">
        <f t="shared" si="97"/>
        <v>0.22560016694412352</v>
      </c>
      <c r="BS130" s="223">
        <f t="shared" si="97"/>
        <v>0.22560016694412352</v>
      </c>
      <c r="BT130" s="223">
        <f t="shared" si="97"/>
        <v>0.22560016694412352</v>
      </c>
      <c r="BU130" s="223">
        <f t="shared" si="97"/>
        <v>0.22560016694412352</v>
      </c>
    </row>
    <row r="131" spans="1:73" ht="12.6">
      <c r="A131" s="95"/>
      <c r="B131" s="226">
        <v>0.01</v>
      </c>
      <c r="C131" s="95" t="s">
        <v>677</v>
      </c>
      <c r="D131" s="95"/>
      <c r="E131" s="95"/>
      <c r="F131" s="95"/>
      <c r="G131" s="95"/>
      <c r="H131" s="95"/>
      <c r="I131" s="95"/>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5"/>
      <c r="AG131" s="95"/>
      <c r="AH131" s="95"/>
      <c r="AI131" s="95"/>
      <c r="AJ131" s="95"/>
      <c r="AK131" s="95"/>
      <c r="AL131" s="95"/>
      <c r="AM131" s="95"/>
      <c r="AN131" s="95"/>
      <c r="AO131" s="95"/>
      <c r="AP131" s="95"/>
      <c r="AQ131" s="95"/>
      <c r="AR131" s="275"/>
      <c r="AS131" s="95"/>
      <c r="AT131" s="274">
        <f>'Energy prices'!C133</f>
        <v>0.24165054728252131</v>
      </c>
      <c r="AU131" s="223">
        <f t="shared" ref="AU131:BU131" si="98">$AT131</f>
        <v>0.24165054728252131</v>
      </c>
      <c r="AV131" s="223">
        <f t="shared" si="98"/>
        <v>0.24165054728252131</v>
      </c>
      <c r="AW131" s="223">
        <f t="shared" si="98"/>
        <v>0.24165054728252131</v>
      </c>
      <c r="AX131" s="223">
        <f t="shared" si="98"/>
        <v>0.24165054728252131</v>
      </c>
      <c r="AY131" s="223">
        <f t="shared" si="98"/>
        <v>0.24165054728252131</v>
      </c>
      <c r="AZ131" s="223">
        <f t="shared" si="98"/>
        <v>0.24165054728252131</v>
      </c>
      <c r="BA131" s="274">
        <f t="shared" si="98"/>
        <v>0.24165054728252131</v>
      </c>
      <c r="BB131" s="223">
        <f t="shared" si="98"/>
        <v>0.24165054728252131</v>
      </c>
      <c r="BC131" s="223">
        <f t="shared" si="98"/>
        <v>0.24165054728252131</v>
      </c>
      <c r="BD131" s="223">
        <f t="shared" si="98"/>
        <v>0.24165054728252131</v>
      </c>
      <c r="BE131" s="223">
        <f t="shared" si="98"/>
        <v>0.24165054728252131</v>
      </c>
      <c r="BF131" s="223">
        <f t="shared" si="98"/>
        <v>0.24165054728252131</v>
      </c>
      <c r="BG131" s="223">
        <f t="shared" si="98"/>
        <v>0.24165054728252131</v>
      </c>
      <c r="BH131" s="223">
        <f t="shared" si="98"/>
        <v>0.24165054728252131</v>
      </c>
      <c r="BI131" s="223">
        <f t="shared" si="98"/>
        <v>0.24165054728252131</v>
      </c>
      <c r="BJ131" s="223">
        <f t="shared" si="98"/>
        <v>0.24165054728252131</v>
      </c>
      <c r="BK131" s="223">
        <f t="shared" si="98"/>
        <v>0.24165054728252131</v>
      </c>
      <c r="BL131" s="223">
        <f t="shared" si="98"/>
        <v>0.24165054728252131</v>
      </c>
      <c r="BM131" s="223">
        <f t="shared" si="98"/>
        <v>0.24165054728252131</v>
      </c>
      <c r="BN131" s="223">
        <f t="shared" si="98"/>
        <v>0.24165054728252131</v>
      </c>
      <c r="BO131" s="223">
        <f t="shared" si="98"/>
        <v>0.24165054728252131</v>
      </c>
      <c r="BP131" s="223">
        <f t="shared" si="98"/>
        <v>0.24165054728252131</v>
      </c>
      <c r="BQ131" s="223">
        <f t="shared" si="98"/>
        <v>0.24165054728252131</v>
      </c>
      <c r="BR131" s="223">
        <f t="shared" si="98"/>
        <v>0.24165054728252131</v>
      </c>
      <c r="BS131" s="223">
        <f t="shared" si="98"/>
        <v>0.24165054728252131</v>
      </c>
      <c r="BT131" s="223">
        <f t="shared" si="98"/>
        <v>0.24165054728252131</v>
      </c>
      <c r="BU131" s="223">
        <f t="shared" si="98"/>
        <v>0.24165054728252131</v>
      </c>
    </row>
    <row r="132" spans="1:73" ht="12.6">
      <c r="A132" s="95"/>
      <c r="B132" s="154">
        <v>5.5E-2</v>
      </c>
      <c r="C132" s="95" t="s">
        <v>678</v>
      </c>
      <c r="D132" s="95"/>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95"/>
      <c r="AQ132" s="95"/>
      <c r="AR132" s="275"/>
      <c r="AS132" s="95"/>
      <c r="AT132" s="274">
        <f>'Energy prices'!C134</f>
        <v>0.31955760357658969</v>
      </c>
      <c r="AU132" s="223">
        <f t="shared" ref="AU132:BU132" si="99">$AT132</f>
        <v>0.31955760357658969</v>
      </c>
      <c r="AV132" s="223">
        <f t="shared" si="99"/>
        <v>0.31955760357658969</v>
      </c>
      <c r="AW132" s="223">
        <f t="shared" si="99"/>
        <v>0.31955760357658969</v>
      </c>
      <c r="AX132" s="223">
        <f t="shared" si="99"/>
        <v>0.31955760357658969</v>
      </c>
      <c r="AY132" s="223">
        <f t="shared" si="99"/>
        <v>0.31955760357658969</v>
      </c>
      <c r="AZ132" s="223">
        <f t="shared" si="99"/>
        <v>0.31955760357658969</v>
      </c>
      <c r="BA132" s="274">
        <f t="shared" si="99"/>
        <v>0.31955760357658969</v>
      </c>
      <c r="BB132" s="223">
        <f t="shared" si="99"/>
        <v>0.31955760357658969</v>
      </c>
      <c r="BC132" s="223">
        <f t="shared" si="99"/>
        <v>0.31955760357658969</v>
      </c>
      <c r="BD132" s="223">
        <f t="shared" si="99"/>
        <v>0.31955760357658969</v>
      </c>
      <c r="BE132" s="223">
        <f t="shared" si="99"/>
        <v>0.31955760357658969</v>
      </c>
      <c r="BF132" s="223">
        <f t="shared" si="99"/>
        <v>0.31955760357658969</v>
      </c>
      <c r="BG132" s="223">
        <f t="shared" si="99"/>
        <v>0.31955760357658969</v>
      </c>
      <c r="BH132" s="223">
        <f t="shared" si="99"/>
        <v>0.31955760357658969</v>
      </c>
      <c r="BI132" s="223">
        <f t="shared" si="99"/>
        <v>0.31955760357658969</v>
      </c>
      <c r="BJ132" s="223">
        <f t="shared" si="99"/>
        <v>0.31955760357658969</v>
      </c>
      <c r="BK132" s="223">
        <f t="shared" si="99"/>
        <v>0.31955760357658969</v>
      </c>
      <c r="BL132" s="223">
        <f t="shared" si="99"/>
        <v>0.31955760357658969</v>
      </c>
      <c r="BM132" s="223">
        <f t="shared" si="99"/>
        <v>0.31955760357658969</v>
      </c>
      <c r="BN132" s="223">
        <f t="shared" si="99"/>
        <v>0.31955760357658969</v>
      </c>
      <c r="BO132" s="223">
        <f t="shared" si="99"/>
        <v>0.31955760357658969</v>
      </c>
      <c r="BP132" s="223">
        <f t="shared" si="99"/>
        <v>0.31955760357658969</v>
      </c>
      <c r="BQ132" s="223">
        <f t="shared" si="99"/>
        <v>0.31955760357658969</v>
      </c>
      <c r="BR132" s="223">
        <f t="shared" si="99"/>
        <v>0.31955760357658969</v>
      </c>
      <c r="BS132" s="223">
        <f t="shared" si="99"/>
        <v>0.31955760357658969</v>
      </c>
      <c r="BT132" s="223">
        <f t="shared" si="99"/>
        <v>0.31955760357658969</v>
      </c>
      <c r="BU132" s="223">
        <f t="shared" si="99"/>
        <v>0.31955760357658969</v>
      </c>
    </row>
    <row r="133" spans="1:73" ht="12.6">
      <c r="A133" s="95"/>
      <c r="B133" s="226">
        <v>0.1</v>
      </c>
      <c r="C133" s="95" t="s">
        <v>679</v>
      </c>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275"/>
      <c r="AS133" s="95"/>
      <c r="AT133" s="274">
        <f>'Energy prices'!C135</f>
        <v>0.40446144565316755</v>
      </c>
      <c r="AU133" s="223">
        <f t="shared" ref="AU133:BU133" si="100">$AT133</f>
        <v>0.40446144565316755</v>
      </c>
      <c r="AV133" s="223">
        <f t="shared" si="100"/>
        <v>0.40446144565316755</v>
      </c>
      <c r="AW133" s="223">
        <f t="shared" si="100"/>
        <v>0.40446144565316755</v>
      </c>
      <c r="AX133" s="223">
        <f t="shared" si="100"/>
        <v>0.40446144565316755</v>
      </c>
      <c r="AY133" s="223">
        <f t="shared" si="100"/>
        <v>0.40446144565316755</v>
      </c>
      <c r="AZ133" s="223">
        <f t="shared" si="100"/>
        <v>0.40446144565316755</v>
      </c>
      <c r="BA133" s="274">
        <f t="shared" si="100"/>
        <v>0.40446144565316755</v>
      </c>
      <c r="BB133" s="223">
        <f t="shared" si="100"/>
        <v>0.40446144565316755</v>
      </c>
      <c r="BC133" s="223">
        <f t="shared" si="100"/>
        <v>0.40446144565316755</v>
      </c>
      <c r="BD133" s="223">
        <f t="shared" si="100"/>
        <v>0.40446144565316755</v>
      </c>
      <c r="BE133" s="223">
        <f t="shared" si="100"/>
        <v>0.40446144565316755</v>
      </c>
      <c r="BF133" s="223">
        <f t="shared" si="100"/>
        <v>0.40446144565316755</v>
      </c>
      <c r="BG133" s="223">
        <f t="shared" si="100"/>
        <v>0.40446144565316755</v>
      </c>
      <c r="BH133" s="223">
        <f t="shared" si="100"/>
        <v>0.40446144565316755</v>
      </c>
      <c r="BI133" s="223">
        <f t="shared" si="100"/>
        <v>0.40446144565316755</v>
      </c>
      <c r="BJ133" s="223">
        <f t="shared" si="100"/>
        <v>0.40446144565316755</v>
      </c>
      <c r="BK133" s="223">
        <f t="shared" si="100"/>
        <v>0.40446144565316755</v>
      </c>
      <c r="BL133" s="223">
        <f t="shared" si="100"/>
        <v>0.40446144565316755</v>
      </c>
      <c r="BM133" s="223">
        <f t="shared" si="100"/>
        <v>0.40446144565316755</v>
      </c>
      <c r="BN133" s="223">
        <f t="shared" si="100"/>
        <v>0.40446144565316755</v>
      </c>
      <c r="BO133" s="223">
        <f t="shared" si="100"/>
        <v>0.40446144565316755</v>
      </c>
      <c r="BP133" s="223">
        <f t="shared" si="100"/>
        <v>0.40446144565316755</v>
      </c>
      <c r="BQ133" s="223">
        <f t="shared" si="100"/>
        <v>0.40446144565316755</v>
      </c>
      <c r="BR133" s="223">
        <f t="shared" si="100"/>
        <v>0.40446144565316755</v>
      </c>
      <c r="BS133" s="223">
        <f t="shared" si="100"/>
        <v>0.40446144565316755</v>
      </c>
      <c r="BT133" s="223">
        <f t="shared" si="100"/>
        <v>0.40446144565316755</v>
      </c>
      <c r="BU133" s="223">
        <f t="shared" si="100"/>
        <v>0.40446144565316755</v>
      </c>
    </row>
    <row r="134" spans="1:73" ht="12.6">
      <c r="A134" s="10"/>
      <c r="B134" s="10"/>
      <c r="C134" s="10"/>
      <c r="AR134" s="135"/>
      <c r="AS134" s="135"/>
      <c r="AT134" s="274"/>
      <c r="AU134" s="118"/>
      <c r="AV134" s="118"/>
      <c r="AW134" s="118"/>
      <c r="AX134" s="118"/>
      <c r="AY134" s="118"/>
      <c r="AZ134" s="118"/>
      <c r="BA134" s="274"/>
      <c r="BB134" s="118"/>
      <c r="BC134" s="118"/>
      <c r="BD134" s="118"/>
      <c r="BE134" s="118"/>
      <c r="BF134" s="118"/>
      <c r="BG134" s="118"/>
      <c r="BH134" s="118"/>
      <c r="BI134" s="118"/>
      <c r="BJ134" s="118"/>
      <c r="BK134" s="118"/>
      <c r="BL134" s="118"/>
      <c r="BM134" s="118"/>
      <c r="BN134" s="118"/>
      <c r="BO134" s="118"/>
      <c r="BP134" s="118"/>
      <c r="BQ134" s="118"/>
      <c r="BR134" s="118"/>
      <c r="BS134" s="118"/>
      <c r="BT134" s="118"/>
      <c r="BU134" s="118"/>
    </row>
    <row r="135" spans="1:73" ht="12.6">
      <c r="A135" s="39" t="s">
        <v>680</v>
      </c>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276"/>
      <c r="AS135" s="276"/>
      <c r="AT135" s="274"/>
      <c r="AU135" s="277"/>
      <c r="AV135" s="277"/>
      <c r="AW135" s="277"/>
      <c r="AX135" s="277"/>
      <c r="AY135" s="277"/>
      <c r="AZ135" s="277"/>
      <c r="BA135" s="274"/>
      <c r="BB135" s="277"/>
      <c r="BC135" s="277"/>
      <c r="BD135" s="277"/>
      <c r="BE135" s="277"/>
      <c r="BF135" s="277"/>
      <c r="BG135" s="277"/>
      <c r="BH135" s="277"/>
      <c r="BI135" s="277"/>
      <c r="BJ135" s="277"/>
      <c r="BK135" s="277"/>
      <c r="BL135" s="277"/>
      <c r="BM135" s="277"/>
      <c r="BN135" s="277"/>
      <c r="BO135" s="277"/>
      <c r="BP135" s="277"/>
      <c r="BQ135" s="277"/>
      <c r="BR135" s="277"/>
      <c r="BS135" s="277"/>
      <c r="BT135" s="277"/>
      <c r="BU135" s="277"/>
    </row>
    <row r="136" spans="1:73" ht="12.6">
      <c r="A136" s="39"/>
      <c r="B136" s="178">
        <v>0</v>
      </c>
      <c r="C136" s="39" t="s">
        <v>681</v>
      </c>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276"/>
      <c r="AS136" s="276"/>
      <c r="AT136" s="274">
        <f t="shared" ref="AT136:AT139" si="101">AT125+(AT130*0.5)</f>
        <v>0.17488003889468359</v>
      </c>
      <c r="AU136" s="277">
        <f t="shared" ref="AU136:BU136" si="102">$AT136</f>
        <v>0.17488003889468359</v>
      </c>
      <c r="AV136" s="277">
        <f t="shared" si="102"/>
        <v>0.17488003889468359</v>
      </c>
      <c r="AW136" s="277">
        <f t="shared" si="102"/>
        <v>0.17488003889468359</v>
      </c>
      <c r="AX136" s="277">
        <f t="shared" si="102"/>
        <v>0.17488003889468359</v>
      </c>
      <c r="AY136" s="277">
        <f t="shared" si="102"/>
        <v>0.17488003889468359</v>
      </c>
      <c r="AZ136" s="277">
        <f t="shared" si="102"/>
        <v>0.17488003889468359</v>
      </c>
      <c r="BA136" s="274">
        <f t="shared" si="102"/>
        <v>0.17488003889468359</v>
      </c>
      <c r="BB136" s="277">
        <f t="shared" si="102"/>
        <v>0.17488003889468359</v>
      </c>
      <c r="BC136" s="277">
        <f t="shared" si="102"/>
        <v>0.17488003889468359</v>
      </c>
      <c r="BD136" s="277">
        <f t="shared" si="102"/>
        <v>0.17488003889468359</v>
      </c>
      <c r="BE136" s="277">
        <f t="shared" si="102"/>
        <v>0.17488003889468359</v>
      </c>
      <c r="BF136" s="277">
        <f t="shared" si="102"/>
        <v>0.17488003889468359</v>
      </c>
      <c r="BG136" s="277">
        <f t="shared" si="102"/>
        <v>0.17488003889468359</v>
      </c>
      <c r="BH136" s="277">
        <f t="shared" si="102"/>
        <v>0.17488003889468359</v>
      </c>
      <c r="BI136" s="277">
        <f t="shared" si="102"/>
        <v>0.17488003889468359</v>
      </c>
      <c r="BJ136" s="277">
        <f t="shared" si="102"/>
        <v>0.17488003889468359</v>
      </c>
      <c r="BK136" s="277">
        <f t="shared" si="102"/>
        <v>0.17488003889468359</v>
      </c>
      <c r="BL136" s="277">
        <f t="shared" si="102"/>
        <v>0.17488003889468359</v>
      </c>
      <c r="BM136" s="277">
        <f t="shared" si="102"/>
        <v>0.17488003889468359</v>
      </c>
      <c r="BN136" s="277">
        <f t="shared" si="102"/>
        <v>0.17488003889468359</v>
      </c>
      <c r="BO136" s="277">
        <f t="shared" si="102"/>
        <v>0.17488003889468359</v>
      </c>
      <c r="BP136" s="277">
        <f t="shared" si="102"/>
        <v>0.17488003889468359</v>
      </c>
      <c r="BQ136" s="277">
        <f t="shared" si="102"/>
        <v>0.17488003889468359</v>
      </c>
      <c r="BR136" s="277">
        <f t="shared" si="102"/>
        <v>0.17488003889468359</v>
      </c>
      <c r="BS136" s="277">
        <f t="shared" si="102"/>
        <v>0.17488003889468359</v>
      </c>
      <c r="BT136" s="277">
        <f t="shared" si="102"/>
        <v>0.17488003889468359</v>
      </c>
      <c r="BU136" s="277">
        <f t="shared" si="102"/>
        <v>0.17488003889468359</v>
      </c>
    </row>
    <row r="137" spans="1:73" ht="12.6">
      <c r="A137" s="39"/>
      <c r="B137" s="178">
        <v>0.01</v>
      </c>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276"/>
      <c r="AS137" s="276"/>
      <c r="AT137" s="274">
        <f t="shared" si="101"/>
        <v>0.19227520852691887</v>
      </c>
      <c r="AU137" s="277">
        <f t="shared" ref="AU137:BU137" si="103">$AT137</f>
        <v>0.19227520852691887</v>
      </c>
      <c r="AV137" s="277">
        <f t="shared" si="103"/>
        <v>0.19227520852691887</v>
      </c>
      <c r="AW137" s="277">
        <f t="shared" si="103"/>
        <v>0.19227520852691887</v>
      </c>
      <c r="AX137" s="277">
        <f t="shared" si="103"/>
        <v>0.19227520852691887</v>
      </c>
      <c r="AY137" s="277">
        <f t="shared" si="103"/>
        <v>0.19227520852691887</v>
      </c>
      <c r="AZ137" s="277">
        <f t="shared" si="103"/>
        <v>0.19227520852691887</v>
      </c>
      <c r="BA137" s="274">
        <f t="shared" si="103"/>
        <v>0.19227520852691887</v>
      </c>
      <c r="BB137" s="277">
        <f t="shared" si="103"/>
        <v>0.19227520852691887</v>
      </c>
      <c r="BC137" s="277">
        <f t="shared" si="103"/>
        <v>0.19227520852691887</v>
      </c>
      <c r="BD137" s="277">
        <f t="shared" si="103"/>
        <v>0.19227520852691887</v>
      </c>
      <c r="BE137" s="277">
        <f t="shared" si="103"/>
        <v>0.19227520852691887</v>
      </c>
      <c r="BF137" s="277">
        <f t="shared" si="103"/>
        <v>0.19227520852691887</v>
      </c>
      <c r="BG137" s="277">
        <f t="shared" si="103"/>
        <v>0.19227520852691887</v>
      </c>
      <c r="BH137" s="277">
        <f t="shared" si="103"/>
        <v>0.19227520852691887</v>
      </c>
      <c r="BI137" s="277">
        <f t="shared" si="103"/>
        <v>0.19227520852691887</v>
      </c>
      <c r="BJ137" s="277">
        <f t="shared" si="103"/>
        <v>0.19227520852691887</v>
      </c>
      <c r="BK137" s="277">
        <f t="shared" si="103"/>
        <v>0.19227520852691887</v>
      </c>
      <c r="BL137" s="277">
        <f t="shared" si="103"/>
        <v>0.19227520852691887</v>
      </c>
      <c r="BM137" s="277">
        <f t="shared" si="103"/>
        <v>0.19227520852691887</v>
      </c>
      <c r="BN137" s="277">
        <f t="shared" si="103"/>
        <v>0.19227520852691887</v>
      </c>
      <c r="BO137" s="277">
        <f t="shared" si="103"/>
        <v>0.19227520852691887</v>
      </c>
      <c r="BP137" s="277">
        <f t="shared" si="103"/>
        <v>0.19227520852691887</v>
      </c>
      <c r="BQ137" s="277">
        <f t="shared" si="103"/>
        <v>0.19227520852691887</v>
      </c>
      <c r="BR137" s="277">
        <f t="shared" si="103"/>
        <v>0.19227520852691887</v>
      </c>
      <c r="BS137" s="277">
        <f t="shared" si="103"/>
        <v>0.19227520852691887</v>
      </c>
      <c r="BT137" s="277">
        <f t="shared" si="103"/>
        <v>0.19227520852691887</v>
      </c>
      <c r="BU137" s="277">
        <f t="shared" si="103"/>
        <v>0.19227520852691887</v>
      </c>
    </row>
    <row r="138" spans="1:73" ht="12.6">
      <c r="A138" s="39"/>
      <c r="B138" s="178">
        <v>0.05</v>
      </c>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276"/>
      <c r="AS138" s="276"/>
      <c r="AT138" s="274">
        <f t="shared" si="101"/>
        <v>0.28124142332761126</v>
      </c>
      <c r="AU138" s="277">
        <f t="shared" ref="AU138:BU138" si="104">$AT138</f>
        <v>0.28124142332761126</v>
      </c>
      <c r="AV138" s="277">
        <f t="shared" si="104"/>
        <v>0.28124142332761126</v>
      </c>
      <c r="AW138" s="277">
        <f t="shared" si="104"/>
        <v>0.28124142332761126</v>
      </c>
      <c r="AX138" s="277">
        <f t="shared" si="104"/>
        <v>0.28124142332761126</v>
      </c>
      <c r="AY138" s="277">
        <f t="shared" si="104"/>
        <v>0.28124142332761126</v>
      </c>
      <c r="AZ138" s="277">
        <f t="shared" si="104"/>
        <v>0.28124142332761126</v>
      </c>
      <c r="BA138" s="274">
        <f t="shared" si="104"/>
        <v>0.28124142332761126</v>
      </c>
      <c r="BB138" s="277">
        <f t="shared" si="104"/>
        <v>0.28124142332761126</v>
      </c>
      <c r="BC138" s="277">
        <f t="shared" si="104"/>
        <v>0.28124142332761126</v>
      </c>
      <c r="BD138" s="277">
        <f t="shared" si="104"/>
        <v>0.28124142332761126</v>
      </c>
      <c r="BE138" s="277">
        <f t="shared" si="104"/>
        <v>0.28124142332761126</v>
      </c>
      <c r="BF138" s="277">
        <f t="shared" si="104"/>
        <v>0.28124142332761126</v>
      </c>
      <c r="BG138" s="277">
        <f t="shared" si="104"/>
        <v>0.28124142332761126</v>
      </c>
      <c r="BH138" s="277">
        <f t="shared" si="104"/>
        <v>0.28124142332761126</v>
      </c>
      <c r="BI138" s="277">
        <f t="shared" si="104"/>
        <v>0.28124142332761126</v>
      </c>
      <c r="BJ138" s="277">
        <f t="shared" si="104"/>
        <v>0.28124142332761126</v>
      </c>
      <c r="BK138" s="277">
        <f t="shared" si="104"/>
        <v>0.28124142332761126</v>
      </c>
      <c r="BL138" s="277">
        <f t="shared" si="104"/>
        <v>0.28124142332761126</v>
      </c>
      <c r="BM138" s="277">
        <f t="shared" si="104"/>
        <v>0.28124142332761126</v>
      </c>
      <c r="BN138" s="277">
        <f t="shared" si="104"/>
        <v>0.28124142332761126</v>
      </c>
      <c r="BO138" s="277">
        <f t="shared" si="104"/>
        <v>0.28124142332761126</v>
      </c>
      <c r="BP138" s="277">
        <f t="shared" si="104"/>
        <v>0.28124142332761126</v>
      </c>
      <c r="BQ138" s="277">
        <f t="shared" si="104"/>
        <v>0.28124142332761126</v>
      </c>
      <c r="BR138" s="277">
        <f t="shared" si="104"/>
        <v>0.28124142332761126</v>
      </c>
      <c r="BS138" s="277">
        <f t="shared" si="104"/>
        <v>0.28124142332761126</v>
      </c>
      <c r="BT138" s="277">
        <f t="shared" si="104"/>
        <v>0.28124142332761126</v>
      </c>
      <c r="BU138" s="277">
        <f t="shared" si="104"/>
        <v>0.28124142332761126</v>
      </c>
    </row>
    <row r="139" spans="1:73" ht="12.6">
      <c r="A139" s="39"/>
      <c r="B139" s="178">
        <v>0.1</v>
      </c>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276"/>
      <c r="AS139" s="276"/>
      <c r="AT139" s="274">
        <f t="shared" si="101"/>
        <v>0.38183240472082236</v>
      </c>
      <c r="AU139" s="277">
        <f t="shared" ref="AU139:BU139" si="105">$AT139</f>
        <v>0.38183240472082236</v>
      </c>
      <c r="AV139" s="277">
        <f t="shared" si="105"/>
        <v>0.38183240472082236</v>
      </c>
      <c r="AW139" s="277">
        <f t="shared" si="105"/>
        <v>0.38183240472082236</v>
      </c>
      <c r="AX139" s="277">
        <f t="shared" si="105"/>
        <v>0.38183240472082236</v>
      </c>
      <c r="AY139" s="277">
        <f t="shared" si="105"/>
        <v>0.38183240472082236</v>
      </c>
      <c r="AZ139" s="277">
        <f t="shared" si="105"/>
        <v>0.38183240472082236</v>
      </c>
      <c r="BA139" s="274">
        <f t="shared" si="105"/>
        <v>0.38183240472082236</v>
      </c>
      <c r="BB139" s="277">
        <f t="shared" si="105"/>
        <v>0.38183240472082236</v>
      </c>
      <c r="BC139" s="277">
        <f t="shared" si="105"/>
        <v>0.38183240472082236</v>
      </c>
      <c r="BD139" s="277">
        <f t="shared" si="105"/>
        <v>0.38183240472082236</v>
      </c>
      <c r="BE139" s="277">
        <f t="shared" si="105"/>
        <v>0.38183240472082236</v>
      </c>
      <c r="BF139" s="277">
        <f t="shared" si="105"/>
        <v>0.38183240472082236</v>
      </c>
      <c r="BG139" s="277">
        <f t="shared" si="105"/>
        <v>0.38183240472082236</v>
      </c>
      <c r="BH139" s="277">
        <f t="shared" si="105"/>
        <v>0.38183240472082236</v>
      </c>
      <c r="BI139" s="277">
        <f t="shared" si="105"/>
        <v>0.38183240472082236</v>
      </c>
      <c r="BJ139" s="277">
        <f t="shared" si="105"/>
        <v>0.38183240472082236</v>
      </c>
      <c r="BK139" s="277">
        <f t="shared" si="105"/>
        <v>0.38183240472082236</v>
      </c>
      <c r="BL139" s="277">
        <f t="shared" si="105"/>
        <v>0.38183240472082236</v>
      </c>
      <c r="BM139" s="277">
        <f t="shared" si="105"/>
        <v>0.38183240472082236</v>
      </c>
      <c r="BN139" s="277">
        <f t="shared" si="105"/>
        <v>0.38183240472082236</v>
      </c>
      <c r="BO139" s="277">
        <f t="shared" si="105"/>
        <v>0.38183240472082236</v>
      </c>
      <c r="BP139" s="277">
        <f t="shared" si="105"/>
        <v>0.38183240472082236</v>
      </c>
      <c r="BQ139" s="277">
        <f t="shared" si="105"/>
        <v>0.38183240472082236</v>
      </c>
      <c r="BR139" s="277">
        <f t="shared" si="105"/>
        <v>0.38183240472082236</v>
      </c>
      <c r="BS139" s="277">
        <f t="shared" si="105"/>
        <v>0.38183240472082236</v>
      </c>
      <c r="BT139" s="277">
        <f t="shared" si="105"/>
        <v>0.38183240472082236</v>
      </c>
      <c r="BU139" s="277">
        <f t="shared" si="105"/>
        <v>0.38183240472082236</v>
      </c>
    </row>
    <row r="140" spans="1:73" ht="12.6">
      <c r="A140" s="10"/>
      <c r="B140" s="10"/>
      <c r="C140" s="10"/>
      <c r="AR140" s="135"/>
      <c r="AS140" s="135"/>
      <c r="AT140" s="52"/>
      <c r="BA140" s="51"/>
    </row>
    <row r="141" spans="1:73" ht="12.6">
      <c r="A141" s="125" t="s">
        <v>682</v>
      </c>
      <c r="B141" s="246">
        <v>0</v>
      </c>
      <c r="C141" s="125" t="s">
        <v>682</v>
      </c>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c r="AA141" s="125"/>
      <c r="AB141" s="125"/>
      <c r="AC141" s="125"/>
      <c r="AD141" s="125"/>
      <c r="AE141" s="125"/>
      <c r="AF141" s="125"/>
      <c r="AG141" s="125"/>
      <c r="AH141" s="125"/>
      <c r="AI141" s="125"/>
      <c r="AJ141" s="125"/>
      <c r="AK141" s="125"/>
      <c r="AL141" s="125"/>
      <c r="AM141" s="125"/>
      <c r="AN141" s="125"/>
      <c r="AO141" s="125"/>
      <c r="AP141" s="125"/>
      <c r="AQ141" s="125"/>
      <c r="AR141" s="278"/>
      <c r="AS141" s="278"/>
      <c r="AT141" s="52"/>
      <c r="AU141" s="125"/>
      <c r="AV141" s="125"/>
      <c r="AW141" s="125"/>
      <c r="AX141" s="125"/>
      <c r="AY141" s="125"/>
      <c r="AZ141" s="125"/>
      <c r="BA141" s="274">
        <f>'Energy prices'!J72</f>
        <v>4.1351527823076571E-2</v>
      </c>
      <c r="BB141" s="279">
        <f t="shared" ref="BB141:BU141" si="106">$BA141</f>
        <v>4.1351527823076571E-2</v>
      </c>
      <c r="BC141" s="279">
        <f t="shared" si="106"/>
        <v>4.1351527823076571E-2</v>
      </c>
      <c r="BD141" s="279">
        <f t="shared" si="106"/>
        <v>4.1351527823076571E-2</v>
      </c>
      <c r="BE141" s="279">
        <f t="shared" si="106"/>
        <v>4.1351527823076571E-2</v>
      </c>
      <c r="BF141" s="279">
        <f t="shared" si="106"/>
        <v>4.1351527823076571E-2</v>
      </c>
      <c r="BG141" s="279">
        <f t="shared" si="106"/>
        <v>4.1351527823076571E-2</v>
      </c>
      <c r="BH141" s="279">
        <f t="shared" si="106"/>
        <v>4.1351527823076571E-2</v>
      </c>
      <c r="BI141" s="279">
        <f t="shared" si="106"/>
        <v>4.1351527823076571E-2</v>
      </c>
      <c r="BJ141" s="279">
        <f t="shared" si="106"/>
        <v>4.1351527823076571E-2</v>
      </c>
      <c r="BK141" s="279">
        <f t="shared" si="106"/>
        <v>4.1351527823076571E-2</v>
      </c>
      <c r="BL141" s="279">
        <f t="shared" si="106"/>
        <v>4.1351527823076571E-2</v>
      </c>
      <c r="BM141" s="279">
        <f t="shared" si="106"/>
        <v>4.1351527823076571E-2</v>
      </c>
      <c r="BN141" s="279">
        <f t="shared" si="106"/>
        <v>4.1351527823076571E-2</v>
      </c>
      <c r="BO141" s="279">
        <f t="shared" si="106"/>
        <v>4.1351527823076571E-2</v>
      </c>
      <c r="BP141" s="279">
        <f t="shared" si="106"/>
        <v>4.1351527823076571E-2</v>
      </c>
      <c r="BQ141" s="279">
        <f t="shared" si="106"/>
        <v>4.1351527823076571E-2</v>
      </c>
      <c r="BR141" s="279">
        <f t="shared" si="106"/>
        <v>4.1351527823076571E-2</v>
      </c>
      <c r="BS141" s="279">
        <f t="shared" si="106"/>
        <v>4.1351527823076571E-2</v>
      </c>
      <c r="BT141" s="279">
        <f t="shared" si="106"/>
        <v>4.1351527823076571E-2</v>
      </c>
      <c r="BU141" s="279">
        <f t="shared" si="106"/>
        <v>4.1351527823076571E-2</v>
      </c>
    </row>
    <row r="142" spans="1:73" ht="12.6">
      <c r="A142" s="125"/>
      <c r="B142" s="246">
        <v>0.01</v>
      </c>
      <c r="C142" s="125"/>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c r="AA142" s="125"/>
      <c r="AB142" s="125"/>
      <c r="AC142" s="125"/>
      <c r="AD142" s="125"/>
      <c r="AE142" s="125"/>
      <c r="AF142" s="125"/>
      <c r="AG142" s="125"/>
      <c r="AH142" s="125"/>
      <c r="AI142" s="125"/>
      <c r="AJ142" s="125"/>
      <c r="AK142" s="125"/>
      <c r="AL142" s="125"/>
      <c r="AM142" s="125"/>
      <c r="AN142" s="125"/>
      <c r="AO142" s="125"/>
      <c r="AP142" s="125"/>
      <c r="AQ142" s="125"/>
      <c r="AR142" s="278"/>
      <c r="AS142" s="278"/>
      <c r="AT142" s="52"/>
      <c r="AU142" s="125"/>
      <c r="AV142" s="125"/>
      <c r="AW142" s="125"/>
      <c r="AX142" s="125"/>
      <c r="AY142" s="125"/>
      <c r="AZ142" s="125"/>
      <c r="BA142" s="274">
        <f>'Energy prices'!J73</f>
        <v>4.7592881635747243E-2</v>
      </c>
      <c r="BB142" s="279">
        <f t="shared" ref="BB142:BU142" si="107">$BA142</f>
        <v>4.7592881635747243E-2</v>
      </c>
      <c r="BC142" s="279">
        <f t="shared" si="107"/>
        <v>4.7592881635747243E-2</v>
      </c>
      <c r="BD142" s="279">
        <f t="shared" si="107"/>
        <v>4.7592881635747243E-2</v>
      </c>
      <c r="BE142" s="279">
        <f t="shared" si="107"/>
        <v>4.7592881635747243E-2</v>
      </c>
      <c r="BF142" s="279">
        <f t="shared" si="107"/>
        <v>4.7592881635747243E-2</v>
      </c>
      <c r="BG142" s="279">
        <f t="shared" si="107"/>
        <v>4.7592881635747243E-2</v>
      </c>
      <c r="BH142" s="279">
        <f t="shared" si="107"/>
        <v>4.7592881635747243E-2</v>
      </c>
      <c r="BI142" s="279">
        <f t="shared" si="107"/>
        <v>4.7592881635747243E-2</v>
      </c>
      <c r="BJ142" s="279">
        <f t="shared" si="107"/>
        <v>4.7592881635747243E-2</v>
      </c>
      <c r="BK142" s="279">
        <f t="shared" si="107"/>
        <v>4.7592881635747243E-2</v>
      </c>
      <c r="BL142" s="279">
        <f t="shared" si="107"/>
        <v>4.7592881635747243E-2</v>
      </c>
      <c r="BM142" s="279">
        <f t="shared" si="107"/>
        <v>4.7592881635747243E-2</v>
      </c>
      <c r="BN142" s="279">
        <f t="shared" si="107"/>
        <v>4.7592881635747243E-2</v>
      </c>
      <c r="BO142" s="279">
        <f t="shared" si="107"/>
        <v>4.7592881635747243E-2</v>
      </c>
      <c r="BP142" s="279">
        <f t="shared" si="107"/>
        <v>4.7592881635747243E-2</v>
      </c>
      <c r="BQ142" s="279">
        <f t="shared" si="107"/>
        <v>4.7592881635747243E-2</v>
      </c>
      <c r="BR142" s="279">
        <f t="shared" si="107"/>
        <v>4.7592881635747243E-2</v>
      </c>
      <c r="BS142" s="279">
        <f t="shared" si="107"/>
        <v>4.7592881635747243E-2</v>
      </c>
      <c r="BT142" s="279">
        <f t="shared" si="107"/>
        <v>4.7592881635747243E-2</v>
      </c>
      <c r="BU142" s="279">
        <f t="shared" si="107"/>
        <v>4.7592881635747243E-2</v>
      </c>
    </row>
    <row r="143" spans="1:73" ht="12.6">
      <c r="A143" s="125"/>
      <c r="B143" s="246">
        <v>0.05</v>
      </c>
      <c r="C143" s="125"/>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c r="AA143" s="125"/>
      <c r="AB143" s="125"/>
      <c r="AC143" s="125"/>
      <c r="AD143" s="125"/>
      <c r="AE143" s="125"/>
      <c r="AF143" s="125"/>
      <c r="AG143" s="125"/>
      <c r="AH143" s="125"/>
      <c r="AI143" s="125"/>
      <c r="AJ143" s="125"/>
      <c r="AK143" s="125"/>
      <c r="AL143" s="125"/>
      <c r="AM143" s="125"/>
      <c r="AN143" s="125"/>
      <c r="AO143" s="125"/>
      <c r="AP143" s="125"/>
      <c r="AQ143" s="125"/>
      <c r="AR143" s="278"/>
      <c r="AS143" s="278"/>
      <c r="AT143" s="52"/>
      <c r="AU143" s="125"/>
      <c r="AV143" s="125"/>
      <c r="AW143" s="125"/>
      <c r="AX143" s="125"/>
      <c r="AY143" s="125"/>
      <c r="AZ143" s="125"/>
      <c r="BA143" s="274">
        <f>'Energy prices'!J74</f>
        <v>8.090638821909675E-2</v>
      </c>
      <c r="BB143" s="279">
        <f t="shared" ref="BB143:BU143" si="108">$BA143</f>
        <v>8.090638821909675E-2</v>
      </c>
      <c r="BC143" s="279">
        <f t="shared" si="108"/>
        <v>8.090638821909675E-2</v>
      </c>
      <c r="BD143" s="279">
        <f t="shared" si="108"/>
        <v>8.090638821909675E-2</v>
      </c>
      <c r="BE143" s="279">
        <f t="shared" si="108"/>
        <v>8.090638821909675E-2</v>
      </c>
      <c r="BF143" s="279">
        <f t="shared" si="108"/>
        <v>8.090638821909675E-2</v>
      </c>
      <c r="BG143" s="279">
        <f t="shared" si="108"/>
        <v>8.090638821909675E-2</v>
      </c>
      <c r="BH143" s="279">
        <f t="shared" si="108"/>
        <v>8.090638821909675E-2</v>
      </c>
      <c r="BI143" s="279">
        <f t="shared" si="108"/>
        <v>8.090638821909675E-2</v>
      </c>
      <c r="BJ143" s="279">
        <f t="shared" si="108"/>
        <v>8.090638821909675E-2</v>
      </c>
      <c r="BK143" s="279">
        <f t="shared" si="108"/>
        <v>8.090638821909675E-2</v>
      </c>
      <c r="BL143" s="279">
        <f t="shared" si="108"/>
        <v>8.090638821909675E-2</v>
      </c>
      <c r="BM143" s="279">
        <f t="shared" si="108"/>
        <v>8.090638821909675E-2</v>
      </c>
      <c r="BN143" s="279">
        <f t="shared" si="108"/>
        <v>8.090638821909675E-2</v>
      </c>
      <c r="BO143" s="279">
        <f t="shared" si="108"/>
        <v>8.090638821909675E-2</v>
      </c>
      <c r="BP143" s="279">
        <f t="shared" si="108"/>
        <v>8.090638821909675E-2</v>
      </c>
      <c r="BQ143" s="279">
        <f t="shared" si="108"/>
        <v>8.090638821909675E-2</v>
      </c>
      <c r="BR143" s="279">
        <f t="shared" si="108"/>
        <v>8.090638821909675E-2</v>
      </c>
      <c r="BS143" s="279">
        <f t="shared" si="108"/>
        <v>8.090638821909675E-2</v>
      </c>
      <c r="BT143" s="279">
        <f t="shared" si="108"/>
        <v>8.090638821909675E-2</v>
      </c>
      <c r="BU143" s="279">
        <f t="shared" si="108"/>
        <v>8.090638821909675E-2</v>
      </c>
    </row>
    <row r="144" spans="1:73" ht="12.6">
      <c r="A144" s="125"/>
      <c r="B144" s="246">
        <v>0.1</v>
      </c>
      <c r="C144" s="125"/>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c r="AA144" s="125"/>
      <c r="AB144" s="125"/>
      <c r="AC144" s="125"/>
      <c r="AD144" s="125"/>
      <c r="AE144" s="125"/>
      <c r="AF144" s="125"/>
      <c r="AG144" s="125"/>
      <c r="AH144" s="125"/>
      <c r="AI144" s="125"/>
      <c r="AJ144" s="125"/>
      <c r="AK144" s="125"/>
      <c r="AL144" s="125"/>
      <c r="AM144" s="125"/>
      <c r="AN144" s="125"/>
      <c r="AO144" s="125"/>
      <c r="AP144" s="125"/>
      <c r="AQ144" s="125"/>
      <c r="AR144" s="278"/>
      <c r="AS144" s="278"/>
      <c r="AT144" s="51"/>
      <c r="AU144" s="125"/>
      <c r="AV144" s="125"/>
      <c r="AW144" s="125"/>
      <c r="AX144" s="125"/>
      <c r="AY144" s="125"/>
      <c r="AZ144" s="125"/>
      <c r="BA144" s="274">
        <f>'Energy prices'!J75</f>
        <v>0.11963288142463195</v>
      </c>
      <c r="BB144" s="279">
        <f t="shared" ref="BB144:BU144" si="109">$BA144</f>
        <v>0.11963288142463195</v>
      </c>
      <c r="BC144" s="279">
        <f t="shared" si="109"/>
        <v>0.11963288142463195</v>
      </c>
      <c r="BD144" s="279">
        <f t="shared" si="109"/>
        <v>0.11963288142463195</v>
      </c>
      <c r="BE144" s="279">
        <f t="shared" si="109"/>
        <v>0.11963288142463195</v>
      </c>
      <c r="BF144" s="279">
        <f t="shared" si="109"/>
        <v>0.11963288142463195</v>
      </c>
      <c r="BG144" s="279">
        <f t="shared" si="109"/>
        <v>0.11963288142463195</v>
      </c>
      <c r="BH144" s="279">
        <f t="shared" si="109"/>
        <v>0.11963288142463195</v>
      </c>
      <c r="BI144" s="279">
        <f t="shared" si="109"/>
        <v>0.11963288142463195</v>
      </c>
      <c r="BJ144" s="279">
        <f t="shared" si="109"/>
        <v>0.11963288142463195</v>
      </c>
      <c r="BK144" s="279">
        <f t="shared" si="109"/>
        <v>0.11963288142463195</v>
      </c>
      <c r="BL144" s="279">
        <f t="shared" si="109"/>
        <v>0.11963288142463195</v>
      </c>
      <c r="BM144" s="279">
        <f t="shared" si="109"/>
        <v>0.11963288142463195</v>
      </c>
      <c r="BN144" s="279">
        <f t="shared" si="109"/>
        <v>0.11963288142463195</v>
      </c>
      <c r="BO144" s="279">
        <f t="shared" si="109"/>
        <v>0.11963288142463195</v>
      </c>
      <c r="BP144" s="279">
        <f t="shared" si="109"/>
        <v>0.11963288142463195</v>
      </c>
      <c r="BQ144" s="279">
        <f t="shared" si="109"/>
        <v>0.11963288142463195</v>
      </c>
      <c r="BR144" s="279">
        <f t="shared" si="109"/>
        <v>0.11963288142463195</v>
      </c>
      <c r="BS144" s="279">
        <f t="shared" si="109"/>
        <v>0.11963288142463195</v>
      </c>
      <c r="BT144" s="279">
        <f t="shared" si="109"/>
        <v>0.11963288142463195</v>
      </c>
      <c r="BU144" s="279">
        <f t="shared" si="109"/>
        <v>0.11963288142463195</v>
      </c>
    </row>
    <row r="145" spans="1:73" ht="12.6">
      <c r="A145" s="10" t="s">
        <v>683</v>
      </c>
      <c r="B145" s="10"/>
      <c r="C145" s="10"/>
      <c r="AR145" s="135"/>
      <c r="AS145" s="135"/>
      <c r="AT145" s="51"/>
      <c r="BA145" s="51"/>
    </row>
    <row r="146" spans="1:73" ht="12.6">
      <c r="A146" s="10"/>
      <c r="B146" s="10"/>
      <c r="C146" s="10"/>
      <c r="AR146" s="135"/>
      <c r="AS146" s="135"/>
      <c r="AT146" s="51"/>
      <c r="BA146" s="51"/>
    </row>
    <row r="147" spans="1:73" ht="12.6">
      <c r="A147" s="280" t="s">
        <v>684</v>
      </c>
      <c r="B147" s="281">
        <v>0</v>
      </c>
      <c r="C147" s="280" t="s">
        <v>684</v>
      </c>
      <c r="D147" s="280"/>
      <c r="E147" s="280"/>
      <c r="F147" s="280"/>
      <c r="G147" s="280"/>
      <c r="H147" s="280"/>
      <c r="I147" s="280"/>
      <c r="J147" s="280"/>
      <c r="K147" s="280"/>
      <c r="L147" s="280"/>
      <c r="M147" s="280"/>
      <c r="N147" s="280"/>
      <c r="O147" s="280"/>
      <c r="P147" s="280"/>
      <c r="Q147" s="280"/>
      <c r="R147" s="280"/>
      <c r="S147" s="280"/>
      <c r="T147" s="280"/>
      <c r="U147" s="280"/>
      <c r="V147" s="280"/>
      <c r="W147" s="280"/>
      <c r="X147" s="280"/>
      <c r="Y147" s="280"/>
      <c r="Z147" s="280"/>
      <c r="AA147" s="280"/>
      <c r="AB147" s="280"/>
      <c r="AC147" s="280"/>
      <c r="AD147" s="280"/>
      <c r="AE147" s="280"/>
      <c r="AF147" s="280"/>
      <c r="AG147" s="280"/>
      <c r="AH147" s="280"/>
      <c r="AI147" s="280"/>
      <c r="AJ147" s="280"/>
      <c r="AK147" s="280"/>
      <c r="AL147" s="280"/>
      <c r="AM147" s="280"/>
      <c r="AN147" s="280"/>
      <c r="AO147" s="280"/>
      <c r="AP147" s="280"/>
      <c r="AQ147" s="280"/>
      <c r="AR147" s="282"/>
      <c r="AS147" s="282"/>
      <c r="AT147" s="51"/>
      <c r="AU147" s="280"/>
      <c r="AV147" s="280"/>
      <c r="AW147" s="280"/>
      <c r="AX147" s="280"/>
      <c r="AY147" s="280"/>
      <c r="AZ147" s="280"/>
      <c r="BA147" s="274">
        <f>'Energy prices'!J139</f>
        <v>0.124437723848373</v>
      </c>
      <c r="BB147" s="283">
        <f t="shared" ref="BB147:BU147" si="110">$BA147</f>
        <v>0.124437723848373</v>
      </c>
      <c r="BC147" s="283">
        <f t="shared" si="110"/>
        <v>0.124437723848373</v>
      </c>
      <c r="BD147" s="283">
        <f t="shared" si="110"/>
        <v>0.124437723848373</v>
      </c>
      <c r="BE147" s="283">
        <f t="shared" si="110"/>
        <v>0.124437723848373</v>
      </c>
      <c r="BF147" s="283">
        <f t="shared" si="110"/>
        <v>0.124437723848373</v>
      </c>
      <c r="BG147" s="283">
        <f t="shared" si="110"/>
        <v>0.124437723848373</v>
      </c>
      <c r="BH147" s="283">
        <f t="shared" si="110"/>
        <v>0.124437723848373</v>
      </c>
      <c r="BI147" s="283">
        <f t="shared" si="110"/>
        <v>0.124437723848373</v>
      </c>
      <c r="BJ147" s="283">
        <f t="shared" si="110"/>
        <v>0.124437723848373</v>
      </c>
      <c r="BK147" s="283">
        <f t="shared" si="110"/>
        <v>0.124437723848373</v>
      </c>
      <c r="BL147" s="283">
        <f t="shared" si="110"/>
        <v>0.124437723848373</v>
      </c>
      <c r="BM147" s="283">
        <f t="shared" si="110"/>
        <v>0.124437723848373</v>
      </c>
      <c r="BN147" s="283">
        <f t="shared" si="110"/>
        <v>0.124437723848373</v>
      </c>
      <c r="BO147" s="283">
        <f t="shared" si="110"/>
        <v>0.124437723848373</v>
      </c>
      <c r="BP147" s="283">
        <f t="shared" si="110"/>
        <v>0.124437723848373</v>
      </c>
      <c r="BQ147" s="283">
        <f t="shared" si="110"/>
        <v>0.124437723848373</v>
      </c>
      <c r="BR147" s="283">
        <f t="shared" si="110"/>
        <v>0.124437723848373</v>
      </c>
      <c r="BS147" s="283">
        <f t="shared" si="110"/>
        <v>0.124437723848373</v>
      </c>
      <c r="BT147" s="283">
        <f t="shared" si="110"/>
        <v>0.124437723848373</v>
      </c>
      <c r="BU147" s="283">
        <f t="shared" si="110"/>
        <v>0.124437723848373</v>
      </c>
    </row>
    <row r="148" spans="1:73" ht="12.6">
      <c r="A148" s="280"/>
      <c r="B148" s="281">
        <v>0.01</v>
      </c>
      <c r="C148" s="280"/>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c r="AB148" s="280"/>
      <c r="AC148" s="280"/>
      <c r="AD148" s="280"/>
      <c r="AE148" s="280"/>
      <c r="AF148" s="280"/>
      <c r="AG148" s="280"/>
      <c r="AH148" s="280"/>
      <c r="AI148" s="280"/>
      <c r="AJ148" s="280"/>
      <c r="AK148" s="280"/>
      <c r="AL148" s="280"/>
      <c r="AM148" s="280"/>
      <c r="AN148" s="280"/>
      <c r="AO148" s="280"/>
      <c r="AP148" s="280"/>
      <c r="AQ148" s="280"/>
      <c r="AR148" s="282"/>
      <c r="AS148" s="282"/>
      <c r="AT148" s="51"/>
      <c r="AU148" s="280"/>
      <c r="AV148" s="280"/>
      <c r="AW148" s="280"/>
      <c r="AX148" s="280"/>
      <c r="AY148" s="280"/>
      <c r="AZ148" s="280"/>
      <c r="BA148" s="274">
        <f>'Energy prices'!J140</f>
        <v>0.13329087685470734</v>
      </c>
      <c r="BB148" s="283">
        <f t="shared" ref="BB148:BU148" si="111">$BA148</f>
        <v>0.13329087685470734</v>
      </c>
      <c r="BC148" s="283">
        <f t="shared" si="111"/>
        <v>0.13329087685470734</v>
      </c>
      <c r="BD148" s="283">
        <f t="shared" si="111"/>
        <v>0.13329087685470734</v>
      </c>
      <c r="BE148" s="283">
        <f t="shared" si="111"/>
        <v>0.13329087685470734</v>
      </c>
      <c r="BF148" s="283">
        <f t="shared" si="111"/>
        <v>0.13329087685470734</v>
      </c>
      <c r="BG148" s="283">
        <f t="shared" si="111"/>
        <v>0.13329087685470734</v>
      </c>
      <c r="BH148" s="283">
        <f t="shared" si="111"/>
        <v>0.13329087685470734</v>
      </c>
      <c r="BI148" s="283">
        <f t="shared" si="111"/>
        <v>0.13329087685470734</v>
      </c>
      <c r="BJ148" s="283">
        <f t="shared" si="111"/>
        <v>0.13329087685470734</v>
      </c>
      <c r="BK148" s="283">
        <f t="shared" si="111"/>
        <v>0.13329087685470734</v>
      </c>
      <c r="BL148" s="283">
        <f t="shared" si="111"/>
        <v>0.13329087685470734</v>
      </c>
      <c r="BM148" s="283">
        <f t="shared" si="111"/>
        <v>0.13329087685470734</v>
      </c>
      <c r="BN148" s="283">
        <f t="shared" si="111"/>
        <v>0.13329087685470734</v>
      </c>
      <c r="BO148" s="283">
        <f t="shared" si="111"/>
        <v>0.13329087685470734</v>
      </c>
      <c r="BP148" s="283">
        <f t="shared" si="111"/>
        <v>0.13329087685470734</v>
      </c>
      <c r="BQ148" s="283">
        <f t="shared" si="111"/>
        <v>0.13329087685470734</v>
      </c>
      <c r="BR148" s="283">
        <f t="shared" si="111"/>
        <v>0.13329087685470734</v>
      </c>
      <c r="BS148" s="283">
        <f t="shared" si="111"/>
        <v>0.13329087685470734</v>
      </c>
      <c r="BT148" s="283">
        <f t="shared" si="111"/>
        <v>0.13329087685470734</v>
      </c>
      <c r="BU148" s="283">
        <f t="shared" si="111"/>
        <v>0.13329087685470734</v>
      </c>
    </row>
    <row r="149" spans="1:73" ht="12.6">
      <c r="A149" s="280"/>
      <c r="B149" s="281">
        <v>0.05</v>
      </c>
      <c r="C149" s="280"/>
      <c r="D149" s="280"/>
      <c r="E149" s="280"/>
      <c r="F149" s="280"/>
      <c r="G149" s="280"/>
      <c r="H149" s="280"/>
      <c r="I149" s="280"/>
      <c r="J149" s="280"/>
      <c r="K149" s="280"/>
      <c r="L149" s="280"/>
      <c r="M149" s="280"/>
      <c r="N149" s="280"/>
      <c r="O149" s="280"/>
      <c r="P149" s="280"/>
      <c r="Q149" s="280"/>
      <c r="R149" s="280"/>
      <c r="S149" s="280"/>
      <c r="T149" s="280"/>
      <c r="U149" s="280"/>
      <c r="V149" s="280"/>
      <c r="W149" s="280"/>
      <c r="X149" s="280"/>
      <c r="Y149" s="280"/>
      <c r="Z149" s="280"/>
      <c r="AA149" s="280"/>
      <c r="AB149" s="280"/>
      <c r="AC149" s="280"/>
      <c r="AD149" s="280"/>
      <c r="AE149" s="280"/>
      <c r="AF149" s="280"/>
      <c r="AG149" s="280"/>
      <c r="AH149" s="280"/>
      <c r="AI149" s="280"/>
      <c r="AJ149" s="280"/>
      <c r="AK149" s="280"/>
      <c r="AL149" s="280"/>
      <c r="AM149" s="280"/>
      <c r="AN149" s="280"/>
      <c r="AO149" s="280"/>
      <c r="AP149" s="280"/>
      <c r="AQ149" s="280"/>
      <c r="AR149" s="282"/>
      <c r="AS149" s="282"/>
      <c r="AT149" s="51"/>
      <c r="AU149" s="280"/>
      <c r="AV149" s="280"/>
      <c r="AW149" s="280"/>
      <c r="AX149" s="280"/>
      <c r="AY149" s="280"/>
      <c r="AZ149" s="280"/>
      <c r="BA149" s="274">
        <f>'Energy prices'!J141</f>
        <v>0.17626325975796148</v>
      </c>
      <c r="BB149" s="283">
        <f t="shared" ref="BB149:BU149" si="112">$BA149</f>
        <v>0.17626325975796148</v>
      </c>
      <c r="BC149" s="283">
        <f t="shared" si="112"/>
        <v>0.17626325975796148</v>
      </c>
      <c r="BD149" s="283">
        <f t="shared" si="112"/>
        <v>0.17626325975796148</v>
      </c>
      <c r="BE149" s="283">
        <f t="shared" si="112"/>
        <v>0.17626325975796148</v>
      </c>
      <c r="BF149" s="283">
        <f t="shared" si="112"/>
        <v>0.17626325975796148</v>
      </c>
      <c r="BG149" s="283">
        <f t="shared" si="112"/>
        <v>0.17626325975796148</v>
      </c>
      <c r="BH149" s="283">
        <f t="shared" si="112"/>
        <v>0.17626325975796148</v>
      </c>
      <c r="BI149" s="283">
        <f t="shared" si="112"/>
        <v>0.17626325975796148</v>
      </c>
      <c r="BJ149" s="283">
        <f t="shared" si="112"/>
        <v>0.17626325975796148</v>
      </c>
      <c r="BK149" s="283">
        <f t="shared" si="112"/>
        <v>0.17626325975796148</v>
      </c>
      <c r="BL149" s="283">
        <f t="shared" si="112"/>
        <v>0.17626325975796148</v>
      </c>
      <c r="BM149" s="283">
        <f t="shared" si="112"/>
        <v>0.17626325975796148</v>
      </c>
      <c r="BN149" s="283">
        <f t="shared" si="112"/>
        <v>0.17626325975796148</v>
      </c>
      <c r="BO149" s="283">
        <f t="shared" si="112"/>
        <v>0.17626325975796148</v>
      </c>
      <c r="BP149" s="283">
        <f t="shared" si="112"/>
        <v>0.17626325975796148</v>
      </c>
      <c r="BQ149" s="283">
        <f t="shared" si="112"/>
        <v>0.17626325975796148</v>
      </c>
      <c r="BR149" s="283">
        <f t="shared" si="112"/>
        <v>0.17626325975796148</v>
      </c>
      <c r="BS149" s="283">
        <f t="shared" si="112"/>
        <v>0.17626325975796148</v>
      </c>
      <c r="BT149" s="283">
        <f t="shared" si="112"/>
        <v>0.17626325975796148</v>
      </c>
      <c r="BU149" s="283">
        <f t="shared" si="112"/>
        <v>0.17626325975796148</v>
      </c>
    </row>
    <row r="150" spans="1:73" ht="12.6">
      <c r="A150" s="280"/>
      <c r="B150" s="281">
        <v>0.1</v>
      </c>
      <c r="C150" s="280"/>
      <c r="D150" s="280"/>
      <c r="E150" s="280"/>
      <c r="F150" s="280"/>
      <c r="G150" s="280"/>
      <c r="H150" s="280"/>
      <c r="I150" s="280"/>
      <c r="J150" s="280"/>
      <c r="K150" s="280"/>
      <c r="L150" s="280"/>
      <c r="M150" s="280"/>
      <c r="N150" s="280"/>
      <c r="O150" s="280"/>
      <c r="P150" s="280"/>
      <c r="Q150" s="280"/>
      <c r="R150" s="280"/>
      <c r="S150" s="280"/>
      <c r="T150" s="280"/>
      <c r="U150" s="280"/>
      <c r="V150" s="280"/>
      <c r="W150" s="280"/>
      <c r="X150" s="280"/>
      <c r="Y150" s="280"/>
      <c r="Z150" s="280"/>
      <c r="AA150" s="280"/>
      <c r="AB150" s="280"/>
      <c r="AC150" s="280"/>
      <c r="AD150" s="280"/>
      <c r="AE150" s="280"/>
      <c r="AF150" s="280"/>
      <c r="AG150" s="280"/>
      <c r="AH150" s="280"/>
      <c r="AI150" s="280"/>
      <c r="AJ150" s="280"/>
      <c r="AK150" s="280"/>
      <c r="AL150" s="280"/>
      <c r="AM150" s="280"/>
      <c r="AN150" s="280"/>
      <c r="AO150" s="280"/>
      <c r="AP150" s="280"/>
      <c r="AQ150" s="280"/>
      <c r="AR150" s="282"/>
      <c r="AS150" s="282"/>
      <c r="AT150" s="51"/>
      <c r="AU150" s="280"/>
      <c r="AV150" s="280"/>
      <c r="AW150" s="280"/>
      <c r="AX150" s="280"/>
      <c r="AY150" s="280"/>
      <c r="AZ150" s="280"/>
      <c r="BA150" s="274">
        <f>'Energy prices'!J142</f>
        <v>0.22309496647654675</v>
      </c>
      <c r="BB150" s="283">
        <f t="shared" ref="BB150:BU150" si="113">$BA150</f>
        <v>0.22309496647654675</v>
      </c>
      <c r="BC150" s="283">
        <f t="shared" si="113"/>
        <v>0.22309496647654675</v>
      </c>
      <c r="BD150" s="283">
        <f t="shared" si="113"/>
        <v>0.22309496647654675</v>
      </c>
      <c r="BE150" s="283">
        <f t="shared" si="113"/>
        <v>0.22309496647654675</v>
      </c>
      <c r="BF150" s="283">
        <f t="shared" si="113"/>
        <v>0.22309496647654675</v>
      </c>
      <c r="BG150" s="283">
        <f t="shared" si="113"/>
        <v>0.22309496647654675</v>
      </c>
      <c r="BH150" s="283">
        <f t="shared" si="113"/>
        <v>0.22309496647654675</v>
      </c>
      <c r="BI150" s="283">
        <f t="shared" si="113"/>
        <v>0.22309496647654675</v>
      </c>
      <c r="BJ150" s="283">
        <f t="shared" si="113"/>
        <v>0.22309496647654675</v>
      </c>
      <c r="BK150" s="283">
        <f t="shared" si="113"/>
        <v>0.22309496647654675</v>
      </c>
      <c r="BL150" s="283">
        <f t="shared" si="113"/>
        <v>0.22309496647654675</v>
      </c>
      <c r="BM150" s="283">
        <f t="shared" si="113"/>
        <v>0.22309496647654675</v>
      </c>
      <c r="BN150" s="283">
        <f t="shared" si="113"/>
        <v>0.22309496647654675</v>
      </c>
      <c r="BO150" s="283">
        <f t="shared" si="113"/>
        <v>0.22309496647654675</v>
      </c>
      <c r="BP150" s="283">
        <f t="shared" si="113"/>
        <v>0.22309496647654675</v>
      </c>
      <c r="BQ150" s="283">
        <f t="shared" si="113"/>
        <v>0.22309496647654675</v>
      </c>
      <c r="BR150" s="283">
        <f t="shared" si="113"/>
        <v>0.22309496647654675</v>
      </c>
      <c r="BS150" s="283">
        <f t="shared" si="113"/>
        <v>0.22309496647654675</v>
      </c>
      <c r="BT150" s="283">
        <f t="shared" si="113"/>
        <v>0.22309496647654675</v>
      </c>
      <c r="BU150" s="283">
        <f t="shared" si="113"/>
        <v>0.22309496647654675</v>
      </c>
    </row>
    <row r="151" spans="1:73" ht="12.6">
      <c r="A151" s="10" t="s">
        <v>685</v>
      </c>
      <c r="B151" s="10"/>
      <c r="C151" s="10"/>
      <c r="AR151" s="135"/>
      <c r="AS151" s="135"/>
      <c r="AT151" s="51"/>
      <c r="BA151" s="51"/>
    </row>
    <row r="152" spans="1:73" ht="12.6">
      <c r="A152" s="10"/>
      <c r="B152" s="10"/>
      <c r="C152" s="10"/>
      <c r="AR152" s="135">
        <f ca="1">(AR154/D154)^(1/($AR$153-$D$153))-1</f>
        <v>3.9484670138052236E-2</v>
      </c>
      <c r="AS152" s="135">
        <f ca="1">(AS154/D154)^(1/($AS$153-$D$153))-1</f>
        <v>4.1737762177632476E-2</v>
      </c>
      <c r="AT152" s="51"/>
      <c r="BA152" s="51"/>
    </row>
    <row r="153" spans="1:73" ht="12.6">
      <c r="A153" s="10"/>
      <c r="B153" s="10"/>
      <c r="C153" s="10" t="s">
        <v>416</v>
      </c>
      <c r="D153" s="10">
        <v>1981</v>
      </c>
      <c r="E153" s="10">
        <v>1982</v>
      </c>
      <c r="F153" s="10">
        <v>1983</v>
      </c>
      <c r="G153" s="10">
        <v>1984</v>
      </c>
      <c r="H153" s="10">
        <v>1985</v>
      </c>
      <c r="I153" s="10">
        <v>1986</v>
      </c>
      <c r="J153" s="10">
        <v>1987</v>
      </c>
      <c r="K153" s="10">
        <v>1988</v>
      </c>
      <c r="L153" s="10">
        <v>1989</v>
      </c>
      <c r="M153" s="10">
        <v>1990</v>
      </c>
      <c r="N153" s="10">
        <v>1991</v>
      </c>
      <c r="O153" s="10">
        <v>1992</v>
      </c>
      <c r="P153" s="10">
        <v>1993</v>
      </c>
      <c r="Q153" s="10">
        <v>1994</v>
      </c>
      <c r="R153" s="10">
        <v>1995</v>
      </c>
      <c r="S153" s="10">
        <v>1996</v>
      </c>
      <c r="T153" s="10">
        <v>1997</v>
      </c>
      <c r="U153" s="10">
        <v>1998</v>
      </c>
      <c r="V153" s="10">
        <v>1999</v>
      </c>
      <c r="W153" s="10">
        <v>2000</v>
      </c>
      <c r="X153" s="10">
        <v>2001</v>
      </c>
      <c r="Y153" s="10">
        <v>2002</v>
      </c>
      <c r="Z153" s="10">
        <v>2003</v>
      </c>
      <c r="AA153" s="10">
        <v>2004</v>
      </c>
      <c r="AB153" s="10">
        <v>2005</v>
      </c>
      <c r="AC153" s="10">
        <v>2006</v>
      </c>
      <c r="AD153" s="10">
        <v>2007</v>
      </c>
      <c r="AE153" s="10">
        <v>2008</v>
      </c>
      <c r="AF153" s="10">
        <v>2009</v>
      </c>
      <c r="AG153" s="10">
        <v>2010</v>
      </c>
      <c r="AH153" s="10">
        <v>2011</v>
      </c>
      <c r="AI153" s="10">
        <v>2012</v>
      </c>
      <c r="AJ153" s="10">
        <v>2013</v>
      </c>
      <c r="AK153" s="10">
        <v>2014</v>
      </c>
      <c r="AL153" s="10">
        <v>2015</v>
      </c>
      <c r="AM153" s="10">
        <v>2016</v>
      </c>
      <c r="AN153" s="10">
        <v>2017</v>
      </c>
      <c r="AO153" s="10">
        <v>2018</v>
      </c>
      <c r="AP153" s="10">
        <v>2019</v>
      </c>
      <c r="AQ153" s="10">
        <v>2020</v>
      </c>
      <c r="AR153" s="10">
        <v>2021</v>
      </c>
      <c r="AS153" s="10">
        <v>2022</v>
      </c>
      <c r="AT153" s="51">
        <v>2023</v>
      </c>
      <c r="AU153" s="10">
        <v>2024</v>
      </c>
      <c r="AV153" s="10">
        <v>2025</v>
      </c>
      <c r="AW153" s="10">
        <v>2026</v>
      </c>
      <c r="AX153" s="10">
        <v>2027</v>
      </c>
      <c r="AY153" s="10">
        <v>2028</v>
      </c>
      <c r="AZ153" s="10">
        <v>2029</v>
      </c>
      <c r="BA153" s="51">
        <v>2030</v>
      </c>
      <c r="BB153" s="10">
        <v>2031</v>
      </c>
      <c r="BC153" s="10">
        <v>2032</v>
      </c>
      <c r="BD153" s="10">
        <v>2033</v>
      </c>
      <c r="BE153" s="10">
        <v>2034</v>
      </c>
      <c r="BF153" s="10">
        <v>2035</v>
      </c>
      <c r="BG153" s="10">
        <v>2036</v>
      </c>
      <c r="BH153" s="10">
        <v>2037</v>
      </c>
      <c r="BI153" s="10">
        <v>2038</v>
      </c>
      <c r="BJ153" s="10">
        <v>2039</v>
      </c>
      <c r="BK153" s="10">
        <v>2040</v>
      </c>
      <c r="BL153" s="10">
        <v>2041</v>
      </c>
      <c r="BM153" s="10">
        <v>2042</v>
      </c>
      <c r="BN153" s="10">
        <v>2043</v>
      </c>
      <c r="BO153" s="10">
        <v>2044</v>
      </c>
      <c r="BP153" s="10">
        <v>2045</v>
      </c>
      <c r="BQ153" s="10">
        <v>2046</v>
      </c>
      <c r="BR153" s="10">
        <v>2047</v>
      </c>
      <c r="BS153" s="10">
        <v>2048</v>
      </c>
      <c r="BT153" s="10">
        <v>2049</v>
      </c>
      <c r="BU153" s="10">
        <v>2050</v>
      </c>
    </row>
    <row r="154" spans="1:73" ht="12.6">
      <c r="A154" s="9"/>
      <c r="B154" s="9"/>
      <c r="C154" s="9" t="s">
        <v>686</v>
      </c>
      <c r="D154" s="145">
        <f ca="1">((($B$155*D39)+($B$156*D43)+($B$157*D44)+($B$158*D45)+($B$159*D46)+($B$160*D47)+($B$161*D48))*365.25)+(Machines!$D$291*(D18/$AT18))</f>
        <v>1376.3646837403435</v>
      </c>
      <c r="E154" s="145">
        <f ca="1">((($B$155*E39)+($B$156*E43)+($B$157*E44)+($B$158*E45)+($B$159*E46)+($B$160*E47)+($B$161*E48))*365.25)+(Machines!$D$291*(E18/$AT18))</f>
        <v>1571.9491433464138</v>
      </c>
      <c r="F154" s="145">
        <f ca="1">((($B$155*F39)+($B$156*F43)+($B$157*F44)+($B$158*F45)+($B$159*F46)+($B$160*F47)+($B$161*F48))*365.25)+(Machines!$D$291*(F18/$AT18))</f>
        <v>1653.3111535637004</v>
      </c>
      <c r="G154" s="145">
        <f ca="1">((($B$155*G39)+($B$156*G43)+($B$157*G44)+($B$158*G45)+($B$159*G46)+($B$160*G47)+($B$161*G48))*365.25)+(Machines!$D$291*(G18/$AT18))</f>
        <v>1797.3203159567845</v>
      </c>
      <c r="H154" s="145">
        <f ca="1">((($B$155*H39)+($B$156*H43)+($B$157*H44)+($B$158*H45)+($B$159*H46)+($B$160*H47)+($B$161*H48))*365.25)+(Machines!$D$291*(H18/$AT18))</f>
        <v>2132.8514015550322</v>
      </c>
      <c r="I154" s="145">
        <f ca="1">((($B$155*I39)+($B$156*I43)+($B$157*I44)+($B$158*I45)+($B$159*I46)+($B$160*I47)+($B$161*I48))*365.25)+(Machines!$D$291*(I18/$AT18))</f>
        <v>2023.122299454101</v>
      </c>
      <c r="J154" s="145">
        <f ca="1">((($B$155*J39)+($B$156*J43)+($B$157*J44)+($B$158*J45)+($B$159*J46)+($B$160*J47)+($B$161*J48))*365.25)+(Machines!$D$291*(J18/$AT18))</f>
        <v>2242.9746587577306</v>
      </c>
      <c r="K154" s="145">
        <f ca="1">((($B$155*K39)+($B$156*K43)+($B$157*K44)+($B$158*K45)+($B$159*K46)+($B$160*K47)+($B$161*K48))*365.25)+(Machines!$D$291*(K18/$AT18))</f>
        <v>2263.8778327556406</v>
      </c>
      <c r="L154" s="145">
        <f ca="1">((($B$155*L39)+($B$156*L43)+($B$157*L44)+($B$158*L45)+($B$159*L46)+($B$160*L47)+($B$161*L48))*365.25)+(Machines!$D$291*(L18/$AT18))</f>
        <v>2303.709673681898</v>
      </c>
      <c r="M154" s="145">
        <f ca="1">((($B$155*M39)+($B$156*M43)+($B$157*M44)+($B$158*M45)+($B$159*M46)+($B$160*M47)+($B$161*M48))*365.25)+(Machines!$D$291*(M18/$AT18))</f>
        <v>2439.7125998310553</v>
      </c>
      <c r="N154" s="145">
        <f ca="1">((($B$155*N39)+($B$156*N43)+($B$157*N44)+($B$158*N45)+($B$159*N46)+($B$160*N47)+($B$161*N48))*365.25)+(Machines!$D$291*(N18/$AT18))</f>
        <v>2523.0675190330116</v>
      </c>
      <c r="O154" s="145">
        <f ca="1">((($B$155*O39)+($B$156*O43)+($B$157*O44)+($B$158*O45)+($B$159*O46)+($B$160*O47)+($B$161*O48))*365.25)+(Machines!$D$291*(O18/$AT18))</f>
        <v>2571.5456553723548</v>
      </c>
      <c r="P154" s="145">
        <f ca="1">((($B$155*P39)+($B$156*P43)+($B$157*P44)+($B$158*P45)+($B$159*P46)+($B$160*P47)+($B$161*P48))*365.25)+(Machines!$D$291*(P18/$AT18))</f>
        <v>2592.8016647499539</v>
      </c>
      <c r="Q154" s="145">
        <f ca="1">((($B$155*Q39)+($B$156*Q43)+($B$157*Q44)+($B$158*Q45)+($B$159*Q46)+($B$160*Q47)+($B$161*Q48))*365.25)+(Machines!$D$291*(Q18/$AT18))</f>
        <v>2545.5511787400865</v>
      </c>
      <c r="R154" s="145">
        <f ca="1">((($B$155*R39)+($B$156*R43)+($B$157*R44)+($B$158*R45)+($B$159*R46)+($B$160*R47)+($B$161*R48))*365.25)+(Machines!$D$291*(R18/$AT18))</f>
        <v>2581.1833419615623</v>
      </c>
      <c r="S154" s="145">
        <f ca="1">((($B$155*S39)+($B$156*S43)+($B$157*S44)+($B$158*S45)+($B$159*S46)+($B$160*S47)+($B$161*S48))*365.25)+(Machines!$D$291*(S18/$AT18))</f>
        <v>2631.3696959089971</v>
      </c>
      <c r="T154" s="145">
        <f ca="1">((($B$155*T39)+($B$156*T43)+($B$157*T44)+($B$158*T45)+($B$159*T46)+($B$160*T47)+($B$161*T48))*365.25)+(Machines!$D$291*(T18/$AT18))</f>
        <v>2671.5093299605282</v>
      </c>
      <c r="U154" s="145">
        <f ca="1">((($B$155*U39)+($B$156*U43)+($B$157*U44)+($B$158*U45)+($B$159*U46)+($B$160*U47)+($B$161*U48))*365.25)+(Machines!$D$291*(U18/$AT18))</f>
        <v>2585.111609198495</v>
      </c>
      <c r="V154" s="145">
        <f ca="1">((($B$155*V39)+($B$156*V43)+($B$157*V44)+($B$158*V45)+($B$159*V46)+($B$160*V47)+($B$161*V48))*365.25)+(Machines!$D$291*(V18/$AT18))</f>
        <v>2611.6597984760492</v>
      </c>
      <c r="W154" s="145">
        <f ca="1">((($B$155*W39)+($B$156*W43)+($B$157*W44)+($B$158*W45)+($B$159*W46)+($B$160*W47)+($B$161*W48))*365.25)+(Machines!$D$291*(W18/$AT18))</f>
        <v>3047.3045254633116</v>
      </c>
      <c r="X154" s="145">
        <f ca="1">((($B$155*X39)+($B$156*X43)+($B$157*X44)+($B$158*X45)+($B$159*X46)+($B$160*X47)+($B$161*X48))*365.25)+(Machines!$D$291*(X18/$AT18))</f>
        <v>3009.0383381714305</v>
      </c>
      <c r="Y154" s="145">
        <f ca="1">((($B$155*Y39)+($B$156*Y43)+($B$157*Y44)+($B$158*Y45)+($B$159*Y46)+($B$160*Y47)+($B$161*Y48))*365.25)+(Machines!$D$291*(Y18/$AT18))</f>
        <v>3019.3077294749464</v>
      </c>
      <c r="Z154" s="145">
        <f ca="1">((($B$155*Z39)+($B$156*Z43)+($B$157*Z44)+($B$158*Z45)+($B$159*Z46)+($B$160*Z47)+($B$161*Z48))*365.25)+(Machines!$D$291*(Z18/$AT18))</f>
        <v>3123.1049362279241</v>
      </c>
      <c r="AA154" s="145">
        <f ca="1">((($B$155*AA39)+($B$156*AA43)+($B$157*AA44)+($B$158*AA45)+($B$159*AA46)+($B$160*AA47)+($B$161*AA48))*365.25)+(Machines!$D$291*(AA18/$AT18))</f>
        <v>3443.4994885185092</v>
      </c>
      <c r="AB154" s="145">
        <f ca="1">((($B$155*AB39)+($B$156*AB43)+($B$157*AB44)+($B$158*AB45)+($B$159*AB46)+($B$160*AB47)+($B$161*AB48))*365.25)+(Machines!$D$291*(AB18/$AT18))</f>
        <v>3834.1227664750577</v>
      </c>
      <c r="AC154" s="145">
        <f ca="1">((($B$155*AC39)+($B$156*AC43)+($B$157*AC44)+($B$158*AC45)+($B$159*AC46)+($B$160*AC47)+($B$161*AC48))*365.25)+(Machines!$D$291*(AC18/$AT18))</f>
        <v>4377.5756379913128</v>
      </c>
      <c r="AD154" s="145">
        <f ca="1">((($B$155*AD39)+($B$156*AD43)+($B$157*AD44)+($B$158*AD45)+($B$159*AD46)+($B$160*AD47)+($B$161*AD48))*365.25)+(Machines!$D$291*(AD18/$AT18))</f>
        <v>4439.5179890632062</v>
      </c>
      <c r="AE154" s="145">
        <f ca="1">((($B$155*AE39)+($B$156*AE43)+($B$157*AE44)+($B$158*AE45)+($B$159*AE46)+($B$160*AE47)+($B$161*AE48))*365.25)+(Machines!$D$291*(AE18/$AT18))</f>
        <v>5069.0686121733115</v>
      </c>
      <c r="AF154" s="145">
        <f ca="1">((($B$155*AF39)+($B$156*AF43)+($B$157*AF44)+($B$158*AF45)+($B$159*AF46)+($B$160*AF47)+($B$161*AF48))*365.25)+(Machines!$D$291*(AF18/$AT18))</f>
        <v>4723.8697574987555</v>
      </c>
      <c r="AG154" s="145">
        <f ca="1">((($B$155*AG39)+($B$156*AG43)+($B$157*AG44)+($B$158*AG45)+($B$159*AG46)+($B$160*AG47)+($B$161*AG48))*365.25)+(Machines!$D$291*(AG18/$AT18))</f>
        <v>5100.4012012827434</v>
      </c>
      <c r="AH154" s="145">
        <f ca="1">((($B$155*AH39)+($B$156*AH43)+($B$157*AH44)+($B$158*AH45)+($B$159*AH46)+($B$160*AH47)+($B$161*AH48))*365.25)+(Machines!$D$291*(AH18/$AT18))</f>
        <v>5760.8125509150168</v>
      </c>
      <c r="AI154" s="145">
        <f ca="1">((($B$155*AI39)+($B$156*AI43)+($B$157*AI44)+($B$158*AI45)+($B$159*AI46)+($B$160*AI47)+($B$161*AI48))*365.25)+(Machines!$D$291*(AI18/$AT18))</f>
        <v>5893.1683071939678</v>
      </c>
      <c r="AJ154" s="145">
        <f ca="1">((($B$155*AJ39)+($B$156*AJ43)+($B$157*AJ44)+($B$158*AJ45)+($B$159*AJ46)+($B$160*AJ47)+($B$161*AJ48))*365.25)+(Machines!$D$291*(AJ18/$AT18))</f>
        <v>5968.6586292081111</v>
      </c>
      <c r="AK154" s="145">
        <f ca="1">((($B$155*AK39)+($B$156*AK43)+($B$157*AK44)+($B$158*AK45)+($B$159*AK46)+($B$160*AK47)+($B$161*AK48))*365.25)+(Machines!$D$291*(AK18/$AT18))</f>
        <v>6000.726639646603</v>
      </c>
      <c r="AL154" s="145">
        <f ca="1">((($B$155*AL39)+($B$156*AL43)+($B$157*AL44)+($B$158*AL45)+($B$159*AL46)+($B$160*AL47)+($B$161*AL48))*365.25)+(Machines!$D$291*(AL18/$AT18))</f>
        <v>5627.5709175540223</v>
      </c>
      <c r="AM154" s="145">
        <f ca="1">((($B$155*AM39)+($B$156*AM43)+($B$157*AM44)+($B$158*AM45)+($B$159*AM46)+($B$160*AM47)+($B$161*AM48))*365.25)+(Machines!$D$291*(AM18/$AT18))</f>
        <v>5420.2260582648378</v>
      </c>
      <c r="AN154" s="145">
        <f ca="1">((($B$155*AN39)+($B$156*AN43)+($B$157*AN44)+($B$158*AN45)+($B$159*AN46)+($B$160*AN47)+($B$161*AN48))*365.25)+(Machines!$D$291*(AN18/$AT18))</f>
        <v>5701.6477289248487</v>
      </c>
      <c r="AO154" s="145">
        <f ca="1">((($B$155*AO39)+($B$156*AO43)+($B$157*AO44)+($B$158*AO45)+($B$159*AO46)+($B$160*AO47)+($B$161*AO48))*365.25)+(Machines!$D$291*(AO18/$AT18))</f>
        <v>6179.3203984608854</v>
      </c>
      <c r="AP154" s="145">
        <f ca="1">((($B$155*AP39)+($B$156*AP43)+($B$157*AP44)+($B$158*AP45)+($B$159*AP46)+($B$160*AP47)+($B$161*AP48))*365.25)+(Machines!$D$291*(AP18/$AT18))</f>
        <v>6215.5003947039395</v>
      </c>
      <c r="AQ154" s="145">
        <f ca="1">((($B$155*AQ39)+($B$156*AQ43)+($B$157*AQ44)+($B$158*AQ45)+($B$159*AQ46)+($B$160*AQ47)+($B$161*AQ48))*365.25)+(Machines!$D$291*(AQ18/$AT18))</f>
        <v>5884.6566247072114</v>
      </c>
      <c r="AR154" s="145">
        <f ca="1">((($B$155*AR39)+($B$156*AR43)+($B$157*AR44)+($B$158*AR45)+($B$159*AR46)+($B$160*AR47)+($B$161*AR48))*365.25)+(Machines!$D$291*(AR18/$AT18))</f>
        <v>6478.2406624630039</v>
      </c>
      <c r="AS154" s="145">
        <f ca="1">((($B$155*AS39)+($B$156*AS43)+($B$157*AS44)+($B$158*AS45)+($B$159*AS46)+($B$160*AS47)+($B$161*AS48))*365.25)+(Machines!$D$291*(AS18/$AT18))</f>
        <v>7359.159555089137</v>
      </c>
      <c r="AT154" s="145">
        <f ca="1">((($B$155*AT39)+($B$156*AT43)+($B$157*AT44)+($B$158*AT45)+($B$159*AT46)+($B$160*AT47)+($B$161*AT48))*365.25)+(Machines!$D$291*(AT18/$AT18))</f>
        <v>7264.0241353723968</v>
      </c>
      <c r="AU154" s="9"/>
      <c r="AV154" s="9"/>
      <c r="AW154" s="9"/>
      <c r="AX154" s="9"/>
      <c r="AY154" s="9"/>
      <c r="AZ154" s="9"/>
      <c r="BA154" s="51"/>
      <c r="BB154" s="9"/>
      <c r="BC154" s="9"/>
      <c r="BD154" s="9"/>
      <c r="BE154" s="9"/>
      <c r="BF154" s="9"/>
      <c r="BG154" s="9"/>
      <c r="BH154" s="9"/>
      <c r="BI154" s="9"/>
      <c r="BJ154" s="9"/>
      <c r="BK154" s="9"/>
      <c r="BL154" s="9"/>
      <c r="BM154" s="9"/>
      <c r="BN154" s="9"/>
      <c r="BO154" s="9"/>
      <c r="BP154" s="9"/>
      <c r="BQ154" s="9"/>
      <c r="BR154" s="9"/>
      <c r="BS154" s="9"/>
      <c r="BT154" s="9"/>
      <c r="BU154" s="9"/>
    </row>
    <row r="155" spans="1:73" ht="12.6">
      <c r="A155" s="9"/>
      <c r="B155" s="142">
        <f>SUM(Machines!F64,Machines!F130,Machines!F186,Machines!F250,Machines!C243)</f>
        <v>12.934362327086458</v>
      </c>
      <c r="C155" s="9" t="s">
        <v>36</v>
      </c>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51"/>
      <c r="AU155" s="9"/>
      <c r="AV155" s="9"/>
      <c r="AW155" s="9"/>
      <c r="AX155" s="9"/>
      <c r="AY155" s="9"/>
      <c r="AZ155" s="9"/>
      <c r="BA155" s="51"/>
      <c r="BB155" s="9"/>
      <c r="BC155" s="9"/>
      <c r="BD155" s="9"/>
      <c r="BE155" s="9"/>
      <c r="BF155" s="9"/>
      <c r="BG155" s="9"/>
      <c r="BH155" s="9"/>
      <c r="BI155" s="9"/>
      <c r="BJ155" s="9"/>
      <c r="BK155" s="9"/>
      <c r="BL155" s="9"/>
      <c r="BM155" s="9"/>
      <c r="BN155" s="9"/>
      <c r="BO155" s="9"/>
      <c r="BP155" s="9"/>
      <c r="BQ155" s="9"/>
      <c r="BR155" s="9"/>
      <c r="BS155" s="9"/>
      <c r="BT155" s="9"/>
      <c r="BU155" s="9"/>
    </row>
    <row r="156" spans="1:73" ht="12.6">
      <c r="A156" s="9"/>
      <c r="B156" s="142">
        <f>SUM(Machines!G64,Machines!G130,Machines!G186,)</f>
        <v>2.708174847443686</v>
      </c>
      <c r="C156" s="9" t="s">
        <v>37</v>
      </c>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51"/>
      <c r="AU156" s="9"/>
      <c r="AV156" s="9"/>
      <c r="AW156" s="9"/>
      <c r="AX156" s="9"/>
      <c r="AY156" s="9"/>
      <c r="AZ156" s="9"/>
      <c r="BA156" s="51"/>
      <c r="BB156" s="9"/>
      <c r="BC156" s="9"/>
      <c r="BD156" s="9"/>
      <c r="BE156" s="9"/>
      <c r="BF156" s="9"/>
      <c r="BG156" s="9"/>
      <c r="BH156" s="9"/>
      <c r="BI156" s="9"/>
      <c r="BJ156" s="9"/>
      <c r="BK156" s="9"/>
      <c r="BL156" s="9"/>
      <c r="BM156" s="9"/>
      <c r="BN156" s="9"/>
      <c r="BO156" s="9"/>
      <c r="BP156" s="9"/>
      <c r="BQ156" s="9"/>
      <c r="BR156" s="9"/>
      <c r="BS156" s="9"/>
      <c r="BT156" s="9"/>
      <c r="BU156" s="9"/>
    </row>
    <row r="157" spans="1:73" ht="12.6">
      <c r="A157" s="9"/>
      <c r="B157" s="142">
        <f>SUM(Machines!H64,Machines!H130,Machines!H186)</f>
        <v>0.77045305945082676</v>
      </c>
      <c r="C157" s="9" t="s">
        <v>38</v>
      </c>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51"/>
      <c r="AU157" s="9"/>
      <c r="AV157" s="9"/>
      <c r="AW157" s="9"/>
      <c r="AX157" s="9"/>
      <c r="AY157" s="9"/>
      <c r="AZ157" s="9"/>
      <c r="BA157" s="51"/>
      <c r="BB157" s="9"/>
      <c r="BC157" s="9"/>
      <c r="BD157" s="9"/>
      <c r="BE157" s="9"/>
      <c r="BF157" s="9"/>
      <c r="BG157" s="9"/>
      <c r="BH157" s="9"/>
      <c r="BI157" s="9"/>
      <c r="BJ157" s="9"/>
      <c r="BK157" s="9"/>
      <c r="BL157" s="9"/>
      <c r="BM157" s="9"/>
      <c r="BN157" s="9"/>
      <c r="BO157" s="9"/>
      <c r="BP157" s="9"/>
      <c r="BQ157" s="9"/>
      <c r="BR157" s="9"/>
      <c r="BS157" s="9"/>
      <c r="BT157" s="9"/>
      <c r="BU157" s="9"/>
    </row>
    <row r="158" spans="1:73" ht="12.6">
      <c r="A158" s="9"/>
      <c r="B158" s="142">
        <f>SUM(Machines!I64,Machines!I130)</f>
        <v>2.5793644455563567</v>
      </c>
      <c r="C158" s="9" t="s">
        <v>39</v>
      </c>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51"/>
      <c r="AU158" s="9"/>
      <c r="AV158" s="9"/>
      <c r="AW158" s="9"/>
      <c r="AX158" s="9"/>
      <c r="AY158" s="9"/>
      <c r="AZ158" s="9"/>
      <c r="BA158" s="51"/>
      <c r="BB158" s="9"/>
      <c r="BC158" s="9"/>
      <c r="BD158" s="9"/>
      <c r="BE158" s="9"/>
      <c r="BF158" s="9"/>
      <c r="BG158" s="9"/>
      <c r="BH158" s="9"/>
      <c r="BI158" s="9"/>
      <c r="BJ158" s="9"/>
      <c r="BK158" s="9"/>
      <c r="BL158" s="9"/>
      <c r="BM158" s="9"/>
      <c r="BN158" s="9"/>
      <c r="BO158" s="9"/>
      <c r="BP158" s="9"/>
      <c r="BQ158" s="9"/>
      <c r="BR158" s="9"/>
      <c r="BS158" s="9"/>
      <c r="BT158" s="9"/>
      <c r="BU158" s="9"/>
    </row>
    <row r="159" spans="1:73" ht="12.6">
      <c r="A159" s="9"/>
      <c r="B159" s="260">
        <f ca="1">SUM(Machines!G250)</f>
        <v>39.156019184851964</v>
      </c>
      <c r="C159" s="9" t="s">
        <v>40</v>
      </c>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51"/>
      <c r="AU159" s="9"/>
      <c r="AV159" s="9"/>
      <c r="AW159" s="9"/>
      <c r="AX159" s="9"/>
      <c r="AY159" s="9"/>
      <c r="AZ159" s="9"/>
      <c r="BA159" s="51"/>
      <c r="BB159" s="9"/>
      <c r="BC159" s="9"/>
      <c r="BD159" s="9"/>
      <c r="BE159" s="9"/>
      <c r="BF159" s="9"/>
      <c r="BG159" s="9"/>
      <c r="BH159" s="9"/>
      <c r="BI159" s="9"/>
      <c r="BJ159" s="9"/>
      <c r="BK159" s="9"/>
      <c r="BL159" s="9"/>
      <c r="BM159" s="9"/>
      <c r="BN159" s="9"/>
      <c r="BO159" s="9"/>
      <c r="BP159" s="9"/>
      <c r="BQ159" s="9"/>
      <c r="BR159" s="9"/>
      <c r="BS159" s="9"/>
      <c r="BT159" s="9"/>
      <c r="BU159" s="9"/>
    </row>
    <row r="160" spans="1:73" ht="12.6">
      <c r="A160" s="9" t="s">
        <v>687</v>
      </c>
      <c r="B160" s="260">
        <f ca="1">SUM(Machines!H250)</f>
        <v>16.348660700941704</v>
      </c>
      <c r="C160" s="9" t="s">
        <v>41</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51"/>
      <c r="AU160" s="9"/>
      <c r="AV160" s="9"/>
      <c r="AW160" s="9"/>
      <c r="AX160" s="9"/>
      <c r="AY160" s="9"/>
      <c r="AZ160" s="9"/>
      <c r="BA160" s="51"/>
      <c r="BB160" s="9"/>
      <c r="BC160" s="9"/>
      <c r="BD160" s="9"/>
      <c r="BE160" s="9"/>
      <c r="BF160" s="9"/>
      <c r="BG160" s="9"/>
      <c r="BH160" s="9"/>
      <c r="BI160" s="9"/>
      <c r="BJ160" s="9"/>
      <c r="BK160" s="9"/>
      <c r="BL160" s="9"/>
      <c r="BM160" s="9"/>
      <c r="BN160" s="9"/>
      <c r="BO160" s="9"/>
      <c r="BP160" s="9"/>
      <c r="BQ160" s="9"/>
      <c r="BR160" s="9"/>
      <c r="BS160" s="9"/>
      <c r="BT160" s="9"/>
      <c r="BU160" s="9"/>
    </row>
    <row r="161" spans="1:73" ht="12.6">
      <c r="A161" s="9" t="s">
        <v>688</v>
      </c>
      <c r="B161" s="142">
        <f ca="1">SUM(Machines!I250)</f>
        <v>4.5075774766852185E-2</v>
      </c>
      <c r="C161" s="9" t="s">
        <v>505</v>
      </c>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51"/>
      <c r="AU161" s="9"/>
      <c r="AV161" s="9"/>
      <c r="AW161" s="9"/>
      <c r="AX161" s="9"/>
      <c r="AY161" s="9"/>
      <c r="AZ161" s="9"/>
      <c r="BA161" s="51"/>
      <c r="BB161" s="9"/>
      <c r="BC161" s="9"/>
      <c r="BD161" s="9"/>
      <c r="BE161" s="9"/>
      <c r="BF161" s="9"/>
      <c r="BG161" s="9"/>
      <c r="BH161" s="9"/>
      <c r="BI161" s="9"/>
      <c r="BJ161" s="9"/>
      <c r="BK161" s="9"/>
      <c r="BL161" s="9"/>
      <c r="BM161" s="9"/>
      <c r="BN161" s="9"/>
      <c r="BO161" s="9"/>
      <c r="BP161" s="9"/>
      <c r="BQ161" s="9"/>
      <c r="BR161" s="9"/>
      <c r="BS161" s="9"/>
      <c r="BT161" s="9"/>
      <c r="BU161" s="9"/>
    </row>
    <row r="162" spans="1:73" ht="12.6">
      <c r="A162" s="9" t="s">
        <v>688</v>
      </c>
      <c r="B162" s="9"/>
      <c r="C162" s="9" t="s">
        <v>689</v>
      </c>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55"/>
      <c r="AS162" s="9"/>
      <c r="AT162" s="51"/>
      <c r="AU162" s="9">
        <f t="array" aca="1" ref="AU162:BU162" ca="1">TREND(D154:AT154,D153:AT153,AU153:BU153)</f>
        <v>6828.0408617558423</v>
      </c>
      <c r="AV162" s="9">
        <f ca="1"/>
        <v>6962.8677538431948</v>
      </c>
      <c r="AW162" s="9">
        <f ca="1"/>
        <v>7097.6946459304891</v>
      </c>
      <c r="AX162" s="9">
        <f ca="1"/>
        <v>7232.5215380178415</v>
      </c>
      <c r="AY162" s="9">
        <f ca="1"/>
        <v>7367.3484301051358</v>
      </c>
      <c r="AZ162" s="9">
        <f ca="1"/>
        <v>7502.1753221924882</v>
      </c>
      <c r="BA162" s="51">
        <f ca="1"/>
        <v>7637.0022142798407</v>
      </c>
      <c r="BB162" s="9">
        <f ca="1"/>
        <v>7771.829106367135</v>
      </c>
      <c r="BC162" s="9">
        <f ca="1"/>
        <v>7906.6559984544874</v>
      </c>
      <c r="BD162" s="9">
        <f ca="1"/>
        <v>8041.4828905417817</v>
      </c>
      <c r="BE162" s="9">
        <f ca="1"/>
        <v>8176.3097826291341</v>
      </c>
      <c r="BF162" s="9">
        <f ca="1"/>
        <v>8311.1366747164284</v>
      </c>
      <c r="BG162" s="9">
        <f ca="1"/>
        <v>8445.9635668037809</v>
      </c>
      <c r="BH162" s="9">
        <f ca="1"/>
        <v>8580.7904588911333</v>
      </c>
      <c r="BI162" s="9">
        <f ca="1"/>
        <v>8715.6173509784276</v>
      </c>
      <c r="BJ162" s="9">
        <f ca="1"/>
        <v>8850.44424306578</v>
      </c>
      <c r="BK162" s="9">
        <f ca="1"/>
        <v>8985.2711351530743</v>
      </c>
      <c r="BL162" s="9">
        <f ca="1"/>
        <v>9120.0980272404267</v>
      </c>
      <c r="BM162" s="9">
        <f ca="1"/>
        <v>9254.9249193277792</v>
      </c>
      <c r="BN162" s="9">
        <f ca="1"/>
        <v>9389.7518114150735</v>
      </c>
      <c r="BO162" s="9">
        <f ca="1"/>
        <v>9524.5787035024259</v>
      </c>
      <c r="BP162" s="9">
        <f ca="1"/>
        <v>9659.4055955897202</v>
      </c>
      <c r="BQ162" s="9">
        <f ca="1"/>
        <v>9794.2324876770726</v>
      </c>
      <c r="BR162" s="9">
        <f ca="1"/>
        <v>9929.0593797643669</v>
      </c>
      <c r="BS162" s="9">
        <f ca="1"/>
        <v>10063.886271851719</v>
      </c>
      <c r="BT162" s="9">
        <f ca="1"/>
        <v>10198.713163939072</v>
      </c>
      <c r="BU162" s="9">
        <f ca="1"/>
        <v>10333.540056026366</v>
      </c>
    </row>
    <row r="163" spans="1:73" ht="12.6">
      <c r="A163" s="9"/>
      <c r="B163" s="9"/>
      <c r="C163" s="9">
        <f ca="1">SUM(AT162:BC162)</f>
        <v>66306.135870946455</v>
      </c>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55"/>
      <c r="AS163" s="9" t="s">
        <v>690</v>
      </c>
      <c r="AT163" s="51"/>
      <c r="AU163" s="9"/>
      <c r="AV163" s="9"/>
      <c r="AW163" s="9"/>
      <c r="AX163" s="9"/>
      <c r="AY163" s="9"/>
      <c r="AZ163" s="9"/>
      <c r="BA163" s="51"/>
      <c r="BB163" s="9"/>
      <c r="BC163" s="9" t="s">
        <v>691</v>
      </c>
      <c r="BD163" s="9"/>
      <c r="BE163" s="9"/>
      <c r="BF163" s="9"/>
      <c r="BG163" s="9"/>
      <c r="BH163" s="9"/>
      <c r="BI163" s="9"/>
      <c r="BJ163" s="9"/>
      <c r="BK163" s="9"/>
      <c r="BL163" s="9"/>
      <c r="BM163" s="9"/>
      <c r="BN163" s="9"/>
      <c r="BO163" s="9"/>
      <c r="BP163" s="9"/>
      <c r="BQ163" s="9"/>
      <c r="BR163" s="9"/>
      <c r="BS163" s="9"/>
      <c r="BT163" s="9"/>
      <c r="BU163" s="9"/>
    </row>
    <row r="164" spans="1:73" ht="12.6">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55"/>
      <c r="AS164" s="9"/>
      <c r="AT164" s="51"/>
      <c r="AU164" s="9"/>
      <c r="AV164" s="9"/>
      <c r="AW164" s="9"/>
      <c r="AX164" s="9"/>
      <c r="AY164" s="9"/>
      <c r="AZ164" s="9"/>
      <c r="BA164" s="51"/>
      <c r="BB164" s="9"/>
      <c r="BC164" s="9"/>
      <c r="BD164" s="9"/>
      <c r="BE164" s="9"/>
      <c r="BF164" s="9"/>
      <c r="BG164" s="9"/>
      <c r="BH164" s="9"/>
      <c r="BI164" s="9"/>
      <c r="BJ164" s="9"/>
      <c r="BK164" s="9"/>
      <c r="BL164" s="9"/>
      <c r="BM164" s="9"/>
      <c r="BN164" s="9"/>
      <c r="BO164" s="9"/>
      <c r="BP164" s="9"/>
      <c r="BQ164" s="9"/>
      <c r="BR164" s="9"/>
      <c r="BS164" s="9"/>
      <c r="BT164" s="9"/>
      <c r="BU164" s="9"/>
    </row>
    <row r="165" spans="1:73" ht="12.6">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55"/>
      <c r="AS165" s="9"/>
      <c r="AT165" s="51"/>
      <c r="AU165" s="9"/>
      <c r="AV165" s="9"/>
      <c r="AW165" s="9"/>
      <c r="AX165" s="9"/>
      <c r="AY165" s="9"/>
      <c r="AZ165" s="9"/>
      <c r="BA165" s="51"/>
      <c r="BB165" s="9"/>
      <c r="BC165" s="9"/>
      <c r="BD165" s="9"/>
      <c r="BE165" s="9"/>
      <c r="BF165" s="9"/>
      <c r="BG165" s="9"/>
      <c r="BH165" s="9"/>
      <c r="BI165" s="9"/>
      <c r="BJ165" s="9"/>
      <c r="BK165" s="9"/>
      <c r="BL165" s="9"/>
      <c r="BM165" s="9"/>
      <c r="BN165" s="9"/>
      <c r="BO165" s="9"/>
      <c r="BP165" s="9"/>
      <c r="BQ165" s="9"/>
      <c r="BR165" s="9"/>
      <c r="BS165" s="9"/>
      <c r="BT165" s="9"/>
      <c r="BU165" s="9"/>
    </row>
    <row r="166" spans="1:73" ht="12.6">
      <c r="A166" s="9"/>
      <c r="B166" s="9"/>
      <c r="C166" s="9" t="s">
        <v>692</v>
      </c>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t="s">
        <v>686</v>
      </c>
      <c r="AO166" s="9"/>
      <c r="AP166" s="9"/>
      <c r="AQ166" s="9"/>
      <c r="AR166" s="55"/>
      <c r="AS166" s="9"/>
      <c r="AT166" s="51"/>
      <c r="AU166" s="9"/>
      <c r="AV166" s="9"/>
      <c r="AW166" s="9"/>
      <c r="AX166" s="9"/>
      <c r="AY166" s="9"/>
      <c r="AZ166" s="9"/>
      <c r="BA166" s="51"/>
      <c r="BB166" s="9"/>
      <c r="BC166" s="9"/>
      <c r="BD166" s="9"/>
      <c r="BE166" s="9"/>
      <c r="BF166" s="9"/>
      <c r="BG166" s="9"/>
      <c r="BH166" s="9"/>
      <c r="BI166" s="9"/>
      <c r="BJ166" s="9"/>
      <c r="BK166" s="9"/>
      <c r="BL166" s="9"/>
      <c r="BM166" s="9"/>
      <c r="BN166" s="9"/>
      <c r="BO166" s="9"/>
      <c r="BP166" s="9"/>
      <c r="BQ166" s="9"/>
      <c r="BR166" s="9"/>
      <c r="BS166" s="9"/>
      <c r="BT166" s="9"/>
      <c r="BU166" s="9"/>
    </row>
    <row r="167" spans="1:73" ht="12.6">
      <c r="A167" s="10"/>
      <c r="B167" s="10"/>
      <c r="C167" s="10"/>
      <c r="AT167" s="51"/>
      <c r="BA167" s="51"/>
    </row>
    <row r="168" spans="1:73" ht="12.6">
      <c r="A168" s="29"/>
      <c r="B168" s="29"/>
      <c r="C168" s="29" t="s">
        <v>693</v>
      </c>
      <c r="D168" s="208">
        <f ca="1">((($B169*D$39)+($B170*D$43)+($B171*D$46))*365.25)+(Machines!$D$292*(D19/$AT19))+(Machines!$D$291*(D18/$AT18))</f>
        <v>1577.4411480447277</v>
      </c>
      <c r="E168" s="208">
        <f ca="1">((($B169*E$39)+($B170*E$43)+($B171*E$46))*365.25)+(Machines!$D$292*(E19/$AT19))+(Machines!$D$291*(E18/$AT18))</f>
        <v>1776.9745919283159</v>
      </c>
      <c r="F168" s="208">
        <f ca="1">((($B169*F$39)+($B170*F$43)+($B171*F$46))*365.25)+(Machines!$D$292*(F19/$AT19))+(Machines!$D$291*(F18/$AT18))</f>
        <v>1856.0958952381045</v>
      </c>
      <c r="G168" s="208">
        <f ca="1">((($B169*G$39)+($B170*G$43)+($B171*G$46))*365.25)+(Machines!$D$292*(G19/$AT19))+(Machines!$D$291*(G18/$AT18))</f>
        <v>2015.2045170681054</v>
      </c>
      <c r="H168" s="208">
        <f ca="1">((($B169*H$39)+($B170*H$43)+($B171*H$46))*365.25)+(Machines!$D$292*(H19/$AT19))+(Machines!$D$291*(H18/$AT18))</f>
        <v>2378.4662871825399</v>
      </c>
      <c r="I168" s="208">
        <f ca="1">((($B169*I$39)+($B170*I$43)+($B171*I$46))*365.25)+(Machines!$D$292*(I19/$AT19))+(Machines!$D$291*(I18/$AT18))</f>
        <v>2254.2086641588089</v>
      </c>
      <c r="J168" s="208">
        <f ca="1">((($B169*J$39)+($B170*J$43)+($B171*J$46))*365.25)+(Machines!$D$292*(J19/$AT19))+(Machines!$D$291*(J18/$AT18))</f>
        <v>2491.0455528342991</v>
      </c>
      <c r="K168" s="208">
        <f ca="1">((($B169*K$39)+($B170*K$43)+($B171*K$46))*365.25)+(Machines!$D$292*(K19/$AT19))+(Machines!$D$291*(K18/$AT18))</f>
        <v>2526.5422517509401</v>
      </c>
      <c r="L168" s="208">
        <f ca="1">((($B169*L$39)+($B170*L$43)+($B171*L$46))*365.25)+(Machines!$D$292*(L19/$AT19))+(Machines!$D$291*(L18/$AT18))</f>
        <v>2585.2654419036421</v>
      </c>
      <c r="M168" s="208">
        <f ca="1">((($B169*M$39)+($B170*M$43)+($B171*M$46))*365.25)+(Machines!$D$292*(M19/$AT19))+(Machines!$D$291*(M18/$AT18))</f>
        <v>2740.7642350345736</v>
      </c>
      <c r="N168" s="208">
        <f ca="1">((($B169*N$39)+($B170*N$43)+($B171*N$46))*365.25)+(Machines!$D$292*(N19/$AT19))+(Machines!$D$291*(N18/$AT18))</f>
        <v>2844.0505097333089</v>
      </c>
      <c r="O168" s="208">
        <f ca="1">((($B169*O$39)+($B170*O$43)+($B171*O$46))*365.25)+(Machines!$D$292*(O19/$AT19))+(Machines!$D$291*(O18/$AT18))</f>
        <v>2893.1373827917773</v>
      </c>
      <c r="P168" s="208">
        <f ca="1">((($B169*P$39)+($B170*P$43)+($B171*P$46))*365.25)+(Machines!$D$292*(P19/$AT19))+(Machines!$D$291*(P18/$AT18))</f>
        <v>2926.6084636241294</v>
      </c>
      <c r="Q168" s="208">
        <f ca="1">((($B169*Q$39)+($B170*Q$43)+($B171*Q$46))*365.25)+(Machines!$D$292*(Q19/$AT19))+(Machines!$D$291*(Q18/$AT18))</f>
        <v>2886.2312176584182</v>
      </c>
      <c r="R168" s="208">
        <f ca="1">((($B169*R$39)+($B170*R$43)+($B171*R$46))*365.25)+(Machines!$D$292*(R19/$AT19))+(Machines!$D$291*(R18/$AT18))</f>
        <v>2952.0582189241622</v>
      </c>
      <c r="S168" s="208">
        <f ca="1">((($B169*S$39)+($B170*S$43)+($B171*S$46))*365.25)+(Machines!$D$292*(S19/$AT19))+(Machines!$D$291*(S18/$AT18))</f>
        <v>3016.080041963703</v>
      </c>
      <c r="T168" s="208">
        <f ca="1">((($B169*T$39)+($B170*T$43)+($B171*T$46))*365.25)+(Machines!$D$292*(T19/$AT19))+(Machines!$D$291*(T18/$AT18))</f>
        <v>3074.9117994094704</v>
      </c>
      <c r="U168" s="208">
        <f ca="1">((($B169*U$39)+($B170*U$43)+($B171*U$46))*365.25)+(Machines!$D$292*(U19/$AT19))+(Machines!$D$291*(U18/$AT18))</f>
        <v>2992.228756560884</v>
      </c>
      <c r="V168" s="208">
        <f ca="1">((($B169*V$39)+($B170*V$43)+($B171*V$46))*365.25)+(Machines!$D$292*(V19/$AT19))+(Machines!$D$291*(V18/$AT18))</f>
        <v>3022.6386772470437</v>
      </c>
      <c r="W168" s="208">
        <f ca="1">((($B169*W$39)+($B170*W$43)+($B171*W$46))*365.25)+(Machines!$D$292*(W19/$AT19))+(Machines!$D$291*(W18/$AT18))</f>
        <v>3524.3321401418798</v>
      </c>
      <c r="X168" s="208">
        <f ca="1">((($B169*X$39)+($B170*X$43)+($B171*X$46))*365.25)+(Machines!$D$292*(X19/$AT19))+(Machines!$D$291*(X18/$AT18))</f>
        <v>3500.8034079322879</v>
      </c>
      <c r="Y168" s="208">
        <f ca="1">((($B169*Y$39)+($B170*Y$43)+($B171*Y$46))*365.25)+(Machines!$D$292*(Y19/$AT19))+(Machines!$D$291*(Y18/$AT18))</f>
        <v>3523.2762136010215</v>
      </c>
      <c r="Z168" s="208">
        <f ca="1">((($B169*Z$39)+($B170*Z$43)+($B171*Z$46))*365.25)+(Machines!$D$292*(Z19/$AT19))+(Machines!$D$291*(Z18/$AT18))</f>
        <v>3657.4950283058679</v>
      </c>
      <c r="AA168" s="208">
        <f ca="1">((($B169*AA$39)+($B170*AA$43)+($B171*AA$46))*365.25)+(Machines!$D$292*(AA19/$AT19))+(Machines!$D$291*(AA18/$AT18))</f>
        <v>4046.9614084819673</v>
      </c>
      <c r="AB168" s="208">
        <f ca="1">((($B169*AB$39)+($B170*AB$43)+($B171*AB$46))*365.25)+(Machines!$D$292*(AB19/$AT19))+(Machines!$D$291*(AB18/$AT18))</f>
        <v>4503.9982229313691</v>
      </c>
      <c r="AC168" s="208">
        <f ca="1">((($B169*AC$39)+($B170*AC$43)+($B171*AC$46))*365.25)+(Machines!$D$292*(AC19/$AT19))+(Machines!$D$291*(AC18/$AT18))</f>
        <v>5141.7402467849224</v>
      </c>
      <c r="AD168" s="208">
        <f ca="1">((($B169*AD$39)+($B170*AD$43)+($B171*AD$46))*365.25)+(Machines!$D$292*(AD19/$AT19))+(Machines!$D$291*(AD18/$AT18))</f>
        <v>5238.4490217251896</v>
      </c>
      <c r="AE168" s="208">
        <f ca="1">((($B169*AE$39)+($B170*AE$43)+($B171*AE$46))*365.25)+(Machines!$D$292*(AE19/$AT19))+(Machines!$D$291*(AE18/$AT18))</f>
        <v>6005.5167822096691</v>
      </c>
      <c r="AF168" s="208">
        <f ca="1">((($B169*AF$39)+($B170*AF$43)+($B171*AF$46))*365.25)+(Machines!$D$292*(AF19/$AT19))+(Machines!$D$291*(AF18/$AT18))</f>
        <v>5614.8452058192088</v>
      </c>
      <c r="AG168" s="208">
        <f ca="1">((($B169*AG$39)+($B170*AG$43)+($B171*AG$46))*365.25)+(Machines!$D$292*(AG19/$AT19))+(Machines!$D$291*(AG18/$AT18))</f>
        <v>6058.3022670112423</v>
      </c>
      <c r="AH168" s="208">
        <f ca="1">((($B169*AH$39)+($B170*AH$43)+($B171*AH$46))*365.25)+(Machines!$D$292*(AH19/$AT19))+(Machines!$D$291*(AH18/$AT18))</f>
        <v>6802.9960488508041</v>
      </c>
      <c r="AI168" s="208">
        <f ca="1">((($B169*AI$39)+($B170*AI$43)+($B171*AI$46))*365.25)+(Machines!$D$292*(AI19/$AT19))+(Machines!$D$291*(AI18/$AT18))</f>
        <v>6928.3181600490543</v>
      </c>
      <c r="AJ168" s="208">
        <f ca="1">((($B169*AJ$39)+($B170*AJ$43)+($B171*AJ$46))*365.25)+(Machines!$D$292*(AJ19/$AT19))+(Machines!$D$291*(AJ18/$AT18))</f>
        <v>6988.9878005675946</v>
      </c>
      <c r="AK168" s="208">
        <f ca="1">((($B169*AK$39)+($B170*AK$43)+($B171*AK$46))*365.25)+(Machines!$D$292*(AK19/$AT19))+(Machines!$D$291*(AK18/$AT18))</f>
        <v>7022.8511315154055</v>
      </c>
      <c r="AL168" s="208">
        <f ca="1">((($B169*AL$39)+($B170*AL$43)+($B171*AL$46))*365.25)+(Machines!$D$292*(AL19/$AT19))+(Machines!$D$291*(AL18/$AT18))</f>
        <v>6593.2668535486355</v>
      </c>
      <c r="AM168" s="208">
        <f ca="1">((($B169*AM$39)+($B170*AM$43)+($B171*AM$46))*365.25)+(Machines!$D$292*(AM19/$AT19))+(Machines!$D$291*(AM18/$AT18))</f>
        <v>6378.1612208548177</v>
      </c>
      <c r="AN168" s="208">
        <f ca="1">((($B169*AN$39)+($B170*AN$43)+($B171*AN$46))*365.25)+(Machines!$D$292*(AN19/$AT19))+(Machines!$D$291*(AN18/$AT18))</f>
        <v>6690.9711393816033</v>
      </c>
      <c r="AO168" s="208">
        <f ca="1">((($B169*AO$39)+($B170*AO$43)+($B171*AO$46))*365.25)+(Machines!$D$292*(AO19/$AT19))+(Machines!$D$291*(AO18/$AT18))</f>
        <v>7220.9916903024732</v>
      </c>
      <c r="AP168" s="208">
        <f ca="1">((($B169*AP$39)+($B170*AP$43)+($B171*AP$46))*365.25)+(Machines!$D$292*(AP19/$AT19))+(Machines!$D$291*(AP18/$AT18))</f>
        <v>7269.5861666332639</v>
      </c>
      <c r="AQ168" s="208">
        <f ca="1">((($B169*AQ$39)+($B170*AQ$43)+($B171*AQ$46))*365.25)+(Machines!$D$292*(AQ19/$AT19))+(Machines!$D$291*(AQ18/$AT18))</f>
        <v>6899.2054523397155</v>
      </c>
      <c r="AR168" s="208">
        <f ca="1">((($B169*AR$39)+($B170*AR$43)+($B171*AR$46))*365.25)+(Machines!$D$292*(AR19/$AT19))+(Machines!$D$291*(AR18/$AT18))</f>
        <v>7566.8114981643394</v>
      </c>
      <c r="AS168" s="208">
        <f ca="1">((($B169*AS$39)+($B170*AS$43)+($B171*AS$46))*365.25)+(Machines!$D$292*(AS19/$AT19))+(Machines!$D$291*(AS18/$AT18))</f>
        <v>8623.0535270010841</v>
      </c>
      <c r="AT168" s="208">
        <f ca="1">((($B169*AT$39)+($B170*AT$43)+($B171*AT$46))*365.25)+(Machines!$D$292*(AT19/$AT19))+(Machines!$D$291*(AT18/$AT18))</f>
        <v>8560.6758136918615</v>
      </c>
      <c r="AU168" s="29"/>
      <c r="AV168" s="29"/>
      <c r="AW168" s="29"/>
      <c r="AX168" s="29"/>
      <c r="AY168" s="29"/>
      <c r="AZ168" s="29"/>
      <c r="BA168" s="51"/>
      <c r="BB168" s="29"/>
      <c r="BC168" s="29"/>
      <c r="BD168" s="29"/>
      <c r="BE168" s="29"/>
      <c r="BF168" s="29"/>
      <c r="BG168" s="29"/>
      <c r="BH168" s="29"/>
      <c r="BI168" s="29"/>
      <c r="BJ168" s="29"/>
      <c r="BK168" s="29"/>
      <c r="BL168" s="29"/>
      <c r="BM168" s="29"/>
      <c r="BN168" s="29"/>
      <c r="BO168" s="29"/>
      <c r="BP168" s="29"/>
      <c r="BQ168" s="29"/>
      <c r="BR168" s="29"/>
      <c r="BS168" s="29"/>
      <c r="BT168" s="29"/>
      <c r="BU168" s="29"/>
    </row>
    <row r="169" spans="1:73" ht="12.6">
      <c r="A169" s="29"/>
      <c r="B169" s="284">
        <f>SUM(Machines!C6)</f>
        <v>7.879829822718758</v>
      </c>
      <c r="C169" s="29" t="s">
        <v>36</v>
      </c>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51"/>
      <c r="AU169" s="29"/>
      <c r="AV169" s="29"/>
      <c r="AW169" s="29"/>
      <c r="AX169" s="29"/>
      <c r="AY169" s="29"/>
      <c r="AZ169" s="29"/>
      <c r="BA169" s="51"/>
      <c r="BB169" s="29"/>
      <c r="BC169" s="29"/>
      <c r="BD169" s="29"/>
      <c r="BE169" s="29"/>
      <c r="BF169" s="29"/>
      <c r="BG169" s="29"/>
      <c r="BH169" s="29"/>
      <c r="BI169" s="29"/>
      <c r="BJ169" s="29"/>
      <c r="BK169" s="29"/>
      <c r="BL169" s="29"/>
      <c r="BM169" s="29"/>
      <c r="BN169" s="29"/>
      <c r="BO169" s="29"/>
      <c r="BP169" s="29"/>
      <c r="BQ169" s="29"/>
      <c r="BR169" s="29"/>
      <c r="BS169" s="29"/>
      <c r="BT169" s="29"/>
      <c r="BU169" s="29"/>
    </row>
    <row r="170" spans="1:73" ht="12.6">
      <c r="A170" s="29"/>
      <c r="B170" s="285">
        <f>Machines!D6</f>
        <v>20.603637126617475</v>
      </c>
      <c r="C170" s="29" t="s">
        <v>37</v>
      </c>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51"/>
      <c r="AU170" s="29"/>
      <c r="AV170" s="29"/>
      <c r="AW170" s="29"/>
      <c r="AX170" s="29"/>
      <c r="AY170" s="29"/>
      <c r="AZ170" s="29"/>
      <c r="BA170" s="51"/>
      <c r="BB170" s="29"/>
      <c r="BC170" s="29"/>
      <c r="BD170" s="29"/>
      <c r="BE170" s="29"/>
      <c r="BF170" s="29"/>
      <c r="BG170" s="29"/>
      <c r="BH170" s="29"/>
      <c r="BI170" s="29"/>
      <c r="BJ170" s="29"/>
      <c r="BK170" s="29"/>
      <c r="BL170" s="29"/>
      <c r="BM170" s="29"/>
      <c r="BN170" s="29"/>
      <c r="BO170" s="29"/>
      <c r="BP170" s="29"/>
      <c r="BQ170" s="29"/>
      <c r="BR170" s="29"/>
      <c r="BS170" s="29"/>
      <c r="BT170" s="29"/>
      <c r="BU170" s="29"/>
    </row>
    <row r="171" spans="1:73" ht="12.6">
      <c r="A171" s="29"/>
      <c r="B171" s="259">
        <f ca="1">Machines!G6</f>
        <v>57.643128002552231</v>
      </c>
      <c r="C171" s="29" t="s">
        <v>40</v>
      </c>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51"/>
      <c r="AU171" s="29"/>
      <c r="AV171" s="29"/>
      <c r="AW171" s="29"/>
      <c r="AX171" s="29"/>
      <c r="AY171" s="29"/>
      <c r="AZ171" s="29"/>
      <c r="BA171" s="51"/>
      <c r="BB171" s="29"/>
      <c r="BC171" s="29"/>
      <c r="BD171" s="29"/>
      <c r="BE171" s="29"/>
      <c r="BF171" s="29"/>
      <c r="BG171" s="29"/>
      <c r="BH171" s="29"/>
      <c r="BI171" s="29"/>
      <c r="BJ171" s="29"/>
      <c r="BK171" s="29"/>
      <c r="BL171" s="29"/>
      <c r="BM171" s="29"/>
      <c r="BN171" s="29"/>
      <c r="BO171" s="29"/>
      <c r="BP171" s="29"/>
      <c r="BQ171" s="29"/>
      <c r="BR171" s="29"/>
      <c r="BS171" s="29"/>
      <c r="BT171" s="29"/>
      <c r="BU171" s="29"/>
    </row>
    <row r="172" spans="1:73" ht="12.6">
      <c r="A172" s="29"/>
      <c r="B172" s="29"/>
      <c r="C172" s="29" t="s">
        <v>694</v>
      </c>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51"/>
      <c r="AU172" s="29">
        <f t="array" aca="1" ref="AU172:BU172" ca="1">TREND(D168:AT168,$D$153:$AT$153,$AU$153:$BU$153)</f>
        <v>8050.0405726596946</v>
      </c>
      <c r="AV172" s="29">
        <f ca="1"/>
        <v>8211.7532518599764</v>
      </c>
      <c r="AW172" s="29">
        <f ca="1"/>
        <v>8373.4659310602583</v>
      </c>
      <c r="AX172" s="29">
        <f ca="1"/>
        <v>8535.1786102605402</v>
      </c>
      <c r="AY172" s="29">
        <f ca="1"/>
        <v>8696.891289460822</v>
      </c>
      <c r="AZ172" s="29">
        <f ca="1"/>
        <v>8858.6039686611039</v>
      </c>
      <c r="BA172" s="51">
        <f ca="1"/>
        <v>9020.3166478613857</v>
      </c>
      <c r="BB172" s="29">
        <f ca="1"/>
        <v>9182.0293270616676</v>
      </c>
      <c r="BC172" s="29">
        <f ca="1"/>
        <v>9343.7420062619494</v>
      </c>
      <c r="BD172" s="29">
        <f ca="1"/>
        <v>9505.4546854622313</v>
      </c>
      <c r="BE172" s="29">
        <f ca="1"/>
        <v>9667.1673646625131</v>
      </c>
      <c r="BF172" s="29">
        <f ca="1"/>
        <v>9828.880043862795</v>
      </c>
      <c r="BG172" s="29">
        <f ca="1"/>
        <v>9990.5927230630768</v>
      </c>
      <c r="BH172" s="29">
        <f ca="1"/>
        <v>10152.305402263359</v>
      </c>
      <c r="BI172" s="29">
        <f ca="1"/>
        <v>10314.018081463582</v>
      </c>
      <c r="BJ172" s="29">
        <f ca="1"/>
        <v>10475.730760663864</v>
      </c>
      <c r="BK172" s="29">
        <f ca="1"/>
        <v>10637.443439864146</v>
      </c>
      <c r="BL172" s="29">
        <f ca="1"/>
        <v>10799.156119064428</v>
      </c>
      <c r="BM172" s="29">
        <f ca="1"/>
        <v>10960.86879826471</v>
      </c>
      <c r="BN172" s="29">
        <f ca="1"/>
        <v>11122.581477464992</v>
      </c>
      <c r="BO172" s="29">
        <f ca="1"/>
        <v>11284.294156665273</v>
      </c>
      <c r="BP172" s="29">
        <f ca="1"/>
        <v>11446.006835865555</v>
      </c>
      <c r="BQ172" s="29">
        <f ca="1"/>
        <v>11607.719515065837</v>
      </c>
      <c r="BR172" s="29">
        <f ca="1"/>
        <v>11769.432194266119</v>
      </c>
      <c r="BS172" s="29">
        <f ca="1"/>
        <v>11931.144873466401</v>
      </c>
      <c r="BT172" s="29">
        <f ca="1"/>
        <v>12092.857552666683</v>
      </c>
      <c r="BU172" s="29">
        <f ca="1"/>
        <v>12254.570231866965</v>
      </c>
    </row>
    <row r="173" spans="1:73" ht="12.6">
      <c r="A173" s="29"/>
      <c r="B173" s="29"/>
      <c r="C173" s="29">
        <f ca="1">SUM(AT172:BC172)</f>
        <v>78272.021605147398</v>
      </c>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51"/>
      <c r="AU173" s="29"/>
      <c r="AV173" s="29"/>
      <c r="AW173" s="29"/>
      <c r="AX173" s="29"/>
      <c r="AY173" s="29"/>
      <c r="AZ173" s="29"/>
      <c r="BA173" s="51"/>
      <c r="BB173" s="29"/>
      <c r="BC173" s="29"/>
      <c r="BD173" s="29"/>
      <c r="BE173" s="29"/>
      <c r="BF173" s="29"/>
      <c r="BG173" s="29"/>
      <c r="BH173" s="29"/>
      <c r="BI173" s="29"/>
      <c r="BJ173" s="29"/>
      <c r="BK173" s="29"/>
      <c r="BL173" s="29"/>
      <c r="BM173" s="29"/>
      <c r="BN173" s="29"/>
      <c r="BO173" s="29"/>
      <c r="BP173" s="29"/>
      <c r="BQ173" s="29"/>
      <c r="BR173" s="29"/>
      <c r="BS173" s="29"/>
      <c r="BT173" s="29"/>
      <c r="BU173" s="29"/>
    </row>
    <row r="174" spans="1:73" ht="12.6">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51"/>
      <c r="AU174" s="29"/>
      <c r="AV174" s="29"/>
      <c r="AW174" s="29"/>
      <c r="AX174" s="29"/>
      <c r="AY174" s="29"/>
      <c r="AZ174" s="29"/>
      <c r="BA174" s="51"/>
      <c r="BB174" s="29"/>
      <c r="BC174" s="29"/>
      <c r="BD174" s="29"/>
      <c r="BE174" s="29"/>
      <c r="BF174" s="29"/>
      <c r="BG174" s="29"/>
      <c r="BH174" s="29"/>
      <c r="BI174" s="29"/>
      <c r="BJ174" s="29"/>
      <c r="BK174" s="29"/>
      <c r="BL174" s="29"/>
      <c r="BM174" s="29"/>
      <c r="BN174" s="29"/>
      <c r="BO174" s="29"/>
      <c r="BP174" s="29"/>
      <c r="BQ174" s="29"/>
      <c r="BR174" s="29"/>
      <c r="BS174" s="29"/>
      <c r="BT174" s="29"/>
      <c r="BU174" s="29"/>
    </row>
    <row r="175" spans="1:73" ht="12.6">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51"/>
      <c r="AU175" s="29"/>
      <c r="AV175" s="29"/>
      <c r="AW175" s="29"/>
      <c r="AX175" s="29"/>
      <c r="AY175" s="29"/>
      <c r="AZ175" s="29"/>
      <c r="BA175" s="51"/>
      <c r="BB175" s="29"/>
      <c r="BC175" s="29"/>
      <c r="BD175" s="29"/>
      <c r="BE175" s="29"/>
      <c r="BF175" s="29"/>
      <c r="BG175" s="29"/>
      <c r="BH175" s="29"/>
      <c r="BI175" s="29"/>
      <c r="BJ175" s="29"/>
      <c r="BK175" s="29"/>
      <c r="BL175" s="29"/>
      <c r="BM175" s="29"/>
      <c r="BN175" s="29"/>
      <c r="BO175" s="29"/>
      <c r="BP175" s="29"/>
      <c r="BQ175" s="29"/>
      <c r="BR175" s="29"/>
      <c r="BS175" s="29"/>
      <c r="BT175" s="29"/>
      <c r="BU175" s="29"/>
    </row>
    <row r="176" spans="1:73" ht="12.6">
      <c r="A176" s="29"/>
      <c r="B176" s="29"/>
      <c r="C176" s="29" t="s">
        <v>695</v>
      </c>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t="s">
        <v>696</v>
      </c>
      <c r="AO176" s="29"/>
      <c r="AP176" s="29"/>
      <c r="AQ176" s="29"/>
      <c r="AR176" s="29"/>
      <c r="AS176" s="29"/>
      <c r="AT176" s="51"/>
      <c r="AU176" s="29"/>
      <c r="AV176" s="29"/>
      <c r="AW176" s="29"/>
      <c r="AX176" s="29"/>
      <c r="AY176" s="29"/>
      <c r="AZ176" s="29"/>
      <c r="BA176" s="51"/>
      <c r="BB176" s="29"/>
      <c r="BC176" s="29"/>
      <c r="BD176" s="29"/>
      <c r="BE176" s="29"/>
      <c r="BF176" s="29"/>
      <c r="BG176" s="29"/>
      <c r="BH176" s="29"/>
      <c r="BI176" s="29"/>
      <c r="BJ176" s="29"/>
      <c r="BK176" s="29"/>
      <c r="BL176" s="29"/>
      <c r="BM176" s="29"/>
      <c r="BN176" s="29"/>
      <c r="BO176" s="29"/>
      <c r="BP176" s="29"/>
      <c r="BQ176" s="29"/>
      <c r="BR176" s="29"/>
      <c r="BS176" s="29"/>
      <c r="BT176" s="29"/>
      <c r="BU176" s="29"/>
    </row>
    <row r="178" spans="2:73" ht="12.6">
      <c r="B178" s="5" t="s">
        <v>697</v>
      </c>
      <c r="C178" s="5" t="s">
        <v>698</v>
      </c>
      <c r="D178" s="84">
        <f ca="1">((($B179*D$39)+($B180*D$44)+($B181*D$46))*365.25)+(Machines!$D$291*(D18/$AT18))</f>
        <v>1625.1332736281843</v>
      </c>
      <c r="E178" s="84">
        <f ca="1">((($B179*E$39)+($B180*E$44)+($B181*E$46))*365.25)+(Machines!$D$291*(E18/$AT18))</f>
        <v>1823.3254764339345</v>
      </c>
      <c r="F178" s="84">
        <f ca="1">((($B179*F$39)+($B180*F$44)+($B181*F$46))*365.25)+(Machines!$D$291*(F18/$AT18))</f>
        <v>1899.5831346896412</v>
      </c>
      <c r="G178" s="84">
        <f ca="1">((($B179*G$39)+($B180*G$44)+($B181*G$46))*365.25)+(Machines!$D$291*(G18/$AT18))</f>
        <v>2058.6236217391288</v>
      </c>
      <c r="H178" s="84">
        <f ca="1">((($B179*H$39)+($B180*H$44)+($B181*H$46))*365.25)+(Machines!$D$291*(H18/$AT18))</f>
        <v>2425.6761062791129</v>
      </c>
      <c r="I178" s="84">
        <f ca="1">((($B179*I$39)+($B180*I$44)+($B181*I$46))*365.25)+(Machines!$D$291*(I18/$AT18))</f>
        <v>2309.940687788227</v>
      </c>
      <c r="J178" s="84">
        <f ca="1">((($B179*J$39)+($B180*J$44)+($B181*J$46))*365.25)+(Machines!$D$291*(J18/$AT18))</f>
        <v>2554.8260162561514</v>
      </c>
      <c r="K178" s="84">
        <f ca="1">((($B179*K$39)+($B180*K$44)+($B181*K$46))*365.25)+(Machines!$D$291*(K18/$AT18))</f>
        <v>2599.402114772111</v>
      </c>
      <c r="L178" s="84">
        <f ca="1">((($B179*L$39)+($B180*L$44)+($B181*L$46))*365.25)+(Machines!$D$291*(L18/$AT18))</f>
        <v>2666.4180762221526</v>
      </c>
      <c r="M178" s="84">
        <f ca="1">((($B179*M$39)+($B180*M$44)+($B181*M$46))*365.25)+(Machines!$D$291*(M18/$AT18))</f>
        <v>2825.2518955777973</v>
      </c>
      <c r="N178" s="84">
        <f ca="1">((($B179*N$39)+($B180*N$44)+($B181*N$46))*365.25)+(Machines!$D$291*(N18/$AT18))</f>
        <v>2936.434846293826</v>
      </c>
      <c r="O178" s="84">
        <f ca="1">((($B179*O$39)+($B180*O$44)+($B181*O$46))*365.25)+(Machines!$D$291*(O18/$AT18))</f>
        <v>2987.0490894415684</v>
      </c>
      <c r="P178" s="84">
        <f ca="1">((($B179*P$39)+($B180*P$44)+($B181*P$46))*365.25)+(Machines!$D$291*(P18/$AT18))</f>
        <v>3028.2076747317114</v>
      </c>
      <c r="Q178" s="84">
        <f ca="1">((($B179*Q$39)+($B180*Q$44)+($B181*Q$46))*365.25)+(Machines!$D$291*(Q18/$AT18))</f>
        <v>2996.9438968401728</v>
      </c>
      <c r="R178" s="84">
        <f ca="1">((($B179*R$39)+($B180*R$44)+($B181*R$46))*365.25)+(Machines!$D$291*(R18/$AT18))</f>
        <v>3075.9666882423676</v>
      </c>
      <c r="S178" s="84">
        <f ca="1">((($B179*S$39)+($B180*S$44)+($B181*S$46))*365.25)+(Machines!$D$291*(S18/$AT18))</f>
        <v>3147.9323769507432</v>
      </c>
      <c r="T178" s="84">
        <f ca="1">((($B179*T$39)+($B180*T$44)+($B181*T$46))*365.25)+(Machines!$D$291*(T18/$AT18))</f>
        <v>3216.1595369127517</v>
      </c>
      <c r="U178" s="84">
        <f ca="1">((($B179*U$39)+($B180*U$44)+($B181*U$46))*365.25)+(Machines!$D$291*(U18/$AT18))</f>
        <v>3141.2620101972816</v>
      </c>
      <c r="V178" s="84">
        <f ca="1">((($B179*V$39)+($B180*V$44)+($B181*V$46))*365.25)+(Machines!$D$291*(V18/$AT18))</f>
        <v>3173.7704310034378</v>
      </c>
      <c r="W178" s="84">
        <f ca="1">((($B179*W$39)+($B180*W$44)+($B181*W$46))*365.25)+(Machines!$D$291*(W18/$AT18))</f>
        <v>3681.6233720289329</v>
      </c>
      <c r="X178" s="84">
        <f ca="1">((($B179*X$39)+($B180*X$44)+($B181*X$46))*365.25)+(Machines!$D$291*(X18/$AT18))</f>
        <v>3665.6114105244828</v>
      </c>
      <c r="Y178" s="84">
        <f ca="1">((($B179*Y$39)+($B180*Y$44)+($B181*Y$46))*365.25)+(Machines!$D$291*(Y18/$AT18))</f>
        <v>3697.6952115976519</v>
      </c>
      <c r="Z178" s="84">
        <f ca="1">((($B179*Z$39)+($B180*Z$44)+($B181*Z$46))*365.25)+(Machines!$D$291*(Z18/$AT18))</f>
        <v>3845.3021055436357</v>
      </c>
      <c r="AA178" s="84">
        <f ca="1">((($B179*AA$39)+($B180*AA$44)+($B181*AA$46))*365.25)+(Machines!$D$291*(AA18/$AT18))</f>
        <v>4256.4960666939623</v>
      </c>
      <c r="AB178" s="84">
        <f ca="1">((($B179*AB$39)+($B180*AB$44)+($B181*AB$46))*365.25)+(Machines!$D$291*(AB18/$AT18))</f>
        <v>4730.8850284788132</v>
      </c>
      <c r="AC178" s="84">
        <f ca="1">((($B179*AC$39)+($B180*AC$44)+($B181*AC$46))*365.25)+(Machines!$D$291*(AC18/$AT18))</f>
        <v>5388.2682620484284</v>
      </c>
      <c r="AD178" s="84">
        <f ca="1">((($B179*AD$39)+($B180*AD$44)+($B181*AD$46))*365.25)+(Machines!$D$291*(AD18/$AT18))</f>
        <v>5504.4366848401496</v>
      </c>
      <c r="AE178" s="84">
        <f ca="1">((($B179*AE$39)+($B180*AE$44)+($B181*AE$46))*365.25)+(Machines!$D$291*(AE18/$AT18))</f>
        <v>6303.675999594996</v>
      </c>
      <c r="AF178" s="84">
        <f ca="1">((($B179*AF$39)+($B180*AF$44)+($B181*AF$46))*365.25)+(Machines!$D$291*(AF18/$AT18))</f>
        <v>5919.9930005422211</v>
      </c>
      <c r="AG178" s="84">
        <f ca="1">((($B179*AG$39)+($B180*AG$44)+($B181*AG$46))*365.25)+(Machines!$D$291*(AG18/$AT18))</f>
        <v>6376.7645064775088</v>
      </c>
      <c r="AH178" s="84">
        <f ca="1">((($B179*AH$39)+($B180*AH$44)+($B181*AH$46))*365.25)+(Machines!$D$291*(AH18/$AT18))</f>
        <v>7132.9653423767513</v>
      </c>
      <c r="AI178" s="84">
        <f ca="1">((($B179*AI$39)+($B180*AI$44)+($B181*AI$46))*365.25)+(Machines!$D$291*(AI18/$AT18))</f>
        <v>7258.0464681522681</v>
      </c>
      <c r="AJ178" s="84">
        <f ca="1">((($B179*AJ$39)+($B180*AJ$44)+($B181*AJ$46))*365.25)+(Machines!$D$291*(AJ18/$AT18))</f>
        <v>7317.4509351949218</v>
      </c>
      <c r="AK178" s="84">
        <f ca="1">((($B179*AK$39)+($B180*AK$44)+($B181*AK$46))*365.25)+(Machines!$D$291*(AK18/$AT18))</f>
        <v>7358.5438288944424</v>
      </c>
      <c r="AL178" s="84">
        <f ca="1">((($B179*AL$39)+($B180*AL$44)+($B181*AL$46))*365.25)+(Machines!$D$291*(AL18/$AT18))</f>
        <v>6927.6341310895687</v>
      </c>
      <c r="AM178" s="84">
        <f ca="1">((($B179*AM$39)+($B180*AM$44)+($B181*AM$46))*365.25)+(Machines!$D$291*(AM18/$AT18))</f>
        <v>6723.0113643935683</v>
      </c>
      <c r="AN178" s="84">
        <f ca="1">((($B179*AN$39)+($B180*AN$44)+($B181*AN$46))*365.25)+(Machines!$D$291*(AN18/$AT18))</f>
        <v>7040.6955745898267</v>
      </c>
      <c r="AO178" s="84">
        <f ca="1">((($B179*AO$39)+($B180*AO$44)+($B181*AO$46))*365.25)+(Machines!$D$291*(AO18/$AT18))</f>
        <v>7576.2516812529129</v>
      </c>
      <c r="AP178" s="84">
        <f ca="1">((($B179*AP$39)+($B180*AP$44)+($B181*AP$46))*365.25)+(Machines!$D$291*(AP18/$AT18))</f>
        <v>7632.9479670879673</v>
      </c>
      <c r="AQ178" s="84">
        <f ca="1">((($B179*AQ$39)+($B180*AQ$44)+($B181*AQ$46))*365.25)+(Machines!$D$291*(AQ18/$AT18))</f>
        <v>7266.8359481246234</v>
      </c>
      <c r="AR178" s="84">
        <f ca="1">((($B179*AR$39)+($B180*AR$44)+($B181*AR$46))*365.25)+(Machines!$D$291*(AR18/$AT18))</f>
        <v>7935.2260400303076</v>
      </c>
      <c r="AS178" s="84">
        <f ca="1">((($B179*AS$39)+($B180*AS$44)+($B181*AS$46))*365.25)+(Machines!$D$291*(AS18/$AT18))</f>
        <v>9023.8877520599963</v>
      </c>
      <c r="AT178" s="84">
        <f ca="1">((($B179*AT$39)+($B180*AT$44)+($B181*AT$46))*365.25)+(Machines!$D$291*(AT18/$AT18))</f>
        <v>8983.0153026883618</v>
      </c>
      <c r="AU178" s="5"/>
      <c r="AV178" s="5"/>
      <c r="AW178" s="5"/>
      <c r="AX178" s="5"/>
      <c r="AY178" s="5"/>
      <c r="AZ178" s="5"/>
      <c r="BA178" s="51"/>
      <c r="BB178" s="5"/>
      <c r="BC178" s="5"/>
      <c r="BD178" s="5"/>
      <c r="BE178" s="5"/>
      <c r="BF178" s="5"/>
      <c r="BG178" s="5"/>
      <c r="BH178" s="5"/>
      <c r="BI178" s="5"/>
      <c r="BJ178" s="5"/>
      <c r="BK178" s="5"/>
      <c r="BL178" s="5"/>
      <c r="BM178" s="5"/>
      <c r="BN178" s="5"/>
      <c r="BO178" s="5"/>
      <c r="BP178" s="5"/>
      <c r="BQ178" s="5"/>
      <c r="BR178" s="5"/>
      <c r="BS178" s="5"/>
      <c r="BT178" s="5"/>
      <c r="BU178" s="286"/>
    </row>
    <row r="179" spans="2:73" ht="12.6">
      <c r="B179" s="287">
        <f>SUM(Machines!C5)</f>
        <v>7.879829822718758</v>
      </c>
      <c r="C179" s="5" t="s">
        <v>36</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1"/>
      <c r="AU179" s="5"/>
      <c r="AV179" s="5"/>
      <c r="AW179" s="5"/>
      <c r="AX179" s="5"/>
      <c r="AY179" s="5"/>
      <c r="AZ179" s="5"/>
      <c r="BA179" s="51"/>
      <c r="BB179" s="5"/>
      <c r="BC179" s="5"/>
      <c r="BD179" s="5"/>
      <c r="BE179" s="5"/>
      <c r="BF179" s="5"/>
      <c r="BG179" s="5"/>
      <c r="BH179" s="5"/>
      <c r="BI179" s="5"/>
      <c r="BJ179" s="5"/>
      <c r="BK179" s="5"/>
      <c r="BL179" s="5"/>
      <c r="BM179" s="5"/>
      <c r="BN179" s="5"/>
      <c r="BO179" s="5"/>
      <c r="BP179" s="5"/>
      <c r="BQ179" s="5"/>
      <c r="BR179" s="5"/>
      <c r="BS179" s="5"/>
      <c r="BT179" s="5"/>
      <c r="BU179" s="286"/>
    </row>
    <row r="180" spans="2:73" ht="12.6">
      <c r="B180" s="288">
        <f>Machines!E5</f>
        <v>20.603637126617475</v>
      </c>
      <c r="C180" s="5" t="s">
        <v>38</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1"/>
      <c r="AU180" s="5"/>
      <c r="AV180" s="5"/>
      <c r="AW180" s="5"/>
      <c r="AX180" s="5"/>
      <c r="AY180" s="5"/>
      <c r="AZ180" s="5"/>
      <c r="BA180" s="51"/>
      <c r="BB180" s="5"/>
      <c r="BC180" s="5"/>
      <c r="BD180" s="5"/>
      <c r="BE180" s="5"/>
      <c r="BF180" s="5"/>
      <c r="BG180" s="5"/>
      <c r="BH180" s="5"/>
      <c r="BI180" s="5"/>
      <c r="BJ180" s="5"/>
      <c r="BK180" s="5"/>
      <c r="BL180" s="5"/>
      <c r="BM180" s="5"/>
      <c r="BN180" s="5"/>
      <c r="BO180" s="5"/>
      <c r="BP180" s="5"/>
      <c r="BQ180" s="5"/>
      <c r="BR180" s="5"/>
      <c r="BS180" s="5"/>
      <c r="BT180" s="5"/>
      <c r="BU180" s="286"/>
    </row>
    <row r="181" spans="2:73" ht="12.6">
      <c r="B181" s="289">
        <f ca="1">Machines!G5</f>
        <v>57.643128002552231</v>
      </c>
      <c r="C181" s="5" t="s">
        <v>40</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1"/>
      <c r="AU181" s="5"/>
      <c r="AV181" s="5"/>
      <c r="AW181" s="5"/>
      <c r="AX181" s="5"/>
      <c r="AY181" s="5"/>
      <c r="AZ181" s="5"/>
      <c r="BA181" s="51"/>
      <c r="BB181" s="5"/>
      <c r="BC181" s="5"/>
      <c r="BD181" s="5"/>
      <c r="BE181" s="5"/>
      <c r="BF181" s="5"/>
      <c r="BG181" s="5"/>
      <c r="BH181" s="5"/>
      <c r="BI181" s="5"/>
      <c r="BJ181" s="5"/>
      <c r="BK181" s="5"/>
      <c r="BL181" s="5"/>
      <c r="BM181" s="5"/>
      <c r="BN181" s="5"/>
      <c r="BO181" s="5"/>
      <c r="BP181" s="5"/>
      <c r="BQ181" s="5"/>
      <c r="BR181" s="5"/>
      <c r="BS181" s="5"/>
      <c r="BT181" s="5"/>
      <c r="BU181" s="286"/>
    </row>
    <row r="182" spans="2:73" ht="12.6">
      <c r="B182" s="5"/>
      <c r="C182" s="5" t="s">
        <v>694</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1"/>
      <c r="AU182" s="5">
        <f t="array" aca="1" ref="AU182:BU182" ca="1">TREND(D178:AT178,$D$153:$AT$153,$AU$153:$BU$153)</f>
        <v>8468.3716122126789</v>
      </c>
      <c r="AV182" s="5">
        <f ca="1"/>
        <v>8639.725532283308</v>
      </c>
      <c r="AW182" s="5">
        <f ca="1"/>
        <v>8811.0794523539953</v>
      </c>
      <c r="AX182" s="5">
        <f ca="1"/>
        <v>8982.4333724246244</v>
      </c>
      <c r="AY182" s="5">
        <f ca="1"/>
        <v>9153.7872924953117</v>
      </c>
      <c r="AZ182" s="5">
        <f ca="1"/>
        <v>9325.1412125659408</v>
      </c>
      <c r="BA182" s="51">
        <f ca="1"/>
        <v>9496.4951326365699</v>
      </c>
      <c r="BB182" s="5">
        <f ca="1"/>
        <v>9667.8490527072572</v>
      </c>
      <c r="BC182" s="5">
        <f ca="1"/>
        <v>9839.2029727778863</v>
      </c>
      <c r="BD182" s="5">
        <f ca="1"/>
        <v>10010.556892848574</v>
      </c>
      <c r="BE182" s="5">
        <f ca="1"/>
        <v>10181.910812919203</v>
      </c>
      <c r="BF182" s="5">
        <f ca="1"/>
        <v>10353.26473298989</v>
      </c>
      <c r="BG182" s="5">
        <f ca="1"/>
        <v>10524.618653060519</v>
      </c>
      <c r="BH182" s="5">
        <f ca="1"/>
        <v>10695.972573131148</v>
      </c>
      <c r="BI182" s="5">
        <f ca="1"/>
        <v>10867.326493201836</v>
      </c>
      <c r="BJ182" s="5">
        <f ca="1"/>
        <v>11038.680413272465</v>
      </c>
      <c r="BK182" s="5">
        <f ca="1"/>
        <v>11210.034333343152</v>
      </c>
      <c r="BL182" s="5">
        <f ca="1"/>
        <v>11381.388253413781</v>
      </c>
      <c r="BM182" s="5">
        <f ca="1"/>
        <v>11552.74217348441</v>
      </c>
      <c r="BN182" s="5">
        <f ca="1"/>
        <v>11724.096093555097</v>
      </c>
      <c r="BO182" s="5">
        <f ca="1"/>
        <v>11895.450013625727</v>
      </c>
      <c r="BP182" s="5">
        <f ca="1"/>
        <v>12066.803933696414</v>
      </c>
      <c r="BQ182" s="5">
        <f ca="1"/>
        <v>12238.157853767043</v>
      </c>
      <c r="BR182" s="5">
        <f ca="1"/>
        <v>12409.51177383773</v>
      </c>
      <c r="BS182" s="5">
        <f ca="1"/>
        <v>12580.865693908359</v>
      </c>
      <c r="BT182" s="5">
        <f ca="1"/>
        <v>12752.219613978988</v>
      </c>
      <c r="BU182" s="286">
        <f ca="1"/>
        <v>12923.573534049676</v>
      </c>
    </row>
    <row r="183" spans="2:73" ht="12.6">
      <c r="B183" s="5"/>
      <c r="C183" s="5">
        <f ca="1">SUM(AT182:BC182)</f>
        <v>82384.085632457573</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1"/>
      <c r="AU183" s="5"/>
      <c r="AV183" s="5"/>
      <c r="AW183" s="5"/>
      <c r="AX183" s="5"/>
      <c r="AY183" s="5"/>
      <c r="AZ183" s="5"/>
      <c r="BA183" s="51"/>
      <c r="BB183" s="5"/>
      <c r="BC183" s="5"/>
      <c r="BD183" s="5"/>
      <c r="BE183" s="5"/>
      <c r="BF183" s="5"/>
      <c r="BG183" s="5"/>
      <c r="BH183" s="5"/>
      <c r="BI183" s="5"/>
      <c r="BJ183" s="5"/>
      <c r="BK183" s="5"/>
      <c r="BL183" s="5"/>
      <c r="BM183" s="5"/>
      <c r="BN183" s="5"/>
      <c r="BO183" s="5"/>
      <c r="BP183" s="5"/>
      <c r="BQ183" s="5"/>
      <c r="BR183" s="5"/>
      <c r="BS183" s="5"/>
      <c r="BT183" s="5"/>
      <c r="BU183" s="286"/>
    </row>
    <row r="184" spans="2:73" ht="12.6">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1"/>
      <c r="AU184" s="5"/>
      <c r="AV184" s="5"/>
      <c r="AW184" s="5"/>
      <c r="AX184" s="5"/>
      <c r="AY184" s="5"/>
      <c r="AZ184" s="5"/>
      <c r="BA184" s="51"/>
      <c r="BB184" s="5"/>
      <c r="BC184" s="5"/>
      <c r="BD184" s="5"/>
      <c r="BE184" s="5"/>
      <c r="BF184" s="5"/>
      <c r="BG184" s="5"/>
      <c r="BH184" s="5"/>
      <c r="BI184" s="5"/>
      <c r="BJ184" s="5"/>
      <c r="BK184" s="5"/>
      <c r="BL184" s="5"/>
      <c r="BM184" s="5"/>
      <c r="BN184" s="5"/>
      <c r="BO184" s="5"/>
      <c r="BP184" s="5"/>
      <c r="BQ184" s="5"/>
      <c r="BR184" s="5"/>
      <c r="BS184" s="5"/>
      <c r="BT184" s="5"/>
      <c r="BU184" s="286"/>
    </row>
    <row r="185" spans="2:73" ht="12.6">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1"/>
      <c r="AU185" s="5"/>
      <c r="AV185" s="5"/>
      <c r="AW185" s="5"/>
      <c r="AX185" s="5"/>
      <c r="AY185" s="5"/>
      <c r="AZ185" s="5"/>
      <c r="BA185" s="51"/>
      <c r="BB185" s="5"/>
      <c r="BC185" s="5"/>
      <c r="BD185" s="5"/>
      <c r="BE185" s="5"/>
      <c r="BF185" s="5"/>
      <c r="BG185" s="5"/>
      <c r="BH185" s="5"/>
      <c r="BI185" s="5"/>
      <c r="BJ185" s="5"/>
      <c r="BK185" s="5"/>
      <c r="BL185" s="5"/>
      <c r="BM185" s="5"/>
      <c r="BN185" s="5"/>
      <c r="BO185" s="5"/>
      <c r="BP185" s="5"/>
      <c r="BQ185" s="5"/>
      <c r="BR185" s="5"/>
      <c r="BS185" s="5"/>
      <c r="BT185" s="5"/>
      <c r="BU185" s="286"/>
    </row>
    <row r="186" spans="2:73" ht="12.6">
      <c r="B186" s="5"/>
      <c r="C186" s="5" t="s">
        <v>699</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t="s">
        <v>700</v>
      </c>
      <c r="AO186" s="5"/>
      <c r="AP186" s="5"/>
      <c r="AQ186" s="5"/>
      <c r="AR186" s="5"/>
      <c r="AS186" s="5"/>
      <c r="AT186" s="51"/>
      <c r="AU186" s="5"/>
      <c r="AV186" s="5"/>
      <c r="AW186" s="5"/>
      <c r="AX186" s="5"/>
      <c r="AY186" s="5"/>
      <c r="AZ186" s="5"/>
      <c r="BA186" s="51"/>
      <c r="BB186" s="5"/>
      <c r="BC186" s="5"/>
      <c r="BD186" s="5"/>
      <c r="BE186" s="5"/>
      <c r="BF186" s="5"/>
      <c r="BG186" s="5"/>
      <c r="BH186" s="5"/>
      <c r="BI186" s="5"/>
      <c r="BJ186" s="5"/>
      <c r="BK186" s="5"/>
      <c r="BL186" s="5"/>
      <c r="BM186" s="5"/>
      <c r="BN186" s="5"/>
      <c r="BO186" s="5"/>
      <c r="BP186" s="5"/>
      <c r="BQ186" s="5"/>
      <c r="BR186" s="5"/>
      <c r="BS186" s="5"/>
      <c r="BT186" s="5"/>
      <c r="BU186" s="286"/>
    </row>
    <row r="187" spans="2:73" ht="12.6">
      <c r="B187" s="10"/>
      <c r="C187" s="10"/>
      <c r="AT187" s="51"/>
      <c r="BA187" s="51"/>
      <c r="BK187" s="10"/>
      <c r="BU187" s="135"/>
    </row>
    <row r="188" spans="2:73" ht="12.6">
      <c r="B188" s="95"/>
      <c r="C188" s="95" t="s">
        <v>701</v>
      </c>
      <c r="D188" s="95"/>
      <c r="E188" s="95"/>
      <c r="F188" s="95"/>
      <c r="G188" s="95"/>
      <c r="H188" s="95"/>
      <c r="I188" s="95"/>
      <c r="J188" s="95"/>
      <c r="K188" s="95"/>
      <c r="L188" s="95"/>
      <c r="M188" s="95"/>
      <c r="N188" s="95"/>
      <c r="O188" s="95"/>
      <c r="P188" s="95"/>
      <c r="Q188" s="95"/>
      <c r="R188" s="95"/>
      <c r="S188" s="95"/>
      <c r="T188" s="95"/>
      <c r="U188" s="95"/>
      <c r="V188" s="95"/>
      <c r="W188" s="95"/>
      <c r="X188" s="95"/>
      <c r="Y188" s="95"/>
      <c r="Z188" s="95"/>
      <c r="AA188" s="95"/>
      <c r="AB188" s="95"/>
      <c r="AC188" s="95"/>
      <c r="AD188" s="95"/>
      <c r="AE188" s="95"/>
      <c r="AF188" s="95"/>
      <c r="AG188" s="95"/>
      <c r="AH188" s="95"/>
      <c r="AI188" s="95"/>
      <c r="AJ188" s="95"/>
      <c r="AK188" s="95"/>
      <c r="AL188" s="95"/>
      <c r="AM188" s="95"/>
      <c r="AN188" s="95"/>
      <c r="AO188" s="95"/>
      <c r="AP188" s="95"/>
      <c r="AQ188" s="95"/>
      <c r="AR188" s="95"/>
      <c r="AS188" s="95"/>
      <c r="AT188" s="87">
        <f ca="1">($B189*AT39*365.25)+(Machines!$D$291*(AT39/$AT39))</f>
        <v>3158.9554679833086</v>
      </c>
      <c r="AU188" s="87">
        <f ca="1">($B189*AU49*365.25)+(Machines!$D$291*(AU49/$AT39))</f>
        <v>3270.7393735609376</v>
      </c>
      <c r="AV188" s="87">
        <f ca="1">($B189*AV49*365.25)+(Machines!$D$291*(AV49/$AT39))</f>
        <v>3341.467659197614</v>
      </c>
      <c r="AW188" s="87">
        <f ca="1">($B189*AW49*365.25)+(Machines!$D$291*(AW49/$AT39))</f>
        <v>3412.1959448343118</v>
      </c>
      <c r="AX188" s="87">
        <f ca="1">($B189*AX49*365.25)+(Machines!$D$291*(AX49/$AT39))</f>
        <v>3482.9242304709887</v>
      </c>
      <c r="AY188" s="87">
        <f ca="1">($B189*AY49*365.25)+(Machines!$D$291*(AY49/$AT39))</f>
        <v>3553.6525161076861</v>
      </c>
      <c r="AZ188" s="87">
        <f ca="1">($B189*AZ49*365.25)+(Machines!$D$291*(AZ49/$AT39))</f>
        <v>3624.3808017443844</v>
      </c>
      <c r="BA188" s="87">
        <f ca="1">($B189*BA49*365.25)+(Machines!$D$291*(BA49/$AT39))</f>
        <v>3695.1090873810608</v>
      </c>
      <c r="BB188" s="87">
        <f ca="1">($B189*BB49*365.25)+(Machines!$D$291*(BB49/$AT39))</f>
        <v>3765.8373730177586</v>
      </c>
      <c r="BC188" s="87">
        <f ca="1">($B189*BC49*365.25)+(Machines!$D$291*(BC49/$AT39))</f>
        <v>3836.5656586544565</v>
      </c>
      <c r="BD188" s="87">
        <f ca="1">($B189*BD49*365.25)+(Machines!$D$291*(BD49/$AT39))</f>
        <v>3907.2939442911543</v>
      </c>
      <c r="BE188" s="87">
        <f ca="1">($B189*BE49*365.25)+(Machines!$D$291*(BE49/$AT39))</f>
        <v>3978.0222299278307</v>
      </c>
      <c r="BF188" s="87">
        <f ca="1">($B189*BF49*365.25)+(Machines!$D$291*(BF49/$AT39))</f>
        <v>4048.7505155645285</v>
      </c>
      <c r="BG188" s="87">
        <f ca="1">($B189*BG49*365.25)+(Machines!$D$291*(BG49/$AT39))</f>
        <v>4119.4788012012268</v>
      </c>
      <c r="BH188" s="87">
        <f ca="1">($B189*BH49*365.25)+(Machines!$D$291*(BH49/$AT39))</f>
        <v>4190.2070868379042</v>
      </c>
      <c r="BI188" s="87">
        <f ca="1">($B189*BI49*365.25)+(Machines!$D$291*(BI49/$AT39))</f>
        <v>4260.9353724746006</v>
      </c>
      <c r="BJ188" s="87">
        <f ca="1">($B189*BJ49*365.25)+(Machines!$D$291*(BJ49/$AT39))</f>
        <v>4331.6636581112989</v>
      </c>
      <c r="BK188" s="87">
        <f ca="1">($B189*BK49*365.25)+(Machines!$D$291*(BK49/$AT39))</f>
        <v>4402.3919437479763</v>
      </c>
      <c r="BL188" s="87">
        <f ca="1">($B189*BL49*365.25)+(Machines!$D$291*(BL49/$AT39))</f>
        <v>4473.1202293846736</v>
      </c>
      <c r="BM188" s="87">
        <f ca="1">($B189*BM49*365.25)+(Machines!$D$291*(BM49/$AT39))</f>
        <v>4543.8485150213719</v>
      </c>
      <c r="BN188" s="87">
        <f ca="1">($B189*BN49*365.25)+(Machines!$D$291*(BN49/$AT39))</f>
        <v>4614.5768006580693</v>
      </c>
      <c r="BO188" s="87">
        <f ca="1">($B189*BO49*365.25)+(Machines!$D$291*(BO49/$AT39))</f>
        <v>4685.3050862947457</v>
      </c>
      <c r="BP188" s="87">
        <f ca="1">($B189*BP49*365.25)+(Machines!$D$291*(BP49/$AT39))</f>
        <v>4756.033371931444</v>
      </c>
      <c r="BQ188" s="87">
        <f ca="1">($B189*BQ49*365.25)+(Machines!$D$291*(BQ49/$AT39))</f>
        <v>4826.7616575681413</v>
      </c>
      <c r="BR188" s="87">
        <f ca="1">($B189*BR49*365.25)+(Machines!$D$291*(BR49/$AT39))</f>
        <v>4897.4899432048178</v>
      </c>
      <c r="BS188" s="87">
        <f ca="1">($B189*BS49*365.25)+(Machines!$D$291*(BS49/$AT39))</f>
        <v>4968.2182288415161</v>
      </c>
      <c r="BT188" s="87">
        <f ca="1">($B189*BT49*365.25)+(Machines!$D$291*(BT49/$AT39))</f>
        <v>5038.9465144782134</v>
      </c>
      <c r="BU188" s="87">
        <f ca="1">($B189*BU49*365.25)+(Machines!$D$291*(BU49/$AT39))</f>
        <v>5109.6748001148908</v>
      </c>
    </row>
    <row r="189" spans="2:73" ht="12.6">
      <c r="B189" s="290">
        <f ca="1">Machines!C7</f>
        <v>27.953373767787504</v>
      </c>
      <c r="C189" s="95" t="s">
        <v>36</v>
      </c>
      <c r="D189" s="95"/>
      <c r="E189" s="95"/>
      <c r="F189" s="95"/>
      <c r="G189" s="95"/>
      <c r="H189" s="95"/>
      <c r="I189" s="95"/>
      <c r="J189" s="95"/>
      <c r="K189" s="95"/>
      <c r="L189" s="95"/>
      <c r="M189" s="95"/>
      <c r="N189" s="95"/>
      <c r="O189" s="95"/>
      <c r="P189" s="95"/>
      <c r="Q189" s="95"/>
      <c r="R189" s="95"/>
      <c r="S189" s="95"/>
      <c r="T189" s="95"/>
      <c r="U189" s="95"/>
      <c r="V189" s="95"/>
      <c r="W189" s="95"/>
      <c r="X189" s="95"/>
      <c r="Y189" s="95"/>
      <c r="Z189" s="95"/>
      <c r="AA189" s="95"/>
      <c r="AB189" s="95"/>
      <c r="AC189" s="95"/>
      <c r="AD189" s="95"/>
      <c r="AE189" s="95"/>
      <c r="AF189" s="95"/>
      <c r="AG189" s="95"/>
      <c r="AH189" s="95"/>
      <c r="AI189" s="95"/>
      <c r="AJ189" s="95"/>
      <c r="AK189" s="95"/>
      <c r="AL189" s="95"/>
      <c r="AM189" s="95"/>
      <c r="AN189" s="95"/>
      <c r="AO189" s="95"/>
      <c r="AP189" s="95"/>
      <c r="AQ189" s="95"/>
      <c r="AR189" s="95"/>
      <c r="AS189" s="95"/>
      <c r="AT189" s="51"/>
      <c r="AU189" s="95"/>
      <c r="AV189" s="95"/>
      <c r="AW189" s="95"/>
      <c r="AX189" s="95"/>
      <c r="AY189" s="95"/>
      <c r="AZ189" s="95"/>
      <c r="BA189" s="51"/>
      <c r="BB189" s="95"/>
      <c r="BC189" s="95"/>
      <c r="BD189" s="95"/>
      <c r="BE189" s="95"/>
      <c r="BF189" s="95"/>
      <c r="BG189" s="95"/>
      <c r="BH189" s="95"/>
      <c r="BI189" s="95"/>
      <c r="BJ189" s="95"/>
      <c r="BK189" s="95"/>
      <c r="BL189" s="95"/>
      <c r="BM189" s="95"/>
      <c r="BN189" s="95"/>
      <c r="BO189" s="95"/>
      <c r="BP189" s="95"/>
      <c r="BQ189" s="95"/>
      <c r="BR189" s="95"/>
      <c r="BS189" s="95"/>
      <c r="BT189" s="95"/>
      <c r="BU189" s="95"/>
    </row>
    <row r="193" spans="2:73" ht="12.6">
      <c r="B193" s="95"/>
      <c r="C193" s="95" t="s">
        <v>702</v>
      </c>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c r="AB193" s="95"/>
      <c r="AC193" s="95"/>
      <c r="AD193" s="95"/>
      <c r="AE193" s="95"/>
      <c r="AF193" s="95"/>
      <c r="AG193" s="95"/>
      <c r="AH193" s="95"/>
      <c r="AI193" s="95"/>
      <c r="AJ193" s="95"/>
      <c r="AK193" s="95"/>
      <c r="AL193" s="95"/>
      <c r="AM193" s="95"/>
      <c r="AN193" s="95"/>
      <c r="AO193" s="95"/>
      <c r="AP193" s="95"/>
      <c r="AQ193" s="95"/>
      <c r="AR193" s="95"/>
      <c r="AS193" s="95"/>
      <c r="AT193" s="51"/>
      <c r="AU193" s="95"/>
      <c r="AV193" s="95"/>
      <c r="AW193" s="95"/>
      <c r="AX193" s="95"/>
      <c r="AY193" s="95"/>
      <c r="AZ193" s="95"/>
      <c r="BA193" s="51"/>
      <c r="BB193" s="95"/>
      <c r="BC193" s="95"/>
      <c r="BD193" s="95"/>
      <c r="BE193" s="95"/>
      <c r="BF193" s="95"/>
      <c r="BG193" s="95"/>
      <c r="BH193" s="95"/>
      <c r="BI193" s="95"/>
      <c r="BJ193" s="95"/>
      <c r="BK193" s="95"/>
      <c r="BL193" s="95"/>
      <c r="BM193" s="95"/>
      <c r="BN193" s="95"/>
      <c r="BO193" s="95"/>
      <c r="BP193" s="95"/>
      <c r="BQ193" s="95"/>
      <c r="BR193" s="95"/>
      <c r="BS193" s="95"/>
      <c r="BT193" s="95"/>
      <c r="BU193" s="95"/>
    </row>
    <row r="194" spans="2:73" ht="12.6">
      <c r="AT194" s="51"/>
      <c r="BA194" s="51"/>
      <c r="BU194" s="135"/>
    </row>
    <row r="195" spans="2:73" ht="12.6">
      <c r="B195" s="291">
        <f ca="1">Machines!C7</f>
        <v>27.953373767787504</v>
      </c>
      <c r="C195" s="37" t="s">
        <v>703</v>
      </c>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51"/>
      <c r="AU195" s="167">
        <f ca="1">(($B196*AU49*365.25)+($B197*AU125*365.25))+(Machines!$D$291*(AU49/$AT39))</f>
        <v>2077.1695493285301</v>
      </c>
      <c r="AV195" s="167">
        <f ca="1">(($B196*AV49*365.25)+($B197*AV125*365.25))+(Machines!$D$291*(AV49/$AT39))</f>
        <v>2113.5824371838062</v>
      </c>
      <c r="AW195" s="167">
        <f ca="1">(($B196*AW49*365.25)+($B197*AW125*365.25))+(Machines!$D$291*(AW49/$AT39))</f>
        <v>2149.9953250390927</v>
      </c>
      <c r="AX195" s="167">
        <f ca="1">(($B196*AX49*365.25)+($B197*AX125*365.25))+(Machines!$D$291*(AX49/$AT39))</f>
        <v>2186.4082128943692</v>
      </c>
      <c r="AY195" s="167">
        <f ca="1">(($B196*AY49*365.25)+($B197*AY125*365.25))+(Machines!$D$291*(AY49/$AT39))</f>
        <v>2222.8211007496561</v>
      </c>
      <c r="AZ195" s="167">
        <f ca="1">(($B196*AZ49*365.25)+($B197*AZ125*365.25))+(Machines!$D$291*(AZ49/$AT39))</f>
        <v>2259.2339886049431</v>
      </c>
      <c r="BA195" s="167">
        <f ca="1">(($B196*BA49*365.25)+($B197*BA125*365.25))+(Machines!$D$291*(BA49/$AT39))</f>
        <v>2295.6468764602187</v>
      </c>
      <c r="BB195" s="167">
        <f ca="1">(($B196*BB49*365.25)+($B197*BB125*365.25))+(Machines!$D$291*(BB49/$AT39))</f>
        <v>2332.0597643155056</v>
      </c>
      <c r="BC195" s="167">
        <f ca="1">(($B196*BC49*365.25)+($B197*BC125*365.25))+(Machines!$D$291*(BC49/$AT39))</f>
        <v>2368.4726521707926</v>
      </c>
      <c r="BD195" s="167">
        <f ca="1">(($B196*BD49*365.25)+($B197*BD125*365.25))+(Machines!$D$291*(BD49/$AT39))</f>
        <v>2404.8855400260795</v>
      </c>
      <c r="BE195" s="167">
        <f ca="1">(($B196*BE49*365.25)+($B197*BE125*365.25))+(Machines!$D$291*(BE49/$AT39))</f>
        <v>2441.2984278813556</v>
      </c>
      <c r="BF195" s="167">
        <f ca="1">(($B196*BF49*365.25)+($B197*BF125*365.25))+(Machines!$D$291*(BF49/$AT39))</f>
        <v>2477.7113157366425</v>
      </c>
      <c r="BG195" s="167">
        <f ca="1">(($B196*BG49*365.25)+($B197*BG125*365.25))+(Machines!$D$291*(BG49/$AT39))</f>
        <v>2514.1242035919295</v>
      </c>
      <c r="BH195" s="167">
        <f ca="1">(($B196*BH49*365.25)+($B197*BH125*365.25))+(Machines!$D$291*(BH49/$AT39))</f>
        <v>2550.5370914472055</v>
      </c>
      <c r="BI195" s="167">
        <f ca="1">(($B196*BI49*365.25)+($B197*BI125*365.25))+(Machines!$D$291*(BI49/$AT39))</f>
        <v>2586.9499793024925</v>
      </c>
      <c r="BJ195" s="167">
        <f ca="1">(($B196*BJ49*365.25)+($B197*BJ125*365.25))+(Machines!$D$291*(BJ49/$AT39))</f>
        <v>2623.362867157779</v>
      </c>
      <c r="BK195" s="167">
        <f ca="1">(($B196*BK49*365.25)+($B197*BK125*365.25))+(Machines!$D$291*(BK49/$AT39))</f>
        <v>2659.7757550130555</v>
      </c>
      <c r="BL195" s="167">
        <f ca="1">(($B196*BL49*365.25)+($B197*BL125*365.25))+(Machines!$D$291*(BL49/$AT39))</f>
        <v>2696.188642868342</v>
      </c>
      <c r="BM195" s="167">
        <f ca="1">(($B196*BM49*365.25)+($B197*BM125*365.25))+(Machines!$D$291*(BM49/$AT39))</f>
        <v>2732.6015307236298</v>
      </c>
      <c r="BN195" s="167">
        <f ca="1">(($B196*BN49*365.25)+($B197*BN125*365.25))+(Machines!$D$291*(BN49/$AT39))</f>
        <v>2769.0144185789159</v>
      </c>
      <c r="BO195" s="167">
        <f ca="1">(($B196*BO49*365.25)+($B197*BO125*365.25))+(Machines!$D$291*(BO49/$AT39))</f>
        <v>2805.4273064341919</v>
      </c>
      <c r="BP195" s="167">
        <f ca="1">(($B196*BP49*365.25)+($B197*BP125*365.25))+(Machines!$D$291*(BP49/$AT39))</f>
        <v>2841.8401942894789</v>
      </c>
      <c r="BQ195" s="167">
        <f ca="1">(($B196*BQ49*365.25)+($B197*BQ125*365.25))+(Machines!$D$291*(BQ49/$AT39))</f>
        <v>2878.2530821447663</v>
      </c>
      <c r="BR195" s="167">
        <f ca="1">(($B196*BR49*365.25)+($B197*BR125*365.25))+(Machines!$D$291*(BR49/$AT39))</f>
        <v>2914.6659700000419</v>
      </c>
      <c r="BS195" s="167">
        <f ca="1">(($B196*BS49*365.25)+($B197*BS125*365.25))+(Machines!$D$291*(BS49/$AT39))</f>
        <v>2951.0788578553293</v>
      </c>
      <c r="BT195" s="167">
        <f ca="1">(($B196*BT49*365.25)+($B197*BT125*365.25))+(Machines!$D$291*(BT49/$AT39))</f>
        <v>2987.4917457106158</v>
      </c>
      <c r="BU195" s="167">
        <f ca="1">(($B196*BU49*365.25)+($B197*BU125*365.25))+(Machines!$D$291*(BU49/$AT39))</f>
        <v>3023.9046335658923</v>
      </c>
    </row>
    <row r="196" spans="2:73" ht="12.6">
      <c r="B196" s="37">
        <f ca="1">(Machines!U64*'Energy prices'!M63)+(Machines!N130*'Energy prices'!M64)+(Machines!M186*'Energy prices'!M65)+(Machines!F255*'Energy prices'!M67)+(Machines!C243*'Energy prices'!M66)</f>
        <v>10.607965836180345</v>
      </c>
      <c r="C196" s="37" t="s">
        <v>87</v>
      </c>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51"/>
      <c r="AU196" s="37"/>
      <c r="AV196" s="37"/>
      <c r="AW196" s="37"/>
      <c r="AX196" s="37"/>
      <c r="AY196" s="37"/>
      <c r="AZ196" s="37"/>
      <c r="BA196" s="51"/>
      <c r="BB196" s="37"/>
      <c r="BC196" s="37"/>
      <c r="BD196" s="37"/>
      <c r="BE196" s="37"/>
      <c r="BF196" s="37"/>
      <c r="BG196" s="37"/>
      <c r="BH196" s="37"/>
      <c r="BI196" s="37"/>
      <c r="BJ196" s="37"/>
      <c r="BK196" s="37"/>
      <c r="BL196" s="37"/>
      <c r="BM196" s="37"/>
      <c r="BN196" s="37"/>
      <c r="BO196" s="37"/>
      <c r="BP196" s="37"/>
      <c r="BQ196" s="37"/>
      <c r="BR196" s="37"/>
      <c r="BS196" s="37"/>
      <c r="BT196" s="37"/>
      <c r="BU196" s="37"/>
    </row>
    <row r="197" spans="2:73" ht="12.6">
      <c r="B197" s="291">
        <f ca="1">B189-B196</f>
        <v>17.345407931607159</v>
      </c>
      <c r="C197" s="37" t="s">
        <v>131</v>
      </c>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51"/>
      <c r="AU197" s="37"/>
      <c r="AV197" s="37"/>
      <c r="AW197" s="37"/>
      <c r="AX197" s="37"/>
      <c r="AY197" s="37"/>
      <c r="AZ197" s="37"/>
      <c r="BA197" s="51"/>
      <c r="BB197" s="37"/>
      <c r="BC197" s="37"/>
      <c r="BD197" s="37"/>
      <c r="BE197" s="37"/>
      <c r="BF197" s="37"/>
      <c r="BG197" s="37"/>
      <c r="BH197" s="37"/>
      <c r="BI197" s="37"/>
      <c r="BJ197" s="37"/>
      <c r="BK197" s="37"/>
      <c r="BL197" s="37"/>
      <c r="BM197" s="37"/>
      <c r="BN197" s="37"/>
      <c r="BO197" s="37"/>
      <c r="BP197" s="37"/>
      <c r="BQ197" s="37"/>
      <c r="BR197" s="37"/>
      <c r="BS197" s="37"/>
      <c r="BT197" s="37"/>
      <c r="BU197" s="37"/>
    </row>
    <row r="198" spans="2:73" ht="12.6">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51"/>
      <c r="AU198" s="37"/>
      <c r="AV198" s="37"/>
      <c r="AW198" s="37"/>
      <c r="AX198" s="37"/>
      <c r="AY198" s="37"/>
      <c r="AZ198" s="37"/>
      <c r="BA198" s="51"/>
      <c r="BB198" s="37"/>
      <c r="BC198" s="37"/>
      <c r="BD198" s="37"/>
      <c r="BE198" s="37"/>
      <c r="BF198" s="37"/>
      <c r="BG198" s="37"/>
      <c r="BH198" s="37"/>
      <c r="BI198" s="37"/>
      <c r="BJ198" s="37"/>
      <c r="BK198" s="37"/>
      <c r="BL198" s="37"/>
      <c r="BM198" s="37"/>
      <c r="BN198" s="37"/>
      <c r="BO198" s="37"/>
      <c r="BP198" s="37"/>
      <c r="BQ198" s="37"/>
      <c r="BR198" s="37"/>
      <c r="BS198" s="37"/>
      <c r="BT198" s="37"/>
      <c r="BU198" s="37"/>
    </row>
    <row r="199" spans="2:73" ht="12.6">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51"/>
      <c r="AU199" s="37"/>
      <c r="AV199" s="37"/>
      <c r="AW199" s="37"/>
      <c r="AX199" s="37"/>
      <c r="AY199" s="37"/>
      <c r="AZ199" s="37"/>
      <c r="BA199" s="51"/>
      <c r="BB199" s="37"/>
      <c r="BC199" s="37"/>
      <c r="BD199" s="37"/>
      <c r="BE199" s="37"/>
      <c r="BF199" s="37"/>
      <c r="BG199" s="37"/>
      <c r="BH199" s="37"/>
      <c r="BI199" s="37"/>
      <c r="BJ199" s="37"/>
      <c r="BK199" s="37"/>
      <c r="BL199" s="37"/>
      <c r="BM199" s="37"/>
      <c r="BN199" s="37"/>
      <c r="BO199" s="37"/>
      <c r="BP199" s="37"/>
      <c r="BQ199" s="37"/>
      <c r="BR199" s="37"/>
      <c r="BS199" s="37"/>
      <c r="BT199" s="37"/>
      <c r="BU199" s="37"/>
    </row>
    <row r="200" spans="2:73" ht="12.6">
      <c r="B200" s="37"/>
      <c r="C200" s="37" t="s">
        <v>704</v>
      </c>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51"/>
      <c r="AU200" s="37"/>
      <c r="AV200" s="37"/>
      <c r="AW200" s="37"/>
      <c r="AX200" s="37"/>
      <c r="AY200" s="37"/>
      <c r="AZ200" s="37"/>
      <c r="BA200" s="51"/>
      <c r="BB200" s="37"/>
      <c r="BC200" s="37"/>
      <c r="BD200" s="37"/>
      <c r="BE200" s="37"/>
      <c r="BF200" s="37"/>
      <c r="BG200" s="37"/>
      <c r="BH200" s="37"/>
      <c r="BI200" s="37"/>
      <c r="BJ200" s="37"/>
      <c r="BK200" s="37"/>
      <c r="BL200" s="37"/>
      <c r="BM200" s="37"/>
      <c r="BN200" s="37"/>
      <c r="BO200" s="37"/>
      <c r="BP200" s="37"/>
      <c r="BQ200" s="37"/>
      <c r="BR200" s="37"/>
      <c r="BS200" s="37"/>
      <c r="BT200" s="37"/>
      <c r="BU200" s="37"/>
    </row>
    <row r="201" spans="2:73" ht="12.6">
      <c r="AT201" s="51"/>
      <c r="BA201" s="51"/>
    </row>
    <row r="202" spans="2:73" ht="12.6">
      <c r="B202" s="292"/>
      <c r="C202" s="292" t="s">
        <v>705</v>
      </c>
      <c r="D202" s="292"/>
      <c r="E202" s="292"/>
      <c r="F202" s="292"/>
      <c r="G202" s="292"/>
      <c r="H202" s="292"/>
      <c r="I202" s="292"/>
      <c r="J202" s="292"/>
      <c r="K202" s="292"/>
      <c r="L202" s="292"/>
      <c r="M202" s="292"/>
      <c r="N202" s="292"/>
      <c r="O202" s="292"/>
      <c r="P202" s="292"/>
      <c r="Q202" s="292"/>
      <c r="R202" s="292"/>
      <c r="S202" s="292"/>
      <c r="T202" s="292"/>
      <c r="U202" s="292"/>
      <c r="V202" s="292"/>
      <c r="W202" s="292"/>
      <c r="X202" s="292"/>
      <c r="Y202" s="292"/>
      <c r="Z202" s="292"/>
      <c r="AA202" s="292"/>
      <c r="AB202" s="292"/>
      <c r="AC202" s="292"/>
      <c r="AD202" s="292"/>
      <c r="AE202" s="292"/>
      <c r="AF202" s="292"/>
      <c r="AG202" s="292"/>
      <c r="AH202" s="292"/>
      <c r="AI202" s="292"/>
      <c r="AJ202" s="292"/>
      <c r="AK202" s="292"/>
      <c r="AL202" s="292"/>
      <c r="AM202" s="292"/>
      <c r="AN202" s="292"/>
      <c r="AO202" s="292"/>
      <c r="AP202" s="292"/>
      <c r="AQ202" s="292"/>
      <c r="AR202" s="292"/>
      <c r="AS202" s="292"/>
      <c r="AT202" s="274">
        <f ca="1">(($D203*AT$130*365.25)+($D203*AT$125*365.25))+(Machines!$D$291*(AT39/$AT39))</f>
        <v>2451.3232114495368</v>
      </c>
      <c r="AU202" s="274">
        <f ca="1">(($D203*AU$130*365.25)+($D203*AU$125*365.25))+(Machines!$D$291*(AU49/$AT39))</f>
        <v>2475.7044069819181</v>
      </c>
      <c r="AV202" s="274">
        <f ca="1">(($D203*AV$130*365.25)+($D203*AV$125*365.25))+(Machines!$D$291*(AV49/$AT39))</f>
        <v>2491.1309583523243</v>
      </c>
      <c r="AW202" s="274">
        <f ca="1">(($D203*AW$130*365.25)+($D203*AW$125*365.25))+(Machines!$D$291*(AW49/$AT39))</f>
        <v>2506.5575097227352</v>
      </c>
      <c r="AX202" s="274">
        <f ca="1">(($D203*AX$130*365.25)+($D203*AX$125*365.25))+(Machines!$D$291*(AX49/$AT39))</f>
        <v>2521.9840610931415</v>
      </c>
      <c r="AY202" s="274">
        <f ca="1">(($D203*AY$130*365.25)+($D203*AY$125*365.25))+(Machines!$D$291*(AY49/$AT39))</f>
        <v>2537.4106124635523</v>
      </c>
      <c r="AZ202" s="274">
        <f ca="1">(($D203*AZ$130*365.25)+($D203*AZ$125*365.25))+(Machines!$D$291*(AZ49/$AT39))</f>
        <v>2552.8371638339631</v>
      </c>
      <c r="BA202" s="274">
        <f ca="1">(($D203*BA$130*365.25)+($D203*BA$125*365.25))+(Machines!$D$291*(BA49/$AT39))</f>
        <v>2568.2637152043694</v>
      </c>
      <c r="BB202" s="274">
        <f ca="1">(($D203*BB$130*365.25)+($D203*BB$125*365.25))+(Machines!$D$291*(BB49/$AT39))</f>
        <v>2583.6902665747803</v>
      </c>
      <c r="BC202" s="274">
        <f ca="1">(($D203*BC$130*365.25)+($D203*BC$125*365.25))+(Machines!$D$291*(BC49/$AT39))</f>
        <v>2599.1168179451911</v>
      </c>
      <c r="BD202" s="274">
        <f ca="1">(($D203*BD$130*365.25)+($D203*BD$125*365.25))+(Machines!$D$291*(BD49/$AT39))</f>
        <v>2614.5433693156019</v>
      </c>
      <c r="BE202" s="274">
        <f ca="1">(($D203*BE$130*365.25)+($D203*BE$125*365.25))+(Machines!$D$291*(BE49/$AT39))</f>
        <v>2629.9699206860082</v>
      </c>
      <c r="BF202" s="274">
        <f ca="1">(($D203*BF$130*365.25)+($D203*BF$125*365.25))+(Machines!$D$291*(BF49/$AT39))</f>
        <v>2645.396472056419</v>
      </c>
      <c r="BG202" s="274">
        <f ca="1">(($D203*BG$130*365.25)+($D203*BG$125*365.25))+(Machines!$D$291*(BG49/$AT39))</f>
        <v>2660.8230234268299</v>
      </c>
      <c r="BH202" s="274">
        <f ca="1">(($D203*BH$130*365.25)+($D203*BH$125*365.25))+(Machines!$D$291*(BH49/$AT39))</f>
        <v>2676.2495747972362</v>
      </c>
      <c r="BI202" s="274">
        <f ca="1">(($D203*BI$130*365.25)+($D203*BI$125*365.25))+(Machines!$D$291*(BI49/$AT39))</f>
        <v>2691.676126167647</v>
      </c>
      <c r="BJ202" s="274">
        <f ca="1">(($D203*BJ$130*365.25)+($D203*BJ$125*365.25))+(Machines!$D$291*(BJ49/$AT39))</f>
        <v>2707.1026775380578</v>
      </c>
      <c r="BK202" s="274">
        <f ca="1">(($D203*BK$130*365.25)+($D203*BK$125*365.25))+(Machines!$D$291*(BK49/$AT39))</f>
        <v>2722.5292289084641</v>
      </c>
      <c r="BL202" s="274">
        <f ca="1">(($D203*BL$130*365.25)+($D203*BL$125*365.25))+(Machines!$D$291*(BL49/$AT39))</f>
        <v>2737.955780278875</v>
      </c>
      <c r="BM202" s="274">
        <f ca="1">(($D203*BM$130*365.25)+($D203*BM$125*365.25))+(Machines!$D$291*(BM49/$AT39))</f>
        <v>2753.3823316492862</v>
      </c>
      <c r="BN202" s="274">
        <f ca="1">(($D203*BN$130*365.25)+($D203*BN$125*365.25))+(Machines!$D$291*(BN49/$AT39))</f>
        <v>2768.8088830196966</v>
      </c>
      <c r="BO202" s="274">
        <f ca="1">(($D203*BO$130*365.25)+($D203*BO$125*365.25))+(Machines!$D$291*(BO49/$AT39))</f>
        <v>2784.2354343901029</v>
      </c>
      <c r="BP202" s="274">
        <f ca="1">(($D203*BP$130*365.25)+($D203*BP$125*365.25))+(Machines!$D$291*(BP49/$AT39))</f>
        <v>2799.6619857605137</v>
      </c>
      <c r="BQ202" s="274">
        <f ca="1">(($D203*BQ$130*365.25)+($D203*BQ$125*365.25))+(Machines!$D$291*(BQ49/$AT39))</f>
        <v>2815.088537130925</v>
      </c>
      <c r="BR202" s="274">
        <f ca="1">(($D203*BR$130*365.25)+($D203*BR$125*365.25))+(Machines!$D$291*(BR49/$AT39))</f>
        <v>2830.5150885013309</v>
      </c>
      <c r="BS202" s="274">
        <f ca="1">(($D203*BS$130*365.25)+($D203*BS$125*365.25))+(Machines!$D$291*(BS49/$AT39))</f>
        <v>2845.9416398717422</v>
      </c>
      <c r="BT202" s="274">
        <f ca="1">(($D203*BT$130*365.25)+($D203*BT$125*365.25))+(Machines!$D$291*(BT49/$AT39))</f>
        <v>2861.3681912421525</v>
      </c>
      <c r="BU202" s="274">
        <f ca="1">(($D203*BU$130*365.25)+($D203*BU$125*365.25))+(Machines!$D$291*(BU49/$AT39))</f>
        <v>2876.7947426125593</v>
      </c>
    </row>
    <row r="203" spans="2:73" ht="12.6">
      <c r="B203" s="292"/>
      <c r="C203" s="292" t="s">
        <v>334</v>
      </c>
      <c r="D203" s="293">
        <f ca="1">D204*0.6</f>
        <v>16.772024260672502</v>
      </c>
      <c r="E203" s="292"/>
      <c r="F203" s="292"/>
      <c r="G203" s="292"/>
      <c r="H203" s="292"/>
      <c r="I203" s="292"/>
      <c r="J203" s="292"/>
      <c r="K203" s="292"/>
      <c r="L203" s="292"/>
      <c r="M203" s="292"/>
      <c r="N203" s="292"/>
      <c r="O203" s="292"/>
      <c r="P203" s="292"/>
      <c r="Q203" s="292"/>
      <c r="R203" s="292"/>
      <c r="S203" s="292"/>
      <c r="T203" s="292"/>
      <c r="U203" s="292"/>
      <c r="V203" s="292"/>
      <c r="W203" s="292"/>
      <c r="X203" s="292"/>
      <c r="Y203" s="292"/>
      <c r="Z203" s="292"/>
      <c r="AA203" s="292"/>
      <c r="AB203" s="292"/>
      <c r="AC203" s="292"/>
      <c r="AD203" s="292"/>
      <c r="AE203" s="292"/>
      <c r="AF203" s="292"/>
      <c r="AG203" s="292"/>
      <c r="AH203" s="292"/>
      <c r="AI203" s="292"/>
      <c r="AJ203" s="292"/>
      <c r="AK203" s="292"/>
      <c r="AL203" s="292"/>
      <c r="AM203" s="292"/>
      <c r="AN203" s="292"/>
      <c r="AO203" s="292"/>
      <c r="AP203" s="292"/>
      <c r="AQ203" s="292"/>
      <c r="AR203" s="292"/>
      <c r="AS203" s="292"/>
      <c r="AT203" s="51"/>
      <c r="AU203" s="292"/>
      <c r="AV203" s="292"/>
      <c r="AW203" s="292"/>
      <c r="AX203" s="292"/>
      <c r="AY203" s="292"/>
      <c r="AZ203" s="292"/>
      <c r="BA203" s="51"/>
      <c r="BB203" s="292"/>
      <c r="BC203" s="292"/>
      <c r="BD203" s="292"/>
      <c r="BE203" s="292"/>
      <c r="BF203" s="292"/>
      <c r="BG203" s="292"/>
      <c r="BH203" s="292"/>
      <c r="BI203" s="292"/>
      <c r="BJ203" s="292"/>
      <c r="BK203" s="292"/>
      <c r="BL203" s="292"/>
      <c r="BM203" s="292"/>
      <c r="BN203" s="292"/>
      <c r="BO203" s="292"/>
      <c r="BP203" s="292"/>
      <c r="BQ203" s="292"/>
      <c r="BR203" s="292"/>
      <c r="BS203" s="292"/>
      <c r="BT203" s="292"/>
      <c r="BU203" s="292"/>
    </row>
    <row r="204" spans="2:73" ht="12.6">
      <c r="B204" s="292"/>
      <c r="C204" s="292" t="s">
        <v>131</v>
      </c>
      <c r="D204" s="294">
        <f ca="1">B189</f>
        <v>27.953373767787504</v>
      </c>
      <c r="E204" s="292"/>
      <c r="F204" s="292"/>
      <c r="G204" s="292"/>
      <c r="H204" s="292"/>
      <c r="I204" s="292"/>
      <c r="J204" s="292"/>
      <c r="K204" s="292"/>
      <c r="L204" s="292"/>
      <c r="M204" s="292"/>
      <c r="N204" s="292"/>
      <c r="O204" s="292"/>
      <c r="P204" s="292"/>
      <c r="Q204" s="292"/>
      <c r="R204" s="292"/>
      <c r="S204" s="292"/>
      <c r="T204" s="292"/>
      <c r="U204" s="292"/>
      <c r="V204" s="292"/>
      <c r="W204" s="292"/>
      <c r="X204" s="292"/>
      <c r="Y204" s="292"/>
      <c r="Z204" s="292"/>
      <c r="AA204" s="292"/>
      <c r="AB204" s="292"/>
      <c r="AC204" s="292"/>
      <c r="AD204" s="292"/>
      <c r="AE204" s="292"/>
      <c r="AF204" s="292"/>
      <c r="AG204" s="292"/>
      <c r="AH204" s="292"/>
      <c r="AI204" s="292"/>
      <c r="AJ204" s="292"/>
      <c r="AK204" s="292"/>
      <c r="AL204" s="292"/>
      <c r="AM204" s="292"/>
      <c r="AN204" s="292"/>
      <c r="AO204" s="292"/>
      <c r="AP204" s="292"/>
      <c r="AQ204" s="292"/>
      <c r="AR204" s="292"/>
      <c r="AS204" s="292"/>
      <c r="AT204" s="51"/>
      <c r="AU204" s="292"/>
      <c r="AV204" s="292"/>
      <c r="AW204" s="292"/>
      <c r="AX204" s="292"/>
      <c r="AY204" s="292"/>
      <c r="AZ204" s="292"/>
      <c r="BA204" s="51"/>
      <c r="BB204" s="292"/>
      <c r="BC204" s="292"/>
      <c r="BD204" s="292"/>
      <c r="BE204" s="292"/>
      <c r="BF204" s="292"/>
      <c r="BG204" s="292"/>
      <c r="BH204" s="292"/>
      <c r="BI204" s="292"/>
      <c r="BJ204" s="292"/>
      <c r="BK204" s="292"/>
      <c r="BL204" s="292"/>
      <c r="BM204" s="292"/>
      <c r="BN204" s="292"/>
      <c r="BO204" s="292"/>
      <c r="BP204" s="292"/>
      <c r="BQ204" s="292"/>
      <c r="BR204" s="292"/>
      <c r="BS204" s="292"/>
      <c r="BT204" s="292"/>
      <c r="BU204" s="292"/>
    </row>
    <row r="205" spans="2:73" ht="12.6">
      <c r="B205" s="292"/>
      <c r="C205" s="292" t="s">
        <v>87</v>
      </c>
      <c r="D205" s="292"/>
      <c r="E205" s="292"/>
      <c r="F205" s="292"/>
      <c r="G205" s="292"/>
      <c r="H205" s="292"/>
      <c r="I205" s="292"/>
      <c r="J205" s="292"/>
      <c r="K205" s="292"/>
      <c r="L205" s="292"/>
      <c r="M205" s="292"/>
      <c r="N205" s="292"/>
      <c r="O205" s="292"/>
      <c r="P205" s="292"/>
      <c r="Q205" s="292"/>
      <c r="R205" s="292"/>
      <c r="S205" s="292"/>
      <c r="T205" s="292"/>
      <c r="U205" s="292"/>
      <c r="V205" s="292"/>
      <c r="W205" s="292"/>
      <c r="X205" s="292"/>
      <c r="Y205" s="292"/>
      <c r="Z205" s="292"/>
      <c r="AA205" s="292"/>
      <c r="AB205" s="292"/>
      <c r="AC205" s="292"/>
      <c r="AD205" s="292"/>
      <c r="AE205" s="292"/>
      <c r="AF205" s="292"/>
      <c r="AG205" s="292"/>
      <c r="AH205" s="292"/>
      <c r="AI205" s="292"/>
      <c r="AJ205" s="292"/>
      <c r="AK205" s="292"/>
      <c r="AL205" s="292"/>
      <c r="AM205" s="292"/>
      <c r="AN205" s="292"/>
      <c r="AO205" s="292"/>
      <c r="AP205" s="292"/>
      <c r="AQ205" s="292"/>
      <c r="AR205" s="292"/>
      <c r="AS205" s="292"/>
      <c r="AT205" s="51"/>
      <c r="AU205" s="292"/>
      <c r="AV205" s="292"/>
      <c r="AW205" s="292"/>
      <c r="AX205" s="292"/>
      <c r="AY205" s="292"/>
      <c r="AZ205" s="292"/>
      <c r="BA205" s="51"/>
      <c r="BB205" s="292"/>
      <c r="BC205" s="292"/>
      <c r="BD205" s="292"/>
      <c r="BE205" s="292"/>
      <c r="BF205" s="292"/>
      <c r="BG205" s="292"/>
      <c r="BH205" s="292"/>
      <c r="BI205" s="292"/>
      <c r="BJ205" s="292"/>
      <c r="BK205" s="292"/>
      <c r="BL205" s="292"/>
      <c r="BM205" s="292"/>
      <c r="BN205" s="292"/>
      <c r="BO205" s="292"/>
      <c r="BP205" s="292"/>
      <c r="BQ205" s="292"/>
      <c r="BR205" s="292"/>
      <c r="BS205" s="292"/>
      <c r="BT205" s="292"/>
      <c r="BU205" s="292"/>
    </row>
    <row r="206" spans="2:73" ht="12.6">
      <c r="B206" s="292"/>
      <c r="C206" s="295">
        <f ca="1">SUM(AT202:BC202)</f>
        <v>25288.01872362151</v>
      </c>
      <c r="D206" s="292"/>
      <c r="E206" s="292"/>
      <c r="F206" s="292"/>
      <c r="G206" s="292"/>
      <c r="H206" s="292"/>
      <c r="I206" s="292"/>
      <c r="J206" s="292"/>
      <c r="K206" s="292"/>
      <c r="L206" s="292"/>
      <c r="M206" s="292"/>
      <c r="N206" s="292"/>
      <c r="O206" s="292"/>
      <c r="P206" s="292"/>
      <c r="Q206" s="292"/>
      <c r="R206" s="292"/>
      <c r="S206" s="292"/>
      <c r="T206" s="292"/>
      <c r="U206" s="292"/>
      <c r="V206" s="292"/>
      <c r="W206" s="292"/>
      <c r="X206" s="292"/>
      <c r="Y206" s="292"/>
      <c r="Z206" s="292"/>
      <c r="AA206" s="292"/>
      <c r="AB206" s="292"/>
      <c r="AC206" s="292"/>
      <c r="AD206" s="292"/>
      <c r="AE206" s="292"/>
      <c r="AF206" s="292"/>
      <c r="AG206" s="292"/>
      <c r="AH206" s="292"/>
      <c r="AI206" s="292"/>
      <c r="AJ206" s="292"/>
      <c r="AK206" s="292"/>
      <c r="AL206" s="292"/>
      <c r="AM206" s="292"/>
      <c r="AN206" s="292"/>
      <c r="AO206" s="292"/>
      <c r="AP206" s="292"/>
      <c r="AQ206" s="292"/>
      <c r="AR206" s="292"/>
      <c r="AS206" s="292"/>
      <c r="AT206" s="51"/>
      <c r="AU206" s="292"/>
      <c r="AV206" s="292"/>
      <c r="AW206" s="292"/>
      <c r="AX206" s="292"/>
      <c r="AY206" s="292"/>
      <c r="AZ206" s="292"/>
      <c r="BA206" s="51"/>
      <c r="BB206" s="292"/>
      <c r="BC206" s="292"/>
      <c r="BD206" s="292"/>
      <c r="BE206" s="292"/>
      <c r="BF206" s="292"/>
      <c r="BG206" s="292"/>
      <c r="BH206" s="292"/>
      <c r="BI206" s="292"/>
      <c r="BJ206" s="292"/>
      <c r="BK206" s="292"/>
      <c r="BL206" s="292"/>
      <c r="BM206" s="292"/>
      <c r="BN206" s="292"/>
      <c r="BO206" s="292"/>
      <c r="BP206" s="292"/>
      <c r="BQ206" s="292"/>
      <c r="BR206" s="292"/>
      <c r="BS206" s="292"/>
      <c r="BT206" s="292"/>
      <c r="BU206" s="292"/>
    </row>
    <row r="207" spans="2:73" ht="12.6">
      <c r="B207" s="292"/>
      <c r="C207" s="292"/>
      <c r="D207" s="292"/>
      <c r="E207" s="292"/>
      <c r="F207" s="292"/>
      <c r="G207" s="292"/>
      <c r="H207" s="292"/>
      <c r="I207" s="292"/>
      <c r="J207" s="292"/>
      <c r="K207" s="292"/>
      <c r="L207" s="292"/>
      <c r="M207" s="292"/>
      <c r="N207" s="292"/>
      <c r="O207" s="292"/>
      <c r="P207" s="292"/>
      <c r="Q207" s="292"/>
      <c r="R207" s="292"/>
      <c r="S207" s="292"/>
      <c r="T207" s="292"/>
      <c r="U207" s="292"/>
      <c r="V207" s="292"/>
      <c r="W207" s="292"/>
      <c r="X207" s="292"/>
      <c r="Y207" s="292"/>
      <c r="Z207" s="292"/>
      <c r="AA207" s="292"/>
      <c r="AB207" s="292"/>
      <c r="AC207" s="292"/>
      <c r="AD207" s="292"/>
      <c r="AE207" s="292"/>
      <c r="AF207" s="292"/>
      <c r="AG207" s="292"/>
      <c r="AH207" s="292"/>
      <c r="AI207" s="292"/>
      <c r="AJ207" s="292"/>
      <c r="AK207" s="292"/>
      <c r="AL207" s="292"/>
      <c r="AM207" s="292"/>
      <c r="AN207" s="292"/>
      <c r="AO207" s="292"/>
      <c r="AP207" s="292"/>
      <c r="AQ207" s="292"/>
      <c r="AR207" s="292"/>
      <c r="AS207" s="292"/>
      <c r="AT207" s="51"/>
      <c r="AU207" s="292"/>
      <c r="AV207" s="292"/>
      <c r="AW207" s="292"/>
      <c r="AX207" s="292"/>
      <c r="AY207" s="292"/>
      <c r="AZ207" s="292"/>
      <c r="BA207" s="51"/>
      <c r="BB207" s="292"/>
      <c r="BC207" s="292"/>
      <c r="BD207" s="292"/>
      <c r="BE207" s="292"/>
      <c r="BF207" s="292"/>
      <c r="BG207" s="292"/>
      <c r="BH207" s="292"/>
      <c r="BI207" s="292"/>
      <c r="BJ207" s="292"/>
      <c r="BK207" s="292"/>
      <c r="BL207" s="292"/>
      <c r="BM207" s="292"/>
      <c r="BN207" s="292"/>
      <c r="BO207" s="292"/>
      <c r="BP207" s="292"/>
      <c r="BQ207" s="292"/>
      <c r="BR207" s="292"/>
      <c r="BS207" s="292"/>
      <c r="BT207" s="292"/>
      <c r="BU207" s="292"/>
    </row>
    <row r="208" spans="2:73" ht="12.6">
      <c r="B208" s="292"/>
      <c r="C208" s="292" t="s">
        <v>706</v>
      </c>
      <c r="D208" s="292"/>
      <c r="E208" s="292"/>
      <c r="F208" s="292"/>
      <c r="G208" s="292"/>
      <c r="H208" s="292"/>
      <c r="I208" s="292"/>
      <c r="J208" s="292"/>
      <c r="K208" s="292"/>
      <c r="L208" s="292"/>
      <c r="M208" s="292"/>
      <c r="N208" s="292"/>
      <c r="O208" s="292"/>
      <c r="P208" s="292"/>
      <c r="Q208" s="292"/>
      <c r="R208" s="292"/>
      <c r="S208" s="292"/>
      <c r="T208" s="292"/>
      <c r="U208" s="292"/>
      <c r="V208" s="292"/>
      <c r="W208" s="292"/>
      <c r="X208" s="292"/>
      <c r="Y208" s="292"/>
      <c r="Z208" s="292"/>
      <c r="AA208" s="292"/>
      <c r="AB208" s="292"/>
      <c r="AC208" s="292"/>
      <c r="AD208" s="292"/>
      <c r="AE208" s="292"/>
      <c r="AF208" s="292"/>
      <c r="AG208" s="292"/>
      <c r="AH208" s="292"/>
      <c r="AI208" s="292"/>
      <c r="AJ208" s="292"/>
      <c r="AK208" s="292"/>
      <c r="AL208" s="292"/>
      <c r="AM208" s="292"/>
      <c r="AN208" s="292"/>
      <c r="AO208" s="292"/>
      <c r="AP208" s="292"/>
      <c r="AQ208" s="292"/>
      <c r="AR208" s="292"/>
      <c r="AS208" s="292"/>
      <c r="AT208" s="292"/>
      <c r="AU208" s="292" t="s">
        <v>707</v>
      </c>
      <c r="AV208" s="292"/>
      <c r="AW208" s="292"/>
      <c r="AX208" s="292"/>
      <c r="AY208" s="292"/>
      <c r="AZ208" s="292"/>
      <c r="BA208" s="51"/>
      <c r="BB208" s="292"/>
      <c r="BC208" s="292"/>
      <c r="BD208" s="292"/>
      <c r="BE208" s="292"/>
      <c r="BF208" s="292"/>
      <c r="BG208" s="292"/>
      <c r="BH208" s="292"/>
      <c r="BI208" s="292"/>
      <c r="BJ208" s="292"/>
      <c r="BK208" s="292"/>
      <c r="BL208" s="292"/>
      <c r="BM208" s="292"/>
      <c r="BN208" s="292"/>
      <c r="BO208" s="292"/>
      <c r="BP208" s="292"/>
      <c r="BQ208" s="292"/>
      <c r="BR208" s="292"/>
      <c r="BS208" s="292"/>
      <c r="BT208" s="292"/>
      <c r="BU208" s="292"/>
    </row>
    <row r="210" spans="3:73" ht="12.6">
      <c r="C210" s="292" t="s">
        <v>708</v>
      </c>
      <c r="AT210" s="51"/>
      <c r="BA210" s="274">
        <f t="shared" ref="BA210:BU210" ca="1" si="114">($D203*BA$147*365.25)+($D203*BA$141*365.25)</f>
        <v>1015.6219485229844</v>
      </c>
      <c r="BB210" s="274">
        <f t="shared" ca="1" si="114"/>
        <v>1015.6219485229844</v>
      </c>
      <c r="BC210" s="274">
        <f t="shared" ca="1" si="114"/>
        <v>1015.6219485229844</v>
      </c>
      <c r="BD210" s="274">
        <f t="shared" ca="1" si="114"/>
        <v>1015.6219485229844</v>
      </c>
      <c r="BE210" s="274">
        <f t="shared" ca="1" si="114"/>
        <v>1015.6219485229844</v>
      </c>
      <c r="BF210" s="274">
        <f t="shared" ca="1" si="114"/>
        <v>1015.6219485229844</v>
      </c>
      <c r="BG210" s="274">
        <f t="shared" ca="1" si="114"/>
        <v>1015.6219485229844</v>
      </c>
      <c r="BH210" s="274">
        <f t="shared" ca="1" si="114"/>
        <v>1015.6219485229844</v>
      </c>
      <c r="BI210" s="274">
        <f t="shared" ca="1" si="114"/>
        <v>1015.6219485229844</v>
      </c>
      <c r="BJ210" s="274">
        <f t="shared" ca="1" si="114"/>
        <v>1015.6219485229844</v>
      </c>
      <c r="BK210" s="274">
        <f t="shared" ca="1" si="114"/>
        <v>1015.6219485229844</v>
      </c>
      <c r="BL210" s="274">
        <f t="shared" ca="1" si="114"/>
        <v>1015.6219485229844</v>
      </c>
      <c r="BM210" s="274">
        <f t="shared" ca="1" si="114"/>
        <v>1015.6219485229844</v>
      </c>
      <c r="BN210" s="274">
        <f t="shared" ca="1" si="114"/>
        <v>1015.6219485229844</v>
      </c>
      <c r="BO210" s="274">
        <f t="shared" ca="1" si="114"/>
        <v>1015.6219485229844</v>
      </c>
      <c r="BP210" s="274">
        <f t="shared" ca="1" si="114"/>
        <v>1015.6219485229844</v>
      </c>
      <c r="BQ210" s="274">
        <f t="shared" ca="1" si="114"/>
        <v>1015.6219485229844</v>
      </c>
      <c r="BR210" s="274">
        <f t="shared" ca="1" si="114"/>
        <v>1015.6219485229844</v>
      </c>
      <c r="BS210" s="274">
        <f t="shared" ca="1" si="114"/>
        <v>1015.6219485229844</v>
      </c>
      <c r="BT210" s="274">
        <f t="shared" ca="1" si="114"/>
        <v>1015.6219485229844</v>
      </c>
      <c r="BU210" s="274">
        <f t="shared" ca="1" si="114"/>
        <v>1015.6219485229844</v>
      </c>
    </row>
    <row r="211" spans="3:73" ht="12.6">
      <c r="C211" s="10" t="s">
        <v>709</v>
      </c>
      <c r="AT211" s="51"/>
      <c r="BA211" s="51"/>
      <c r="BB211" s="51" t="s">
        <v>710</v>
      </c>
    </row>
    <row r="212" spans="3:73" ht="12.6">
      <c r="AT212" s="51"/>
      <c r="BA212" s="51"/>
    </row>
    <row r="213" spans="3:73" ht="12.6">
      <c r="AT213" s="51"/>
      <c r="BA213" s="51"/>
    </row>
    <row r="214" spans="3:73" ht="12.6">
      <c r="AT214" s="51"/>
      <c r="BA214" s="51"/>
    </row>
    <row r="215" spans="3:73" ht="12.6">
      <c r="AT215" s="51"/>
      <c r="BA215" s="51"/>
    </row>
    <row r="216" spans="3:73" ht="12.6">
      <c r="AT216" s="51"/>
      <c r="BA216" s="51"/>
    </row>
    <row r="217" spans="3:73" ht="12.6">
      <c r="AT217" s="51"/>
      <c r="BA217" s="51"/>
    </row>
    <row r="218" spans="3:73" ht="12.6">
      <c r="AT218" s="51"/>
      <c r="BA218" s="51"/>
    </row>
    <row r="219" spans="3:73" ht="12.6">
      <c r="AT219" s="51"/>
      <c r="BA219" s="51"/>
    </row>
    <row r="220" spans="3:73" ht="12.6">
      <c r="AT220" s="51"/>
      <c r="BA220" s="51"/>
    </row>
    <row r="221" spans="3:73" ht="12.6">
      <c r="AT221" s="51"/>
      <c r="BA221" s="51"/>
    </row>
    <row r="222" spans="3:73" ht="12.6">
      <c r="AT222" s="51"/>
      <c r="BA222" s="51"/>
    </row>
    <row r="223" spans="3:73" ht="14.45">
      <c r="F223" s="296" t="s">
        <v>416</v>
      </c>
      <c r="G223" s="296" t="s">
        <v>711</v>
      </c>
      <c r="AT223" s="51"/>
      <c r="BA223" s="51"/>
    </row>
    <row r="224" spans="3:73" ht="14.45">
      <c r="F224" s="297">
        <v>1975</v>
      </c>
      <c r="G224" s="297">
        <v>115.2799</v>
      </c>
      <c r="I224" s="10" t="str">
        <f t="array" ref="I224:BD224">TRANSPOSE(F223:F270)</f>
        <v>Year</v>
      </c>
      <c r="J224" s="10">
        <v>1975</v>
      </c>
      <c r="K224" s="10">
        <v>1976</v>
      </c>
      <c r="L224" s="10">
        <v>1977</v>
      </c>
      <c r="M224" s="10">
        <v>1978</v>
      </c>
      <c r="N224" s="10">
        <v>1979</v>
      </c>
      <c r="O224" s="10">
        <v>1980</v>
      </c>
      <c r="P224" s="10">
        <v>1981</v>
      </c>
      <c r="Q224" s="10">
        <v>1982</v>
      </c>
      <c r="R224" s="10">
        <v>1983</v>
      </c>
      <c r="S224" s="10">
        <v>1984</v>
      </c>
      <c r="T224" s="10">
        <v>1985</v>
      </c>
      <c r="U224" s="10">
        <v>1986</v>
      </c>
      <c r="V224" s="10">
        <v>1987</v>
      </c>
      <c r="W224" s="10">
        <v>1988</v>
      </c>
      <c r="X224" s="10">
        <v>1989</v>
      </c>
      <c r="Y224" s="10">
        <v>1990</v>
      </c>
      <c r="Z224" s="10">
        <v>1991</v>
      </c>
      <c r="AA224" s="10">
        <v>1992</v>
      </c>
      <c r="AB224" s="10">
        <v>1993</v>
      </c>
      <c r="AC224" s="10">
        <v>1994</v>
      </c>
      <c r="AD224" s="10">
        <v>1995</v>
      </c>
      <c r="AE224" s="10">
        <v>1996</v>
      </c>
      <c r="AF224" s="10">
        <v>1997</v>
      </c>
      <c r="AG224" s="10">
        <v>1998</v>
      </c>
      <c r="AH224" s="10">
        <v>1999</v>
      </c>
      <c r="AI224" s="10">
        <v>2000</v>
      </c>
      <c r="AJ224" s="10">
        <v>2001</v>
      </c>
      <c r="AK224" s="10">
        <v>2002</v>
      </c>
      <c r="AL224" s="10">
        <v>2003</v>
      </c>
      <c r="AM224" s="10">
        <v>2004</v>
      </c>
      <c r="AN224" s="10">
        <v>2005</v>
      </c>
      <c r="AO224" s="10">
        <v>2006</v>
      </c>
      <c r="AP224" s="10">
        <v>2007</v>
      </c>
      <c r="AQ224" s="10">
        <v>2008</v>
      </c>
      <c r="AR224" s="10">
        <v>2009</v>
      </c>
      <c r="AS224" s="10">
        <v>2010</v>
      </c>
      <c r="AT224" s="51">
        <v>2011</v>
      </c>
      <c r="AU224" s="10">
        <v>2012</v>
      </c>
      <c r="AV224" s="10">
        <v>2013</v>
      </c>
      <c r="AW224" s="10">
        <v>2014</v>
      </c>
      <c r="AX224" s="10">
        <v>2015</v>
      </c>
      <c r="AY224" s="10">
        <v>2016</v>
      </c>
      <c r="AZ224" s="10">
        <v>2017</v>
      </c>
      <c r="BA224" s="51">
        <v>2018</v>
      </c>
      <c r="BB224" s="10">
        <v>2019</v>
      </c>
      <c r="BC224" s="10">
        <v>2020</v>
      </c>
      <c r="BD224" s="10">
        <v>2021</v>
      </c>
    </row>
    <row r="225" spans="1:56" ht="14.45">
      <c r="F225" s="297">
        <v>1976</v>
      </c>
      <c r="G225" s="297">
        <v>86.734979999999993</v>
      </c>
      <c r="I225" s="10" t="str">
        <f t="array" ref="I225:BD225">TRANSPOSE(G223:G270)</f>
        <v>Solar photovoltaic module price</v>
      </c>
      <c r="J225" s="10">
        <v>115.2799</v>
      </c>
      <c r="K225" s="10">
        <v>86.734979999999993</v>
      </c>
      <c r="L225" s="10">
        <v>63.277239999999999</v>
      </c>
      <c r="M225" s="10">
        <v>44.769019999999998</v>
      </c>
      <c r="N225" s="10">
        <v>37.61665</v>
      </c>
      <c r="O225" s="10">
        <v>31.877600000000001</v>
      </c>
      <c r="P225" s="10">
        <v>25.486740000000001</v>
      </c>
      <c r="Q225" s="10">
        <v>22.899270000000001</v>
      </c>
      <c r="R225" s="10">
        <v>18.48658</v>
      </c>
      <c r="S225" s="10">
        <v>17.177620000000001</v>
      </c>
      <c r="T225" s="10">
        <v>14.996449999999999</v>
      </c>
      <c r="U225" s="10">
        <v>12.40504</v>
      </c>
      <c r="V225" s="10">
        <v>10.546379999999999</v>
      </c>
      <c r="W225" s="10">
        <v>9.8507619999999996</v>
      </c>
      <c r="X225" s="10">
        <v>10.18033</v>
      </c>
      <c r="Y225" s="10">
        <v>10.529629999999999</v>
      </c>
      <c r="Z225" s="10">
        <v>9.7542609999999996</v>
      </c>
      <c r="AA225" s="10">
        <v>9.0874649999999999</v>
      </c>
      <c r="AB225" s="10">
        <v>8.4983760000000004</v>
      </c>
      <c r="AC225" s="10">
        <v>8.0393150000000002</v>
      </c>
      <c r="AD225" s="10">
        <v>7.4332070000000003</v>
      </c>
      <c r="AE225" s="10">
        <v>6.9492729999999998</v>
      </c>
      <c r="AF225" s="10">
        <v>6.9250400000000001</v>
      </c>
      <c r="AG225" s="10">
        <v>6.2401559999999998</v>
      </c>
      <c r="AH225" s="10">
        <v>5.764411</v>
      </c>
      <c r="AI225" s="10">
        <v>5.6569710000000004</v>
      </c>
      <c r="AJ225" s="10">
        <v>5.4728389999999996</v>
      </c>
      <c r="AK225" s="10">
        <v>5.00502</v>
      </c>
      <c r="AL225" s="10">
        <v>4.7581790000000002</v>
      </c>
      <c r="AM225" s="10">
        <v>4.1068509999999998</v>
      </c>
      <c r="AN225" s="10">
        <v>4.1507310000000004</v>
      </c>
      <c r="AO225" s="10">
        <v>4.5242719999999998</v>
      </c>
      <c r="AP225" s="10">
        <v>4.5577800000000002</v>
      </c>
      <c r="AQ225" s="10">
        <v>4.1538199999999996</v>
      </c>
      <c r="AR225" s="10">
        <v>2.7763520000000002</v>
      </c>
      <c r="AS225" s="10">
        <v>2.1539389999999998</v>
      </c>
      <c r="AT225" s="51">
        <v>1.7668299999999999</v>
      </c>
      <c r="AU225" s="10">
        <v>0.95170399999999999</v>
      </c>
      <c r="AV225" s="10">
        <v>0.73358999999999996</v>
      </c>
      <c r="AW225" s="10">
        <v>0.67600899999999997</v>
      </c>
      <c r="AX225" s="10">
        <v>0.62826599999999999</v>
      </c>
      <c r="AY225" s="10">
        <v>0.58007399999999998</v>
      </c>
      <c r="AZ225" s="10">
        <v>0.48668400000000001</v>
      </c>
      <c r="BA225" s="51">
        <v>0.43348100000000001</v>
      </c>
      <c r="BB225" s="10">
        <v>0.39740199999999998</v>
      </c>
      <c r="BC225" s="10">
        <v>0.31529699999999999</v>
      </c>
      <c r="BD225" s="10">
        <v>0.26657500000000001</v>
      </c>
    </row>
    <row r="226" spans="1:56" ht="14.45">
      <c r="F226" s="297">
        <v>1977</v>
      </c>
      <c r="G226" s="297">
        <v>63.277239999999999</v>
      </c>
      <c r="AT226" s="51"/>
      <c r="BA226" s="51"/>
    </row>
    <row r="227" spans="1:56" ht="14.45">
      <c r="F227" s="297">
        <v>1978</v>
      </c>
      <c r="G227" s="297">
        <v>44.769019999999998</v>
      </c>
      <c r="AT227" s="51"/>
      <c r="BA227" s="51"/>
    </row>
    <row r="228" spans="1:56" ht="14.45">
      <c r="F228" s="297">
        <v>1979</v>
      </c>
      <c r="G228" s="297">
        <v>37.61665</v>
      </c>
      <c r="AT228" s="51"/>
      <c r="BA228" s="51"/>
    </row>
    <row r="229" spans="1:56" ht="14.45">
      <c r="A229" s="10" t="s">
        <v>712</v>
      </c>
      <c r="F229" s="297">
        <v>1980</v>
      </c>
      <c r="G229" s="297">
        <v>31.877600000000001</v>
      </c>
      <c r="AT229" s="51"/>
      <c r="BA229" s="51"/>
    </row>
    <row r="230" spans="1:56" ht="14.45">
      <c r="F230" s="297">
        <v>1981</v>
      </c>
      <c r="G230" s="297">
        <v>25.486740000000001</v>
      </c>
      <c r="AT230" s="51"/>
      <c r="BA230" s="51"/>
    </row>
    <row r="231" spans="1:56" ht="14.45">
      <c r="F231" s="297">
        <v>1982</v>
      </c>
      <c r="G231" s="297">
        <v>22.899270000000001</v>
      </c>
      <c r="AT231" s="51"/>
      <c r="BA231" s="51"/>
    </row>
    <row r="232" spans="1:56" ht="14.45">
      <c r="F232" s="297">
        <v>1983</v>
      </c>
      <c r="G232" s="297">
        <v>18.48658</v>
      </c>
      <c r="AT232" s="51"/>
      <c r="BA232" s="51"/>
    </row>
    <row r="233" spans="1:56" ht="14.45">
      <c r="F233" s="297">
        <v>1984</v>
      </c>
      <c r="G233" s="297">
        <v>17.177620000000001</v>
      </c>
      <c r="AT233" s="51"/>
      <c r="BA233" s="51"/>
    </row>
    <row r="234" spans="1:56" ht="14.45">
      <c r="F234" s="297">
        <v>1985</v>
      </c>
      <c r="G234" s="297">
        <v>14.996449999999999</v>
      </c>
      <c r="AT234" s="51"/>
      <c r="BA234" s="51"/>
    </row>
    <row r="235" spans="1:56" ht="14.45">
      <c r="F235" s="297">
        <v>1986</v>
      </c>
      <c r="G235" s="297">
        <v>12.40504</v>
      </c>
      <c r="AT235" s="51"/>
      <c r="BA235" s="51"/>
    </row>
    <row r="236" spans="1:56" ht="14.45">
      <c r="F236" s="297">
        <v>1987</v>
      </c>
      <c r="G236" s="297">
        <v>10.546379999999999</v>
      </c>
      <c r="AT236" s="51"/>
      <c r="BA236" s="51"/>
    </row>
    <row r="237" spans="1:56" ht="14.45">
      <c r="F237" s="297">
        <v>1988</v>
      </c>
      <c r="G237" s="297">
        <v>9.8507619999999996</v>
      </c>
      <c r="AT237" s="51"/>
      <c r="BA237" s="51"/>
    </row>
    <row r="238" spans="1:56" ht="14.45">
      <c r="F238" s="297">
        <v>1989</v>
      </c>
      <c r="G238" s="297">
        <v>10.18033</v>
      </c>
      <c r="AT238" s="51"/>
      <c r="BA238" s="51"/>
    </row>
    <row r="239" spans="1:56" ht="14.45">
      <c r="F239" s="297">
        <v>1990</v>
      </c>
      <c r="G239" s="297">
        <v>10.529629999999999</v>
      </c>
      <c r="AT239" s="51"/>
      <c r="BA239" s="51"/>
    </row>
    <row r="240" spans="1:56" ht="14.45">
      <c r="F240" s="297">
        <v>1991</v>
      </c>
      <c r="G240" s="297">
        <v>9.7542609999999996</v>
      </c>
      <c r="AT240" s="51"/>
      <c r="BA240" s="51"/>
    </row>
    <row r="241" spans="1:7" ht="14.45">
      <c r="F241" s="297">
        <v>1992</v>
      </c>
      <c r="G241" s="297">
        <v>9.0874649999999999</v>
      </c>
    </row>
    <row r="242" spans="1:7" ht="14.45">
      <c r="F242" s="297">
        <v>1993</v>
      </c>
      <c r="G242" s="297">
        <v>8.4983760000000004</v>
      </c>
    </row>
    <row r="243" spans="1:7" ht="14.45">
      <c r="F243" s="297">
        <v>1994</v>
      </c>
      <c r="G243" s="297">
        <v>8.0393150000000002</v>
      </c>
    </row>
    <row r="244" spans="1:7" ht="14.45">
      <c r="F244" s="297">
        <v>1995</v>
      </c>
      <c r="G244" s="297">
        <v>7.4332070000000003</v>
      </c>
    </row>
    <row r="245" spans="1:7" ht="14.45">
      <c r="F245" s="297">
        <v>1996</v>
      </c>
      <c r="G245" s="297">
        <v>6.9492729999999998</v>
      </c>
    </row>
    <row r="246" spans="1:7" ht="14.45">
      <c r="A246" s="10" t="s">
        <v>338</v>
      </c>
      <c r="F246" s="297">
        <v>1997</v>
      </c>
      <c r="G246" s="297">
        <v>6.9250400000000001</v>
      </c>
    </row>
    <row r="247" spans="1:7" ht="14.45">
      <c r="F247" s="297">
        <v>1998</v>
      </c>
      <c r="G247" s="297">
        <v>6.2401559999999998</v>
      </c>
    </row>
    <row r="248" spans="1:7" ht="14.45">
      <c r="F248" s="297">
        <v>1999</v>
      </c>
      <c r="G248" s="297">
        <v>5.764411</v>
      </c>
    </row>
    <row r="249" spans="1:7" ht="14.45">
      <c r="F249" s="297">
        <v>2000</v>
      </c>
      <c r="G249" s="297">
        <v>5.6569710000000004</v>
      </c>
    </row>
    <row r="250" spans="1:7" ht="14.45">
      <c r="F250" s="297">
        <v>2001</v>
      </c>
      <c r="G250" s="297">
        <v>5.4728389999999996</v>
      </c>
    </row>
    <row r="251" spans="1:7" ht="14.45">
      <c r="F251" s="297">
        <v>2002</v>
      </c>
      <c r="G251" s="297">
        <v>5.00502</v>
      </c>
    </row>
    <row r="252" spans="1:7" ht="14.45">
      <c r="F252" s="297">
        <v>2003</v>
      </c>
      <c r="G252" s="297">
        <v>4.7581790000000002</v>
      </c>
    </row>
    <row r="253" spans="1:7" ht="14.45">
      <c r="F253" s="297">
        <v>2004</v>
      </c>
      <c r="G253" s="297">
        <v>4.1068509999999998</v>
      </c>
    </row>
    <row r="254" spans="1:7" ht="14.45">
      <c r="F254" s="297">
        <v>2005</v>
      </c>
      <c r="G254" s="297">
        <v>4.1507310000000004</v>
      </c>
    </row>
    <row r="255" spans="1:7" ht="14.45">
      <c r="F255" s="297">
        <v>2006</v>
      </c>
      <c r="G255" s="297">
        <v>4.5242719999999998</v>
      </c>
    </row>
    <row r="256" spans="1:7" ht="14.45">
      <c r="F256" s="297">
        <v>2007</v>
      </c>
      <c r="G256" s="297">
        <v>4.5577800000000002</v>
      </c>
    </row>
    <row r="257" spans="6:7" ht="14.45">
      <c r="F257" s="297">
        <v>2008</v>
      </c>
      <c r="G257" s="297">
        <v>4.1538199999999996</v>
      </c>
    </row>
    <row r="258" spans="6:7" ht="14.45">
      <c r="F258" s="297">
        <v>2009</v>
      </c>
      <c r="G258" s="297">
        <v>2.7763520000000002</v>
      </c>
    </row>
    <row r="259" spans="6:7" ht="14.45">
      <c r="F259" s="297">
        <v>2010</v>
      </c>
      <c r="G259" s="297">
        <v>2.1539389999999998</v>
      </c>
    </row>
    <row r="260" spans="6:7" ht="14.45">
      <c r="F260" s="297">
        <v>2011</v>
      </c>
      <c r="G260" s="297">
        <v>1.7668299999999999</v>
      </c>
    </row>
    <row r="261" spans="6:7" ht="14.45">
      <c r="F261" s="297">
        <v>2012</v>
      </c>
      <c r="G261" s="297">
        <v>0.95170399999999999</v>
      </c>
    </row>
    <row r="262" spans="6:7" ht="14.45">
      <c r="F262" s="297">
        <v>2013</v>
      </c>
      <c r="G262" s="297">
        <v>0.73358999999999996</v>
      </c>
    </row>
    <row r="263" spans="6:7" ht="14.45">
      <c r="F263" s="297">
        <v>2014</v>
      </c>
      <c r="G263" s="297">
        <v>0.67600899999999997</v>
      </c>
    </row>
    <row r="264" spans="6:7" ht="14.45">
      <c r="F264" s="297">
        <v>2015</v>
      </c>
      <c r="G264" s="297">
        <v>0.62826599999999999</v>
      </c>
    </row>
    <row r="265" spans="6:7" ht="14.45">
      <c r="F265" s="297">
        <v>2016</v>
      </c>
      <c r="G265" s="297">
        <v>0.58007399999999998</v>
      </c>
    </row>
    <row r="266" spans="6:7" ht="14.45">
      <c r="F266" s="297">
        <v>2017</v>
      </c>
      <c r="G266" s="297">
        <v>0.48668400000000001</v>
      </c>
    </row>
    <row r="267" spans="6:7" ht="14.45">
      <c r="F267" s="297">
        <v>2018</v>
      </c>
      <c r="G267" s="297">
        <v>0.43348100000000001</v>
      </c>
    </row>
    <row r="268" spans="6:7" ht="14.45">
      <c r="F268" s="297">
        <v>2019</v>
      </c>
      <c r="G268" s="297">
        <v>0.39740199999999998</v>
      </c>
    </row>
    <row r="269" spans="6:7" ht="14.45">
      <c r="F269" s="297">
        <v>2020</v>
      </c>
      <c r="G269" s="297">
        <v>0.31529699999999999</v>
      </c>
    </row>
    <row r="270" spans="6:7" ht="14.45">
      <c r="F270" s="297">
        <v>2021</v>
      </c>
      <c r="G270" s="297">
        <v>0.26657500000000001</v>
      </c>
    </row>
    <row r="276" spans="7:42" ht="12.6">
      <c r="G276" s="10" t="s">
        <v>416</v>
      </c>
      <c r="H276" s="10" t="s">
        <v>713</v>
      </c>
    </row>
    <row r="277" spans="7:42" ht="14.45">
      <c r="G277" s="297">
        <v>1991</v>
      </c>
      <c r="H277" s="297">
        <v>7523.28413</v>
      </c>
      <c r="J277" s="10" t="str">
        <f t="array" ref="J277:AP278">TRANSPOSE(G276:H308)</f>
        <v>Year</v>
      </c>
      <c r="K277" s="10">
        <v>1991</v>
      </c>
      <c r="L277" s="10">
        <v>1992</v>
      </c>
      <c r="M277" s="10">
        <v>1993</v>
      </c>
      <c r="N277" s="10">
        <v>1994</v>
      </c>
      <c r="O277" s="10">
        <v>1995</v>
      </c>
      <c r="P277" s="10">
        <v>1996</v>
      </c>
      <c r="Q277" s="10">
        <v>1997</v>
      </c>
      <c r="R277" s="10">
        <v>1998</v>
      </c>
      <c r="S277" s="10">
        <v>1999</v>
      </c>
      <c r="T277" s="10">
        <v>2000</v>
      </c>
      <c r="U277" s="10">
        <v>2001</v>
      </c>
      <c r="V277" s="10">
        <v>2002</v>
      </c>
      <c r="W277" s="10">
        <v>2003</v>
      </c>
      <c r="X277" s="10">
        <v>2004</v>
      </c>
      <c r="Y277" s="10">
        <v>2005</v>
      </c>
      <c r="Z277" s="10">
        <v>2006</v>
      </c>
      <c r="AA277" s="10">
        <v>2007</v>
      </c>
      <c r="AB277" s="10">
        <v>2008</v>
      </c>
      <c r="AC277" s="10">
        <v>2009</v>
      </c>
      <c r="AD277" s="10">
        <v>2010</v>
      </c>
      <c r="AE277" s="10">
        <v>2011</v>
      </c>
      <c r="AF277" s="10">
        <v>2012</v>
      </c>
      <c r="AG277" s="10">
        <v>2013</v>
      </c>
      <c r="AH277" s="10">
        <v>2014</v>
      </c>
      <c r="AI277" s="10">
        <v>2015</v>
      </c>
      <c r="AJ277" s="10">
        <v>2016</v>
      </c>
      <c r="AK277" s="10">
        <v>2017</v>
      </c>
      <c r="AL277" s="10">
        <v>2018</v>
      </c>
      <c r="AM277" s="10">
        <v>2019</v>
      </c>
      <c r="AN277" s="10">
        <v>2020</v>
      </c>
      <c r="AO277" s="10">
        <v>2021</v>
      </c>
      <c r="AP277" s="10">
        <v>2022</v>
      </c>
    </row>
    <row r="278" spans="7:42" ht="14.45">
      <c r="G278" s="297">
        <v>1992</v>
      </c>
      <c r="H278" s="297">
        <v>6034.9258600000003</v>
      </c>
      <c r="J278" s="10" t="str">
        <v>Battery price</v>
      </c>
      <c r="K278" s="10">
        <v>7523.28413</v>
      </c>
      <c r="L278" s="10">
        <v>6034.9258600000003</v>
      </c>
      <c r="M278" s="10">
        <v>4804.4737800000003</v>
      </c>
      <c r="N278" s="10">
        <v>5484.6302500000002</v>
      </c>
      <c r="O278" s="10">
        <v>5147.6297400000003</v>
      </c>
      <c r="P278" s="10">
        <v>4335.6507499999998</v>
      </c>
      <c r="Q278" s="10">
        <v>3712.7764299999999</v>
      </c>
      <c r="R278" s="10">
        <v>2987.0718700000002</v>
      </c>
      <c r="S278" s="10">
        <v>2262.5423700000001</v>
      </c>
      <c r="T278" s="10">
        <v>2197.81158</v>
      </c>
      <c r="U278" s="10">
        <v>1534.0492300000001</v>
      </c>
      <c r="V278" s="10">
        <v>1099.08224</v>
      </c>
      <c r="W278" s="10">
        <v>849.81400699999995</v>
      </c>
      <c r="X278" s="10">
        <v>760.399497</v>
      </c>
      <c r="Y278" s="10">
        <v>655.54418999999996</v>
      </c>
      <c r="Z278" s="10">
        <v>561.41068600000006</v>
      </c>
      <c r="AA278" s="10">
        <v>535.71302500000002</v>
      </c>
      <c r="AB278" s="10">
        <v>561.70562399999994</v>
      </c>
      <c r="AC278" s="10">
        <v>500.37670400000002</v>
      </c>
      <c r="AD278" s="10">
        <v>449.85059100000001</v>
      </c>
      <c r="AE278" s="10">
        <v>428.51255500000002</v>
      </c>
      <c r="AF278" s="10">
        <v>440.84234800000002</v>
      </c>
      <c r="AG278" s="10">
        <v>400.98140000000001</v>
      </c>
      <c r="AH278" s="10">
        <v>354.72897</v>
      </c>
      <c r="AI278" s="10">
        <v>271.144071</v>
      </c>
      <c r="AJ278" s="10">
        <v>243.53530000000001</v>
      </c>
      <c r="AK278" s="10">
        <v>190.352417</v>
      </c>
      <c r="AL278" s="10">
        <v>181.706005</v>
      </c>
      <c r="AM278" s="10">
        <v>157.84562</v>
      </c>
      <c r="AN278" s="10">
        <v>137.65606399999999</v>
      </c>
      <c r="AO278" s="10">
        <v>129.39670000000001</v>
      </c>
      <c r="AP278" s="10">
        <v>138.57377099999999</v>
      </c>
    </row>
    <row r="279" spans="7:42" ht="14.45">
      <c r="G279" s="297">
        <v>1993</v>
      </c>
      <c r="H279" s="297">
        <v>4804.4737800000003</v>
      </c>
    </row>
    <row r="280" spans="7:42" ht="14.45">
      <c r="G280" s="297">
        <v>1994</v>
      </c>
      <c r="H280" s="297">
        <v>5484.6302500000002</v>
      </c>
    </row>
    <row r="281" spans="7:42" ht="14.45">
      <c r="G281" s="297">
        <v>1995</v>
      </c>
      <c r="H281" s="297">
        <v>5147.6297400000003</v>
      </c>
    </row>
    <row r="282" spans="7:42" ht="14.45">
      <c r="G282" s="297">
        <v>1996</v>
      </c>
      <c r="H282" s="297">
        <v>4335.6507499999998</v>
      </c>
    </row>
    <row r="283" spans="7:42" ht="14.45">
      <c r="G283" s="297">
        <v>1997</v>
      </c>
      <c r="H283" s="297">
        <v>3712.7764299999999</v>
      </c>
    </row>
    <row r="284" spans="7:42" ht="14.45">
      <c r="G284" s="297">
        <v>1998</v>
      </c>
      <c r="H284" s="297">
        <v>2987.0718700000002</v>
      </c>
    </row>
    <row r="285" spans="7:42" ht="14.45">
      <c r="G285" s="297">
        <v>1999</v>
      </c>
      <c r="H285" s="297">
        <v>2262.5423700000001</v>
      </c>
    </row>
    <row r="286" spans="7:42" ht="14.45">
      <c r="G286" s="297">
        <v>2000</v>
      </c>
      <c r="H286" s="297">
        <v>2197.81158</v>
      </c>
    </row>
    <row r="287" spans="7:42" ht="14.45">
      <c r="G287" s="297">
        <v>2001</v>
      </c>
      <c r="H287" s="297">
        <v>1534.0492300000001</v>
      </c>
    </row>
    <row r="288" spans="7:42" ht="14.45">
      <c r="G288" s="297">
        <v>2002</v>
      </c>
      <c r="H288" s="297">
        <v>1099.08224</v>
      </c>
    </row>
    <row r="289" spans="7:8" ht="14.45">
      <c r="G289" s="297">
        <v>2003</v>
      </c>
      <c r="H289" s="297">
        <v>849.81400699999995</v>
      </c>
    </row>
    <row r="290" spans="7:8" ht="14.45">
      <c r="G290" s="297">
        <v>2004</v>
      </c>
      <c r="H290" s="297">
        <v>760.399497</v>
      </c>
    </row>
    <row r="291" spans="7:8" ht="14.45">
      <c r="G291" s="297">
        <v>2005</v>
      </c>
      <c r="H291" s="297">
        <v>655.54418999999996</v>
      </c>
    </row>
    <row r="292" spans="7:8" ht="14.45">
      <c r="G292" s="297">
        <v>2006</v>
      </c>
      <c r="H292" s="297">
        <v>561.41068600000006</v>
      </c>
    </row>
    <row r="293" spans="7:8" ht="14.45">
      <c r="G293" s="297">
        <v>2007</v>
      </c>
      <c r="H293" s="297">
        <v>535.71302500000002</v>
      </c>
    </row>
    <row r="294" spans="7:8" ht="14.45">
      <c r="G294" s="297">
        <v>2008</v>
      </c>
      <c r="H294" s="297">
        <v>561.70562399999994</v>
      </c>
    </row>
    <row r="295" spans="7:8" ht="14.45">
      <c r="G295" s="297">
        <v>2009</v>
      </c>
      <c r="H295" s="297">
        <v>500.37670400000002</v>
      </c>
    </row>
    <row r="296" spans="7:8" ht="14.45">
      <c r="G296" s="297">
        <v>2010</v>
      </c>
      <c r="H296" s="297">
        <v>449.85059100000001</v>
      </c>
    </row>
    <row r="297" spans="7:8" ht="14.45">
      <c r="G297" s="297">
        <v>2011</v>
      </c>
      <c r="H297" s="297">
        <v>428.51255500000002</v>
      </c>
    </row>
    <row r="298" spans="7:8" ht="14.45">
      <c r="G298" s="297">
        <v>2012</v>
      </c>
      <c r="H298" s="297">
        <v>440.84234800000002</v>
      </c>
    </row>
    <row r="299" spans="7:8" ht="14.45">
      <c r="G299" s="297">
        <v>2013</v>
      </c>
      <c r="H299" s="297">
        <v>400.98140000000001</v>
      </c>
    </row>
    <row r="300" spans="7:8" ht="14.45">
      <c r="G300" s="297">
        <v>2014</v>
      </c>
      <c r="H300" s="297">
        <v>354.72897</v>
      </c>
    </row>
    <row r="301" spans="7:8" ht="14.45">
      <c r="G301" s="297">
        <v>2015</v>
      </c>
      <c r="H301" s="297">
        <v>271.144071</v>
      </c>
    </row>
    <row r="302" spans="7:8" ht="14.45">
      <c r="G302" s="297">
        <v>2016</v>
      </c>
      <c r="H302" s="297">
        <v>243.53530000000001</v>
      </c>
    </row>
    <row r="303" spans="7:8" ht="14.45">
      <c r="G303" s="297">
        <v>2017</v>
      </c>
      <c r="H303" s="297">
        <v>190.352417</v>
      </c>
    </row>
    <row r="304" spans="7:8" ht="14.45">
      <c r="G304" s="297">
        <v>2018</v>
      </c>
      <c r="H304" s="297">
        <v>181.706005</v>
      </c>
    </row>
    <row r="305" spans="7:8" ht="14.45">
      <c r="G305" s="297">
        <v>2019</v>
      </c>
      <c r="H305" s="297">
        <v>157.84562</v>
      </c>
    </row>
    <row r="306" spans="7:8" ht="14.45">
      <c r="G306" s="297">
        <v>2020</v>
      </c>
      <c r="H306" s="297">
        <v>137.65606399999999</v>
      </c>
    </row>
    <row r="307" spans="7:8" ht="14.45">
      <c r="G307" s="297">
        <v>2021</v>
      </c>
      <c r="H307" s="297">
        <v>129.39670000000001</v>
      </c>
    </row>
    <row r="308" spans="7:8" ht="14.45">
      <c r="G308" s="297">
        <v>2022</v>
      </c>
      <c r="H308" s="297">
        <v>138.57377099999999</v>
      </c>
    </row>
  </sheetData>
  <hyperlinks>
    <hyperlink ref="B60" r:id="rId1" xr:uid="{00000000-0004-0000-0500-000000000000}"/>
    <hyperlink ref="B62" r:id="rId2" xr:uid="{00000000-0004-0000-0500-000001000000}"/>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0000"/>
    <outlinePr summaryBelow="0" summaryRight="0"/>
  </sheetPr>
  <dimension ref="A2:J165"/>
  <sheetViews>
    <sheetView topLeftCell="A132" workbookViewId="0"/>
  </sheetViews>
  <sheetFormatPr defaultColWidth="12.5703125" defaultRowHeight="15.75" customHeight="1"/>
  <cols>
    <col min="1" max="1" width="21.7109375" customWidth="1"/>
    <col min="2" max="2" width="14.42578125" customWidth="1"/>
  </cols>
  <sheetData>
    <row r="2" spans="1:10" ht="15.75" customHeight="1">
      <c r="A2" s="57" t="s">
        <v>714</v>
      </c>
      <c r="B2" s="299">
        <v>1920300</v>
      </c>
      <c r="C2" s="51" t="s">
        <v>715</v>
      </c>
      <c r="D2" s="481" t="s">
        <v>716</v>
      </c>
      <c r="E2" s="51"/>
      <c r="F2" s="51"/>
      <c r="G2" s="298"/>
      <c r="H2" s="298"/>
      <c r="I2" s="298"/>
      <c r="J2" s="298"/>
    </row>
    <row r="3" spans="1:10" ht="15.75" customHeight="1">
      <c r="A3" s="57" t="s">
        <v>717</v>
      </c>
      <c r="B3" s="52">
        <f ca="1">Misc!B134</f>
        <v>2.6891004823800002</v>
      </c>
      <c r="C3" s="51"/>
      <c r="D3" s="51"/>
      <c r="E3" s="51"/>
      <c r="F3" s="51"/>
      <c r="G3" s="298"/>
      <c r="H3" s="298"/>
      <c r="I3" s="298"/>
      <c r="J3" s="298"/>
    </row>
    <row r="4" spans="1:10" ht="15.75" customHeight="1">
      <c r="A4" s="57" t="s">
        <v>718</v>
      </c>
      <c r="B4" s="52">
        <v>1.8</v>
      </c>
      <c r="C4" s="51"/>
      <c r="D4" s="53"/>
      <c r="E4" s="51"/>
      <c r="F4" s="51"/>
      <c r="G4" s="298"/>
      <c r="H4" s="298"/>
      <c r="I4" s="298" t="s">
        <v>719</v>
      </c>
      <c r="J4" s="473" t="s">
        <v>720</v>
      </c>
    </row>
    <row r="5" spans="1:10" ht="15.75" customHeight="1">
      <c r="A5" s="298"/>
      <c r="B5" s="298"/>
      <c r="C5" s="298"/>
      <c r="D5" s="298"/>
      <c r="E5" s="298"/>
      <c r="F5" s="298"/>
      <c r="G5" s="298"/>
      <c r="H5" s="298"/>
      <c r="I5" s="298"/>
      <c r="J5" s="298"/>
    </row>
    <row r="6" spans="1:10" ht="15.75" customHeight="1">
      <c r="A6" s="300" t="s">
        <v>721</v>
      </c>
      <c r="B6" s="300"/>
      <c r="C6" s="300"/>
      <c r="D6" s="300"/>
      <c r="E6" s="300"/>
      <c r="F6" s="300"/>
      <c r="G6" s="300"/>
      <c r="H6" s="300"/>
      <c r="I6" s="300"/>
      <c r="J6" s="300"/>
    </row>
    <row r="7" spans="1:10" ht="15.75" customHeight="1">
      <c r="A7" s="301" t="s">
        <v>56</v>
      </c>
      <c r="B7" s="301"/>
      <c r="C7" s="301"/>
      <c r="D7" s="301"/>
      <c r="E7" s="301"/>
      <c r="F7" s="301"/>
      <c r="G7" s="301"/>
      <c r="H7" s="301"/>
      <c r="I7" s="301"/>
      <c r="J7" s="301"/>
    </row>
    <row r="8" spans="1:10" ht="15.75" customHeight="1">
      <c r="A8" s="302" t="s">
        <v>722</v>
      </c>
      <c r="B8" s="303">
        <v>1</v>
      </c>
      <c r="C8" s="473" t="s">
        <v>723</v>
      </c>
      <c r="D8" s="302"/>
      <c r="E8" s="302"/>
      <c r="F8" s="302"/>
      <c r="G8" s="302"/>
      <c r="H8" s="302"/>
      <c r="I8" s="302"/>
      <c r="J8" s="302"/>
    </row>
    <row r="9" spans="1:10" ht="15.75" customHeight="1">
      <c r="A9" s="302" t="s">
        <v>724</v>
      </c>
      <c r="B9" s="304">
        <v>3.5</v>
      </c>
      <c r="C9" s="305" t="s">
        <v>725</v>
      </c>
      <c r="D9" s="306"/>
      <c r="E9" s="306"/>
      <c r="F9" s="306"/>
      <c r="G9" s="306"/>
      <c r="H9" s="306"/>
      <c r="I9" s="306"/>
      <c r="J9" s="306"/>
    </row>
    <row r="10" spans="1:10" ht="15.75" customHeight="1">
      <c r="A10" s="302" t="s">
        <v>726</v>
      </c>
      <c r="B10" s="304">
        <v>0.85</v>
      </c>
      <c r="C10" s="473" t="s">
        <v>723</v>
      </c>
      <c r="D10" s="302"/>
      <c r="E10" s="302"/>
      <c r="F10" s="302"/>
      <c r="G10" s="302"/>
      <c r="H10" s="302"/>
      <c r="I10" s="302"/>
      <c r="J10" s="302"/>
    </row>
    <row r="11" spans="1:10" ht="15.75" customHeight="1">
      <c r="A11" s="302" t="s">
        <v>727</v>
      </c>
      <c r="B11" s="304">
        <v>0.8</v>
      </c>
      <c r="C11" s="473" t="s">
        <v>723</v>
      </c>
      <c r="D11" s="302"/>
      <c r="E11" s="302"/>
      <c r="F11" s="302"/>
      <c r="G11" s="302"/>
      <c r="H11" s="302"/>
      <c r="I11" s="302"/>
      <c r="J11" s="302"/>
    </row>
    <row r="12" spans="1:10" ht="15.75" customHeight="1">
      <c r="A12" s="302" t="s">
        <v>728</v>
      </c>
      <c r="B12" s="304">
        <v>0.7</v>
      </c>
      <c r="C12" s="473" t="s">
        <v>723</v>
      </c>
      <c r="D12" s="302"/>
      <c r="E12" s="302"/>
      <c r="F12" s="302"/>
      <c r="G12" s="302"/>
      <c r="H12" s="302"/>
      <c r="I12" s="302"/>
      <c r="J12" s="302"/>
    </row>
    <row r="13" spans="1:10" ht="15.75" customHeight="1">
      <c r="A13" s="302" t="s">
        <v>729</v>
      </c>
      <c r="B13" s="304">
        <v>0.72499999999999998</v>
      </c>
      <c r="C13" s="473" t="s">
        <v>723</v>
      </c>
      <c r="D13" s="302"/>
      <c r="E13" s="302"/>
      <c r="F13" s="302"/>
      <c r="G13" s="302"/>
      <c r="H13" s="302"/>
      <c r="I13" s="302"/>
      <c r="J13" s="302"/>
    </row>
    <row r="14" spans="1:10" ht="15.75" customHeight="1">
      <c r="A14" s="302" t="s">
        <v>730</v>
      </c>
      <c r="B14" s="304">
        <v>0.85</v>
      </c>
      <c r="C14" s="473" t="s">
        <v>723</v>
      </c>
      <c r="D14" s="302"/>
      <c r="E14" s="302"/>
      <c r="F14" s="302"/>
      <c r="G14" s="302"/>
      <c r="H14" s="302"/>
      <c r="I14" s="302"/>
      <c r="J14" s="302"/>
    </row>
    <row r="15" spans="1:10" ht="15.75" customHeight="1">
      <c r="A15" s="302" t="s">
        <v>731</v>
      </c>
      <c r="B15" s="304">
        <v>0.9</v>
      </c>
      <c r="C15" s="473" t="s">
        <v>723</v>
      </c>
      <c r="D15" s="302"/>
      <c r="E15" s="302"/>
      <c r="F15" s="302"/>
      <c r="G15" s="302"/>
      <c r="H15" s="302"/>
      <c r="I15" s="302"/>
      <c r="J15" s="302"/>
    </row>
    <row r="16" spans="1:10" ht="15.75" customHeight="1">
      <c r="A16" s="302" t="s">
        <v>732</v>
      </c>
      <c r="B16" s="304">
        <f>B11</f>
        <v>0.8</v>
      </c>
      <c r="C16" s="473" t="s">
        <v>723</v>
      </c>
      <c r="D16" s="302"/>
      <c r="E16" s="302"/>
      <c r="F16" s="302"/>
      <c r="G16" s="302"/>
      <c r="H16" s="302"/>
      <c r="I16" s="302"/>
      <c r="J16" s="302"/>
    </row>
    <row r="17" spans="1:3" ht="15.75" customHeight="1">
      <c r="A17" s="302" t="s">
        <v>104</v>
      </c>
      <c r="B17" s="304">
        <v>0.65</v>
      </c>
      <c r="C17" s="473" t="s">
        <v>723</v>
      </c>
    </row>
    <row r="18" spans="1:3" ht="15.75" customHeight="1">
      <c r="A18" s="302" t="s">
        <v>733</v>
      </c>
      <c r="B18" s="304">
        <v>0.83499999999999996</v>
      </c>
      <c r="C18" s="473" t="s">
        <v>723</v>
      </c>
    </row>
    <row r="19" spans="1:3" ht="15.75" customHeight="1">
      <c r="A19" s="302" t="s">
        <v>734</v>
      </c>
      <c r="B19" s="303">
        <v>0.72499999999999998</v>
      </c>
      <c r="C19" s="473" t="s">
        <v>723</v>
      </c>
    </row>
    <row r="20" spans="1:3" ht="15.75" customHeight="1">
      <c r="A20" s="302"/>
      <c r="B20" s="303"/>
      <c r="C20" s="302"/>
    </row>
    <row r="21" spans="1:3" ht="15.75" customHeight="1">
      <c r="A21" s="298"/>
      <c r="B21" s="298"/>
      <c r="C21" s="298"/>
    </row>
    <row r="22" spans="1:3" ht="15.75" customHeight="1">
      <c r="A22" s="301" t="s">
        <v>58</v>
      </c>
      <c r="B22" s="301"/>
      <c r="C22" s="301"/>
    </row>
    <row r="23" spans="1:3" ht="15.75" customHeight="1">
      <c r="A23" s="302" t="s">
        <v>735</v>
      </c>
      <c r="B23" s="303">
        <v>0.9</v>
      </c>
      <c r="C23" s="302" t="s">
        <v>736</v>
      </c>
    </row>
    <row r="24" spans="1:3" ht="15.75" customHeight="1">
      <c r="A24" s="302" t="s">
        <v>737</v>
      </c>
      <c r="B24" s="303">
        <f>B9*B23</f>
        <v>3.15</v>
      </c>
      <c r="C24" s="13"/>
    </row>
    <row r="25" spans="1:3" ht="15.75" customHeight="1">
      <c r="A25" s="302" t="s">
        <v>738</v>
      </c>
      <c r="B25" s="303">
        <v>0.95</v>
      </c>
      <c r="C25" s="473" t="s">
        <v>739</v>
      </c>
    </row>
    <row r="26" spans="1:3" ht="15.75" customHeight="1">
      <c r="A26" s="302" t="s">
        <v>740</v>
      </c>
      <c r="B26" s="303">
        <f>B25</f>
        <v>0.95</v>
      </c>
      <c r="C26" s="473" t="s">
        <v>739</v>
      </c>
    </row>
    <row r="27" spans="1:3" ht="15.75" customHeight="1">
      <c r="A27" s="302" t="s">
        <v>741</v>
      </c>
      <c r="B27" s="303">
        <v>0.86</v>
      </c>
      <c r="C27" s="473" t="s">
        <v>739</v>
      </c>
    </row>
    <row r="28" spans="1:3" ht="15.75" customHeight="1">
      <c r="A28" s="302" t="s">
        <v>742</v>
      </c>
      <c r="B28" s="303">
        <f>B17*B23</f>
        <v>0.58500000000000008</v>
      </c>
      <c r="C28" s="302" t="s">
        <v>743</v>
      </c>
    </row>
    <row r="29" spans="1:3" ht="15.75" customHeight="1">
      <c r="A29" s="302" t="s">
        <v>744</v>
      </c>
      <c r="B29" s="303">
        <v>3</v>
      </c>
      <c r="C29" s="473" t="s">
        <v>739</v>
      </c>
    </row>
    <row r="30" spans="1:3" ht="15.75" customHeight="1">
      <c r="A30" s="302" t="s">
        <v>745</v>
      </c>
      <c r="B30" s="303">
        <v>1.8</v>
      </c>
      <c r="C30" s="473" t="s">
        <v>739</v>
      </c>
    </row>
    <row r="31" spans="1:3" ht="15.75" customHeight="1">
      <c r="A31" s="298"/>
      <c r="B31" s="298"/>
      <c r="C31" s="298"/>
    </row>
    <row r="32" spans="1:3" ht="15.75" customHeight="1">
      <c r="A32" s="301" t="s">
        <v>186</v>
      </c>
      <c r="B32" s="482" t="s">
        <v>746</v>
      </c>
      <c r="C32" s="301"/>
    </row>
    <row r="33" spans="1:4" ht="15.75" customHeight="1">
      <c r="A33" s="302" t="s">
        <v>747</v>
      </c>
      <c r="B33" s="304">
        <v>0.95</v>
      </c>
      <c r="C33" s="302"/>
      <c r="D33" s="302"/>
    </row>
    <row r="34" spans="1:4" ht="15.75" customHeight="1">
      <c r="A34" s="302" t="s">
        <v>748</v>
      </c>
      <c r="B34" s="304">
        <v>0.9</v>
      </c>
      <c r="C34" s="302"/>
      <c r="D34" s="302"/>
    </row>
    <row r="35" spans="1:4" ht="15.75" customHeight="1">
      <c r="A35" s="302" t="s">
        <v>749</v>
      </c>
      <c r="B35" s="304">
        <v>0.9</v>
      </c>
      <c r="C35" s="302"/>
      <c r="D35" s="302"/>
    </row>
    <row r="36" spans="1:4" ht="15.75" customHeight="1">
      <c r="A36" s="302" t="s">
        <v>750</v>
      </c>
      <c r="B36" s="304">
        <v>0.30399999999999999</v>
      </c>
      <c r="C36" s="302"/>
      <c r="D36" s="302"/>
    </row>
    <row r="37" spans="1:4" ht="15.75" customHeight="1">
      <c r="A37" s="302" t="s">
        <v>211</v>
      </c>
      <c r="B37" s="304">
        <v>0.30399999999999999</v>
      </c>
      <c r="C37" s="302"/>
      <c r="D37" s="302"/>
    </row>
    <row r="38" spans="1:4" ht="15.75" customHeight="1">
      <c r="A38" s="302" t="s">
        <v>751</v>
      </c>
      <c r="B38" s="304">
        <v>0.71099999999999997</v>
      </c>
      <c r="C38" s="302"/>
      <c r="D38" s="302"/>
    </row>
    <row r="39" spans="1:4" ht="15.75" customHeight="1">
      <c r="A39" s="302" t="s">
        <v>752</v>
      </c>
      <c r="B39" s="304">
        <v>0.78500000000000003</v>
      </c>
      <c r="C39" s="302"/>
      <c r="D39" s="302"/>
    </row>
    <row r="40" spans="1:4" ht="15.75" customHeight="1">
      <c r="A40" s="302" t="s">
        <v>753</v>
      </c>
      <c r="B40" s="304">
        <f>(86%*B38)+(14%*B33)</f>
        <v>0.74446000000000001</v>
      </c>
      <c r="C40" s="302"/>
      <c r="D40" s="302"/>
    </row>
    <row r="41" spans="1:4" ht="14.45">
      <c r="A41" s="302" t="s">
        <v>754</v>
      </c>
      <c r="B41" s="304">
        <f t="shared" ref="B41:B42" si="0">(86%*B36)+(14%*B34)</f>
        <v>0.38744000000000001</v>
      </c>
      <c r="C41" s="302"/>
      <c r="D41" s="302"/>
    </row>
    <row r="42" spans="1:4" ht="14.45">
      <c r="A42" s="302" t="s">
        <v>755</v>
      </c>
      <c r="B42" s="304">
        <f t="shared" si="0"/>
        <v>0.38744000000000001</v>
      </c>
      <c r="C42" s="302"/>
      <c r="D42" s="302"/>
    </row>
    <row r="43" spans="1:4" ht="14.45">
      <c r="A43" s="302" t="s">
        <v>756</v>
      </c>
      <c r="B43" s="304">
        <v>0.83</v>
      </c>
      <c r="C43" s="302"/>
      <c r="D43" s="302"/>
    </row>
    <row r="44" spans="1:4" ht="14.45">
      <c r="A44" s="302" t="s">
        <v>757</v>
      </c>
      <c r="B44" s="304">
        <v>0.60199999999999998</v>
      </c>
      <c r="C44" s="302"/>
      <c r="D44" s="302"/>
    </row>
    <row r="45" spans="1:4" ht="14.45">
      <c r="A45" s="302" t="s">
        <v>758</v>
      </c>
      <c r="B45" s="304">
        <v>0.60199999999999998</v>
      </c>
      <c r="C45" s="302"/>
      <c r="D45" s="302"/>
    </row>
    <row r="46" spans="1:4" ht="14.45">
      <c r="A46" s="302" t="s">
        <v>759</v>
      </c>
      <c r="B46" s="304">
        <v>0.65</v>
      </c>
      <c r="C46" s="302"/>
      <c r="D46" s="302"/>
    </row>
    <row r="47" spans="1:4" ht="14.45">
      <c r="A47" s="298"/>
      <c r="B47" s="298"/>
      <c r="C47" s="298"/>
      <c r="D47" s="298"/>
    </row>
    <row r="48" spans="1:4" ht="14.45">
      <c r="A48" s="307" t="s">
        <v>760</v>
      </c>
      <c r="B48" s="308"/>
      <c r="C48" s="308"/>
      <c r="D48" s="308"/>
    </row>
    <row r="49" spans="1:4" ht="14.45">
      <c r="A49" s="308" t="s">
        <v>761</v>
      </c>
      <c r="B49" s="309">
        <v>0.20499999999999999</v>
      </c>
      <c r="C49" s="160" t="s">
        <v>762</v>
      </c>
      <c r="D49" s="308"/>
    </row>
    <row r="50" spans="1:4" ht="14.45">
      <c r="A50" s="308" t="s">
        <v>763</v>
      </c>
      <c r="B50" s="309">
        <v>0.31</v>
      </c>
      <c r="C50" s="160" t="s">
        <v>764</v>
      </c>
      <c r="D50" s="308"/>
    </row>
    <row r="51" spans="1:4" ht="14.45">
      <c r="A51" s="308" t="s">
        <v>765</v>
      </c>
      <c r="B51" s="309">
        <v>0.89</v>
      </c>
      <c r="C51" s="160" t="s">
        <v>766</v>
      </c>
      <c r="D51" s="309">
        <f>B51/B49</f>
        <v>4.3414634146341466</v>
      </c>
    </row>
    <row r="52" spans="1:4" ht="14.45">
      <c r="A52" s="308" t="s">
        <v>767</v>
      </c>
      <c r="B52" s="309">
        <v>0.1</v>
      </c>
      <c r="C52" s="308"/>
      <c r="D52" s="308"/>
    </row>
    <row r="53" spans="1:4" ht="14.45">
      <c r="A53" s="298"/>
      <c r="B53" s="298"/>
      <c r="C53" s="298"/>
      <c r="D53" s="298"/>
    </row>
    <row r="54" spans="1:4" ht="14.45">
      <c r="A54" s="298"/>
      <c r="B54" s="298"/>
      <c r="C54" s="298"/>
      <c r="D54" s="298"/>
    </row>
    <row r="55" spans="1:4" ht="14.45">
      <c r="A55" s="298"/>
      <c r="B55" s="298"/>
      <c r="C55" s="298"/>
      <c r="D55" s="298"/>
    </row>
    <row r="56" spans="1:4" ht="14.45">
      <c r="A56" s="302" t="s">
        <v>768</v>
      </c>
      <c r="B56" s="310">
        <f ca="1">1/('Product prices'!J323/'Product prices'!F323)</f>
        <v>0.26008584433574256</v>
      </c>
      <c r="C56" s="298"/>
      <c r="D56" s="298"/>
    </row>
    <row r="57" spans="1:4" ht="14.45">
      <c r="A57" s="298"/>
      <c r="B57" s="298"/>
      <c r="C57" s="298"/>
      <c r="D57" s="298"/>
    </row>
    <row r="58" spans="1:4" ht="14.45">
      <c r="A58" s="298"/>
      <c r="B58" s="298"/>
      <c r="C58" s="298"/>
      <c r="D58" s="298"/>
    </row>
    <row r="59" spans="1:4" ht="14.45">
      <c r="A59" s="311" t="s">
        <v>769</v>
      </c>
      <c r="B59" s="312">
        <v>0.3</v>
      </c>
      <c r="C59" s="478" t="s">
        <v>770</v>
      </c>
      <c r="D59" s="311"/>
    </row>
    <row r="60" spans="1:4" ht="14.45">
      <c r="A60" s="311" t="s">
        <v>489</v>
      </c>
      <c r="B60" s="313">
        <f>'Energy prices'!C58*(1/B59)</f>
        <v>0.68797927475398535</v>
      </c>
      <c r="C60" s="311"/>
      <c r="D60" s="311"/>
    </row>
    <row r="61" spans="1:4" ht="14.45">
      <c r="A61" s="298" t="s">
        <v>330</v>
      </c>
      <c r="B61" s="298"/>
      <c r="C61" s="298"/>
      <c r="D61" s="298"/>
    </row>
    <row r="62" spans="1:4" ht="14.45">
      <c r="A62" s="298"/>
      <c r="B62" s="298"/>
      <c r="C62" s="298"/>
      <c r="D62" s="298"/>
    </row>
    <row r="63" spans="1:4" ht="14.45">
      <c r="A63" s="298"/>
      <c r="B63" s="298"/>
      <c r="C63" s="298"/>
      <c r="D63" s="298"/>
    </row>
    <row r="64" spans="1:4" ht="14.45">
      <c r="A64" s="314" t="s">
        <v>771</v>
      </c>
      <c r="B64" s="298"/>
      <c r="C64" s="298" t="s">
        <v>84</v>
      </c>
      <c r="D64" s="298"/>
    </row>
    <row r="65" spans="1:3" ht="14.45">
      <c r="A65" s="298" t="s">
        <v>772</v>
      </c>
      <c r="B65" s="315">
        <v>277777777.77777702</v>
      </c>
      <c r="C65" s="298"/>
    </row>
    <row r="66" spans="1:3" ht="14.45">
      <c r="A66" s="298" t="s">
        <v>773</v>
      </c>
      <c r="B66" s="316">
        <v>277777.777777777</v>
      </c>
    </row>
    <row r="67" spans="1:3" ht="14.45">
      <c r="A67" s="298" t="s">
        <v>774</v>
      </c>
      <c r="B67" s="317">
        <v>277.77800000000002</v>
      </c>
    </row>
    <row r="69" spans="1:3" ht="14.45">
      <c r="A69" s="298" t="s">
        <v>775</v>
      </c>
      <c r="B69" s="317">
        <v>0.8</v>
      </c>
    </row>
    <row r="73" spans="1:3" ht="12.6">
      <c r="A73" s="10" t="s">
        <v>776</v>
      </c>
    </row>
    <row r="74" spans="1:3" ht="12.6">
      <c r="A74" s="10" t="s">
        <v>777</v>
      </c>
      <c r="B74" s="1">
        <v>0.03</v>
      </c>
      <c r="C74" s="473" t="s">
        <v>778</v>
      </c>
    </row>
    <row r="75" spans="1:3" ht="12.6">
      <c r="B75" s="1"/>
    </row>
    <row r="76" spans="1:3" ht="12.6">
      <c r="A76" s="10" t="s">
        <v>779</v>
      </c>
      <c r="B76" s="1">
        <v>0.8</v>
      </c>
    </row>
    <row r="79" spans="1:3" ht="12.6">
      <c r="A79" s="10" t="s">
        <v>780</v>
      </c>
      <c r="B79" s="10" t="s">
        <v>781</v>
      </c>
    </row>
    <row r="80" spans="1:3" ht="12.6">
      <c r="A80" s="10" t="s">
        <v>782</v>
      </c>
      <c r="B80" s="1">
        <v>0.5</v>
      </c>
    </row>
    <row r="81" spans="1:2" ht="12.6">
      <c r="A81" s="10" t="s">
        <v>783</v>
      </c>
      <c r="B81" s="1">
        <v>0.25</v>
      </c>
    </row>
    <row r="83" spans="1:2" ht="12.6">
      <c r="A83" s="10" t="s">
        <v>784</v>
      </c>
    </row>
    <row r="84" spans="1:2" ht="12.6">
      <c r="A84" s="10" t="s">
        <v>785</v>
      </c>
      <c r="B84" s="10">
        <v>33.700000000000003</v>
      </c>
    </row>
    <row r="85" spans="1:2" ht="12.6">
      <c r="A85" s="10" t="s">
        <v>786</v>
      </c>
      <c r="B85" s="10">
        <v>1.60934</v>
      </c>
    </row>
    <row r="86" spans="1:2" ht="12.6">
      <c r="A86" s="10" t="s">
        <v>787</v>
      </c>
      <c r="B86" s="10">
        <v>3.7854100000000002</v>
      </c>
    </row>
    <row r="87" spans="1:2" ht="12.6">
      <c r="A87" s="10" t="s">
        <v>788</v>
      </c>
      <c r="B87" s="148">
        <v>9.5</v>
      </c>
    </row>
    <row r="88" spans="1:2" ht="12.6">
      <c r="A88" s="10" t="s">
        <v>789</v>
      </c>
      <c r="B88" s="148">
        <v>10.722222220000001</v>
      </c>
    </row>
    <row r="89" spans="1:2" ht="12.6">
      <c r="A89" s="10" t="s">
        <v>790</v>
      </c>
      <c r="B89" s="148">
        <v>7.4</v>
      </c>
    </row>
    <row r="90" spans="1:2" ht="12.6">
      <c r="A90" s="10"/>
      <c r="B90" s="10"/>
    </row>
    <row r="91" spans="1:2" ht="12.6">
      <c r="A91" s="318" t="s">
        <v>791</v>
      </c>
    </row>
    <row r="114" spans="1:3" ht="12.6">
      <c r="A114" s="10" t="s">
        <v>792</v>
      </c>
    </row>
    <row r="115" spans="1:3" ht="12.6">
      <c r="A115" s="10" t="s">
        <v>793</v>
      </c>
    </row>
    <row r="116" spans="1:3" ht="12.6">
      <c r="A116" s="10" t="s">
        <v>37</v>
      </c>
    </row>
    <row r="117" spans="1:3" ht="12.6">
      <c r="A117" s="10" t="s">
        <v>38</v>
      </c>
    </row>
    <row r="118" spans="1:3" ht="12.6">
      <c r="A118" s="10" t="s">
        <v>39</v>
      </c>
    </row>
    <row r="119" spans="1:3" ht="12.6">
      <c r="A119" s="10" t="s">
        <v>40</v>
      </c>
    </row>
    <row r="120" spans="1:3" ht="12.6">
      <c r="A120" s="10" t="s">
        <v>41</v>
      </c>
    </row>
    <row r="123" spans="1:3" ht="12.6">
      <c r="A123" s="482" t="s">
        <v>794</v>
      </c>
    </row>
    <row r="124" spans="1:3" ht="12.6">
      <c r="A124" s="10" t="s">
        <v>717</v>
      </c>
      <c r="B124" s="10" t="s">
        <v>795</v>
      </c>
    </row>
    <row r="125" spans="1:3" ht="12.6">
      <c r="A125" s="10">
        <v>2018</v>
      </c>
      <c r="B125" s="10">
        <v>1</v>
      </c>
      <c r="C125" s="135">
        <v>0.226744</v>
      </c>
    </row>
    <row r="126" spans="1:3" ht="12.6">
      <c r="A126" s="10">
        <v>2018</v>
      </c>
      <c r="B126" s="10">
        <v>2</v>
      </c>
      <c r="C126" s="135">
        <v>0.33245608589999998</v>
      </c>
    </row>
    <row r="127" spans="1:3" ht="12.6">
      <c r="A127" s="10">
        <v>2018</v>
      </c>
      <c r="B127" s="10">
        <v>3</v>
      </c>
      <c r="C127" s="135">
        <v>0.16447637170000001</v>
      </c>
    </row>
    <row r="128" spans="1:3" ht="12.6">
      <c r="A128" s="10">
        <v>2018</v>
      </c>
      <c r="B128" s="10">
        <v>4</v>
      </c>
      <c r="C128" s="135">
        <v>0.1564625466</v>
      </c>
    </row>
    <row r="129" spans="1:8" ht="12.6">
      <c r="A129" s="10">
        <v>2018</v>
      </c>
      <c r="B129" s="10">
        <v>5</v>
      </c>
      <c r="C129" s="135">
        <v>7.0793494809999996E-2</v>
      </c>
    </row>
    <row r="130" spans="1:8" ht="12.6">
      <c r="A130" s="10">
        <v>2018</v>
      </c>
      <c r="B130" s="10">
        <v>6</v>
      </c>
      <c r="C130" s="135">
        <v>2.8653613370000001E-2</v>
      </c>
    </row>
    <row r="131" spans="1:8" ht="12.6">
      <c r="A131" s="10">
        <v>2018</v>
      </c>
      <c r="B131" s="10">
        <v>7</v>
      </c>
      <c r="C131" s="135">
        <v>1.1035246150000001E-2</v>
      </c>
    </row>
    <row r="132" spans="1:8" ht="12.6">
      <c r="A132" s="10">
        <v>2018</v>
      </c>
      <c r="B132" s="10">
        <v>8</v>
      </c>
      <c r="C132" s="135">
        <v>9.3786414700000008E-3</v>
      </c>
    </row>
    <row r="134" spans="1:8" ht="12.6">
      <c r="A134" s="10" t="s">
        <v>796</v>
      </c>
      <c r="B134" s="10">
        <f ca="1">IFERROR(__xludf.DUMMYFUNCTION("AVERAGE.WEIGHTED(B125:B132,C125:C132)"),2.68910048238)</f>
        <v>2.6891004823800002</v>
      </c>
    </row>
    <row r="137" spans="1:8" ht="12.6">
      <c r="A137" s="9" t="s">
        <v>797</v>
      </c>
      <c r="B137" s="160" t="s">
        <v>716</v>
      </c>
      <c r="C137" s="9"/>
      <c r="D137" s="9"/>
    </row>
    <row r="138" spans="1:8" ht="12.6">
      <c r="A138" s="319">
        <v>1920300</v>
      </c>
      <c r="B138" s="9"/>
      <c r="C138" s="9"/>
      <c r="D138" s="9"/>
    </row>
    <row r="142" spans="1:8" ht="12.95">
      <c r="A142" s="9" t="s">
        <v>798</v>
      </c>
      <c r="B142" s="9" t="s">
        <v>36</v>
      </c>
      <c r="C142" s="9" t="s">
        <v>799</v>
      </c>
      <c r="D142" s="9" t="s">
        <v>38</v>
      </c>
      <c r="E142" s="9" t="s">
        <v>39</v>
      </c>
      <c r="F142" s="9" t="s">
        <v>40</v>
      </c>
      <c r="G142" s="9" t="s">
        <v>41</v>
      </c>
      <c r="H142" s="320" t="s">
        <v>505</v>
      </c>
    </row>
    <row r="143" spans="1:8" ht="12.6">
      <c r="A143" s="9" t="s">
        <v>800</v>
      </c>
      <c r="B143" s="321">
        <v>9.8000000000000004E-2</v>
      </c>
      <c r="C143" s="9">
        <v>0.217</v>
      </c>
      <c r="D143" s="321">
        <v>0.218</v>
      </c>
      <c r="E143" s="321">
        <v>2.5000000000000001E-2</v>
      </c>
      <c r="F143" s="321">
        <v>0.24199999999999999</v>
      </c>
      <c r="G143" s="321">
        <v>0.253</v>
      </c>
      <c r="H143" s="321">
        <v>0.218</v>
      </c>
    </row>
    <row r="148" spans="1:3" ht="12.6">
      <c r="A148" s="10" t="s">
        <v>801</v>
      </c>
    </row>
    <row r="149" spans="1:3" ht="14.1">
      <c r="A149" s="322" t="s">
        <v>416</v>
      </c>
      <c r="B149" s="323" t="s">
        <v>802</v>
      </c>
    </row>
    <row r="150" spans="1:3" ht="14.1">
      <c r="A150" s="324">
        <v>2009</v>
      </c>
      <c r="B150" s="325">
        <v>10000</v>
      </c>
      <c r="C150" s="10" t="s">
        <v>803</v>
      </c>
    </row>
    <row r="151" spans="1:3" ht="14.1">
      <c r="A151" s="324">
        <v>2010</v>
      </c>
      <c r="B151" s="325">
        <v>15000</v>
      </c>
      <c r="C151" s="10" t="s">
        <v>803</v>
      </c>
    </row>
    <row r="152" spans="1:3" ht="14.1">
      <c r="A152" s="324">
        <v>2011</v>
      </c>
      <c r="B152" s="325">
        <v>17000</v>
      </c>
      <c r="C152" s="10" t="s">
        <v>803</v>
      </c>
    </row>
    <row r="153" spans="1:3" ht="14.1">
      <c r="A153" s="324">
        <v>2012</v>
      </c>
      <c r="B153" s="325">
        <v>19126</v>
      </c>
      <c r="C153" s="10" t="s">
        <v>804</v>
      </c>
    </row>
    <row r="154" spans="1:3" ht="14.1">
      <c r="A154" s="324">
        <v>2013</v>
      </c>
      <c r="B154" s="325">
        <v>19400</v>
      </c>
      <c r="C154" s="10" t="s">
        <v>804</v>
      </c>
    </row>
    <row r="155" spans="1:3" ht="14.1">
      <c r="A155" s="324">
        <v>2014</v>
      </c>
      <c r="B155" s="325">
        <v>25568</v>
      </c>
      <c r="C155" s="10" t="s">
        <v>804</v>
      </c>
    </row>
    <row r="156" spans="1:3" ht="14.1">
      <c r="A156" s="324">
        <v>2015</v>
      </c>
      <c r="B156" s="325">
        <v>29242</v>
      </c>
      <c r="C156" s="10" t="s">
        <v>804</v>
      </c>
    </row>
    <row r="157" spans="1:3" ht="14.1">
      <c r="A157" s="324">
        <v>2016</v>
      </c>
      <c r="B157" s="325">
        <v>30484</v>
      </c>
      <c r="C157" s="10" t="s">
        <v>804</v>
      </c>
    </row>
    <row r="158" spans="1:3" ht="14.1">
      <c r="A158" s="324">
        <v>2017</v>
      </c>
      <c r="B158" s="325">
        <v>41151</v>
      </c>
      <c r="C158" s="10" t="s">
        <v>804</v>
      </c>
    </row>
    <row r="159" spans="1:3" ht="14.1">
      <c r="A159" s="324">
        <v>2018</v>
      </c>
      <c r="B159" s="325">
        <v>43730</v>
      </c>
      <c r="C159" s="10" t="s">
        <v>804</v>
      </c>
    </row>
    <row r="160" spans="1:3" ht="14.1">
      <c r="A160" s="324">
        <v>2019</v>
      </c>
      <c r="B160" s="325">
        <v>45964</v>
      </c>
      <c r="C160" s="10" t="s">
        <v>804</v>
      </c>
    </row>
    <row r="161" spans="1:3" ht="14.1">
      <c r="A161" s="324">
        <v>2020</v>
      </c>
      <c r="B161" s="325">
        <v>48136</v>
      </c>
      <c r="C161" s="10" t="s">
        <v>804</v>
      </c>
    </row>
    <row r="162" spans="1:3" ht="14.1">
      <c r="A162" s="324">
        <v>2021</v>
      </c>
      <c r="B162" s="325">
        <v>56020</v>
      </c>
      <c r="C162" s="10" t="s">
        <v>804</v>
      </c>
    </row>
    <row r="163" spans="1:3" ht="14.1">
      <c r="A163" s="324">
        <v>2022</v>
      </c>
      <c r="B163" s="325">
        <v>54183</v>
      </c>
      <c r="C163" s="10" t="s">
        <v>804</v>
      </c>
    </row>
    <row r="164" spans="1:3" ht="12.6">
      <c r="A164" s="10">
        <v>2023</v>
      </c>
      <c r="B164" s="91">
        <f t="array" ref="B164">TREND(B153:B163,A153:A163,A164)</f>
        <v>61336.309090908617</v>
      </c>
      <c r="C164" s="10" t="s">
        <v>803</v>
      </c>
    </row>
    <row r="165" spans="1:3" ht="12.6">
      <c r="B165" s="91">
        <f>SUM(B150:B164)</f>
        <v>516340.30909090862</v>
      </c>
    </row>
  </sheetData>
  <hyperlinks>
    <hyperlink ref="D2" r:id="rId1" xr:uid="{00000000-0004-0000-0600-000000000000}"/>
    <hyperlink ref="J4" r:id="rId2" xr:uid="{00000000-0004-0000-0600-000001000000}"/>
    <hyperlink ref="C8" r:id="rId3" xr:uid="{00000000-0004-0000-0600-000002000000}"/>
    <hyperlink ref="C10" r:id="rId4" xr:uid="{00000000-0004-0000-0600-000003000000}"/>
    <hyperlink ref="C11" r:id="rId5" xr:uid="{00000000-0004-0000-0600-000004000000}"/>
    <hyperlink ref="C12" r:id="rId6" xr:uid="{00000000-0004-0000-0600-000005000000}"/>
    <hyperlink ref="C13" r:id="rId7" xr:uid="{00000000-0004-0000-0600-000006000000}"/>
    <hyperlink ref="C14" r:id="rId8" xr:uid="{00000000-0004-0000-0600-000007000000}"/>
    <hyperlink ref="C15" r:id="rId9" xr:uid="{00000000-0004-0000-0600-000008000000}"/>
    <hyperlink ref="C16" r:id="rId10" xr:uid="{00000000-0004-0000-0600-000009000000}"/>
    <hyperlink ref="C17" r:id="rId11" xr:uid="{00000000-0004-0000-0600-00000A000000}"/>
    <hyperlink ref="C18" r:id="rId12" xr:uid="{00000000-0004-0000-0600-00000B000000}"/>
    <hyperlink ref="C19" r:id="rId13" xr:uid="{00000000-0004-0000-0600-00000C000000}"/>
    <hyperlink ref="C25" r:id="rId14" xr:uid="{00000000-0004-0000-0600-00000D000000}"/>
    <hyperlink ref="C26" r:id="rId15" xr:uid="{00000000-0004-0000-0600-00000E000000}"/>
    <hyperlink ref="C27" r:id="rId16" xr:uid="{00000000-0004-0000-0600-00000F000000}"/>
    <hyperlink ref="C29" r:id="rId17" xr:uid="{00000000-0004-0000-0600-000010000000}"/>
    <hyperlink ref="C30" r:id="rId18" xr:uid="{00000000-0004-0000-0600-000011000000}"/>
    <hyperlink ref="B32" r:id="rId19" xr:uid="{00000000-0004-0000-0600-000012000000}"/>
    <hyperlink ref="C49" r:id="rId20" xr:uid="{00000000-0004-0000-0600-000013000000}"/>
    <hyperlink ref="C50" r:id="rId21" xr:uid="{00000000-0004-0000-0600-000014000000}"/>
    <hyperlink ref="C51" r:id="rId22" xr:uid="{00000000-0004-0000-0600-000015000000}"/>
    <hyperlink ref="C59" r:id="rId23" xr:uid="{00000000-0004-0000-0600-000016000000}"/>
    <hyperlink ref="C74" r:id="rId24" xr:uid="{00000000-0004-0000-0600-000017000000}"/>
    <hyperlink ref="A91" r:id="rId25" xr:uid="{00000000-0004-0000-0600-000018000000}"/>
    <hyperlink ref="A123" r:id="rId26" xr:uid="{00000000-0004-0000-0600-000019000000}"/>
    <hyperlink ref="B137" r:id="rId27" xr:uid="{00000000-0004-0000-0600-00001A000000}"/>
  </hyperlinks>
  <pageMargins left="0.7" right="0.7" top="0.75" bottom="0.75" header="0.3" footer="0.3"/>
  <drawing r:id="rId2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38761D"/>
    <outlinePr summaryBelow="0" summaryRight="0"/>
  </sheetPr>
  <dimension ref="B3:AE102"/>
  <sheetViews>
    <sheetView workbookViewId="0">
      <pane xSplit="2" topLeftCell="C1" activePane="topRight" state="frozen"/>
      <selection pane="topRight" activeCell="H18" sqref="H18"/>
    </sheetView>
  </sheetViews>
  <sheetFormatPr defaultColWidth="12.5703125" defaultRowHeight="15.75" customHeight="1"/>
  <cols>
    <col min="1" max="1" width="6.42578125" customWidth="1"/>
    <col min="2" max="2" width="33" customWidth="1"/>
  </cols>
  <sheetData>
    <row r="3" spans="2:20" ht="12.95">
      <c r="B3" s="326" t="s">
        <v>805</v>
      </c>
      <c r="C3" s="326">
        <v>2023</v>
      </c>
      <c r="D3" s="326">
        <v>2024</v>
      </c>
      <c r="E3" s="326">
        <v>2025</v>
      </c>
      <c r="F3" s="326">
        <v>2026</v>
      </c>
      <c r="G3" s="326">
        <v>2027</v>
      </c>
      <c r="H3" s="326">
        <v>2028</v>
      </c>
      <c r="I3" s="326">
        <v>2029</v>
      </c>
      <c r="J3" s="326">
        <v>2030</v>
      </c>
      <c r="K3" s="326">
        <v>2031</v>
      </c>
      <c r="L3" s="326">
        <v>2032</v>
      </c>
      <c r="M3" s="326">
        <v>2033</v>
      </c>
      <c r="N3" s="326">
        <v>2034</v>
      </c>
      <c r="O3" s="326">
        <v>2035</v>
      </c>
      <c r="P3" s="326">
        <v>2036</v>
      </c>
      <c r="Q3" s="326">
        <v>2037</v>
      </c>
      <c r="R3" s="326">
        <v>2038</v>
      </c>
      <c r="S3" s="326">
        <v>2039</v>
      </c>
      <c r="T3" s="326">
        <v>2040</v>
      </c>
    </row>
    <row r="4" spans="2:20" ht="15.75" customHeight="1">
      <c r="B4" s="42" t="s">
        <v>36</v>
      </c>
      <c r="C4" s="238">
        <f>'CPI Energy'!AT39</f>
        <v>0.24191604127556363</v>
      </c>
      <c r="D4" s="238">
        <f>'CPI Energy'!AU49</f>
        <v>0.25047656711701377</v>
      </c>
      <c r="E4" s="238">
        <f>'CPI Energy'!AV49</f>
        <v>0.25589301158444888</v>
      </c>
      <c r="F4" s="238">
        <f>'CPI Energy'!AW49</f>
        <v>0.2613094560518856</v>
      </c>
      <c r="G4" s="238">
        <f>'CPI Energy'!AX49</f>
        <v>0.26672590051932077</v>
      </c>
      <c r="H4" s="238">
        <f>'CPI Energy'!AY49</f>
        <v>0.27214234498675749</v>
      </c>
      <c r="I4" s="238">
        <f>'CPI Energy'!AZ49</f>
        <v>0.27755878945419427</v>
      </c>
      <c r="J4" s="238">
        <f>'CPI Energy'!BA49</f>
        <v>0.28297523392162938</v>
      </c>
      <c r="K4" s="238">
        <f>'CPI Energy'!BB49</f>
        <v>0.2883916783890661</v>
      </c>
      <c r="L4" s="238">
        <f>'CPI Energy'!BC49</f>
        <v>0.29380812285650287</v>
      </c>
      <c r="M4" s="238">
        <f>'CPI Energy'!BD49</f>
        <v>0.29922456732393959</v>
      </c>
      <c r="N4" s="238">
        <f>'CPI Energy'!BE49</f>
        <v>0.30464101179137471</v>
      </c>
      <c r="O4" s="238">
        <f>'CPI Energy'!BF49</f>
        <v>0.31005745625881148</v>
      </c>
      <c r="P4" s="238">
        <f>'CPI Energy'!BG49</f>
        <v>0.3154739007262482</v>
      </c>
      <c r="Q4" s="238">
        <f>'CPI Energy'!BH49</f>
        <v>0.32089034519368337</v>
      </c>
      <c r="R4" s="238">
        <f>'CPI Energy'!BI49</f>
        <v>0.32630678966112009</v>
      </c>
      <c r="S4" s="238">
        <f>'CPI Energy'!BJ49</f>
        <v>0.33172323412855681</v>
      </c>
      <c r="T4" s="238">
        <f>'CPI Energy'!BK49</f>
        <v>0.33713967859599198</v>
      </c>
    </row>
    <row r="5" spans="2:20" ht="15.75" customHeight="1">
      <c r="B5" s="42" t="s">
        <v>37</v>
      </c>
      <c r="C5" s="238">
        <f>'CPI Energy'!AT43</f>
        <v>0.11</v>
      </c>
      <c r="D5" s="238">
        <f>'CPI Energy'!AU52</f>
        <v>0.10895598339659508</v>
      </c>
      <c r="E5" s="238">
        <f>'CPI Energy'!AV52</f>
        <v>0.11146708293469731</v>
      </c>
      <c r="F5" s="238">
        <f>'CPI Energy'!AW52</f>
        <v>0.11397818247279887</v>
      </c>
      <c r="G5" s="238">
        <f>'CPI Energy'!AX52</f>
        <v>0.11648928201090042</v>
      </c>
      <c r="H5" s="238">
        <f>'CPI Energy'!AY52</f>
        <v>0.11900038154900197</v>
      </c>
      <c r="I5" s="238">
        <f>'CPI Energy'!AZ52</f>
        <v>0.12151148108710422</v>
      </c>
      <c r="J5" s="238">
        <f>'CPI Energy'!BA52</f>
        <v>0.12402258062520577</v>
      </c>
      <c r="K5" s="238">
        <f>'CPI Energy'!BB52</f>
        <v>0.12653368016330732</v>
      </c>
      <c r="L5" s="238">
        <f>'CPI Energy'!BC52</f>
        <v>0.1290447797014089</v>
      </c>
      <c r="M5" s="238">
        <f>'CPI Energy'!BD52</f>
        <v>0.13155587923951045</v>
      </c>
      <c r="N5" s="238">
        <f>'CPI Energy'!BE52</f>
        <v>0.13406697877761267</v>
      </c>
      <c r="O5" s="238">
        <f>'CPI Energy'!BF52</f>
        <v>0.13657807831571422</v>
      </c>
      <c r="P5" s="238">
        <f>'CPI Energy'!BG52</f>
        <v>0.1390891778538158</v>
      </c>
      <c r="Q5" s="238">
        <f>'CPI Energy'!BH52</f>
        <v>0.14160027739191736</v>
      </c>
      <c r="R5" s="238">
        <f>'CPI Energy'!BI52</f>
        <v>0.14411137693001894</v>
      </c>
      <c r="S5" s="238">
        <f>'CPI Energy'!BJ52</f>
        <v>0.14662247646812052</v>
      </c>
      <c r="T5" s="238">
        <f>'CPI Energy'!BK52</f>
        <v>0.14913357600622271</v>
      </c>
    </row>
    <row r="6" spans="2:20" ht="15.75" customHeight="1">
      <c r="B6" s="42" t="s">
        <v>38</v>
      </c>
      <c r="C6" s="238">
        <f>'CPI Energy'!AT44</f>
        <v>0.24412296564195299</v>
      </c>
      <c r="D6" s="238">
        <f>'CPI Energy'!AU53</f>
        <v>0.24180597992011074</v>
      </c>
      <c r="E6" s="238">
        <f>'CPI Energy'!AV53</f>
        <v>0.24737886234068943</v>
      </c>
      <c r="F6" s="238">
        <f>'CPI Energy'!AW53</f>
        <v>0.25295174476126658</v>
      </c>
      <c r="G6" s="238">
        <f>'CPI Energy'!AX53</f>
        <v>0.25852462718184377</v>
      </c>
      <c r="H6" s="238">
        <f>'CPI Energy'!AY53</f>
        <v>0.26409750960242095</v>
      </c>
      <c r="I6" s="238">
        <f>'CPI Energy'!AZ53</f>
        <v>0.26967039202299964</v>
      </c>
      <c r="J6" s="238">
        <f>'CPI Energy'!BA53</f>
        <v>0.27524327444357682</v>
      </c>
      <c r="K6" s="238">
        <f>'CPI Energy'!BB53</f>
        <v>0.28081615686415401</v>
      </c>
      <c r="L6" s="238">
        <f>'CPI Energy'!BC53</f>
        <v>0.28638903928473125</v>
      </c>
      <c r="M6" s="238">
        <f>'CPI Energy'!BD53</f>
        <v>0.29196192170530844</v>
      </c>
      <c r="N6" s="238">
        <f>'CPI Energy'!BE53</f>
        <v>0.29753480412588706</v>
      </c>
      <c r="O6" s="238">
        <f>'CPI Energy'!BF53</f>
        <v>0.30310768654646425</v>
      </c>
      <c r="P6" s="238">
        <f>'CPI Energy'!BG53</f>
        <v>0.30868056896704149</v>
      </c>
      <c r="Q6" s="238">
        <f>'CPI Energy'!BH53</f>
        <v>0.31425345138761868</v>
      </c>
      <c r="R6" s="238">
        <f>'CPI Energy'!BI53</f>
        <v>0.31982633380819586</v>
      </c>
      <c r="S6" s="238">
        <f>'CPI Energy'!BJ53</f>
        <v>0.3253992162287731</v>
      </c>
      <c r="T6" s="238">
        <f>'CPI Energy'!BK53</f>
        <v>0.33097209864935173</v>
      </c>
    </row>
    <row r="7" spans="2:20" ht="15.75" customHeight="1">
      <c r="B7" s="42" t="s">
        <v>39</v>
      </c>
      <c r="C7" s="238">
        <f>'CPI Energy'!AT45</f>
        <v>0.11249999999999999</v>
      </c>
      <c r="D7" s="238">
        <f>'CPI Energy'!AU54</f>
        <v>0.10062469708145981</v>
      </c>
      <c r="E7" s="238">
        <f>'CPI Energy'!AV54</f>
        <v>0.10253004110904552</v>
      </c>
      <c r="F7" s="238">
        <f>'CPI Energy'!AW54</f>
        <v>0.10443538513663062</v>
      </c>
      <c r="G7" s="238">
        <f>'CPI Energy'!AX54</f>
        <v>0.10634072916421569</v>
      </c>
      <c r="H7" s="238">
        <f>'CPI Energy'!AY54</f>
        <v>0.10824607319180142</v>
      </c>
      <c r="I7" s="238">
        <f>'CPI Energy'!AZ54</f>
        <v>0.1101514172193865</v>
      </c>
      <c r="J7" s="238">
        <f>'CPI Energy'!BA54</f>
        <v>0.11205676124697159</v>
      </c>
      <c r="K7" s="238">
        <f>'CPI Energy'!BB54</f>
        <v>0.11396210527455668</v>
      </c>
      <c r="L7" s="238">
        <f>'CPI Energy'!BC54</f>
        <v>0.11586744930214175</v>
      </c>
      <c r="M7" s="238">
        <f>'CPI Energy'!BD54</f>
        <v>0.11777279332972747</v>
      </c>
      <c r="N7" s="238">
        <f>'CPI Energy'!BE54</f>
        <v>0.11967813735731254</v>
      </c>
      <c r="O7" s="238">
        <f>'CPI Energy'!BF54</f>
        <v>0.12158348138489763</v>
      </c>
      <c r="P7" s="238">
        <f>'CPI Energy'!BG54</f>
        <v>0.12348882541248273</v>
      </c>
      <c r="Q7" s="238">
        <f>'CPI Energy'!BH54</f>
        <v>0.12539416944006845</v>
      </c>
      <c r="R7" s="238">
        <f>'CPI Energy'!BI54</f>
        <v>0.12729951346765353</v>
      </c>
      <c r="S7" s="238">
        <f>'CPI Energy'!BJ54</f>
        <v>0.12920485749523863</v>
      </c>
      <c r="T7" s="238">
        <f>'CPI Energy'!BK54</f>
        <v>0.13111020152282371</v>
      </c>
    </row>
    <row r="8" spans="2:20" ht="15.75" customHeight="1">
      <c r="B8" s="42" t="s">
        <v>40</v>
      </c>
      <c r="C8" s="238">
        <f>'CPI Energy'!AT46</f>
        <v>0.27360933794666653</v>
      </c>
      <c r="D8" s="238">
        <f>'CPI Energy'!AU55</f>
        <v>0.24766544985374372</v>
      </c>
      <c r="E8" s="238">
        <f>'CPI Energy'!AV55</f>
        <v>0.25233909562343321</v>
      </c>
      <c r="F8" s="238">
        <f>'CPI Energy'!AW55</f>
        <v>0.25701274139312563</v>
      </c>
      <c r="G8" s="238">
        <f>'CPI Energy'!AX55</f>
        <v>0.26168638716281661</v>
      </c>
      <c r="H8" s="238">
        <f>'CPI Energy'!AY55</f>
        <v>0.26636003293250754</v>
      </c>
      <c r="I8" s="238">
        <f>'CPI Energy'!AZ55</f>
        <v>0.27103367870219996</v>
      </c>
      <c r="J8" s="238">
        <f>'CPI Energy'!BA55</f>
        <v>0.275707324471891</v>
      </c>
      <c r="K8" s="238">
        <f>'CPI Energy'!BB55</f>
        <v>0.28038097024158343</v>
      </c>
      <c r="L8" s="238">
        <f>'CPI Energy'!BC55</f>
        <v>0.28505461601127435</v>
      </c>
      <c r="M8" s="238">
        <f>'CPI Energy'!BD55</f>
        <v>0.28972826178096533</v>
      </c>
      <c r="N8" s="238">
        <f>'CPI Energy'!BE55</f>
        <v>0.29440190755065776</v>
      </c>
      <c r="O8" s="238">
        <f>'CPI Energy'!BF55</f>
        <v>0.29907555332034874</v>
      </c>
      <c r="P8" s="238">
        <f>'CPI Energy'!BG55</f>
        <v>0.30374919909003967</v>
      </c>
      <c r="Q8" s="238">
        <f>'CPI Energy'!BH55</f>
        <v>0.30842284485973209</v>
      </c>
      <c r="R8" s="238">
        <f>'CPI Energy'!BI55</f>
        <v>0.31309649062942307</v>
      </c>
      <c r="S8" s="238">
        <f>'CPI Energy'!BJ55</f>
        <v>0.3177701363991155</v>
      </c>
      <c r="T8" s="238">
        <f>'CPI Energy'!BK55</f>
        <v>0.32244378216880648</v>
      </c>
    </row>
    <row r="9" spans="2:20" ht="15.75" customHeight="1">
      <c r="B9" s="42" t="s">
        <v>41</v>
      </c>
      <c r="C9" s="238">
        <f>'CPI Energy'!AT47</f>
        <v>0.2063937824261956</v>
      </c>
      <c r="D9" s="238">
        <f>'CPI Energy'!AU56</f>
        <v>0.18682333488765421</v>
      </c>
      <c r="E9" s="238">
        <f>'CPI Energy'!AV56</f>
        <v>0.19034884112719064</v>
      </c>
      <c r="F9" s="238">
        <f>'CPI Energy'!AW56</f>
        <v>0.19387434736672929</v>
      </c>
      <c r="G9" s="238">
        <f>'CPI Energy'!AX56</f>
        <v>0.1973998536062668</v>
      </c>
      <c r="H9" s="238">
        <f>'CPI Energy'!AY56</f>
        <v>0.20092535984580434</v>
      </c>
      <c r="I9" s="238">
        <f>'CPI Energy'!AZ56</f>
        <v>0.20445086608534299</v>
      </c>
      <c r="J9" s="238">
        <f>'CPI Energy'!BA56</f>
        <v>0.20797637232488053</v>
      </c>
      <c r="K9" s="238">
        <f>'CPI Energy'!BB56</f>
        <v>0.21150187856441915</v>
      </c>
      <c r="L9" s="238">
        <f>'CPI Energy'!BC56</f>
        <v>0.21502738480395669</v>
      </c>
      <c r="M9" s="238">
        <f>'CPI Energy'!BD56</f>
        <v>0.21855289104349424</v>
      </c>
      <c r="N9" s="238">
        <f>'CPI Energy'!BE56</f>
        <v>0.22207839728303286</v>
      </c>
      <c r="O9" s="238">
        <f>'CPI Energy'!BF56</f>
        <v>0.2256039035225704</v>
      </c>
      <c r="P9" s="238">
        <f>'CPI Energy'!BG56</f>
        <v>0.22912940976210794</v>
      </c>
      <c r="Q9" s="238">
        <f>'CPI Energy'!BH56</f>
        <v>0.23265491600164656</v>
      </c>
      <c r="R9" s="238">
        <f>'CPI Energy'!BI56</f>
        <v>0.2361804222411841</v>
      </c>
      <c r="S9" s="238">
        <f>'CPI Energy'!BJ56</f>
        <v>0.23970592848072272</v>
      </c>
      <c r="T9" s="238">
        <f>'CPI Energy'!BK56</f>
        <v>0.24323143472026026</v>
      </c>
    </row>
    <row r="10" spans="2:20" ht="15.75" customHeight="1">
      <c r="B10" s="42" t="s">
        <v>505</v>
      </c>
      <c r="C10" s="238">
        <f>'CPI Energy'!AT48</f>
        <v>0.18918918918918917</v>
      </c>
      <c r="D10" s="238">
        <f>'CPI Energy'!AU57</f>
        <v>0.18739358323738711</v>
      </c>
      <c r="E10" s="238">
        <f>'CPI Energy'!AV57</f>
        <v>0.19171242765181354</v>
      </c>
      <c r="F10" s="238">
        <f>'CPI Energy'!AW57</f>
        <v>0.19603127206623883</v>
      </c>
      <c r="G10" s="238">
        <f>'CPI Energy'!AX57</f>
        <v>0.20035011648066409</v>
      </c>
      <c r="H10" s="238">
        <f>'CPI Energy'!AY57</f>
        <v>0.20466896089508937</v>
      </c>
      <c r="I10" s="238">
        <f>'CPI Energy'!AZ57</f>
        <v>0.20898780530951583</v>
      </c>
      <c r="J10" s="238">
        <f>'CPI Energy'!BA57</f>
        <v>0.21330664972394112</v>
      </c>
      <c r="K10" s="238">
        <f>'CPI Energy'!BB57</f>
        <v>0.2176254941383664</v>
      </c>
      <c r="L10" s="238">
        <f>'CPI Energy'!BC57</f>
        <v>0.22194433855279172</v>
      </c>
      <c r="M10" s="238">
        <f>'CPI Energy'!BD57</f>
        <v>0.22626318296721698</v>
      </c>
      <c r="N10" s="238">
        <f>'CPI Energy'!BE57</f>
        <v>0.23058202738164341</v>
      </c>
      <c r="O10" s="238">
        <f>'CPI Energy'!BF57</f>
        <v>0.23490087179606869</v>
      </c>
      <c r="P10" s="238">
        <f>'CPI Energy'!BG57</f>
        <v>0.23921971621049401</v>
      </c>
      <c r="Q10" s="238">
        <f>'CPI Energy'!BH57</f>
        <v>0.2435385606249193</v>
      </c>
      <c r="R10" s="238">
        <f>'CPI Energy'!BI57</f>
        <v>0.24785740503934456</v>
      </c>
      <c r="S10" s="238">
        <f>'CPI Energy'!BJ57</f>
        <v>0.25217624945376987</v>
      </c>
      <c r="T10" s="238">
        <f>'CPI Energy'!BK57</f>
        <v>0.2564950938681963</v>
      </c>
    </row>
    <row r="11" spans="2:20" ht="15.75" customHeight="1">
      <c r="B11" s="42" t="s">
        <v>806</v>
      </c>
      <c r="C11" s="42"/>
      <c r="D11" s="42"/>
      <c r="E11" s="42"/>
      <c r="F11" s="42"/>
      <c r="G11" s="42"/>
      <c r="H11" s="42"/>
      <c r="I11" s="42"/>
      <c r="J11" s="42"/>
      <c r="K11" s="42"/>
      <c r="L11" s="42"/>
      <c r="M11" s="42"/>
      <c r="N11" s="42"/>
      <c r="O11" s="42"/>
      <c r="P11" s="42"/>
      <c r="Q11" s="42"/>
      <c r="R11" s="42"/>
      <c r="S11" s="42"/>
      <c r="T11" s="42"/>
    </row>
    <row r="13" spans="2:20" ht="12.95">
      <c r="B13" s="64" t="s">
        <v>807</v>
      </c>
      <c r="C13" s="64">
        <v>2023</v>
      </c>
      <c r="D13" s="64">
        <v>2024</v>
      </c>
      <c r="E13" s="64">
        <v>2025</v>
      </c>
      <c r="F13" s="64">
        <v>2026</v>
      </c>
      <c r="G13" s="64">
        <v>2027</v>
      </c>
      <c r="H13" s="64">
        <v>2028</v>
      </c>
      <c r="I13" s="64">
        <v>2029</v>
      </c>
      <c r="J13" s="64">
        <v>2030</v>
      </c>
      <c r="K13" s="64">
        <v>2031</v>
      </c>
      <c r="L13" s="64">
        <v>2032</v>
      </c>
      <c r="M13" s="64">
        <v>2033</v>
      </c>
      <c r="N13" s="64">
        <v>2034</v>
      </c>
      <c r="O13" s="64">
        <v>2035</v>
      </c>
      <c r="P13" s="64">
        <v>2036</v>
      </c>
      <c r="Q13" s="64">
        <v>2037</v>
      </c>
      <c r="R13" s="64">
        <v>2038</v>
      </c>
      <c r="S13" s="64">
        <v>2039</v>
      </c>
      <c r="T13" s="64">
        <v>2040</v>
      </c>
    </row>
    <row r="14" spans="2:20" ht="15.75" customHeight="1">
      <c r="B14" s="125" t="s">
        <v>808</v>
      </c>
      <c r="C14" s="124">
        <f t="shared" ref="C14:T14" si="0">IF($B$15="Advanced",D95,D96)</f>
        <v>2000</v>
      </c>
      <c r="D14" s="124">
        <f t="shared" si="0"/>
        <v>1904.3094672548355</v>
      </c>
      <c r="E14" s="124">
        <f t="shared" si="0"/>
        <v>1809.2975907702748</v>
      </c>
      <c r="F14" s="124">
        <f t="shared" si="0"/>
        <v>1713.6070580251101</v>
      </c>
      <c r="G14" s="124">
        <f t="shared" si="0"/>
        <v>1618.5951815405494</v>
      </c>
      <c r="H14" s="124">
        <f t="shared" si="0"/>
        <v>1522.9046487953851</v>
      </c>
      <c r="I14" s="124">
        <f t="shared" si="0"/>
        <v>1427.2141160502208</v>
      </c>
      <c r="J14" s="124">
        <f t="shared" si="0"/>
        <v>1332.2022395656602</v>
      </c>
      <c r="K14" s="124">
        <f t="shared" si="0"/>
        <v>1236.5117068204954</v>
      </c>
      <c r="L14" s="124">
        <f t="shared" si="0"/>
        <v>1140.8211740753309</v>
      </c>
      <c r="M14" s="124">
        <f t="shared" si="0"/>
        <v>1045.8092975907703</v>
      </c>
      <c r="N14" s="124">
        <f t="shared" si="0"/>
        <v>950.1187648456056</v>
      </c>
      <c r="O14" s="124">
        <f t="shared" si="0"/>
        <v>854.42823210044105</v>
      </c>
      <c r="P14" s="124">
        <f t="shared" si="0"/>
        <v>759.41635561588055</v>
      </c>
      <c r="Q14" s="124">
        <f t="shared" si="0"/>
        <v>747.87919918561249</v>
      </c>
      <c r="R14" s="124">
        <f t="shared" si="0"/>
        <v>737.02069901594848</v>
      </c>
      <c r="S14" s="124">
        <f t="shared" si="0"/>
        <v>725.48354258568031</v>
      </c>
      <c r="T14" s="124">
        <f t="shared" si="0"/>
        <v>714.62504241601619</v>
      </c>
    </row>
    <row r="15" spans="2:20" ht="15.75" customHeight="1">
      <c r="B15" s="125" t="s">
        <v>809</v>
      </c>
      <c r="C15" s="122">
        <f t="shared" ref="C15:T15" si="1">C14/$C$14</f>
        <v>1</v>
      </c>
      <c r="D15" s="122">
        <f t="shared" si="1"/>
        <v>0.95215473362741776</v>
      </c>
      <c r="E15" s="122">
        <f t="shared" si="1"/>
        <v>0.90464879538513743</v>
      </c>
      <c r="F15" s="122">
        <f t="shared" si="1"/>
        <v>0.85680352901255508</v>
      </c>
      <c r="G15" s="122">
        <f t="shared" si="1"/>
        <v>0.80929759077027474</v>
      </c>
      <c r="H15" s="122">
        <f t="shared" si="1"/>
        <v>0.76145232439769261</v>
      </c>
      <c r="I15" s="122">
        <f t="shared" si="1"/>
        <v>0.71360705802511037</v>
      </c>
      <c r="J15" s="122">
        <f t="shared" si="1"/>
        <v>0.66610111978283004</v>
      </c>
      <c r="K15" s="122">
        <f t="shared" si="1"/>
        <v>0.61825585341024769</v>
      </c>
      <c r="L15" s="122">
        <f t="shared" si="1"/>
        <v>0.57041058703766545</v>
      </c>
      <c r="M15" s="122">
        <f t="shared" si="1"/>
        <v>0.52290464879538512</v>
      </c>
      <c r="N15" s="122">
        <f t="shared" si="1"/>
        <v>0.47505938242280282</v>
      </c>
      <c r="O15" s="122">
        <f t="shared" si="1"/>
        <v>0.42721411605022053</v>
      </c>
      <c r="P15" s="122">
        <f t="shared" si="1"/>
        <v>0.37970817780794025</v>
      </c>
      <c r="Q15" s="122">
        <f t="shared" si="1"/>
        <v>0.37393959959280626</v>
      </c>
      <c r="R15" s="122">
        <f t="shared" si="1"/>
        <v>0.36851034950797423</v>
      </c>
      <c r="S15" s="122">
        <f t="shared" si="1"/>
        <v>0.36274177129284013</v>
      </c>
      <c r="T15" s="122">
        <f t="shared" si="1"/>
        <v>0.3573125212080081</v>
      </c>
    </row>
    <row r="16" spans="2:20" ht="15.75" customHeight="1">
      <c r="B16" s="327" t="s">
        <v>810</v>
      </c>
      <c r="C16" s="125"/>
      <c r="D16" s="125"/>
      <c r="E16" s="125"/>
      <c r="F16" s="125"/>
      <c r="G16" s="125"/>
      <c r="H16" s="125"/>
      <c r="I16" s="125"/>
      <c r="J16" s="125"/>
      <c r="K16" s="125"/>
      <c r="L16" s="125"/>
      <c r="M16" s="125"/>
      <c r="N16" s="125"/>
      <c r="O16" s="125"/>
      <c r="P16" s="125"/>
      <c r="Q16" s="125"/>
      <c r="R16" s="125"/>
      <c r="S16" s="125"/>
      <c r="T16" s="125"/>
    </row>
    <row r="18" spans="2:20" ht="12.95">
      <c r="B18" s="328" t="s">
        <v>811</v>
      </c>
      <c r="C18" s="328">
        <v>2023</v>
      </c>
      <c r="D18" s="328">
        <v>2024</v>
      </c>
      <c r="E18" s="328">
        <v>2025</v>
      </c>
      <c r="F18" s="328">
        <v>2026</v>
      </c>
      <c r="G18" s="328">
        <v>2027</v>
      </c>
      <c r="H18" s="328">
        <v>2028</v>
      </c>
      <c r="I18" s="328">
        <v>2029</v>
      </c>
      <c r="J18" s="328">
        <v>2030</v>
      </c>
      <c r="K18" s="328">
        <v>2031</v>
      </c>
      <c r="L18" s="328">
        <v>2032</v>
      </c>
      <c r="M18" s="328">
        <v>2033</v>
      </c>
      <c r="N18" s="328">
        <v>2034</v>
      </c>
      <c r="O18" s="328">
        <v>2035</v>
      </c>
      <c r="P18" s="328">
        <v>2036</v>
      </c>
      <c r="Q18" s="328">
        <v>2037</v>
      </c>
      <c r="R18" s="328">
        <v>2038</v>
      </c>
      <c r="S18" s="328">
        <v>2039</v>
      </c>
      <c r="T18" s="328">
        <v>2040</v>
      </c>
    </row>
    <row r="19" spans="2:20" ht="15.75" customHeight="1">
      <c r="B19" s="95" t="s">
        <v>489</v>
      </c>
      <c r="C19" s="87">
        <f t="shared" ref="C19:T19" si="2">IF($B$21="Advanced", D58,D59)</f>
        <v>1000</v>
      </c>
      <c r="D19" s="87">
        <f t="shared" si="2"/>
        <v>719.39798888987514</v>
      </c>
      <c r="E19" s="87">
        <f t="shared" si="2"/>
        <v>679.0147270800054</v>
      </c>
      <c r="F19" s="87">
        <f t="shared" si="2"/>
        <v>644.46602093663137</v>
      </c>
      <c r="G19" s="87">
        <f t="shared" si="2"/>
        <v>621.24569260764736</v>
      </c>
      <c r="H19" s="87">
        <f t="shared" si="2"/>
        <v>598.02563405975479</v>
      </c>
      <c r="I19" s="87">
        <f t="shared" si="2"/>
        <v>574.80557551186246</v>
      </c>
      <c r="J19" s="87">
        <f t="shared" si="2"/>
        <v>551.58524718287833</v>
      </c>
      <c r="K19" s="87">
        <f t="shared" si="2"/>
        <v>528.36518863498588</v>
      </c>
      <c r="L19" s="87">
        <f t="shared" si="2"/>
        <v>518.4291510339765</v>
      </c>
      <c r="M19" s="87">
        <f t="shared" si="2"/>
        <v>508.49311343296711</v>
      </c>
      <c r="N19" s="87">
        <f t="shared" si="2"/>
        <v>498.55734561304928</v>
      </c>
      <c r="O19" s="87">
        <f t="shared" si="2"/>
        <v>488.62130801203978</v>
      </c>
      <c r="P19" s="87">
        <f t="shared" si="2"/>
        <v>478.68527041103039</v>
      </c>
      <c r="Q19" s="87">
        <f t="shared" si="2"/>
        <v>468.74950259111256</v>
      </c>
      <c r="R19" s="87">
        <f t="shared" si="2"/>
        <v>458.81346499010311</v>
      </c>
      <c r="S19" s="87">
        <f t="shared" si="2"/>
        <v>448.87742738909373</v>
      </c>
      <c r="T19" s="87">
        <f t="shared" si="2"/>
        <v>438.94165956917578</v>
      </c>
    </row>
    <row r="20" spans="2:20" ht="15.75" customHeight="1">
      <c r="B20" s="95" t="s">
        <v>812</v>
      </c>
      <c r="C20" s="121">
        <f t="shared" ref="C20:T20" si="3">C19/$C19</f>
        <v>1</v>
      </c>
      <c r="D20" s="121">
        <f t="shared" si="3"/>
        <v>0.71939798888987516</v>
      </c>
      <c r="E20" s="121">
        <f t="shared" si="3"/>
        <v>0.67901472708000543</v>
      </c>
      <c r="F20" s="121">
        <f t="shared" si="3"/>
        <v>0.64446602093663141</v>
      </c>
      <c r="G20" s="121">
        <f t="shared" si="3"/>
        <v>0.62124569260764739</v>
      </c>
      <c r="H20" s="121">
        <f t="shared" si="3"/>
        <v>0.59802563405975484</v>
      </c>
      <c r="I20" s="121">
        <f t="shared" si="3"/>
        <v>0.57480557551186251</v>
      </c>
      <c r="J20" s="121">
        <f t="shared" si="3"/>
        <v>0.55158524718287838</v>
      </c>
      <c r="K20" s="121">
        <f t="shared" si="3"/>
        <v>0.52836518863498594</v>
      </c>
      <c r="L20" s="121">
        <f t="shared" si="3"/>
        <v>0.51842915103397647</v>
      </c>
      <c r="M20" s="121">
        <f t="shared" si="3"/>
        <v>0.5084931134329671</v>
      </c>
      <c r="N20" s="121">
        <f t="shared" si="3"/>
        <v>0.49855734561304926</v>
      </c>
      <c r="O20" s="121">
        <f t="shared" si="3"/>
        <v>0.48862130801203979</v>
      </c>
      <c r="P20" s="121">
        <f t="shared" si="3"/>
        <v>0.47868527041103037</v>
      </c>
      <c r="Q20" s="121">
        <f t="shared" si="3"/>
        <v>0.46874950259111253</v>
      </c>
      <c r="R20" s="121">
        <f t="shared" si="3"/>
        <v>0.45881346499010311</v>
      </c>
      <c r="S20" s="121">
        <f t="shared" si="3"/>
        <v>0.44887742738909375</v>
      </c>
      <c r="T20" s="121">
        <f t="shared" si="3"/>
        <v>0.4389416595691758</v>
      </c>
    </row>
    <row r="21" spans="2:20" ht="15.75" customHeight="1">
      <c r="B21" s="95" t="s">
        <v>809</v>
      </c>
      <c r="C21" s="329" t="s">
        <v>813</v>
      </c>
      <c r="D21" s="95"/>
      <c r="E21" s="95"/>
      <c r="F21" s="95"/>
      <c r="G21" s="95"/>
      <c r="H21" s="95"/>
      <c r="I21" s="95"/>
      <c r="J21" s="95"/>
      <c r="K21" s="95"/>
      <c r="L21" s="95"/>
      <c r="M21" s="95"/>
      <c r="N21" s="95"/>
      <c r="O21" s="95"/>
      <c r="P21" s="95"/>
      <c r="Q21" s="95"/>
      <c r="R21" s="95"/>
      <c r="S21" s="95"/>
      <c r="T21" s="95"/>
    </row>
    <row r="22" spans="2:20" ht="15.75" customHeight="1">
      <c r="B22" s="95"/>
      <c r="C22" s="95"/>
      <c r="D22" s="95"/>
      <c r="E22" s="95"/>
      <c r="F22" s="95"/>
      <c r="G22" s="95"/>
      <c r="H22" s="95"/>
      <c r="I22" s="95"/>
      <c r="J22" s="95"/>
      <c r="K22" s="95"/>
      <c r="L22" s="95"/>
      <c r="M22" s="95"/>
      <c r="N22" s="95"/>
      <c r="O22" s="95"/>
      <c r="P22" s="95"/>
      <c r="Q22" s="95"/>
      <c r="R22" s="95"/>
      <c r="S22" s="95"/>
      <c r="T22" s="95"/>
    </row>
    <row r="24" spans="2:20" ht="12.95">
      <c r="B24" s="57" t="s">
        <v>814</v>
      </c>
      <c r="C24" s="57">
        <v>2023</v>
      </c>
      <c r="D24" s="57">
        <v>2024</v>
      </c>
      <c r="E24" s="57">
        <v>2025</v>
      </c>
      <c r="F24" s="57">
        <v>2026</v>
      </c>
      <c r="G24" s="57">
        <v>2027</v>
      </c>
      <c r="H24" s="57">
        <v>2028</v>
      </c>
      <c r="I24" s="57">
        <v>2029</v>
      </c>
      <c r="J24" s="57">
        <v>2030</v>
      </c>
      <c r="K24" s="57">
        <v>2031</v>
      </c>
      <c r="L24" s="57">
        <v>2032</v>
      </c>
      <c r="M24" s="57">
        <v>2033</v>
      </c>
      <c r="N24" s="57">
        <v>2034</v>
      </c>
      <c r="O24" s="57">
        <v>2035</v>
      </c>
      <c r="P24" s="57">
        <v>2036</v>
      </c>
      <c r="Q24" s="57">
        <v>2037</v>
      </c>
      <c r="R24" s="57">
        <v>2038</v>
      </c>
      <c r="S24" s="57">
        <v>2039</v>
      </c>
      <c r="T24" s="57">
        <v>2040</v>
      </c>
    </row>
    <row r="25" spans="2:20" ht="15.75" customHeight="1">
      <c r="B25" s="51" t="s">
        <v>815</v>
      </c>
      <c r="C25" s="53">
        <v>1.3</v>
      </c>
      <c r="D25" s="53">
        <v>1.17</v>
      </c>
      <c r="E25" s="53">
        <v>1.08</v>
      </c>
      <c r="F25" s="53">
        <v>1</v>
      </c>
      <c r="G25" s="53">
        <v>0.91</v>
      </c>
      <c r="H25" s="53">
        <v>0.83</v>
      </c>
      <c r="I25" s="53">
        <v>0.82</v>
      </c>
      <c r="J25" s="53">
        <v>0.8</v>
      </c>
      <c r="K25" s="53">
        <v>0.79</v>
      </c>
      <c r="L25" s="53">
        <v>0.78</v>
      </c>
      <c r="M25" s="53">
        <v>0.78</v>
      </c>
      <c r="N25" s="53">
        <v>0.77</v>
      </c>
      <c r="O25" s="53">
        <v>0.76</v>
      </c>
      <c r="P25" s="51"/>
      <c r="Q25" s="51"/>
      <c r="R25" s="51"/>
      <c r="S25" s="51"/>
      <c r="T25" s="51"/>
    </row>
    <row r="26" spans="2:20" ht="15.75" customHeight="1">
      <c r="B26" s="51" t="s">
        <v>816</v>
      </c>
      <c r="C26" s="53">
        <f t="shared" ref="C26:O26" si="4">IF($B$26="Use standard multiplier",C27,C28)</f>
        <v>1</v>
      </c>
      <c r="D26" s="53">
        <f t="shared" si="4"/>
        <v>0.85526315789473684</v>
      </c>
      <c r="E26" s="53">
        <f t="shared" si="4"/>
        <v>0.76973684210526305</v>
      </c>
      <c r="F26" s="53">
        <f t="shared" si="4"/>
        <v>0.71052631578947367</v>
      </c>
      <c r="G26" s="53">
        <f t="shared" si="4"/>
        <v>0.65789473684210531</v>
      </c>
      <c r="H26" s="53">
        <f t="shared" si="4"/>
        <v>0.59868421052631582</v>
      </c>
      <c r="I26" s="53">
        <f t="shared" si="4"/>
        <v>0.54605263157894735</v>
      </c>
      <c r="J26" s="53">
        <f t="shared" si="4"/>
        <v>0.53947368421052633</v>
      </c>
      <c r="K26" s="53">
        <f t="shared" si="4"/>
        <v>0.52631578947368418</v>
      </c>
      <c r="L26" s="53">
        <f t="shared" si="4"/>
        <v>0.51973684210526316</v>
      </c>
      <c r="M26" s="53">
        <f t="shared" si="4"/>
        <v>0.51315789473684215</v>
      </c>
      <c r="N26" s="53">
        <f t="shared" si="4"/>
        <v>0.51315789473684215</v>
      </c>
      <c r="O26" s="53">
        <f t="shared" si="4"/>
        <v>0.50657894736842102</v>
      </c>
      <c r="P26" s="51"/>
      <c r="Q26" s="51"/>
      <c r="R26" s="51"/>
      <c r="S26" s="51"/>
      <c r="T26" s="51"/>
    </row>
    <row r="27" spans="2:20" ht="15.75" customHeight="1">
      <c r="B27" s="51" t="s">
        <v>817</v>
      </c>
      <c r="C27" s="53">
        <f t="shared" ref="C27:O27" si="5">C25/$C$25</f>
        <v>1</v>
      </c>
      <c r="D27" s="53">
        <f t="shared" si="5"/>
        <v>0.89999999999999991</v>
      </c>
      <c r="E27" s="53">
        <f t="shared" si="5"/>
        <v>0.83076923076923082</v>
      </c>
      <c r="F27" s="53">
        <f t="shared" si="5"/>
        <v>0.76923076923076916</v>
      </c>
      <c r="G27" s="53">
        <f t="shared" si="5"/>
        <v>0.7</v>
      </c>
      <c r="H27" s="53">
        <f t="shared" si="5"/>
        <v>0.63846153846153841</v>
      </c>
      <c r="I27" s="53">
        <f t="shared" si="5"/>
        <v>0.63076923076923075</v>
      </c>
      <c r="J27" s="53">
        <f t="shared" si="5"/>
        <v>0.61538461538461542</v>
      </c>
      <c r="K27" s="53">
        <f t="shared" si="5"/>
        <v>0.60769230769230775</v>
      </c>
      <c r="L27" s="53">
        <f t="shared" si="5"/>
        <v>0.6</v>
      </c>
      <c r="M27" s="53">
        <f t="shared" si="5"/>
        <v>0.6</v>
      </c>
      <c r="N27" s="53">
        <f t="shared" si="5"/>
        <v>0.59230769230769231</v>
      </c>
      <c r="O27" s="53">
        <f t="shared" si="5"/>
        <v>0.58461538461538465</v>
      </c>
      <c r="P27" s="51"/>
      <c r="Q27" s="51"/>
      <c r="R27" s="51"/>
      <c r="S27" s="51"/>
      <c r="T27" s="51"/>
    </row>
    <row r="28" spans="2:20" ht="15.75" customHeight="1">
      <c r="B28" s="51" t="s">
        <v>818</v>
      </c>
      <c r="C28" s="53">
        <f>152%/152%</f>
        <v>1</v>
      </c>
      <c r="D28" s="53">
        <f t="shared" ref="D28:O28" si="6">C25/152%</f>
        <v>0.85526315789473684</v>
      </c>
      <c r="E28" s="53">
        <f t="shared" si="6"/>
        <v>0.76973684210526305</v>
      </c>
      <c r="F28" s="53">
        <f t="shared" si="6"/>
        <v>0.71052631578947367</v>
      </c>
      <c r="G28" s="53">
        <f t="shared" si="6"/>
        <v>0.65789473684210531</v>
      </c>
      <c r="H28" s="53">
        <f t="shared" si="6"/>
        <v>0.59868421052631582</v>
      </c>
      <c r="I28" s="53">
        <f t="shared" si="6"/>
        <v>0.54605263157894735</v>
      </c>
      <c r="J28" s="53">
        <f t="shared" si="6"/>
        <v>0.53947368421052633</v>
      </c>
      <c r="K28" s="53">
        <f t="shared" si="6"/>
        <v>0.52631578947368418</v>
      </c>
      <c r="L28" s="53">
        <f t="shared" si="6"/>
        <v>0.51973684210526316</v>
      </c>
      <c r="M28" s="53">
        <f t="shared" si="6"/>
        <v>0.51315789473684215</v>
      </c>
      <c r="N28" s="53">
        <f t="shared" si="6"/>
        <v>0.51315789473684215</v>
      </c>
      <c r="O28" s="53">
        <f t="shared" si="6"/>
        <v>0.50657894736842102</v>
      </c>
      <c r="P28" s="51"/>
      <c r="Q28" s="51"/>
      <c r="R28" s="51"/>
      <c r="S28" s="51"/>
      <c r="T28" s="51"/>
    </row>
    <row r="29" spans="2:20" ht="15.75" customHeight="1">
      <c r="B29" s="51" t="s">
        <v>819</v>
      </c>
      <c r="C29" s="53"/>
      <c r="D29" s="53"/>
      <c r="E29" s="53"/>
      <c r="F29" s="53"/>
      <c r="G29" s="53"/>
      <c r="H29" s="53"/>
      <c r="I29" s="53"/>
      <c r="J29" s="53"/>
      <c r="K29" s="53"/>
      <c r="L29" s="53"/>
      <c r="M29" s="53"/>
      <c r="N29" s="53"/>
      <c r="O29" s="53"/>
      <c r="P29" s="51"/>
      <c r="Q29" s="51"/>
      <c r="R29" s="51"/>
      <c r="S29" s="51"/>
      <c r="T29" s="51"/>
    </row>
    <row r="30" spans="2:20" ht="15.75" customHeight="1">
      <c r="B30" s="51" t="s">
        <v>820</v>
      </c>
      <c r="C30" s="481" t="s">
        <v>821</v>
      </c>
      <c r="D30" s="51"/>
      <c r="E30" s="51"/>
      <c r="F30" s="51"/>
      <c r="G30" s="51"/>
      <c r="H30" s="51"/>
      <c r="I30" s="51"/>
      <c r="J30" s="51"/>
      <c r="K30" s="51"/>
      <c r="L30" s="51"/>
      <c r="M30" s="51"/>
      <c r="N30" s="51"/>
      <c r="O30" s="51"/>
      <c r="P30" s="51"/>
      <c r="Q30" s="51"/>
      <c r="R30" s="51"/>
      <c r="S30" s="51"/>
      <c r="T30" s="51"/>
    </row>
    <row r="32" spans="2:20" ht="12.95">
      <c r="B32" s="330" t="s">
        <v>822</v>
      </c>
      <c r="C32" s="330">
        <v>2023</v>
      </c>
      <c r="D32" s="330">
        <v>2024</v>
      </c>
      <c r="E32" s="330">
        <v>2025</v>
      </c>
      <c r="F32" s="330">
        <v>2026</v>
      </c>
      <c r="G32" s="330">
        <v>2027</v>
      </c>
      <c r="H32" s="330">
        <v>2028</v>
      </c>
      <c r="I32" s="330">
        <v>2029</v>
      </c>
      <c r="J32" s="330">
        <v>2030</v>
      </c>
      <c r="K32" s="330">
        <v>2031</v>
      </c>
      <c r="L32" s="330">
        <v>2032</v>
      </c>
      <c r="M32" s="330">
        <v>2033</v>
      </c>
      <c r="N32" s="330">
        <v>2034</v>
      </c>
      <c r="O32" s="330">
        <v>2035</v>
      </c>
      <c r="P32" s="330">
        <v>2036</v>
      </c>
      <c r="Q32" s="330">
        <v>2037</v>
      </c>
      <c r="R32" s="330">
        <v>2038</v>
      </c>
      <c r="S32" s="330">
        <v>2039</v>
      </c>
      <c r="T32" s="330">
        <v>2040</v>
      </c>
    </row>
    <row r="33" spans="2:20" ht="15.75" customHeight="1">
      <c r="B33" s="94" t="s">
        <v>823</v>
      </c>
      <c r="C33" s="94">
        <v>915</v>
      </c>
      <c r="D33" s="94">
        <v>908</v>
      </c>
      <c r="E33" s="94">
        <v>902</v>
      </c>
      <c r="F33" s="94">
        <v>896</v>
      </c>
      <c r="G33" s="94">
        <v>891</v>
      </c>
      <c r="H33" s="94">
        <v>885</v>
      </c>
      <c r="I33" s="94">
        <v>879</v>
      </c>
      <c r="J33" s="94">
        <v>873</v>
      </c>
      <c r="K33" s="94">
        <v>868</v>
      </c>
      <c r="L33" s="94">
        <v>862</v>
      </c>
      <c r="M33" s="94">
        <v>857</v>
      </c>
      <c r="N33" s="94">
        <v>852</v>
      </c>
      <c r="O33" s="94">
        <v>846</v>
      </c>
      <c r="P33" s="94">
        <v>841</v>
      </c>
      <c r="Q33" s="94">
        <v>836</v>
      </c>
      <c r="R33" s="94">
        <v>831</v>
      </c>
      <c r="S33" s="94">
        <v>826</v>
      </c>
      <c r="T33" s="94">
        <v>821</v>
      </c>
    </row>
    <row r="34" spans="2:20" ht="15.75" customHeight="1">
      <c r="B34" s="94" t="s">
        <v>812</v>
      </c>
      <c r="C34" s="120">
        <f t="shared" ref="C34:T34" si="7">C33/$C$33</f>
        <v>1</v>
      </c>
      <c r="D34" s="120">
        <f t="shared" si="7"/>
        <v>0.99234972677595623</v>
      </c>
      <c r="E34" s="120">
        <f t="shared" si="7"/>
        <v>0.98579234972677598</v>
      </c>
      <c r="F34" s="120">
        <f t="shared" si="7"/>
        <v>0.97923497267759563</v>
      </c>
      <c r="G34" s="120">
        <f t="shared" si="7"/>
        <v>0.97377049180327868</v>
      </c>
      <c r="H34" s="120">
        <f t="shared" si="7"/>
        <v>0.96721311475409832</v>
      </c>
      <c r="I34" s="120">
        <f t="shared" si="7"/>
        <v>0.96065573770491808</v>
      </c>
      <c r="J34" s="120">
        <f t="shared" si="7"/>
        <v>0.95409836065573772</v>
      </c>
      <c r="K34" s="120">
        <f t="shared" si="7"/>
        <v>0.94863387978142077</v>
      </c>
      <c r="L34" s="120">
        <f t="shared" si="7"/>
        <v>0.94207650273224042</v>
      </c>
      <c r="M34" s="120">
        <f t="shared" si="7"/>
        <v>0.93661202185792347</v>
      </c>
      <c r="N34" s="120">
        <f t="shared" si="7"/>
        <v>0.93114754098360653</v>
      </c>
      <c r="O34" s="120">
        <f t="shared" si="7"/>
        <v>0.92459016393442628</v>
      </c>
      <c r="P34" s="120">
        <f t="shared" si="7"/>
        <v>0.91912568306010933</v>
      </c>
      <c r="Q34" s="120">
        <f t="shared" si="7"/>
        <v>0.91366120218579239</v>
      </c>
      <c r="R34" s="120">
        <f t="shared" si="7"/>
        <v>0.90819672131147544</v>
      </c>
      <c r="S34" s="120">
        <f t="shared" si="7"/>
        <v>0.9027322404371585</v>
      </c>
      <c r="T34" s="120">
        <f t="shared" si="7"/>
        <v>0.89726775956284155</v>
      </c>
    </row>
    <row r="35" spans="2:20" ht="15.75" customHeight="1">
      <c r="B35" s="94" t="s">
        <v>820</v>
      </c>
      <c r="C35" s="483" t="s">
        <v>824</v>
      </c>
      <c r="D35" s="94"/>
      <c r="E35" s="94"/>
      <c r="F35" s="94"/>
      <c r="G35" s="94"/>
      <c r="H35" s="94"/>
      <c r="I35" s="94"/>
      <c r="J35" s="94"/>
      <c r="K35" s="94"/>
      <c r="L35" s="94"/>
      <c r="M35" s="94"/>
      <c r="N35" s="94"/>
      <c r="O35" s="94"/>
      <c r="P35" s="94"/>
      <c r="Q35" s="94"/>
      <c r="R35" s="94"/>
      <c r="S35" s="94"/>
      <c r="T35" s="94"/>
    </row>
    <row r="36" spans="2:20" ht="15.75" customHeight="1">
      <c r="B36" s="94"/>
      <c r="C36" s="94"/>
      <c r="D36" s="94"/>
      <c r="E36" s="94"/>
      <c r="F36" s="94"/>
      <c r="G36" s="94"/>
      <c r="H36" s="94"/>
      <c r="I36" s="94"/>
      <c r="J36" s="94"/>
      <c r="K36" s="94"/>
      <c r="L36" s="94"/>
      <c r="M36" s="94"/>
      <c r="N36" s="94"/>
      <c r="O36" s="94"/>
      <c r="P36" s="94"/>
      <c r="Q36" s="94"/>
      <c r="R36" s="94"/>
      <c r="S36" s="94"/>
      <c r="T36" s="94"/>
    </row>
    <row r="38" spans="2:20" ht="12.95">
      <c r="B38" s="331" t="s">
        <v>637</v>
      </c>
      <c r="C38" s="331">
        <v>2023</v>
      </c>
      <c r="D38" s="331">
        <v>2024</v>
      </c>
      <c r="E38" s="331">
        <v>2025</v>
      </c>
      <c r="F38" s="331">
        <v>2026</v>
      </c>
      <c r="G38" s="331">
        <v>2027</v>
      </c>
      <c r="H38" s="331">
        <v>2028</v>
      </c>
      <c r="I38" s="331">
        <v>2029</v>
      </c>
      <c r="J38" s="331">
        <v>2030</v>
      </c>
      <c r="K38" s="331">
        <v>2031</v>
      </c>
      <c r="L38" s="331">
        <v>2032</v>
      </c>
      <c r="M38" s="331">
        <v>2033</v>
      </c>
      <c r="N38" s="331">
        <v>2034</v>
      </c>
      <c r="O38" s="331">
        <v>2035</v>
      </c>
      <c r="P38" s="331">
        <v>2036</v>
      </c>
      <c r="Q38" s="331">
        <v>2037</v>
      </c>
      <c r="R38" s="331">
        <v>2038</v>
      </c>
      <c r="S38" s="331">
        <v>2039</v>
      </c>
      <c r="T38" s="331">
        <v>2040</v>
      </c>
    </row>
    <row r="39" spans="2:20" ht="15.75" customHeight="1">
      <c r="B39" s="39" t="s">
        <v>131</v>
      </c>
      <c r="C39" s="178">
        <f t="shared" ref="C39:T39" si="8">C15</f>
        <v>1</v>
      </c>
      <c r="D39" s="178">
        <f t="shared" si="8"/>
        <v>0.95215473362741776</v>
      </c>
      <c r="E39" s="178">
        <f t="shared" si="8"/>
        <v>0.90464879538513743</v>
      </c>
      <c r="F39" s="178">
        <f t="shared" si="8"/>
        <v>0.85680352901255508</v>
      </c>
      <c r="G39" s="178">
        <f t="shared" si="8"/>
        <v>0.80929759077027474</v>
      </c>
      <c r="H39" s="178">
        <f t="shared" si="8"/>
        <v>0.76145232439769261</v>
      </c>
      <c r="I39" s="178">
        <f t="shared" si="8"/>
        <v>0.71360705802511037</v>
      </c>
      <c r="J39" s="178">
        <f t="shared" si="8"/>
        <v>0.66610111978283004</v>
      </c>
      <c r="K39" s="178">
        <f t="shared" si="8"/>
        <v>0.61825585341024769</v>
      </c>
      <c r="L39" s="178">
        <f t="shared" si="8"/>
        <v>0.57041058703766545</v>
      </c>
      <c r="M39" s="178">
        <f t="shared" si="8"/>
        <v>0.52290464879538512</v>
      </c>
      <c r="N39" s="178">
        <f t="shared" si="8"/>
        <v>0.47505938242280282</v>
      </c>
      <c r="O39" s="178">
        <f t="shared" si="8"/>
        <v>0.42721411605022053</v>
      </c>
      <c r="P39" s="178">
        <f t="shared" si="8"/>
        <v>0.37970817780794025</v>
      </c>
      <c r="Q39" s="178">
        <f t="shared" si="8"/>
        <v>0.37393959959280626</v>
      </c>
      <c r="R39" s="178">
        <f t="shared" si="8"/>
        <v>0.36851034950797423</v>
      </c>
      <c r="S39" s="178">
        <f t="shared" si="8"/>
        <v>0.36274177129284013</v>
      </c>
      <c r="T39" s="178">
        <f t="shared" si="8"/>
        <v>0.3573125212080081</v>
      </c>
    </row>
    <row r="40" spans="2:20" ht="15.75" customHeight="1">
      <c r="B40" s="39" t="s">
        <v>825</v>
      </c>
      <c r="C40" s="178">
        <f t="shared" ref="C40:T40" si="9">C20</f>
        <v>1</v>
      </c>
      <c r="D40" s="178">
        <f t="shared" si="9"/>
        <v>0.71939798888987516</v>
      </c>
      <c r="E40" s="178">
        <f t="shared" si="9"/>
        <v>0.67901472708000543</v>
      </c>
      <c r="F40" s="178">
        <f t="shared" si="9"/>
        <v>0.64446602093663141</v>
      </c>
      <c r="G40" s="178">
        <f t="shared" si="9"/>
        <v>0.62124569260764739</v>
      </c>
      <c r="H40" s="178">
        <f t="shared" si="9"/>
        <v>0.59802563405975484</v>
      </c>
      <c r="I40" s="178">
        <f t="shared" si="9"/>
        <v>0.57480557551186251</v>
      </c>
      <c r="J40" s="178">
        <f t="shared" si="9"/>
        <v>0.55158524718287838</v>
      </c>
      <c r="K40" s="178">
        <f t="shared" si="9"/>
        <v>0.52836518863498594</v>
      </c>
      <c r="L40" s="178">
        <f t="shared" si="9"/>
        <v>0.51842915103397647</v>
      </c>
      <c r="M40" s="178">
        <f t="shared" si="9"/>
        <v>0.5084931134329671</v>
      </c>
      <c r="N40" s="178">
        <f t="shared" si="9"/>
        <v>0.49855734561304926</v>
      </c>
      <c r="O40" s="178">
        <f t="shared" si="9"/>
        <v>0.48862130801203979</v>
      </c>
      <c r="P40" s="178">
        <f t="shared" si="9"/>
        <v>0.47868527041103037</v>
      </c>
      <c r="Q40" s="178">
        <f t="shared" si="9"/>
        <v>0.46874950259111253</v>
      </c>
      <c r="R40" s="178">
        <f t="shared" si="9"/>
        <v>0.45881346499010311</v>
      </c>
      <c r="S40" s="178">
        <f t="shared" si="9"/>
        <v>0.44887742738909375</v>
      </c>
      <c r="T40" s="178">
        <f t="shared" si="9"/>
        <v>0.4389416595691758</v>
      </c>
    </row>
    <row r="41" spans="2:20" ht="12.6">
      <c r="B41" s="39" t="s">
        <v>826</v>
      </c>
      <c r="C41" s="178">
        <f t="shared" ref="C41:T41" si="10">C34</f>
        <v>1</v>
      </c>
      <c r="D41" s="178">
        <f t="shared" si="10"/>
        <v>0.99234972677595623</v>
      </c>
      <c r="E41" s="178">
        <f t="shared" si="10"/>
        <v>0.98579234972677598</v>
      </c>
      <c r="F41" s="178">
        <f t="shared" si="10"/>
        <v>0.97923497267759563</v>
      </c>
      <c r="G41" s="178">
        <f t="shared" si="10"/>
        <v>0.97377049180327868</v>
      </c>
      <c r="H41" s="178">
        <f t="shared" si="10"/>
        <v>0.96721311475409832</v>
      </c>
      <c r="I41" s="178">
        <f t="shared" si="10"/>
        <v>0.96065573770491808</v>
      </c>
      <c r="J41" s="178">
        <f t="shared" si="10"/>
        <v>0.95409836065573772</v>
      </c>
      <c r="K41" s="178">
        <f t="shared" si="10"/>
        <v>0.94863387978142077</v>
      </c>
      <c r="L41" s="178">
        <f t="shared" si="10"/>
        <v>0.94207650273224042</v>
      </c>
      <c r="M41" s="178">
        <f t="shared" si="10"/>
        <v>0.93661202185792347</v>
      </c>
      <c r="N41" s="178">
        <f t="shared" si="10"/>
        <v>0.93114754098360653</v>
      </c>
      <c r="O41" s="178">
        <f t="shared" si="10"/>
        <v>0.92459016393442628</v>
      </c>
      <c r="P41" s="178">
        <f t="shared" si="10"/>
        <v>0.91912568306010933</v>
      </c>
      <c r="Q41" s="178">
        <f t="shared" si="10"/>
        <v>0.91366120218579239</v>
      </c>
      <c r="R41" s="178">
        <f t="shared" si="10"/>
        <v>0.90819672131147544</v>
      </c>
      <c r="S41" s="178">
        <f t="shared" si="10"/>
        <v>0.9027322404371585</v>
      </c>
      <c r="T41" s="178">
        <f t="shared" si="10"/>
        <v>0.89726775956284155</v>
      </c>
    </row>
    <row r="42" spans="2:20" ht="12.6">
      <c r="B42" s="39" t="s">
        <v>827</v>
      </c>
      <c r="C42" s="178">
        <f t="shared" ref="C42:T42" si="11">C26</f>
        <v>1</v>
      </c>
      <c r="D42" s="178">
        <f t="shared" si="11"/>
        <v>0.85526315789473684</v>
      </c>
      <c r="E42" s="178">
        <f t="shared" si="11"/>
        <v>0.76973684210526305</v>
      </c>
      <c r="F42" s="178">
        <f t="shared" si="11"/>
        <v>0.71052631578947367</v>
      </c>
      <c r="G42" s="178">
        <f t="shared" si="11"/>
        <v>0.65789473684210531</v>
      </c>
      <c r="H42" s="178">
        <f t="shared" si="11"/>
        <v>0.59868421052631582</v>
      </c>
      <c r="I42" s="178">
        <f t="shared" si="11"/>
        <v>0.54605263157894735</v>
      </c>
      <c r="J42" s="178">
        <f t="shared" si="11"/>
        <v>0.53947368421052633</v>
      </c>
      <c r="K42" s="178">
        <f t="shared" si="11"/>
        <v>0.52631578947368418</v>
      </c>
      <c r="L42" s="178">
        <f t="shared" si="11"/>
        <v>0.51973684210526316</v>
      </c>
      <c r="M42" s="178">
        <f t="shared" si="11"/>
        <v>0.51315789473684215</v>
      </c>
      <c r="N42" s="178">
        <f t="shared" si="11"/>
        <v>0.51315789473684215</v>
      </c>
      <c r="O42" s="178">
        <f t="shared" si="11"/>
        <v>0.50657894736842102</v>
      </c>
      <c r="P42" s="178">
        <f t="shared" si="11"/>
        <v>0</v>
      </c>
      <c r="Q42" s="178">
        <f t="shared" si="11"/>
        <v>0</v>
      </c>
      <c r="R42" s="178">
        <f t="shared" si="11"/>
        <v>0</v>
      </c>
      <c r="S42" s="178">
        <f t="shared" si="11"/>
        <v>0</v>
      </c>
      <c r="T42" s="178">
        <f t="shared" si="11"/>
        <v>0</v>
      </c>
    </row>
    <row r="43" spans="2:20" ht="12.6">
      <c r="B43" s="39"/>
      <c r="C43" s="39"/>
      <c r="D43" s="39"/>
      <c r="E43" s="39"/>
      <c r="F43" s="39"/>
      <c r="G43" s="39"/>
      <c r="H43" s="39"/>
      <c r="I43" s="39"/>
      <c r="J43" s="39"/>
      <c r="K43" s="39"/>
      <c r="L43" s="39"/>
      <c r="M43" s="39"/>
      <c r="N43" s="39"/>
      <c r="O43" s="39"/>
      <c r="P43" s="39"/>
      <c r="Q43" s="39"/>
      <c r="R43" s="39"/>
      <c r="S43" s="39"/>
      <c r="T43" s="39"/>
    </row>
    <row r="44" spans="2:20" ht="12.6">
      <c r="B44" s="39" t="s">
        <v>387</v>
      </c>
      <c r="C44" s="39"/>
      <c r="D44" s="39"/>
      <c r="E44" s="39"/>
      <c r="F44" s="39"/>
      <c r="G44" s="39"/>
      <c r="H44" s="39" t="s">
        <v>131</v>
      </c>
      <c r="I44" s="39"/>
      <c r="J44" s="39"/>
      <c r="K44" s="39"/>
      <c r="L44" s="39"/>
      <c r="M44" s="39"/>
      <c r="N44" s="39"/>
      <c r="O44" s="39"/>
      <c r="P44" s="39"/>
      <c r="Q44" s="39"/>
      <c r="R44" s="39"/>
      <c r="S44" s="39"/>
      <c r="T44" s="39"/>
    </row>
    <row r="45" spans="2:20" ht="12.6">
      <c r="B45" s="39" t="s">
        <v>389</v>
      </c>
      <c r="C45" s="39"/>
      <c r="D45" s="39"/>
      <c r="E45" s="39"/>
      <c r="F45" s="39"/>
      <c r="G45" s="39" t="s">
        <v>828</v>
      </c>
      <c r="H45" s="39"/>
      <c r="I45" s="39"/>
      <c r="J45" s="39"/>
      <c r="K45" s="39"/>
      <c r="L45" s="39"/>
      <c r="M45" s="39"/>
      <c r="N45" s="39"/>
      <c r="O45" s="39"/>
      <c r="P45" s="39"/>
      <c r="Q45" s="39"/>
      <c r="R45" s="39"/>
      <c r="S45" s="39"/>
      <c r="T45" s="39"/>
    </row>
    <row r="46" spans="2:20" ht="12.6">
      <c r="B46" s="39" t="s">
        <v>829</v>
      </c>
      <c r="C46" s="39"/>
      <c r="D46" s="39"/>
      <c r="E46" s="39"/>
      <c r="F46" s="39"/>
      <c r="G46" s="39"/>
      <c r="H46" s="39"/>
      <c r="I46" s="39"/>
      <c r="J46" s="39"/>
      <c r="K46" s="39"/>
      <c r="L46" s="39" t="s">
        <v>826</v>
      </c>
      <c r="M46" s="39"/>
      <c r="N46" s="39"/>
      <c r="O46" s="39"/>
      <c r="P46" s="39"/>
      <c r="Q46" s="39"/>
      <c r="R46" s="39"/>
      <c r="S46" s="39"/>
      <c r="T46" s="39"/>
    </row>
    <row r="47" spans="2:20" ht="12.6">
      <c r="B47" s="39" t="s">
        <v>830</v>
      </c>
      <c r="C47" s="39"/>
      <c r="D47" s="39"/>
      <c r="E47" s="39"/>
      <c r="F47" s="39" t="s">
        <v>827</v>
      </c>
      <c r="G47" s="39"/>
      <c r="H47" s="39"/>
      <c r="I47" s="39"/>
      <c r="J47" s="39"/>
      <c r="K47" s="39"/>
      <c r="L47" s="39"/>
      <c r="M47" s="39"/>
      <c r="N47" s="39"/>
      <c r="O47" s="39"/>
      <c r="P47" s="39"/>
      <c r="Q47" s="39"/>
      <c r="R47" s="39"/>
      <c r="S47" s="39"/>
      <c r="T47" s="39"/>
    </row>
    <row r="50" spans="2:31" ht="12.6">
      <c r="B50" s="3" t="s">
        <v>831</v>
      </c>
      <c r="C50" s="484" t="s">
        <v>813</v>
      </c>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row>
    <row r="51" spans="2:31" ht="12.95">
      <c r="B51" s="3" t="s">
        <v>832</v>
      </c>
      <c r="C51" s="63">
        <v>2022</v>
      </c>
      <c r="D51" s="63">
        <v>2023</v>
      </c>
      <c r="E51" s="63">
        <v>2024</v>
      </c>
      <c r="F51" s="63">
        <v>2025</v>
      </c>
      <c r="G51" s="63">
        <v>2026</v>
      </c>
      <c r="H51" s="63">
        <v>2027</v>
      </c>
      <c r="I51" s="63">
        <v>2028</v>
      </c>
      <c r="J51" s="63">
        <v>2029</v>
      </c>
      <c r="K51" s="63">
        <v>2030</v>
      </c>
      <c r="L51" s="63">
        <v>2031</v>
      </c>
      <c r="M51" s="63">
        <v>2032</v>
      </c>
      <c r="N51" s="63">
        <v>2033</v>
      </c>
      <c r="O51" s="63">
        <v>2034</v>
      </c>
      <c r="P51" s="63">
        <v>2035</v>
      </c>
      <c r="Q51" s="63">
        <v>2036</v>
      </c>
      <c r="R51" s="63">
        <v>2037</v>
      </c>
      <c r="S51" s="63">
        <v>2038</v>
      </c>
      <c r="T51" s="63">
        <v>2039</v>
      </c>
      <c r="U51" s="63">
        <v>2040</v>
      </c>
      <c r="V51" s="63">
        <v>2041</v>
      </c>
      <c r="W51" s="63">
        <v>2042</v>
      </c>
      <c r="X51" s="63">
        <v>2043</v>
      </c>
      <c r="Y51" s="63">
        <v>2044</v>
      </c>
      <c r="Z51" s="63">
        <v>2045</v>
      </c>
      <c r="AA51" s="63">
        <v>2046</v>
      </c>
      <c r="AB51" s="63">
        <v>2047</v>
      </c>
      <c r="AC51" s="63">
        <v>2048</v>
      </c>
      <c r="AD51" s="63">
        <v>2049</v>
      </c>
      <c r="AE51" s="63">
        <v>2050</v>
      </c>
    </row>
    <row r="52" spans="2:31" ht="12.6">
      <c r="B52" s="95" t="s">
        <v>833</v>
      </c>
      <c r="C52" s="95">
        <v>3706.7089999999998</v>
      </c>
      <c r="D52" s="95">
        <v>2666.5990000000002</v>
      </c>
      <c r="E52" s="95">
        <v>2516.91</v>
      </c>
      <c r="F52" s="95">
        <v>2388.848</v>
      </c>
      <c r="G52" s="95">
        <v>2302.777</v>
      </c>
      <c r="H52" s="95">
        <v>2216.7069999999999</v>
      </c>
      <c r="I52" s="95">
        <v>2130.6370000000002</v>
      </c>
      <c r="J52" s="95">
        <v>2044.566</v>
      </c>
      <c r="K52" s="95">
        <v>1958.4960000000001</v>
      </c>
      <c r="L52" s="95">
        <v>1921.6659999999999</v>
      </c>
      <c r="M52" s="95">
        <v>1884.836</v>
      </c>
      <c r="N52" s="95">
        <v>1848.0070000000001</v>
      </c>
      <c r="O52" s="95">
        <v>1811.1769999999999</v>
      </c>
      <c r="P52" s="95">
        <v>1774.347</v>
      </c>
      <c r="Q52" s="95">
        <v>1737.518</v>
      </c>
      <c r="R52" s="95">
        <v>1700.6880000000001</v>
      </c>
      <c r="S52" s="95">
        <v>1663.8579999999999</v>
      </c>
      <c r="T52" s="95">
        <v>1627.029</v>
      </c>
      <c r="U52" s="95">
        <v>1590.1990000000001</v>
      </c>
      <c r="V52" s="95">
        <v>1553.3689999999999</v>
      </c>
      <c r="W52" s="95">
        <v>1516.54</v>
      </c>
      <c r="X52" s="95">
        <v>1479.71</v>
      </c>
      <c r="Y52" s="95">
        <v>1442.88</v>
      </c>
      <c r="Z52" s="95">
        <v>1406.05</v>
      </c>
      <c r="AA52" s="95">
        <v>1369.221</v>
      </c>
      <c r="AB52" s="95">
        <v>1332.3910000000001</v>
      </c>
      <c r="AC52" s="95">
        <v>1295.5609999999999</v>
      </c>
      <c r="AD52" s="95">
        <v>1258.732</v>
      </c>
      <c r="AE52" s="95">
        <v>1221.902</v>
      </c>
    </row>
    <row r="53" spans="2:31" ht="12.6">
      <c r="B53" s="95" t="s">
        <v>83</v>
      </c>
      <c r="C53" s="275">
        <f t="shared" ref="C53:AE53" si="12">C52/$C$52</f>
        <v>1</v>
      </c>
      <c r="D53" s="275">
        <f t="shared" si="12"/>
        <v>0.71939798888987516</v>
      </c>
      <c r="E53" s="275">
        <f t="shared" si="12"/>
        <v>0.67901472708000543</v>
      </c>
      <c r="F53" s="275">
        <f t="shared" si="12"/>
        <v>0.64446602093663141</v>
      </c>
      <c r="G53" s="275">
        <f t="shared" si="12"/>
        <v>0.62124569260764739</v>
      </c>
      <c r="H53" s="275">
        <f t="shared" si="12"/>
        <v>0.59802563405975484</v>
      </c>
      <c r="I53" s="275">
        <f t="shared" si="12"/>
        <v>0.57480557551186251</v>
      </c>
      <c r="J53" s="275">
        <f t="shared" si="12"/>
        <v>0.55158524718287838</v>
      </c>
      <c r="K53" s="275">
        <f t="shared" si="12"/>
        <v>0.52836518863498594</v>
      </c>
      <c r="L53" s="275">
        <f t="shared" si="12"/>
        <v>0.51842915103397647</v>
      </c>
      <c r="M53" s="275">
        <f t="shared" si="12"/>
        <v>0.5084931134329671</v>
      </c>
      <c r="N53" s="275">
        <f t="shared" si="12"/>
        <v>0.49855734561304926</v>
      </c>
      <c r="O53" s="275">
        <f t="shared" si="12"/>
        <v>0.48862130801203979</v>
      </c>
      <c r="P53" s="275">
        <f t="shared" si="12"/>
        <v>0.47868527041103037</v>
      </c>
      <c r="Q53" s="275">
        <f t="shared" si="12"/>
        <v>0.46874950259111253</v>
      </c>
      <c r="R53" s="275">
        <f t="shared" si="12"/>
        <v>0.45881346499010311</v>
      </c>
      <c r="S53" s="275">
        <f t="shared" si="12"/>
        <v>0.4488774273890937</v>
      </c>
      <c r="T53" s="275">
        <f t="shared" si="12"/>
        <v>0.4389416595691758</v>
      </c>
      <c r="U53" s="275">
        <f t="shared" si="12"/>
        <v>0.42900562196816638</v>
      </c>
      <c r="V53" s="275">
        <f t="shared" si="12"/>
        <v>0.41906958436715697</v>
      </c>
      <c r="W53" s="275">
        <f t="shared" si="12"/>
        <v>0.40913381654723907</v>
      </c>
      <c r="X53" s="275">
        <f t="shared" si="12"/>
        <v>0.39919777894622971</v>
      </c>
      <c r="Y53" s="275">
        <f t="shared" si="12"/>
        <v>0.38926174134522029</v>
      </c>
      <c r="Z53" s="275">
        <f t="shared" si="12"/>
        <v>0.37932570374421082</v>
      </c>
      <c r="AA53" s="275">
        <f t="shared" si="12"/>
        <v>0.36938993592429298</v>
      </c>
      <c r="AB53" s="275">
        <f t="shared" si="12"/>
        <v>0.35945389832328356</v>
      </c>
      <c r="AC53" s="275">
        <f t="shared" si="12"/>
        <v>0.34951786072227414</v>
      </c>
      <c r="AD53" s="275">
        <f t="shared" si="12"/>
        <v>0.33958209290235625</v>
      </c>
      <c r="AE53" s="275">
        <f t="shared" si="12"/>
        <v>0.32964605530134683</v>
      </c>
    </row>
    <row r="54" spans="2:31" ht="12.6">
      <c r="B54" s="95" t="s">
        <v>834</v>
      </c>
      <c r="C54" s="95">
        <v>3706.7089999999998</v>
      </c>
      <c r="D54" s="95">
        <v>3507.777</v>
      </c>
      <c r="E54" s="95">
        <v>3326.0059999999999</v>
      </c>
      <c r="F54" s="95">
        <v>3157.752</v>
      </c>
      <c r="G54" s="95">
        <v>3060.6970000000001</v>
      </c>
      <c r="H54" s="95">
        <v>2973.828</v>
      </c>
      <c r="I54" s="95">
        <v>2897.7310000000002</v>
      </c>
      <c r="J54" s="95">
        <v>2823.3130000000001</v>
      </c>
      <c r="K54" s="95">
        <v>2755.6759999999999</v>
      </c>
      <c r="L54" s="95">
        <v>2721.23</v>
      </c>
      <c r="M54" s="95">
        <v>2686.7840000000001</v>
      </c>
      <c r="N54" s="95">
        <v>2652.3380000000002</v>
      </c>
      <c r="O54" s="95">
        <v>2617.8919999999998</v>
      </c>
      <c r="P54" s="95">
        <v>2583.4459999999999</v>
      </c>
      <c r="Q54" s="95">
        <v>2549</v>
      </c>
      <c r="R54" s="95">
        <v>2514.5540000000001</v>
      </c>
      <c r="S54" s="95">
        <v>2480.1080000000002</v>
      </c>
      <c r="T54" s="95">
        <v>2445.6619999999998</v>
      </c>
      <c r="U54" s="95">
        <v>2411.2159999999999</v>
      </c>
      <c r="V54" s="95">
        <v>2376.77</v>
      </c>
      <c r="W54" s="95">
        <v>2342.3240000000001</v>
      </c>
      <c r="X54" s="95">
        <v>2307.8780000000002</v>
      </c>
      <c r="Y54" s="95">
        <v>2273.4319999999998</v>
      </c>
      <c r="Z54" s="95">
        <v>2238.9859999999999</v>
      </c>
      <c r="AA54" s="95">
        <v>2204.5410000000002</v>
      </c>
      <c r="AB54" s="95">
        <v>2170.0949999999998</v>
      </c>
      <c r="AC54" s="95">
        <v>2135.6489999999999</v>
      </c>
      <c r="AD54" s="95">
        <v>2101.203</v>
      </c>
      <c r="AE54" s="95">
        <v>2066.7570000000001</v>
      </c>
    </row>
    <row r="55" spans="2:31" ht="12.6">
      <c r="B55" s="95" t="s">
        <v>83</v>
      </c>
      <c r="C55" s="275">
        <f t="shared" ref="C55:AE55" si="13">C54/$C$54</f>
        <v>1</v>
      </c>
      <c r="D55" s="275">
        <f t="shared" si="13"/>
        <v>0.94633190789997279</v>
      </c>
      <c r="E55" s="275">
        <f t="shared" si="13"/>
        <v>0.89729352911167293</v>
      </c>
      <c r="F55" s="275">
        <f t="shared" si="13"/>
        <v>0.85190178133756933</v>
      </c>
      <c r="G55" s="275">
        <f t="shared" si="13"/>
        <v>0.82571817749923182</v>
      </c>
      <c r="H55" s="275">
        <f t="shared" si="13"/>
        <v>0.80228256385920771</v>
      </c>
      <c r="I55" s="275">
        <f t="shared" si="13"/>
        <v>0.7817530321371331</v>
      </c>
      <c r="J55" s="275">
        <f t="shared" si="13"/>
        <v>0.76167646286773527</v>
      </c>
      <c r="K55" s="275">
        <f t="shared" si="13"/>
        <v>0.74342927917999502</v>
      </c>
      <c r="L55" s="275">
        <f t="shared" si="13"/>
        <v>0.73413639970119049</v>
      </c>
      <c r="M55" s="275">
        <f t="shared" si="13"/>
        <v>0.72484352022238596</v>
      </c>
      <c r="N55" s="275">
        <f t="shared" si="13"/>
        <v>0.71555064074358155</v>
      </c>
      <c r="O55" s="275">
        <f t="shared" si="13"/>
        <v>0.70625776126477691</v>
      </c>
      <c r="P55" s="275">
        <f t="shared" si="13"/>
        <v>0.69696488178597238</v>
      </c>
      <c r="Q55" s="275">
        <f t="shared" si="13"/>
        <v>0.68767200230716796</v>
      </c>
      <c r="R55" s="275">
        <f t="shared" si="13"/>
        <v>0.67837912282836343</v>
      </c>
      <c r="S55" s="275">
        <f t="shared" si="13"/>
        <v>0.66908624334955891</v>
      </c>
      <c r="T55" s="275">
        <f t="shared" si="13"/>
        <v>0.65979336387075438</v>
      </c>
      <c r="U55" s="275">
        <f t="shared" si="13"/>
        <v>0.65050048439194985</v>
      </c>
      <c r="V55" s="275">
        <f t="shared" si="13"/>
        <v>0.64120760491314532</v>
      </c>
      <c r="W55" s="275">
        <f t="shared" si="13"/>
        <v>0.63191472543434091</v>
      </c>
      <c r="X55" s="275">
        <f t="shared" si="13"/>
        <v>0.62262184595553638</v>
      </c>
      <c r="Y55" s="275">
        <f t="shared" si="13"/>
        <v>0.61332896647673174</v>
      </c>
      <c r="Z55" s="275">
        <f t="shared" si="13"/>
        <v>0.60403608699792721</v>
      </c>
      <c r="AA55" s="275">
        <f t="shared" si="13"/>
        <v>0.59474347730021437</v>
      </c>
      <c r="AB55" s="275">
        <f t="shared" si="13"/>
        <v>0.58545059782140974</v>
      </c>
      <c r="AC55" s="275">
        <f t="shared" si="13"/>
        <v>0.57615771834260521</v>
      </c>
      <c r="AD55" s="275">
        <f t="shared" si="13"/>
        <v>0.56686483886380079</v>
      </c>
      <c r="AE55" s="275">
        <f t="shared" si="13"/>
        <v>0.55757195938499626</v>
      </c>
    </row>
    <row r="56" spans="2:31" ht="12.6">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row>
    <row r="57" spans="2:31" ht="12.95">
      <c r="B57" s="95" t="s">
        <v>835</v>
      </c>
      <c r="C57" s="328">
        <v>2022</v>
      </c>
      <c r="D57" s="328">
        <v>2023</v>
      </c>
      <c r="E57" s="328">
        <v>2024</v>
      </c>
      <c r="F57" s="328">
        <v>2025</v>
      </c>
      <c r="G57" s="328">
        <v>2026</v>
      </c>
      <c r="H57" s="328">
        <v>2027</v>
      </c>
      <c r="I57" s="328">
        <v>2028</v>
      </c>
      <c r="J57" s="328">
        <v>2029</v>
      </c>
      <c r="K57" s="328">
        <v>2030</v>
      </c>
      <c r="L57" s="328">
        <v>2031</v>
      </c>
      <c r="M57" s="328">
        <v>2032</v>
      </c>
      <c r="N57" s="328">
        <v>2033</v>
      </c>
      <c r="O57" s="328">
        <v>2034</v>
      </c>
      <c r="P57" s="328">
        <v>2035</v>
      </c>
      <c r="Q57" s="328">
        <v>2036</v>
      </c>
      <c r="R57" s="328">
        <v>2037</v>
      </c>
      <c r="S57" s="328">
        <v>2038</v>
      </c>
      <c r="T57" s="328">
        <v>2039</v>
      </c>
      <c r="U57" s="328">
        <v>2040</v>
      </c>
      <c r="V57" s="328">
        <v>2041</v>
      </c>
      <c r="W57" s="328">
        <v>2042</v>
      </c>
      <c r="X57" s="328">
        <v>2043</v>
      </c>
      <c r="Y57" s="328">
        <v>2044</v>
      </c>
      <c r="Z57" s="328">
        <v>2045</v>
      </c>
      <c r="AA57" s="328">
        <v>2046</v>
      </c>
      <c r="AB57" s="328">
        <v>2047</v>
      </c>
      <c r="AC57" s="328">
        <v>2048</v>
      </c>
      <c r="AD57" s="328">
        <v>2049</v>
      </c>
      <c r="AE57" s="328">
        <v>2050</v>
      </c>
    </row>
    <row r="58" spans="2:31" ht="12.6">
      <c r="B58" s="95" t="s">
        <v>809</v>
      </c>
      <c r="C58" s="87">
        <v>1200</v>
      </c>
      <c r="D58" s="87">
        <f>'Energy prices'!D132</f>
        <v>1000</v>
      </c>
      <c r="E58" s="87">
        <f t="shared" ref="E58:AE58" si="14">$D$58*D53</f>
        <v>719.39798888987514</v>
      </c>
      <c r="F58" s="87">
        <f t="shared" si="14"/>
        <v>679.0147270800054</v>
      </c>
      <c r="G58" s="87">
        <f t="shared" si="14"/>
        <v>644.46602093663137</v>
      </c>
      <c r="H58" s="87">
        <f t="shared" si="14"/>
        <v>621.24569260764736</v>
      </c>
      <c r="I58" s="87">
        <f t="shared" si="14"/>
        <v>598.02563405975479</v>
      </c>
      <c r="J58" s="87">
        <f t="shared" si="14"/>
        <v>574.80557551186246</v>
      </c>
      <c r="K58" s="87">
        <f t="shared" si="14"/>
        <v>551.58524718287833</v>
      </c>
      <c r="L58" s="87">
        <f t="shared" si="14"/>
        <v>528.36518863498588</v>
      </c>
      <c r="M58" s="87">
        <f t="shared" si="14"/>
        <v>518.4291510339765</v>
      </c>
      <c r="N58" s="87">
        <f t="shared" si="14"/>
        <v>508.49311343296711</v>
      </c>
      <c r="O58" s="87">
        <f t="shared" si="14"/>
        <v>498.55734561304928</v>
      </c>
      <c r="P58" s="87">
        <f t="shared" si="14"/>
        <v>488.62130801203978</v>
      </c>
      <c r="Q58" s="87">
        <f t="shared" si="14"/>
        <v>478.68527041103039</v>
      </c>
      <c r="R58" s="87">
        <f t="shared" si="14"/>
        <v>468.74950259111256</v>
      </c>
      <c r="S58" s="87">
        <f t="shared" si="14"/>
        <v>458.81346499010311</v>
      </c>
      <c r="T58" s="87">
        <f t="shared" si="14"/>
        <v>448.87742738909373</v>
      </c>
      <c r="U58" s="87">
        <f t="shared" si="14"/>
        <v>438.94165956917578</v>
      </c>
      <c r="V58" s="87">
        <f t="shared" si="14"/>
        <v>429.00562196816639</v>
      </c>
      <c r="W58" s="87">
        <f t="shared" si="14"/>
        <v>419.06958436715695</v>
      </c>
      <c r="X58" s="87">
        <f t="shared" si="14"/>
        <v>409.13381654723906</v>
      </c>
      <c r="Y58" s="87">
        <f t="shared" si="14"/>
        <v>399.19777894622973</v>
      </c>
      <c r="Z58" s="87">
        <f t="shared" si="14"/>
        <v>389.26174134522029</v>
      </c>
      <c r="AA58" s="87">
        <f t="shared" si="14"/>
        <v>379.32570374421084</v>
      </c>
      <c r="AB58" s="87">
        <f t="shared" si="14"/>
        <v>369.38993592429296</v>
      </c>
      <c r="AC58" s="87">
        <f t="shared" si="14"/>
        <v>359.45389832328357</v>
      </c>
      <c r="AD58" s="87">
        <f t="shared" si="14"/>
        <v>349.51786072227412</v>
      </c>
      <c r="AE58" s="87">
        <f t="shared" si="14"/>
        <v>339.58209290235624</v>
      </c>
    </row>
    <row r="59" spans="2:31" ht="12.6">
      <c r="B59" s="95" t="s">
        <v>836</v>
      </c>
      <c r="C59" s="87">
        <v>1200</v>
      </c>
      <c r="D59" s="87">
        <f>'Energy prices'!D132</f>
        <v>1000</v>
      </c>
      <c r="E59" s="87">
        <f t="shared" ref="E59:AE59" si="15">$D$59*D55</f>
        <v>946.33190789997275</v>
      </c>
      <c r="F59" s="87">
        <f t="shared" si="15"/>
        <v>897.29352911167291</v>
      </c>
      <c r="G59" s="87">
        <f t="shared" si="15"/>
        <v>851.90178133756933</v>
      </c>
      <c r="H59" s="87">
        <f t="shared" si="15"/>
        <v>825.71817749923184</v>
      </c>
      <c r="I59" s="87">
        <f t="shared" si="15"/>
        <v>802.2825638592077</v>
      </c>
      <c r="J59" s="87">
        <f t="shared" si="15"/>
        <v>781.75303213713312</v>
      </c>
      <c r="K59" s="87">
        <f t="shared" si="15"/>
        <v>761.67646286773527</v>
      </c>
      <c r="L59" s="87">
        <f t="shared" si="15"/>
        <v>743.42927917999498</v>
      </c>
      <c r="M59" s="87">
        <f t="shared" si="15"/>
        <v>734.1363997011905</v>
      </c>
      <c r="N59" s="87">
        <f t="shared" si="15"/>
        <v>724.84352022238591</v>
      </c>
      <c r="O59" s="87">
        <f t="shared" si="15"/>
        <v>715.55064074358154</v>
      </c>
      <c r="P59" s="87">
        <f t="shared" si="15"/>
        <v>706.25776126477695</v>
      </c>
      <c r="Q59" s="87">
        <f t="shared" si="15"/>
        <v>696.96488178597235</v>
      </c>
      <c r="R59" s="87">
        <f t="shared" si="15"/>
        <v>687.67200230716799</v>
      </c>
      <c r="S59" s="87">
        <f t="shared" si="15"/>
        <v>678.37912282836339</v>
      </c>
      <c r="T59" s="87">
        <f t="shared" si="15"/>
        <v>669.08624334955891</v>
      </c>
      <c r="U59" s="87">
        <f t="shared" si="15"/>
        <v>659.79336387075443</v>
      </c>
      <c r="V59" s="87">
        <f t="shared" si="15"/>
        <v>650.50048439194984</v>
      </c>
      <c r="W59" s="87">
        <f t="shared" si="15"/>
        <v>641.20760491314536</v>
      </c>
      <c r="X59" s="87">
        <f t="shared" si="15"/>
        <v>631.91472543434088</v>
      </c>
      <c r="Y59" s="87">
        <f t="shared" si="15"/>
        <v>622.6218459555364</v>
      </c>
      <c r="Z59" s="87">
        <f t="shared" si="15"/>
        <v>613.32896647673169</v>
      </c>
      <c r="AA59" s="87">
        <f t="shared" si="15"/>
        <v>604.03608699792721</v>
      </c>
      <c r="AB59" s="87">
        <f t="shared" si="15"/>
        <v>594.74347730021441</v>
      </c>
      <c r="AC59" s="87">
        <f t="shared" si="15"/>
        <v>585.4505978214097</v>
      </c>
      <c r="AD59" s="87">
        <f t="shared" si="15"/>
        <v>576.15771834260522</v>
      </c>
      <c r="AE59" s="87">
        <f t="shared" si="15"/>
        <v>566.86483886380074</v>
      </c>
    </row>
    <row r="87" spans="2:31" ht="12.6">
      <c r="B87" s="165" t="s">
        <v>837</v>
      </c>
      <c r="C87" s="485" t="s">
        <v>810</v>
      </c>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row>
    <row r="88" spans="2:31" ht="12.6">
      <c r="B88" s="165" t="s">
        <v>832</v>
      </c>
      <c r="C88" s="165">
        <v>2022</v>
      </c>
      <c r="D88" s="165">
        <v>2023</v>
      </c>
      <c r="E88" s="165">
        <v>2024</v>
      </c>
      <c r="F88" s="165">
        <v>2025</v>
      </c>
      <c r="G88" s="165">
        <v>2026</v>
      </c>
      <c r="H88" s="165">
        <v>2027</v>
      </c>
      <c r="I88" s="165">
        <v>2028</v>
      </c>
      <c r="J88" s="165">
        <v>2029</v>
      </c>
      <c r="K88" s="165">
        <v>2030</v>
      </c>
      <c r="L88" s="165">
        <v>2031</v>
      </c>
      <c r="M88" s="165">
        <v>2032</v>
      </c>
      <c r="N88" s="165">
        <v>2033</v>
      </c>
      <c r="O88" s="165">
        <v>2034</v>
      </c>
      <c r="P88" s="165">
        <v>2035</v>
      </c>
      <c r="Q88" s="165">
        <v>2036</v>
      </c>
      <c r="R88" s="165">
        <v>2037</v>
      </c>
      <c r="S88" s="165">
        <v>2038</v>
      </c>
      <c r="T88" s="165">
        <v>2039</v>
      </c>
      <c r="U88" s="165">
        <v>2040</v>
      </c>
      <c r="V88" s="165">
        <v>2041</v>
      </c>
      <c r="W88" s="165">
        <v>2042</v>
      </c>
      <c r="X88" s="165">
        <v>2043</v>
      </c>
      <c r="Y88" s="165">
        <v>2044</v>
      </c>
      <c r="Z88" s="165">
        <v>2045</v>
      </c>
      <c r="AA88" s="165">
        <v>2046</v>
      </c>
      <c r="AB88" s="165">
        <v>2047</v>
      </c>
      <c r="AC88" s="165">
        <v>2048</v>
      </c>
      <c r="AD88" s="165">
        <v>2049</v>
      </c>
      <c r="AE88" s="165">
        <v>2050</v>
      </c>
    </row>
    <row r="89" spans="2:31" ht="12.6">
      <c r="B89" s="37" t="s">
        <v>833</v>
      </c>
      <c r="C89" s="37">
        <v>2.9470000000000001</v>
      </c>
      <c r="D89" s="37">
        <v>2.806</v>
      </c>
      <c r="E89" s="37">
        <v>2.6659999999999999</v>
      </c>
      <c r="F89" s="37">
        <v>2.5249999999999999</v>
      </c>
      <c r="G89" s="37">
        <v>2.3849999999999998</v>
      </c>
      <c r="H89" s="37">
        <v>2.2440000000000002</v>
      </c>
      <c r="I89" s="37">
        <v>2.1030000000000002</v>
      </c>
      <c r="J89" s="37">
        <v>1.9630000000000001</v>
      </c>
      <c r="K89" s="37">
        <v>1.8220000000000001</v>
      </c>
      <c r="L89" s="37">
        <v>1.681</v>
      </c>
      <c r="M89" s="37">
        <v>1.5409999999999999</v>
      </c>
      <c r="N89" s="37">
        <v>1.4</v>
      </c>
      <c r="O89" s="37">
        <v>1.2589999999999999</v>
      </c>
      <c r="P89" s="37">
        <v>1.119</v>
      </c>
      <c r="Q89" s="37">
        <v>1.1020000000000001</v>
      </c>
      <c r="R89" s="37">
        <v>1.0860000000000001</v>
      </c>
      <c r="S89" s="37">
        <v>1.069</v>
      </c>
      <c r="T89" s="37">
        <v>1.0529999999999999</v>
      </c>
      <c r="U89" s="37">
        <v>1.0369999999999999</v>
      </c>
      <c r="V89" s="37">
        <v>1.02</v>
      </c>
      <c r="W89" s="37">
        <v>1.004</v>
      </c>
      <c r="X89" s="37">
        <v>0.98699999999999999</v>
      </c>
      <c r="Y89" s="37">
        <v>0.97099999999999997</v>
      </c>
      <c r="Z89" s="37">
        <v>0.95399999999999996</v>
      </c>
      <c r="AA89" s="37">
        <v>0.93799999999999994</v>
      </c>
      <c r="AB89" s="37">
        <v>0.92200000000000004</v>
      </c>
      <c r="AC89" s="37">
        <v>0.90500000000000003</v>
      </c>
      <c r="AD89" s="37">
        <v>0.88900000000000001</v>
      </c>
      <c r="AE89" s="37">
        <v>0.872</v>
      </c>
    </row>
    <row r="90" spans="2:31" ht="12.6">
      <c r="B90" s="37" t="s">
        <v>83</v>
      </c>
      <c r="C90" s="243">
        <f t="shared" ref="C90:AE90" si="16">C89/$C$89</f>
        <v>1</v>
      </c>
      <c r="D90" s="243">
        <f t="shared" si="16"/>
        <v>0.95215473362741776</v>
      </c>
      <c r="E90" s="243">
        <f t="shared" si="16"/>
        <v>0.90464879538513743</v>
      </c>
      <c r="F90" s="243">
        <f t="shared" si="16"/>
        <v>0.85680352901255508</v>
      </c>
      <c r="G90" s="243">
        <f t="shared" si="16"/>
        <v>0.80929759077027474</v>
      </c>
      <c r="H90" s="243">
        <f t="shared" si="16"/>
        <v>0.76145232439769261</v>
      </c>
      <c r="I90" s="243">
        <f t="shared" si="16"/>
        <v>0.71360705802511037</v>
      </c>
      <c r="J90" s="243">
        <f t="shared" si="16"/>
        <v>0.66610111978283004</v>
      </c>
      <c r="K90" s="243">
        <f t="shared" si="16"/>
        <v>0.61825585341024769</v>
      </c>
      <c r="L90" s="243">
        <f t="shared" si="16"/>
        <v>0.57041058703766545</v>
      </c>
      <c r="M90" s="243">
        <f t="shared" si="16"/>
        <v>0.52290464879538512</v>
      </c>
      <c r="N90" s="243">
        <f t="shared" si="16"/>
        <v>0.47505938242280282</v>
      </c>
      <c r="O90" s="243">
        <f t="shared" si="16"/>
        <v>0.42721411605022053</v>
      </c>
      <c r="P90" s="243">
        <f t="shared" si="16"/>
        <v>0.37970817780794025</v>
      </c>
      <c r="Q90" s="243">
        <f t="shared" si="16"/>
        <v>0.37393959959280626</v>
      </c>
      <c r="R90" s="243">
        <f t="shared" si="16"/>
        <v>0.36851034950797423</v>
      </c>
      <c r="S90" s="243">
        <f t="shared" si="16"/>
        <v>0.36274177129284013</v>
      </c>
      <c r="T90" s="243">
        <f t="shared" si="16"/>
        <v>0.3573125212080081</v>
      </c>
      <c r="U90" s="243">
        <f t="shared" si="16"/>
        <v>0.35188327112317608</v>
      </c>
      <c r="V90" s="243">
        <f t="shared" si="16"/>
        <v>0.34611469290804209</v>
      </c>
      <c r="W90" s="243">
        <f t="shared" si="16"/>
        <v>0.34068544282321006</v>
      </c>
      <c r="X90" s="243">
        <f t="shared" si="16"/>
        <v>0.33491686460807601</v>
      </c>
      <c r="Y90" s="243">
        <f t="shared" si="16"/>
        <v>0.32948761452324399</v>
      </c>
      <c r="Z90" s="243">
        <f t="shared" si="16"/>
        <v>0.32371903630810994</v>
      </c>
      <c r="AA90" s="243">
        <f t="shared" si="16"/>
        <v>0.31828978622327786</v>
      </c>
      <c r="AB90" s="243">
        <f t="shared" si="16"/>
        <v>0.31286053613844589</v>
      </c>
      <c r="AC90" s="243">
        <f t="shared" si="16"/>
        <v>0.30709195792331184</v>
      </c>
      <c r="AD90" s="243">
        <f t="shared" si="16"/>
        <v>0.30166270783847982</v>
      </c>
      <c r="AE90" s="243">
        <f t="shared" si="16"/>
        <v>0.29589412962334577</v>
      </c>
    </row>
    <row r="91" spans="2:31" ht="12.6">
      <c r="B91" s="37" t="s">
        <v>834</v>
      </c>
      <c r="C91" s="37">
        <v>2.9470000000000001</v>
      </c>
      <c r="D91" s="37">
        <v>2.8420000000000001</v>
      </c>
      <c r="E91" s="37">
        <v>2.7360000000000002</v>
      </c>
      <c r="F91" s="37">
        <v>2.6309999999999998</v>
      </c>
      <c r="G91" s="37">
        <v>2.5249999999999999</v>
      </c>
      <c r="H91" s="37">
        <v>2.42</v>
      </c>
      <c r="I91" s="37">
        <v>2.3149999999999999</v>
      </c>
      <c r="J91" s="37">
        <v>2.2090000000000001</v>
      </c>
      <c r="K91" s="37">
        <v>2.1040000000000001</v>
      </c>
      <c r="L91" s="37">
        <v>1.998</v>
      </c>
      <c r="M91" s="37">
        <v>1.893</v>
      </c>
      <c r="N91" s="37">
        <v>1.788</v>
      </c>
      <c r="O91" s="37">
        <v>1.6819999999999999</v>
      </c>
      <c r="P91" s="37">
        <v>1.577</v>
      </c>
      <c r="Q91" s="37">
        <v>1.546</v>
      </c>
      <c r="R91" s="37">
        <v>1.516</v>
      </c>
      <c r="S91" s="37">
        <v>1.4850000000000001</v>
      </c>
      <c r="T91" s="37">
        <v>1.4550000000000001</v>
      </c>
      <c r="U91" s="37">
        <v>1.4239999999999999</v>
      </c>
      <c r="V91" s="37">
        <v>1.393</v>
      </c>
      <c r="W91" s="37">
        <v>1.363</v>
      </c>
      <c r="X91" s="37">
        <v>1.3320000000000001</v>
      </c>
      <c r="Y91" s="37">
        <v>1.302</v>
      </c>
      <c r="Z91" s="37">
        <v>1.2709999999999999</v>
      </c>
      <c r="AA91" s="37">
        <v>1.2410000000000001</v>
      </c>
      <c r="AB91" s="37">
        <v>1.21</v>
      </c>
      <c r="AC91" s="37">
        <v>1.18</v>
      </c>
      <c r="AD91" s="37">
        <v>1.149</v>
      </c>
      <c r="AE91" s="37">
        <v>1.119</v>
      </c>
    </row>
    <row r="92" spans="2:31" ht="12.6">
      <c r="B92" s="37" t="s">
        <v>83</v>
      </c>
      <c r="C92" s="243">
        <f t="shared" ref="C92:AE92" si="17">C91/$C$91</f>
        <v>1</v>
      </c>
      <c r="D92" s="243">
        <f t="shared" si="17"/>
        <v>0.96437054631828978</v>
      </c>
      <c r="E92" s="243">
        <f t="shared" si="17"/>
        <v>0.92840176450627765</v>
      </c>
      <c r="F92" s="243">
        <f t="shared" si="17"/>
        <v>0.89277231082456732</v>
      </c>
      <c r="G92" s="243">
        <f t="shared" si="17"/>
        <v>0.85680352901255508</v>
      </c>
      <c r="H92" s="243">
        <f t="shared" si="17"/>
        <v>0.82117407533084485</v>
      </c>
      <c r="I92" s="243">
        <f t="shared" si="17"/>
        <v>0.78554462164913463</v>
      </c>
      <c r="J92" s="243">
        <f t="shared" si="17"/>
        <v>0.7495758398371225</v>
      </c>
      <c r="K92" s="243">
        <f t="shared" si="17"/>
        <v>0.71394638615541228</v>
      </c>
      <c r="L92" s="243">
        <f t="shared" si="17"/>
        <v>0.67797760434340004</v>
      </c>
      <c r="M92" s="243">
        <f t="shared" si="17"/>
        <v>0.64234815066168982</v>
      </c>
      <c r="N92" s="243">
        <f t="shared" si="17"/>
        <v>0.6067186969799796</v>
      </c>
      <c r="O92" s="243">
        <f t="shared" si="17"/>
        <v>0.57074991516796736</v>
      </c>
      <c r="P92" s="243">
        <f t="shared" si="17"/>
        <v>0.53512046148625714</v>
      </c>
      <c r="Q92" s="243">
        <f t="shared" si="17"/>
        <v>0.5246012894468951</v>
      </c>
      <c r="R92" s="243">
        <f t="shared" si="17"/>
        <v>0.51442144553783509</v>
      </c>
      <c r="S92" s="243">
        <f t="shared" si="17"/>
        <v>0.50390227349847305</v>
      </c>
      <c r="T92" s="243">
        <f t="shared" si="17"/>
        <v>0.49372242958941298</v>
      </c>
      <c r="U92" s="243">
        <f t="shared" si="17"/>
        <v>0.48320325755005089</v>
      </c>
      <c r="V92" s="243">
        <f t="shared" si="17"/>
        <v>0.47268408551068886</v>
      </c>
      <c r="W92" s="243">
        <f t="shared" si="17"/>
        <v>0.46250424160162878</v>
      </c>
      <c r="X92" s="243">
        <f t="shared" si="17"/>
        <v>0.45198506956226675</v>
      </c>
      <c r="Y92" s="243">
        <f t="shared" si="17"/>
        <v>0.44180522565320668</v>
      </c>
      <c r="Z92" s="243">
        <f t="shared" si="17"/>
        <v>0.43128605361384453</v>
      </c>
      <c r="AA92" s="243">
        <f t="shared" si="17"/>
        <v>0.42110620970478457</v>
      </c>
      <c r="AB92" s="243">
        <f t="shared" si="17"/>
        <v>0.41058703766542243</v>
      </c>
      <c r="AC92" s="243">
        <f t="shared" si="17"/>
        <v>0.40040719375636236</v>
      </c>
      <c r="AD92" s="243">
        <f t="shared" si="17"/>
        <v>0.38988802171700032</v>
      </c>
      <c r="AE92" s="243">
        <f t="shared" si="17"/>
        <v>0.37970817780794025</v>
      </c>
    </row>
    <row r="93" spans="2:31" ht="12.6">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row>
    <row r="94" spans="2:31" ht="12.6">
      <c r="B94" s="37" t="s">
        <v>835</v>
      </c>
      <c r="C94" s="165">
        <v>2022</v>
      </c>
      <c r="D94" s="165">
        <v>2023</v>
      </c>
      <c r="E94" s="165">
        <v>2024</v>
      </c>
      <c r="F94" s="165">
        <v>2025</v>
      </c>
      <c r="G94" s="165">
        <v>2026</v>
      </c>
      <c r="H94" s="165">
        <v>2027</v>
      </c>
      <c r="I94" s="165">
        <v>2028</v>
      </c>
      <c r="J94" s="165">
        <v>2029</v>
      </c>
      <c r="K94" s="165">
        <v>2030</v>
      </c>
      <c r="L94" s="165">
        <v>2031</v>
      </c>
      <c r="M94" s="165">
        <v>2032</v>
      </c>
      <c r="N94" s="165">
        <v>2033</v>
      </c>
      <c r="O94" s="165">
        <v>2034</v>
      </c>
      <c r="P94" s="165">
        <v>2035</v>
      </c>
      <c r="Q94" s="165">
        <v>2036</v>
      </c>
      <c r="R94" s="165">
        <v>2037</v>
      </c>
      <c r="S94" s="165">
        <v>2038</v>
      </c>
      <c r="T94" s="165">
        <v>2039</v>
      </c>
      <c r="U94" s="165">
        <v>2040</v>
      </c>
      <c r="V94" s="165">
        <v>2041</v>
      </c>
      <c r="W94" s="165">
        <v>2042</v>
      </c>
      <c r="X94" s="165">
        <v>2043</v>
      </c>
      <c r="Y94" s="165">
        <v>2044</v>
      </c>
      <c r="Z94" s="165">
        <v>2045</v>
      </c>
      <c r="AA94" s="165">
        <v>2046</v>
      </c>
      <c r="AB94" s="165">
        <v>2047</v>
      </c>
      <c r="AC94" s="165">
        <v>2048</v>
      </c>
      <c r="AD94" s="165">
        <v>2049</v>
      </c>
      <c r="AE94" s="165">
        <v>2050</v>
      </c>
    </row>
    <row r="95" spans="2:31" ht="12.6">
      <c r="B95" s="37" t="s">
        <v>809</v>
      </c>
      <c r="C95" s="37"/>
      <c r="D95" s="89">
        <f>'Energy prices'!D62</f>
        <v>2000</v>
      </c>
      <c r="E95" s="89">
        <f t="shared" ref="E95:AE95" si="18">$D$95*D90</f>
        <v>1904.3094672548355</v>
      </c>
      <c r="F95" s="89">
        <f t="shared" si="18"/>
        <v>1809.2975907702748</v>
      </c>
      <c r="G95" s="89">
        <f t="shared" si="18"/>
        <v>1713.6070580251101</v>
      </c>
      <c r="H95" s="89">
        <f t="shared" si="18"/>
        <v>1618.5951815405494</v>
      </c>
      <c r="I95" s="89">
        <f t="shared" si="18"/>
        <v>1522.9046487953851</v>
      </c>
      <c r="J95" s="89">
        <f t="shared" si="18"/>
        <v>1427.2141160502208</v>
      </c>
      <c r="K95" s="89">
        <f t="shared" si="18"/>
        <v>1332.2022395656602</v>
      </c>
      <c r="L95" s="89">
        <f t="shared" si="18"/>
        <v>1236.5117068204954</v>
      </c>
      <c r="M95" s="89">
        <f t="shared" si="18"/>
        <v>1140.8211740753309</v>
      </c>
      <c r="N95" s="89">
        <f t="shared" si="18"/>
        <v>1045.8092975907703</v>
      </c>
      <c r="O95" s="89">
        <f t="shared" si="18"/>
        <v>950.1187648456056</v>
      </c>
      <c r="P95" s="89">
        <f t="shared" si="18"/>
        <v>854.42823210044105</v>
      </c>
      <c r="Q95" s="89">
        <f t="shared" si="18"/>
        <v>759.41635561588055</v>
      </c>
      <c r="R95" s="89">
        <f t="shared" si="18"/>
        <v>747.87919918561249</v>
      </c>
      <c r="S95" s="89">
        <f t="shared" si="18"/>
        <v>737.02069901594848</v>
      </c>
      <c r="T95" s="89">
        <f t="shared" si="18"/>
        <v>725.48354258568031</v>
      </c>
      <c r="U95" s="89">
        <f t="shared" si="18"/>
        <v>714.62504241601619</v>
      </c>
      <c r="V95" s="89">
        <f t="shared" si="18"/>
        <v>703.76654224635217</v>
      </c>
      <c r="W95" s="89">
        <f t="shared" si="18"/>
        <v>692.22938581608423</v>
      </c>
      <c r="X95" s="89">
        <f t="shared" si="18"/>
        <v>681.37088564642011</v>
      </c>
      <c r="Y95" s="89">
        <f t="shared" si="18"/>
        <v>669.83372921615205</v>
      </c>
      <c r="Z95" s="89">
        <f t="shared" si="18"/>
        <v>658.97522904648793</v>
      </c>
      <c r="AA95" s="89">
        <f t="shared" si="18"/>
        <v>647.43807261621987</v>
      </c>
      <c r="AB95" s="89">
        <f t="shared" si="18"/>
        <v>636.57957244655574</v>
      </c>
      <c r="AC95" s="89">
        <f t="shared" si="18"/>
        <v>625.72107227689173</v>
      </c>
      <c r="AD95" s="89">
        <f t="shared" si="18"/>
        <v>614.18391584662368</v>
      </c>
      <c r="AE95" s="89">
        <f t="shared" si="18"/>
        <v>603.32541567695966</v>
      </c>
    </row>
    <row r="96" spans="2:31" ht="12.6">
      <c r="B96" s="37" t="s">
        <v>836</v>
      </c>
      <c r="C96" s="37"/>
      <c r="D96" s="89">
        <f>'Energy prices'!D62</f>
        <v>2000</v>
      </c>
      <c r="E96" s="89">
        <f t="shared" ref="E96:AE96" si="19">$D$95*D92</f>
        <v>1928.7410926365797</v>
      </c>
      <c r="F96" s="89">
        <f t="shared" si="19"/>
        <v>1856.8035290125554</v>
      </c>
      <c r="G96" s="89">
        <f t="shared" si="19"/>
        <v>1785.5446216491346</v>
      </c>
      <c r="H96" s="89">
        <f t="shared" si="19"/>
        <v>1713.6070580251101</v>
      </c>
      <c r="I96" s="89">
        <f t="shared" si="19"/>
        <v>1642.3481506616897</v>
      </c>
      <c r="J96" s="89">
        <f t="shared" si="19"/>
        <v>1571.0892432982694</v>
      </c>
      <c r="K96" s="89">
        <f t="shared" si="19"/>
        <v>1499.1516796742451</v>
      </c>
      <c r="L96" s="89">
        <f t="shared" si="19"/>
        <v>1427.8927723108245</v>
      </c>
      <c r="M96" s="89">
        <f t="shared" si="19"/>
        <v>1355.9552086868</v>
      </c>
      <c r="N96" s="89">
        <f t="shared" si="19"/>
        <v>1284.6963013233797</v>
      </c>
      <c r="O96" s="89">
        <f t="shared" si="19"/>
        <v>1213.4373939599593</v>
      </c>
      <c r="P96" s="89">
        <f t="shared" si="19"/>
        <v>1141.4998303359348</v>
      </c>
      <c r="Q96" s="89">
        <f t="shared" si="19"/>
        <v>1070.2409229725142</v>
      </c>
      <c r="R96" s="89">
        <f t="shared" si="19"/>
        <v>1049.2025788937901</v>
      </c>
      <c r="S96" s="89">
        <f t="shared" si="19"/>
        <v>1028.8428910756702</v>
      </c>
      <c r="T96" s="89">
        <f t="shared" si="19"/>
        <v>1007.8045469969461</v>
      </c>
      <c r="U96" s="89">
        <f t="shared" si="19"/>
        <v>987.44485917882594</v>
      </c>
      <c r="V96" s="89">
        <f t="shared" si="19"/>
        <v>966.40651510010173</v>
      </c>
      <c r="W96" s="89">
        <f t="shared" si="19"/>
        <v>945.36817102137775</v>
      </c>
      <c r="X96" s="89">
        <f t="shared" si="19"/>
        <v>925.00848320325758</v>
      </c>
      <c r="Y96" s="89">
        <f t="shared" si="19"/>
        <v>903.97013912453349</v>
      </c>
      <c r="Z96" s="89">
        <f t="shared" si="19"/>
        <v>883.61045130641332</v>
      </c>
      <c r="AA96" s="89">
        <f t="shared" si="19"/>
        <v>862.57210722768912</v>
      </c>
      <c r="AB96" s="89">
        <f t="shared" si="19"/>
        <v>842.21241940956918</v>
      </c>
      <c r="AC96" s="89">
        <f t="shared" si="19"/>
        <v>821.17407533084486</v>
      </c>
      <c r="AD96" s="89">
        <f t="shared" si="19"/>
        <v>800.81438751272469</v>
      </c>
      <c r="AE96" s="89">
        <f t="shared" si="19"/>
        <v>779.7760434340006</v>
      </c>
    </row>
    <row r="101" spans="13:13" ht="12.6">
      <c r="M101" s="10" t="s">
        <v>838</v>
      </c>
    </row>
    <row r="102" spans="13:13" ht="12.6">
      <c r="M102" s="473" t="s">
        <v>623</v>
      </c>
    </row>
  </sheetData>
  <dataValidations count="2">
    <dataValidation type="list" allowBlank="1" showErrorMessage="1" sqref="B15 B21" xr:uid="{00000000-0002-0000-0700-000000000000}">
      <formula1>"Advanced,Moderate"</formula1>
    </dataValidation>
    <dataValidation type="list" allowBlank="1" showErrorMessage="1" sqref="B26" xr:uid="{00000000-0002-0000-0700-000001000000}">
      <formula1>"Use standard multiplier,Use delayed multiplier"</formula1>
    </dataValidation>
  </dataValidations>
  <hyperlinks>
    <hyperlink ref="B16" r:id="rId1" location="capital_expenditures_(capex)" xr:uid="{00000000-0004-0000-0700-000000000000}"/>
    <hyperlink ref="C30" r:id="rId2" xr:uid="{00000000-0004-0000-0700-000001000000}"/>
    <hyperlink ref="C35" r:id="rId3" xr:uid="{00000000-0004-0000-0700-000002000000}"/>
    <hyperlink ref="C50" r:id="rId4" location="capital_expenditures_(capex)" xr:uid="{00000000-0004-0000-0700-000003000000}"/>
    <hyperlink ref="C87" r:id="rId5" location="capital_expenditures_(capex)" xr:uid="{00000000-0004-0000-0700-000004000000}"/>
    <hyperlink ref="M102" r:id="rId6" xr:uid="{00000000-0004-0000-0700-000005000000}"/>
  </hyperlinks>
  <pageMargins left="0.7" right="0.7" top="0.75" bottom="0.75" header="0.3" footer="0.3"/>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06666"/>
    <outlinePr summaryBelow="0" summaryRight="0"/>
  </sheetPr>
  <dimension ref="A3:AP172"/>
  <sheetViews>
    <sheetView workbookViewId="0"/>
  </sheetViews>
  <sheetFormatPr defaultColWidth="12.5703125" defaultRowHeight="15.75" customHeight="1"/>
  <cols>
    <col min="1" max="1" width="24.28515625" customWidth="1"/>
  </cols>
  <sheetData>
    <row r="3" spans="1:42" ht="15.75" customHeight="1">
      <c r="A3" s="10" t="s">
        <v>839</v>
      </c>
    </row>
    <row r="4" spans="1:42" ht="15.75" customHeight="1">
      <c r="A4" s="10" t="s">
        <v>416</v>
      </c>
      <c r="B4" s="10">
        <v>2000</v>
      </c>
      <c r="C4" s="10">
        <v>2001</v>
      </c>
      <c r="D4" s="10">
        <v>2002</v>
      </c>
      <c r="E4" s="10">
        <v>2003</v>
      </c>
      <c r="F4" s="10">
        <v>2004</v>
      </c>
      <c r="G4" s="10">
        <v>2005</v>
      </c>
      <c r="H4" s="10">
        <v>2006</v>
      </c>
      <c r="I4" s="10">
        <v>2007</v>
      </c>
      <c r="J4" s="10">
        <v>2008</v>
      </c>
      <c r="K4" s="10">
        <v>2009</v>
      </c>
      <c r="L4" s="10">
        <v>2010</v>
      </c>
      <c r="M4" s="10">
        <v>2011</v>
      </c>
      <c r="N4" s="10">
        <v>2012</v>
      </c>
      <c r="O4" s="10">
        <v>2013</v>
      </c>
      <c r="P4" s="10">
        <v>2014</v>
      </c>
      <c r="Q4" s="10">
        <v>2015</v>
      </c>
      <c r="R4" s="10">
        <v>2016</v>
      </c>
      <c r="S4" s="10">
        <v>2017</v>
      </c>
      <c r="T4" s="10">
        <v>2018</v>
      </c>
      <c r="U4" s="10">
        <v>2019</v>
      </c>
      <c r="V4" s="10">
        <v>2020</v>
      </c>
      <c r="W4" s="10">
        <v>2021</v>
      </c>
      <c r="X4" s="10">
        <v>2022</v>
      </c>
      <c r="Y4" s="10">
        <v>2023</v>
      </c>
      <c r="Z4" s="10">
        <v>2024</v>
      </c>
      <c r="AA4" s="10">
        <v>2025</v>
      </c>
      <c r="AB4" s="10">
        <v>2026</v>
      </c>
      <c r="AC4" s="10">
        <v>2027</v>
      </c>
      <c r="AD4" s="10">
        <v>2028</v>
      </c>
      <c r="AE4" s="10">
        <v>2029</v>
      </c>
      <c r="AF4" s="10">
        <v>2030</v>
      </c>
      <c r="AG4" s="10">
        <v>2031</v>
      </c>
      <c r="AH4" s="10">
        <v>2032</v>
      </c>
      <c r="AI4" s="10">
        <v>2033</v>
      </c>
      <c r="AJ4" s="10">
        <v>2034</v>
      </c>
      <c r="AK4" s="10">
        <v>2035</v>
      </c>
      <c r="AL4" s="10">
        <v>2036</v>
      </c>
      <c r="AM4" s="10">
        <v>2037</v>
      </c>
      <c r="AN4" s="10">
        <v>2038</v>
      </c>
      <c r="AO4" s="10">
        <v>2039</v>
      </c>
      <c r="AP4" s="10">
        <v>2040</v>
      </c>
    </row>
    <row r="5" spans="1:42" ht="15.75" customHeight="1">
      <c r="A5" s="10" t="s">
        <v>840</v>
      </c>
      <c r="B5" s="332">
        <v>1483763</v>
      </c>
      <c r="C5" s="332">
        <v>1507275</v>
      </c>
      <c r="D5" s="332">
        <v>1531824</v>
      </c>
      <c r="E5" s="332">
        <v>1556374</v>
      </c>
      <c r="F5" s="332">
        <v>1580923</v>
      </c>
      <c r="G5" s="332">
        <v>1605473</v>
      </c>
      <c r="H5" s="332">
        <v>1630022</v>
      </c>
      <c r="I5" s="332">
        <v>1646791</v>
      </c>
      <c r="J5" s="332">
        <v>1663561</v>
      </c>
      <c r="K5" s="332">
        <v>1680330</v>
      </c>
      <c r="L5" s="332">
        <v>1697099</v>
      </c>
      <c r="M5" s="332">
        <v>1713868</v>
      </c>
      <c r="N5" s="332">
        <v>1730638</v>
      </c>
      <c r="O5" s="332">
        <v>1747407</v>
      </c>
      <c r="P5" s="332">
        <v>1769118</v>
      </c>
      <c r="Q5" s="332">
        <v>1790830</v>
      </c>
      <c r="R5" s="332">
        <v>1812541</v>
      </c>
      <c r="S5" s="332">
        <v>1834253</v>
      </c>
      <c r="T5" s="332">
        <v>1855964</v>
      </c>
      <c r="U5" s="332">
        <v>1882764</v>
      </c>
      <c r="V5" s="332">
        <v>1909596</v>
      </c>
      <c r="W5" s="332">
        <v>1936427</v>
      </c>
      <c r="X5" s="332">
        <v>1963259</v>
      </c>
      <c r="Y5" s="332">
        <v>1990091</v>
      </c>
      <c r="Z5" s="332">
        <v>2011915</v>
      </c>
      <c r="AA5" s="332">
        <v>2033738</v>
      </c>
      <c r="AB5" s="332">
        <v>2055562</v>
      </c>
      <c r="AC5" s="332">
        <v>2077386</v>
      </c>
      <c r="AD5" s="332">
        <v>2099209</v>
      </c>
      <c r="AE5" s="332">
        <v>2119221</v>
      </c>
      <c r="AF5" s="332">
        <v>2139233</v>
      </c>
      <c r="AG5" s="332">
        <v>2159245</v>
      </c>
      <c r="AH5" s="332">
        <v>2179257</v>
      </c>
      <c r="AI5" s="332">
        <v>2199269</v>
      </c>
      <c r="AJ5" s="332">
        <v>2216349</v>
      </c>
      <c r="AK5" s="332">
        <v>2233429</v>
      </c>
      <c r="AL5" s="332">
        <v>2250510</v>
      </c>
      <c r="AM5" s="332">
        <v>2267590</v>
      </c>
      <c r="AN5" s="332">
        <v>2284670</v>
      </c>
      <c r="AO5" s="332">
        <v>2300663</v>
      </c>
      <c r="AP5" s="332">
        <v>2316768</v>
      </c>
    </row>
    <row r="7" spans="1:42" ht="15.75" customHeight="1">
      <c r="B7" s="10" t="s">
        <v>841</v>
      </c>
      <c r="C7" s="10" t="s">
        <v>841</v>
      </c>
      <c r="D7" s="10" t="s">
        <v>841</v>
      </c>
      <c r="E7" s="10" t="s">
        <v>841</v>
      </c>
      <c r="F7" s="10" t="s">
        <v>841</v>
      </c>
    </row>
    <row r="8" spans="1:42" ht="15.75" customHeight="1">
      <c r="A8" s="10" t="s">
        <v>842</v>
      </c>
      <c r="B8" s="10" t="s">
        <v>36</v>
      </c>
      <c r="C8" s="10" t="s">
        <v>37</v>
      </c>
      <c r="D8" s="10" t="s">
        <v>38</v>
      </c>
      <c r="E8" s="10" t="s">
        <v>39</v>
      </c>
      <c r="F8" s="10" t="s">
        <v>14</v>
      </c>
    </row>
    <row r="9" spans="1:42" ht="15.75" customHeight="1">
      <c r="A9" s="10" t="s">
        <v>143</v>
      </c>
      <c r="B9" s="109">
        <v>0.65001557088000006</v>
      </c>
    </row>
    <row r="10" spans="1:42" ht="15.75" customHeight="1">
      <c r="A10" s="10" t="s">
        <v>144</v>
      </c>
      <c r="B10" s="109">
        <v>3.6051567128135997</v>
      </c>
    </row>
    <row r="11" spans="1:42" ht="15.75" customHeight="1">
      <c r="A11" s="10" t="s">
        <v>843</v>
      </c>
      <c r="B11" s="109">
        <v>4.7713757598720017</v>
      </c>
    </row>
    <row r="12" spans="1:42" ht="15.75" customHeight="1">
      <c r="A12" s="10" t="s">
        <v>844</v>
      </c>
      <c r="B12" s="109">
        <v>0</v>
      </c>
    </row>
    <row r="13" spans="1:42" ht="15.75" customHeight="1">
      <c r="A13" s="10" t="s">
        <v>145</v>
      </c>
      <c r="B13" s="109">
        <v>5.5576015992000001E-3</v>
      </c>
    </row>
    <row r="14" spans="1:42" ht="15.75" customHeight="1">
      <c r="A14" s="10" t="s">
        <v>845</v>
      </c>
      <c r="D14" s="109">
        <v>0.58903455667920002</v>
      </c>
    </row>
    <row r="15" spans="1:42" ht="15.75" customHeight="1">
      <c r="A15" s="10" t="s">
        <v>846</v>
      </c>
      <c r="C15" s="109">
        <v>0.98110928053320001</v>
      </c>
    </row>
    <row r="16" spans="1:42" ht="15.75" customHeight="1">
      <c r="A16" s="10" t="s">
        <v>847</v>
      </c>
      <c r="C16" s="109">
        <v>2.8129217719019999</v>
      </c>
    </row>
    <row r="17" spans="1:6" ht="15.75" customHeight="1">
      <c r="A17" s="10" t="s">
        <v>848</v>
      </c>
      <c r="E17" s="109">
        <v>5.1211177209999992</v>
      </c>
    </row>
    <row r="18" spans="1:6" ht="15.75" customHeight="1">
      <c r="A18" s="10" t="s">
        <v>14</v>
      </c>
      <c r="F18" s="109">
        <v>18.536288975279199</v>
      </c>
    </row>
    <row r="21" spans="1:6" ht="15.75" customHeight="1">
      <c r="A21" s="10" t="s">
        <v>58</v>
      </c>
      <c r="B21" s="10" t="s">
        <v>36</v>
      </c>
      <c r="C21" s="10" t="s">
        <v>37</v>
      </c>
      <c r="D21" s="10" t="s">
        <v>38</v>
      </c>
      <c r="E21" s="10" t="s">
        <v>39</v>
      </c>
      <c r="F21" s="10" t="s">
        <v>14</v>
      </c>
    </row>
    <row r="22" spans="1:6" ht="15.75" customHeight="1">
      <c r="A22" s="10" t="s">
        <v>849</v>
      </c>
      <c r="B22" s="109">
        <v>8.8045825978799996</v>
      </c>
    </row>
    <row r="23" spans="1:6" ht="15.75" customHeight="1">
      <c r="A23" s="10" t="s">
        <v>850</v>
      </c>
      <c r="B23" s="109">
        <v>3.1706796283200003</v>
      </c>
    </row>
    <row r="24" spans="1:6" ht="15.75" customHeight="1">
      <c r="A24" s="10" t="s">
        <v>851</v>
      </c>
      <c r="D24" s="109">
        <v>1.3211330631831999</v>
      </c>
    </row>
    <row r="25" spans="1:6" ht="15.75" customHeight="1">
      <c r="A25" s="10" t="s">
        <v>852</v>
      </c>
      <c r="C25" s="109">
        <v>2.7685407084520004</v>
      </c>
    </row>
    <row r="26" spans="1:6" ht="15.75" customHeight="1">
      <c r="A26" s="10" t="s">
        <v>853</v>
      </c>
      <c r="D26" s="109">
        <v>1.522825827E-2</v>
      </c>
    </row>
    <row r="27" spans="1:6" ht="15.75" customHeight="1">
      <c r="A27" s="10" t="s">
        <v>854</v>
      </c>
      <c r="C27" s="109">
        <v>0.17557641810000002</v>
      </c>
    </row>
    <row r="28" spans="1:6" ht="15.75" customHeight="1">
      <c r="A28" s="10" t="s">
        <v>175</v>
      </c>
      <c r="B28" s="109">
        <v>3.2213249920799998E-2</v>
      </c>
    </row>
    <row r="29" spans="1:6" ht="15.75" customHeight="1">
      <c r="A29" s="10" t="s">
        <v>855</v>
      </c>
      <c r="B29" s="109">
        <v>0.161564812128</v>
      </c>
    </row>
    <row r="30" spans="1:6" ht="15.75" customHeight="1">
      <c r="A30" s="10" t="s">
        <v>856</v>
      </c>
      <c r="C30" s="109">
        <v>0</v>
      </c>
    </row>
    <row r="31" spans="1:6" ht="15.75" customHeight="1">
      <c r="A31" s="10" t="s">
        <v>39</v>
      </c>
      <c r="E31" s="109">
        <v>1.39178387506</v>
      </c>
    </row>
    <row r="32" spans="1:6" ht="15.75" customHeight="1">
      <c r="A32" s="10" t="s">
        <v>14</v>
      </c>
      <c r="F32" s="109">
        <v>17.841302611313999</v>
      </c>
    </row>
    <row r="35" spans="1:6" ht="15.75" customHeight="1">
      <c r="A35" s="10" t="s">
        <v>186</v>
      </c>
      <c r="B35" s="10" t="s">
        <v>36</v>
      </c>
      <c r="C35" s="10" t="s">
        <v>37</v>
      </c>
      <c r="D35" s="10" t="s">
        <v>38</v>
      </c>
      <c r="E35" s="10" t="s">
        <v>39</v>
      </c>
      <c r="F35" s="10" t="s">
        <v>14</v>
      </c>
    </row>
    <row r="36" spans="1:6" ht="15.75" customHeight="1">
      <c r="A36" s="10" t="s">
        <v>59</v>
      </c>
      <c r="F36" s="109">
        <v>1.6488246181928001</v>
      </c>
    </row>
    <row r="37" spans="1:6" ht="15.75" customHeight="1">
      <c r="A37" s="10" t="s">
        <v>208</v>
      </c>
      <c r="B37" s="109">
        <v>0.6802814021400001</v>
      </c>
    </row>
    <row r="38" spans="1:6" ht="15.75" customHeight="1">
      <c r="A38" s="10" t="s">
        <v>857</v>
      </c>
      <c r="F38" s="109">
        <v>0.84222253254679991</v>
      </c>
    </row>
    <row r="39" spans="1:6" ht="15.75" customHeight="1">
      <c r="A39" s="10" t="s">
        <v>858</v>
      </c>
      <c r="F39" s="109">
        <v>1.0483563930958</v>
      </c>
    </row>
    <row r="40" spans="1:6" ht="15.75" customHeight="1">
      <c r="A40" s="10" t="s">
        <v>14</v>
      </c>
      <c r="B40" s="10">
        <v>4.0999999999999996</v>
      </c>
      <c r="C40" s="10">
        <v>0.1</v>
      </c>
      <c r="D40" s="10">
        <v>0.02</v>
      </c>
      <c r="F40" s="109">
        <v>4.2196849459754002</v>
      </c>
    </row>
    <row r="43" spans="1:6" ht="12.6">
      <c r="A43" s="10" t="s">
        <v>61</v>
      </c>
      <c r="B43" s="10" t="s">
        <v>36</v>
      </c>
      <c r="F43" s="10" t="s">
        <v>14</v>
      </c>
    </row>
    <row r="44" spans="1:6" ht="12.6">
      <c r="A44" s="10" t="s">
        <v>859</v>
      </c>
      <c r="B44" s="109">
        <v>0.19644327190800001</v>
      </c>
    </row>
    <row r="45" spans="1:6" ht="12.6">
      <c r="A45" s="10" t="s">
        <v>860</v>
      </c>
      <c r="B45" s="109">
        <v>0.26383384494000001</v>
      </c>
    </row>
    <row r="46" spans="1:6" ht="12.6">
      <c r="A46" s="10" t="s">
        <v>861</v>
      </c>
      <c r="B46" s="109">
        <v>0.37061308083599998</v>
      </c>
    </row>
    <row r="47" spans="1:6" ht="12.6">
      <c r="A47" s="10" t="s">
        <v>862</v>
      </c>
      <c r="B47" s="109">
        <v>8.8865834003999999E-2</v>
      </c>
    </row>
    <row r="48" spans="1:6" ht="12.6">
      <c r="A48" s="10" t="s">
        <v>863</v>
      </c>
      <c r="B48" s="109">
        <v>0.49374744983999996</v>
      </c>
    </row>
    <row r="49" spans="1:6" ht="12.6">
      <c r="A49" s="10" t="s">
        <v>864</v>
      </c>
      <c r="B49" s="109">
        <v>0.73053335340000003</v>
      </c>
    </row>
    <row r="50" spans="1:6" ht="12.6">
      <c r="A50" s="10" t="s">
        <v>14</v>
      </c>
      <c r="F50" s="109">
        <v>2.1440368349280003</v>
      </c>
    </row>
    <row r="53" spans="1:6" ht="12.6">
      <c r="A53" s="10" t="s">
        <v>865</v>
      </c>
      <c r="B53" s="10" t="s">
        <v>36</v>
      </c>
    </row>
    <row r="54" spans="1:6" ht="12.6">
      <c r="A54" s="10" t="s">
        <v>866</v>
      </c>
      <c r="B54" s="109">
        <v>0.31761676982160003</v>
      </c>
    </row>
    <row r="55" spans="1:6" ht="12.6">
      <c r="A55" s="10" t="s">
        <v>867</v>
      </c>
      <c r="B55" s="109">
        <v>0.63311226724439995</v>
      </c>
    </row>
    <row r="56" spans="1:6" ht="12.6">
      <c r="A56" s="10" t="s">
        <v>868</v>
      </c>
      <c r="B56" s="109">
        <v>0.66124496754359996</v>
      </c>
    </row>
    <row r="57" spans="1:6" ht="12.6">
      <c r="A57" s="10" t="s">
        <v>869</v>
      </c>
      <c r="B57" s="109">
        <v>1.0581889225679999</v>
      </c>
    </row>
    <row r="58" spans="1:6" ht="12.6">
      <c r="A58" s="10" t="s">
        <v>870</v>
      </c>
      <c r="B58" s="109">
        <v>4.1556470067179996</v>
      </c>
    </row>
    <row r="59" spans="1:6" ht="12.6">
      <c r="A59" s="10" t="s">
        <v>14</v>
      </c>
      <c r="B59" s="109">
        <v>6.8258099338956004</v>
      </c>
    </row>
    <row r="62" spans="1:6" ht="12.6">
      <c r="B62" s="10" t="s">
        <v>36</v>
      </c>
      <c r="C62" s="10" t="s">
        <v>799</v>
      </c>
    </row>
    <row r="63" spans="1:6" ht="12.6">
      <c r="A63" s="10" t="s">
        <v>871</v>
      </c>
      <c r="B63" s="109">
        <v>0.51862417642440006</v>
      </c>
    </row>
    <row r="64" spans="1:6" ht="12.6">
      <c r="A64" s="10" t="s">
        <v>872</v>
      </c>
      <c r="C64" s="109">
        <v>0.16882537565720002</v>
      </c>
    </row>
    <row r="66" spans="1:2" ht="12.6">
      <c r="A66" s="10" t="s">
        <v>63</v>
      </c>
      <c r="B66" s="10" t="s">
        <v>36</v>
      </c>
    </row>
    <row r="67" spans="1:2" ht="12.6">
      <c r="A67" s="10" t="s">
        <v>873</v>
      </c>
      <c r="B67" s="10">
        <v>0.51</v>
      </c>
    </row>
    <row r="68" spans="1:2" ht="12.6">
      <c r="A68" s="10" t="s">
        <v>874</v>
      </c>
      <c r="B68" s="10">
        <v>4.5</v>
      </c>
    </row>
    <row r="69" spans="1:2" ht="12.6">
      <c r="A69" s="10" t="s">
        <v>875</v>
      </c>
      <c r="B69" s="10">
        <v>3.71</v>
      </c>
    </row>
    <row r="72" spans="1:2" ht="12.6">
      <c r="A72" s="10" t="s">
        <v>876</v>
      </c>
      <c r="B72" s="10">
        <f>SUM(B68:B69)</f>
        <v>8.2100000000000009</v>
      </c>
    </row>
    <row r="75" spans="1:2" ht="12.6">
      <c r="A75" s="10" t="s">
        <v>877</v>
      </c>
      <c r="B75" s="10">
        <f>SUM(B67:B69,B63:C64,B54:B58,B44:B49,B36:F39,B22:F31,B9:F17,)</f>
        <v>58.974572853473795</v>
      </c>
    </row>
    <row r="81" spans="1:35" ht="12.6">
      <c r="A81" s="10" t="s">
        <v>878</v>
      </c>
      <c r="B81" s="10"/>
      <c r="C81" s="10"/>
      <c r="D81" s="10"/>
      <c r="E81" s="10"/>
      <c r="F81" s="10" t="s">
        <v>186</v>
      </c>
      <c r="G81" s="10"/>
      <c r="H81" s="10"/>
      <c r="I81" s="10"/>
      <c r="J81" s="10"/>
      <c r="K81" s="10" t="s">
        <v>61</v>
      </c>
      <c r="L81" s="10"/>
      <c r="M81" s="10"/>
      <c r="N81" s="10"/>
      <c r="O81" s="10"/>
      <c r="P81" s="10" t="s">
        <v>842</v>
      </c>
      <c r="Q81" s="10"/>
      <c r="R81" s="10"/>
      <c r="S81" s="10"/>
      <c r="T81" s="10"/>
      <c r="U81" s="10" t="s">
        <v>58</v>
      </c>
      <c r="V81" s="10"/>
      <c r="W81" s="10"/>
      <c r="X81" s="10"/>
      <c r="Y81" s="10"/>
      <c r="Z81" s="10" t="s">
        <v>879</v>
      </c>
      <c r="AA81" s="10"/>
      <c r="AB81" s="10"/>
      <c r="AC81" s="10"/>
      <c r="AD81" s="10"/>
      <c r="AE81" s="10" t="s">
        <v>880</v>
      </c>
      <c r="AF81" s="10" t="s">
        <v>881</v>
      </c>
      <c r="AG81" s="10" t="s">
        <v>882</v>
      </c>
      <c r="AH81" s="10" t="s">
        <v>883</v>
      </c>
      <c r="AI81" s="10" t="s">
        <v>884</v>
      </c>
    </row>
    <row r="82" spans="1:35" ht="12.6">
      <c r="A82" s="10" t="s">
        <v>36</v>
      </c>
      <c r="B82" s="10" t="s">
        <v>799</v>
      </c>
      <c r="C82" s="10" t="s">
        <v>38</v>
      </c>
      <c r="D82" s="10" t="s">
        <v>39</v>
      </c>
      <c r="E82" s="10" t="s">
        <v>14</v>
      </c>
      <c r="F82" s="10" t="s">
        <v>36</v>
      </c>
      <c r="G82" s="10" t="s">
        <v>799</v>
      </c>
      <c r="H82" s="10" t="s">
        <v>38</v>
      </c>
      <c r="I82" s="10" t="s">
        <v>39</v>
      </c>
      <c r="J82" s="10" t="s">
        <v>14</v>
      </c>
      <c r="K82" s="10" t="s">
        <v>36</v>
      </c>
      <c r="L82" s="10" t="s">
        <v>799</v>
      </c>
      <c r="M82" s="10" t="s">
        <v>38</v>
      </c>
      <c r="N82" s="10" t="s">
        <v>39</v>
      </c>
      <c r="O82" s="10" t="s">
        <v>14</v>
      </c>
      <c r="P82" s="10" t="s">
        <v>36</v>
      </c>
      <c r="Q82" s="10" t="s">
        <v>799</v>
      </c>
      <c r="R82" s="10" t="s">
        <v>38</v>
      </c>
      <c r="S82" s="10" t="s">
        <v>39</v>
      </c>
      <c r="T82" s="10" t="s">
        <v>14</v>
      </c>
      <c r="U82" s="10" t="s">
        <v>36</v>
      </c>
      <c r="V82" s="10" t="s">
        <v>799</v>
      </c>
      <c r="W82" s="10" t="s">
        <v>38</v>
      </c>
      <c r="X82" s="10" t="s">
        <v>39</v>
      </c>
      <c r="Y82" s="10" t="s">
        <v>14</v>
      </c>
      <c r="Z82" s="10" t="s">
        <v>36</v>
      </c>
      <c r="AA82" s="10" t="s">
        <v>799</v>
      </c>
      <c r="AB82" s="10" t="s">
        <v>38</v>
      </c>
      <c r="AC82" s="10" t="s">
        <v>39</v>
      </c>
      <c r="AD82" s="10" t="s">
        <v>14</v>
      </c>
      <c r="AE82" s="10"/>
      <c r="AF82" s="10"/>
      <c r="AG82" s="10"/>
      <c r="AH82" s="10"/>
      <c r="AI82" s="10"/>
    </row>
    <row r="83" spans="1:35" ht="12.6">
      <c r="A83" s="333">
        <v>15.903092577106806</v>
      </c>
      <c r="B83" s="333">
        <v>0.15907747341800002</v>
      </c>
      <c r="C83" s="333">
        <v>0</v>
      </c>
      <c r="D83" s="148">
        <v>0</v>
      </c>
      <c r="E83" s="333">
        <v>16.062170050524806</v>
      </c>
      <c r="F83" s="333">
        <v>4.0936474305683994</v>
      </c>
      <c r="G83" s="333">
        <v>0.107127784076</v>
      </c>
      <c r="H83" s="333">
        <v>1.8909731331000001E-2</v>
      </c>
      <c r="I83" s="148">
        <v>0</v>
      </c>
      <c r="J83" s="333">
        <v>4.2196849459753993</v>
      </c>
      <c r="K83" s="333">
        <v>2.1440368349280003</v>
      </c>
      <c r="L83" s="333">
        <v>0</v>
      </c>
      <c r="M83" s="333">
        <v>0</v>
      </c>
      <c r="N83" s="148">
        <v>0</v>
      </c>
      <c r="O83" s="333">
        <v>2.1440368349280003</v>
      </c>
      <c r="P83" s="333">
        <v>9.0811499301791994</v>
      </c>
      <c r="Q83" s="333">
        <v>3.7478680814999996</v>
      </c>
      <c r="R83" s="333">
        <v>0.58615324260000001</v>
      </c>
      <c r="S83" s="148">
        <v>5.1211177209999992</v>
      </c>
      <c r="T83" s="333">
        <v>18.536288975279199</v>
      </c>
      <c r="U83" s="333">
        <v>13.581668561363998</v>
      </c>
      <c r="V83" s="333">
        <v>2.8795764181000001</v>
      </c>
      <c r="W83" s="333">
        <v>1.3055018832700001</v>
      </c>
      <c r="X83" s="148">
        <v>7.4555748579999997E-2</v>
      </c>
      <c r="Y83" s="333">
        <v>17.841302611313999</v>
      </c>
      <c r="Z83" s="333">
        <v>0.30006438174720002</v>
      </c>
      <c r="AA83" s="333">
        <v>0</v>
      </c>
      <c r="AB83" s="333">
        <v>0</v>
      </c>
      <c r="AC83" s="148">
        <v>0</v>
      </c>
      <c r="AD83" s="333">
        <v>0.30006438174720002</v>
      </c>
      <c r="AE83" s="333">
        <v>45.103659715893606</v>
      </c>
      <c r="AF83" s="333">
        <v>6.8936497570939999</v>
      </c>
      <c r="AG83" s="333">
        <v>1.9105648572009999</v>
      </c>
      <c r="AH83" s="148">
        <v>5.19567346958</v>
      </c>
      <c r="AI83" s="333">
        <v>59.103547799768613</v>
      </c>
    </row>
    <row r="85" spans="1:35" ht="12.6">
      <c r="B85" s="10" t="s">
        <v>841</v>
      </c>
    </row>
    <row r="86" spans="1:35" ht="12.6">
      <c r="A86" s="10" t="s">
        <v>885</v>
      </c>
      <c r="B86" s="10">
        <v>58.8</v>
      </c>
      <c r="C86" s="10"/>
      <c r="D86" s="10"/>
      <c r="E86" s="10"/>
      <c r="F86" s="10"/>
    </row>
    <row r="87" spans="1:35" ht="12.6">
      <c r="B87" s="332"/>
      <c r="C87" s="332"/>
      <c r="D87" s="332"/>
      <c r="E87" s="332"/>
      <c r="F87" s="332"/>
    </row>
    <row r="88" spans="1:35" ht="12.6">
      <c r="B88" s="334"/>
      <c r="C88" s="334"/>
      <c r="D88" s="334"/>
      <c r="E88" s="334"/>
      <c r="F88" s="334"/>
    </row>
    <row r="91" spans="1:35" ht="12.6">
      <c r="A91" s="10" t="s">
        <v>886</v>
      </c>
    </row>
    <row r="92" spans="1:35" ht="12.6">
      <c r="A92" s="10" t="s">
        <v>416</v>
      </c>
      <c r="B92" s="10">
        <v>2022</v>
      </c>
    </row>
    <row r="93" spans="1:35" ht="12.95">
      <c r="A93" s="115" t="s">
        <v>878</v>
      </c>
      <c r="B93" s="335">
        <v>69221794.286291897</v>
      </c>
    </row>
    <row r="94" spans="1:35" ht="12.6">
      <c r="A94" s="10" t="s">
        <v>887</v>
      </c>
      <c r="B94" s="332">
        <v>7769236.4287588997</v>
      </c>
    </row>
    <row r="95" spans="1:35" ht="12.6">
      <c r="A95" s="10" t="s">
        <v>866</v>
      </c>
      <c r="B95" s="332">
        <v>1092027</v>
      </c>
    </row>
    <row r="96" spans="1:35" ht="12.6">
      <c r="A96" s="10" t="s">
        <v>867</v>
      </c>
      <c r="B96" s="332">
        <v>1910664</v>
      </c>
    </row>
    <row r="97" spans="1:2" ht="12.6">
      <c r="A97" s="10" t="s">
        <v>868</v>
      </c>
      <c r="B97" s="332">
        <v>1360559</v>
      </c>
    </row>
    <row r="98" spans="1:2" ht="12.6">
      <c r="A98" s="10" t="s">
        <v>869</v>
      </c>
      <c r="B98" s="332">
        <v>899911</v>
      </c>
    </row>
    <row r="99" spans="1:2" ht="12.6">
      <c r="A99" s="10" t="s">
        <v>870</v>
      </c>
      <c r="B99" s="332">
        <v>2506075.4287588997</v>
      </c>
    </row>
    <row r="100" spans="1:2" ht="12.6">
      <c r="A100" s="10" t="s">
        <v>888</v>
      </c>
      <c r="B100" s="332">
        <v>17117658.492312197</v>
      </c>
    </row>
    <row r="101" spans="1:2" ht="12.6">
      <c r="A101" s="10" t="s">
        <v>889</v>
      </c>
      <c r="B101" s="332">
        <v>639100.12390000001</v>
      </c>
    </row>
    <row r="102" spans="1:2" ht="12.6">
      <c r="A102" s="10" t="s">
        <v>890</v>
      </c>
      <c r="B102" s="332">
        <v>1793578.013</v>
      </c>
    </row>
    <row r="103" spans="1:2" ht="12.6">
      <c r="A103" s="10" t="s">
        <v>891</v>
      </c>
      <c r="B103" s="332">
        <v>976789.94400000002</v>
      </c>
    </row>
    <row r="104" spans="1:2" ht="12.6">
      <c r="A104" s="10" t="s">
        <v>892</v>
      </c>
      <c r="B104" s="332">
        <v>1764638.9114999999</v>
      </c>
    </row>
    <row r="105" spans="1:2" ht="12.6">
      <c r="A105" s="10" t="s">
        <v>893</v>
      </c>
      <c r="B105" s="332">
        <v>1751692.3876999998</v>
      </c>
    </row>
    <row r="106" spans="1:2" ht="12.6">
      <c r="A106" s="10" t="s">
        <v>894</v>
      </c>
      <c r="B106" s="332">
        <v>914625.53969999996</v>
      </c>
    </row>
    <row r="107" spans="1:2" ht="12.6">
      <c r="A107" s="10" t="s">
        <v>895</v>
      </c>
      <c r="B107" s="332">
        <v>7940.3812740000003</v>
      </c>
    </row>
    <row r="108" spans="1:2" ht="12.6">
      <c r="A108" s="10" t="s">
        <v>896</v>
      </c>
      <c r="B108" s="332">
        <v>802673.76710000006</v>
      </c>
    </row>
    <row r="109" spans="1:2" ht="12.6">
      <c r="A109" s="10" t="s">
        <v>897</v>
      </c>
      <c r="B109" s="332">
        <v>3046159.1082099997</v>
      </c>
    </row>
    <row r="110" spans="1:2" ht="12.6">
      <c r="A110" s="10" t="s">
        <v>898</v>
      </c>
      <c r="B110" s="332">
        <v>1478839.7799281999</v>
      </c>
    </row>
    <row r="111" spans="1:2" ht="12.6">
      <c r="A111" s="10" t="s">
        <v>899</v>
      </c>
      <c r="B111" s="332">
        <v>3941620.5359999998</v>
      </c>
    </row>
    <row r="112" spans="1:2" ht="12.6">
      <c r="A112" s="10" t="s">
        <v>900</v>
      </c>
      <c r="B112" s="332">
        <v>44334899.3652208</v>
      </c>
    </row>
    <row r="113" spans="1:2" ht="12.6">
      <c r="A113" s="10" t="s">
        <v>901</v>
      </c>
      <c r="B113" s="332">
        <v>12706807</v>
      </c>
    </row>
    <row r="114" spans="1:2" ht="12.6">
      <c r="A114" s="10" t="s">
        <v>902</v>
      </c>
      <c r="B114" s="332">
        <v>25603</v>
      </c>
    </row>
    <row r="115" spans="1:2" ht="12.6">
      <c r="A115" s="10" t="s">
        <v>903</v>
      </c>
      <c r="B115" s="332">
        <v>31116815</v>
      </c>
    </row>
    <row r="116" spans="1:2" ht="12.6">
      <c r="A116" s="10" t="s">
        <v>871</v>
      </c>
      <c r="B116" s="332">
        <v>183403.36522079998</v>
      </c>
    </row>
    <row r="117" spans="1:2" ht="12.6">
      <c r="A117" s="10" t="s">
        <v>872</v>
      </c>
      <c r="B117" s="332">
        <v>27166</v>
      </c>
    </row>
    <row r="118" spans="1:2" ht="12.6">
      <c r="A118" s="10" t="s">
        <v>873</v>
      </c>
      <c r="B118" s="332">
        <v>275105</v>
      </c>
    </row>
    <row r="119" spans="1:2" ht="12.6">
      <c r="B119" s="332"/>
    </row>
    <row r="120" spans="1:2" ht="12.95">
      <c r="A120" s="115" t="s">
        <v>186</v>
      </c>
      <c r="B120" s="335">
        <v>4836401</v>
      </c>
    </row>
    <row r="121" spans="1:2" ht="12.6">
      <c r="A121" s="10" t="s">
        <v>904</v>
      </c>
      <c r="B121" s="332">
        <v>4836401</v>
      </c>
    </row>
    <row r="122" spans="1:2" ht="12.6">
      <c r="A122" s="336" t="s">
        <v>59</v>
      </c>
      <c r="B122" s="337">
        <v>1063892</v>
      </c>
    </row>
    <row r="123" spans="1:2" ht="12.6">
      <c r="A123" s="10" t="s">
        <v>208</v>
      </c>
      <c r="B123" s="332">
        <v>1838160</v>
      </c>
    </row>
    <row r="124" spans="1:2" ht="12.6">
      <c r="A124" s="336" t="s">
        <v>857</v>
      </c>
      <c r="B124" s="337">
        <v>1063892</v>
      </c>
    </row>
    <row r="125" spans="1:2" ht="12.6">
      <c r="A125" s="10" t="s">
        <v>858</v>
      </c>
      <c r="B125" s="332">
        <v>870457</v>
      </c>
    </row>
    <row r="126" spans="1:2" ht="12.6">
      <c r="B126" s="332"/>
    </row>
    <row r="127" spans="1:2" ht="12.95">
      <c r="A127" s="115" t="s">
        <v>61</v>
      </c>
      <c r="B127" s="335">
        <v>59848982</v>
      </c>
    </row>
    <row r="128" spans="1:2" ht="12.6">
      <c r="A128" s="10" t="s">
        <v>61</v>
      </c>
      <c r="B128" s="332">
        <v>59848982</v>
      </c>
    </row>
    <row r="129" spans="1:3" ht="12.6">
      <c r="A129" s="10" t="s">
        <v>859</v>
      </c>
      <c r="B129" s="332">
        <v>9042871</v>
      </c>
    </row>
    <row r="130" spans="1:3" ht="12.6">
      <c r="A130" s="10" t="s">
        <v>860</v>
      </c>
      <c r="B130" s="332">
        <v>3885700</v>
      </c>
    </row>
    <row r="131" spans="1:3" ht="12.6">
      <c r="A131" s="10" t="s">
        <v>861</v>
      </c>
      <c r="B131" s="332">
        <v>34067135</v>
      </c>
    </row>
    <row r="132" spans="1:3" ht="12.6">
      <c r="A132" s="10" t="s">
        <v>862</v>
      </c>
      <c r="B132" s="332">
        <v>1347078</v>
      </c>
    </row>
    <row r="133" spans="1:3" ht="12.6">
      <c r="A133" s="10" t="s">
        <v>863</v>
      </c>
      <c r="B133" s="332">
        <v>5215285</v>
      </c>
    </row>
    <row r="134" spans="1:3" ht="12.6">
      <c r="A134" s="10" t="s">
        <v>864</v>
      </c>
      <c r="B134" s="332">
        <v>6290913</v>
      </c>
    </row>
    <row r="135" spans="1:3" ht="12.6">
      <c r="B135" s="332"/>
    </row>
    <row r="136" spans="1:3" ht="12.95">
      <c r="A136" s="115" t="s">
        <v>842</v>
      </c>
      <c r="B136" s="335">
        <v>4528963.2592000002</v>
      </c>
    </row>
    <row r="137" spans="1:3" ht="12.6">
      <c r="A137" s="10" t="s">
        <v>905</v>
      </c>
      <c r="B137" s="332">
        <v>1216019</v>
      </c>
    </row>
    <row r="138" spans="1:3" ht="12.6">
      <c r="A138" s="10" t="s">
        <v>143</v>
      </c>
      <c r="B138" s="332">
        <v>74160</v>
      </c>
    </row>
    <row r="139" spans="1:3" ht="12.6">
      <c r="A139" s="10" t="s">
        <v>144</v>
      </c>
      <c r="B139" s="332">
        <v>1141859</v>
      </c>
    </row>
    <row r="140" spans="1:3" ht="12.6">
      <c r="B140" s="332"/>
    </row>
    <row r="141" spans="1:3" ht="12.95">
      <c r="A141" s="115" t="s">
        <v>906</v>
      </c>
      <c r="B141" s="335">
        <v>3147798.102</v>
      </c>
    </row>
    <row r="142" spans="1:3" ht="12.6">
      <c r="A142" s="10" t="s">
        <v>843</v>
      </c>
      <c r="B142" s="332">
        <v>2202766.102</v>
      </c>
    </row>
    <row r="143" spans="1:3" ht="12.6">
      <c r="A143" s="336" t="s">
        <v>845</v>
      </c>
      <c r="B143" s="337">
        <v>228541</v>
      </c>
      <c r="C143" s="332">
        <f>SUM(B143:B145)</f>
        <v>450622</v>
      </c>
    </row>
    <row r="144" spans="1:3" ht="12.6">
      <c r="A144" s="336" t="s">
        <v>846</v>
      </c>
      <c r="B144" s="337">
        <v>21316</v>
      </c>
    </row>
    <row r="145" spans="1:3" ht="12.6">
      <c r="A145" s="336" t="s">
        <v>847</v>
      </c>
      <c r="B145" s="337">
        <v>200765</v>
      </c>
    </row>
    <row r="146" spans="1:3" ht="12.6">
      <c r="A146" s="336" t="s">
        <v>848</v>
      </c>
      <c r="B146" s="337">
        <v>494410</v>
      </c>
    </row>
    <row r="147" spans="1:3" ht="12.6">
      <c r="B147" s="332"/>
    </row>
    <row r="148" spans="1:3" ht="12.95">
      <c r="A148" s="115" t="s">
        <v>907</v>
      </c>
      <c r="B148" s="335">
        <v>165146.15719999999</v>
      </c>
    </row>
    <row r="149" spans="1:3" ht="12.6">
      <c r="A149" s="10" t="s">
        <v>844</v>
      </c>
      <c r="B149" s="332">
        <v>0</v>
      </c>
    </row>
    <row r="150" spans="1:3" ht="12.6">
      <c r="A150" s="10" t="s">
        <v>145</v>
      </c>
      <c r="B150" s="332">
        <v>165146.15719999999</v>
      </c>
    </row>
    <row r="151" spans="1:3" ht="12.6">
      <c r="B151" s="332"/>
    </row>
    <row r="152" spans="1:3" ht="12.95">
      <c r="A152" s="115" t="s">
        <v>58</v>
      </c>
      <c r="B152" s="335">
        <v>1953269.3060000001</v>
      </c>
    </row>
    <row r="153" spans="1:3" ht="12.6">
      <c r="A153" s="10" t="s">
        <v>908</v>
      </c>
      <c r="B153" s="332">
        <v>1953269.3060000001</v>
      </c>
    </row>
    <row r="154" spans="1:3" ht="12.6">
      <c r="A154" s="10" t="s">
        <v>849</v>
      </c>
      <c r="B154" s="332">
        <v>792093.89170000004</v>
      </c>
    </row>
    <row r="155" spans="1:3" ht="12.6">
      <c r="A155" s="336" t="s">
        <v>850</v>
      </c>
      <c r="B155" s="337">
        <v>458067.4143</v>
      </c>
    </row>
    <row r="156" spans="1:3" ht="12.6">
      <c r="A156" s="336" t="s">
        <v>851</v>
      </c>
      <c r="B156" s="337">
        <v>142039</v>
      </c>
      <c r="C156" s="332">
        <f>SUM(B156:B159)</f>
        <v>459177</v>
      </c>
    </row>
    <row r="157" spans="1:3" ht="12.6">
      <c r="A157" s="336" t="s">
        <v>852</v>
      </c>
      <c r="B157" s="337">
        <v>299344</v>
      </c>
    </row>
    <row r="158" spans="1:3" ht="12.6">
      <c r="A158" s="336" t="s">
        <v>853</v>
      </c>
      <c r="B158" s="337">
        <v>1439</v>
      </c>
    </row>
    <row r="159" spans="1:3" ht="12.6">
      <c r="A159" s="336" t="s">
        <v>854</v>
      </c>
      <c r="B159" s="337">
        <v>16355</v>
      </c>
    </row>
    <row r="160" spans="1:3" ht="12.6">
      <c r="A160" s="10" t="s">
        <v>175</v>
      </c>
      <c r="B160" s="332">
        <v>10859</v>
      </c>
    </row>
    <row r="161" spans="1:2" ht="12.6">
      <c r="A161" s="10" t="s">
        <v>855</v>
      </c>
      <c r="B161" s="332">
        <v>49990</v>
      </c>
    </row>
    <row r="162" spans="1:2" ht="12.6">
      <c r="A162" s="10" t="s">
        <v>856</v>
      </c>
      <c r="B162" s="332">
        <v>0</v>
      </c>
    </row>
    <row r="163" spans="1:2" ht="12.6">
      <c r="A163" s="10" t="s">
        <v>39</v>
      </c>
      <c r="B163" s="332">
        <v>183082</v>
      </c>
    </row>
    <row r="164" spans="1:2" ht="12.6">
      <c r="B164" s="332"/>
    </row>
    <row r="165" spans="1:2" ht="12.95">
      <c r="A165" s="115" t="s">
        <v>450</v>
      </c>
      <c r="B165" s="335">
        <v>45922.237755999995</v>
      </c>
    </row>
    <row r="166" spans="1:2" ht="12.6">
      <c r="A166" s="10" t="s">
        <v>909</v>
      </c>
      <c r="B166" s="332">
        <v>40294.791559999998</v>
      </c>
    </row>
    <row r="167" spans="1:2" ht="12.6">
      <c r="A167" s="10" t="s">
        <v>910</v>
      </c>
      <c r="B167" s="332">
        <v>40294.791559999998</v>
      </c>
    </row>
    <row r="168" spans="1:2" ht="12.6">
      <c r="A168" s="10" t="s">
        <v>911</v>
      </c>
      <c r="B168" s="332">
        <v>5627.4461959999999</v>
      </c>
    </row>
    <row r="169" spans="1:2" ht="12.6">
      <c r="A169" s="10" t="s">
        <v>912</v>
      </c>
      <c r="B169" s="332">
        <v>5627.4461959999999</v>
      </c>
    </row>
    <row r="170" spans="1:2" ht="12.6">
      <c r="A170" s="10" t="s">
        <v>879</v>
      </c>
      <c r="B170" s="332">
        <v>46245.681210000002</v>
      </c>
    </row>
    <row r="171" spans="1:2" ht="12.6">
      <c r="A171" s="10" t="s">
        <v>913</v>
      </c>
      <c r="B171" s="332">
        <v>46245.681210000002</v>
      </c>
    </row>
    <row r="172" spans="1:2" ht="12.6">
      <c r="A172" s="10" t="s">
        <v>914</v>
      </c>
      <c r="B172" s="332">
        <v>46245.681210000002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DE4D0E3A2E454D98860A71F5856D8E" ma:contentTypeVersion="42" ma:contentTypeDescription="Create a new document." ma:contentTypeScope="" ma:versionID="d6f2eec80145e816b01ba0a53d2ec42e">
  <xsd:schema xmlns:xsd="http://www.w3.org/2001/XMLSchema" xmlns:xs="http://www.w3.org/2001/XMLSchema" xmlns:p="http://schemas.microsoft.com/office/2006/metadata/properties" xmlns:ns1="http://schemas.microsoft.com/sharepoint/v3" xmlns:ns2="40af8c78-a2bd-4ba8-9f24-459a274e7003" xmlns:ns3="b024aa34-3a5f-4888-b001-ffe17a85ed1c" targetNamespace="http://schemas.microsoft.com/office/2006/metadata/properties" ma:root="true" ma:fieldsID="0544bc9035a6ef91be8735ee829d39e0" ns1:_="" ns2:_="" ns3:_="">
    <xsd:import namespace="http://schemas.microsoft.com/sharepoint/v3"/>
    <xsd:import namespace="40af8c78-a2bd-4ba8-9f24-459a274e7003"/>
    <xsd:import namespace="b024aa34-3a5f-4888-b001-ffe17a85ed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3:TaxKeywordTaxHTField" minOccurs="0"/>
                <xsd:element ref="ns1:URL" minOccurs="0"/>
                <xsd:element ref="ns3:Brand" minOccurs="0"/>
                <xsd:element ref="ns3:C3FinancialYearNote" minOccurs="0"/>
                <xsd:element ref="ns3:Campaign" minOccurs="0"/>
                <xsd:element ref="ns3:C3TopicNote" minOccurs="0"/>
                <xsd:element ref="ns3:lb9b9f3b053a41b38b75c9a9e297a5c0" minOccurs="0"/>
                <xsd:element ref="ns3:d896531a588f45f3a4854e36212e5fcd" minOccurs="0"/>
                <xsd:element ref="ns3:ed43d56e28de45d9823832c24172a393" minOccurs="0"/>
                <xsd:element ref="ns2:_Flow_SignoffStatus" minOccurs="0"/>
                <xsd:element ref="ns2:dTEADDED" minOccurs="0"/>
                <xsd:element ref="ns2:MediaServiceObjectDetectorVersions" minOccurs="0"/>
                <xsd:element ref="ns2:MediaServiceSearchProperties" minOccurs="0"/>
                <xsd:element ref="ns2:Quart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6"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af8c78-a2bd-4ba8-9f24-459a274e7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_Flow_SignoffStatus" ma:index="40" nillable="true" ma:displayName="Sign-off status" ma:internalName="Sign_x002d_off_x0020_status">
      <xsd:simpleType>
        <xsd:restriction base="dms:Text"/>
      </xsd:simpleType>
    </xsd:element>
    <xsd:element name="dTEADDED" ma:index="41" nillable="true" ma:displayName="dTE ADDED" ma:format="DateOnly" ma:internalName="dTEADDED">
      <xsd:simpleType>
        <xsd:restriction base="dms:DateTime"/>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SearchProperties" ma:index="43" nillable="true" ma:displayName="MediaServiceSearchProperties" ma:hidden="true" ma:internalName="MediaServiceSearchProperties" ma:readOnly="true">
      <xsd:simpleType>
        <xsd:restriction base="dms:Note"/>
      </xsd:simpleType>
    </xsd:element>
    <xsd:element name="Quarter" ma:index="44" nillable="true" ma:displayName="Quarter" ma:description="Which Quarter does this information pertain to, if applicable. " ma:format="Dropdown" ma:internalName="Quarter">
      <xsd:simpleType>
        <xsd:restriction base="dms:Choice">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b024aa34-3a5f-4888-b001-ffe17a85ed1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13e191-b0bc-47cb-b594-0d173eb4dd3f}" ma:internalName="TaxCatchAll" ma:showField="CatchAllData" ma:web="b024aa34-3a5f-4888-b001-ffe17a85ed1c">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Brand" ma:index="27" nillable="true" ma:displayName="Brand" ma:format="Dropdown" ma:internalName="Brand" ma:readOnly="false">
      <xsd:simpleType>
        <xsd:union memberTypes="dms:Text">
          <xsd:simpleType>
            <xsd:restriction base="dms:Choice">
              <xsd:enumeration value="​EECA"/>
              <xsd:enumeration value="EECA Business"/>
              <xsd:enumeration value="Electric Vehicles"/>
              <xsd:enumeration value="Energywise"/>
              <xsd:enumeration value="Energy Rating Label"/>
              <xsd:enumeration value="Energy Star"/>
              <xsd:enumeration value="NABERS NZ"/>
              <xsd:enumeration value="VFEL"/>
            </xsd:restriction>
          </xsd:simpleType>
        </xsd:union>
      </xsd:simpleType>
    </xsd:element>
    <xsd:element name="C3FinancialYearNote" ma:index="29" nillable="true" ma:taxonomy="true" ma:internalName="C3FinancialYearNote" ma:taxonomyFieldName="C3FinancialYear" ma:displayName="Financial Year" ma:readOnly="false" ma:default=""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element name="Campaign" ma:index="30" nillable="true" ma:displayName="Campaign" ma:internalName="Campaign" ma:readOnly="false">
      <xsd:simpleType>
        <xsd:restriction base="dms:Text"/>
      </xsd:simpleType>
    </xsd:element>
    <xsd:element name="C3TopicNote" ma:index="32" nillable="true" ma:taxonomy="true" ma:internalName="C3TopicNote" ma:taxonomyFieldName="C3Topic" ma:displayName="Topic" ma:readOnly="false" ma:default="" ma:fieldId="{6a3fe89f-a6dd-4490-a9c1-3ef38d67b8c7}" ma:sspId="251bc273-1602-4fac-9ab0-4c4e1ac79c83" ma:termSetId="42258138-b9bc-41e1-b119-21c8ee0c57cc" ma:anchorId="00000000-0000-0000-0000-000000000000" ma:open="true" ma:isKeyword="false">
      <xsd:complexType>
        <xsd:sequence>
          <xsd:element ref="pc:Terms" minOccurs="0" maxOccurs="1"/>
        </xsd:sequence>
      </xsd:complexType>
    </xsd:element>
    <xsd:element name="lb9b9f3b053a41b38b75c9a9e297a5c0" ma:index="34" nillable="true" ma:taxonomy="true" ma:internalName="lb9b9f3b053a41b38b75c9a9e297a5c0" ma:taxonomyFieldName="ProgrammeArea" ma:displayName="Programme Area" ma:readOnly="false" ma:default="" ma:fieldId="{5b9b9f3b-053a-41b3-8b75-c9a9e297a5c0}" ma:sspId="251bc273-1602-4fac-9ab0-4c4e1ac79c83" ma:termSetId="0f3e60e5-e825-431a-ae77-33180cb2ef6c" ma:anchorId="00000000-0000-0000-0000-000000000000" ma:open="true" ma:isKeyword="false">
      <xsd:complexType>
        <xsd:sequence>
          <xsd:element ref="pc:Terms" minOccurs="0" maxOccurs="1"/>
        </xsd:sequence>
      </xsd:complexType>
    </xsd:element>
    <xsd:element name="d896531a588f45f3a4854e36212e5fcd" ma:index="36" nillable="true" ma:taxonomy="true" ma:internalName="d896531a588f45f3a4854e36212e5fcd" ma:taxonomyFieldName="Vendor" ma:displayName="Vendor" ma:readOnly="false" ma:default="" ma:fieldId="{d896531a-588f-45f3-a485-4e36212e5fcd}" ma:sspId="251bc273-1602-4fac-9ab0-4c4e1ac79c83" ma:termSetId="911aaf1f-b036-4cc5-a5e5-b61fb3e72994" ma:anchorId="c8fa689d-db92-4fe0-8309-6b6e41916483" ma:open="true" ma:isKeyword="false">
      <xsd:complexType>
        <xsd:sequence>
          <xsd:element ref="pc:Terms" minOccurs="0" maxOccurs="1"/>
        </xsd:sequence>
      </xsd:complexType>
    </xsd:element>
    <xsd:element name="ed43d56e28de45d9823832c24172a393" ma:index="39" nillable="true" ma:taxonomy="true" ma:internalName="ed43d56e28de45d9823832c24172a393" ma:taxonomyFieldName="Channel" ma:displayName="Channel" ma:readOnly="false" ma:default="" ma:fieldId="{ed43d56e-28de-45d9-8238-32c24172a393}" ma:sspId="251bc273-1602-4fac-9ab0-4c4e1ac79c83" ma:termSetId="dbec196c-76ce-4dc1-8de0-f3b10ecccf10" ma:anchorId="29199e64-df51-4c48-b3fa-5eada26ece5b"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3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3FinancialYearNote xmlns="b024aa34-3a5f-4888-b001-ffe17a85ed1c">
      <Terms xmlns="http://schemas.microsoft.com/office/infopath/2007/PartnerControls"/>
    </C3FinancialYearNote>
    <TaxKeywordTaxHTField xmlns="b024aa34-3a5f-4888-b001-ffe17a85ed1c">
      <Terms xmlns="http://schemas.microsoft.com/office/infopath/2007/PartnerControls"/>
    </TaxKeywordTaxHTField>
    <Quarter xmlns="40af8c78-a2bd-4ba8-9f24-459a274e7003" xsi:nil="true"/>
    <Brand xmlns="b024aa34-3a5f-4888-b001-ffe17a85ed1c" xsi:nil="true"/>
    <_Flow_SignoffStatus xmlns="40af8c78-a2bd-4ba8-9f24-459a274e7003" xsi:nil="true"/>
    <C3TopicNote xmlns="b024aa34-3a5f-4888-b001-ffe17a85ed1c">
      <Terms xmlns="http://schemas.microsoft.com/office/infopath/2007/PartnerControls"/>
    </C3TopicNote>
    <ed43d56e28de45d9823832c24172a393 xmlns="b024aa34-3a5f-4888-b001-ffe17a85ed1c">
      <Terms xmlns="http://schemas.microsoft.com/office/infopath/2007/PartnerControls"/>
    </ed43d56e28de45d9823832c24172a393>
    <dTEADDED xmlns="40af8c78-a2bd-4ba8-9f24-459a274e7003" xsi:nil="true"/>
    <Campaign xmlns="b024aa34-3a5f-4888-b001-ffe17a85ed1c" xsi:nil="true"/>
    <d896531a588f45f3a4854e36212e5fcd xmlns="b024aa34-3a5f-4888-b001-ffe17a85ed1c">
      <Terms xmlns="http://schemas.microsoft.com/office/infopath/2007/PartnerControls"/>
    </d896531a588f45f3a4854e36212e5fcd>
    <lb9b9f3b053a41b38b75c9a9e297a5c0 xmlns="b024aa34-3a5f-4888-b001-ffe17a85ed1c">
      <Terms xmlns="http://schemas.microsoft.com/office/infopath/2007/PartnerControls"/>
    </lb9b9f3b053a41b38b75c9a9e297a5c0>
    <URL xmlns="http://schemas.microsoft.com/sharepoint/v3">
      <Url xsi:nil="true"/>
      <Description xsi:nil="true"/>
    </URL>
    <lcf76f155ced4ddcb4097134ff3c332f xmlns="40af8c78-a2bd-4ba8-9f24-459a274e7003">
      <Terms xmlns="http://schemas.microsoft.com/office/infopath/2007/PartnerControls"/>
    </lcf76f155ced4ddcb4097134ff3c332f>
    <TaxCatchAll xmlns="b024aa34-3a5f-4888-b001-ffe17a85ed1c" xsi:nil="true"/>
  </documentManagement>
</p:properties>
</file>

<file path=customXml/itemProps1.xml><?xml version="1.0" encoding="utf-8"?>
<ds:datastoreItem xmlns:ds="http://schemas.openxmlformats.org/officeDocument/2006/customXml" ds:itemID="{FD497145-7A48-492F-B2B2-B1DDB841992E}"/>
</file>

<file path=customXml/itemProps2.xml><?xml version="1.0" encoding="utf-8"?>
<ds:datastoreItem xmlns:ds="http://schemas.openxmlformats.org/officeDocument/2006/customXml" ds:itemID="{CF39F9ED-6A6D-4081-A947-743160FE7DB4}"/>
</file>

<file path=customXml/itemProps3.xml><?xml version="1.0" encoding="utf-8"?>
<ds:datastoreItem xmlns:ds="http://schemas.openxmlformats.org/officeDocument/2006/customXml" ds:itemID="{60DE8165-A6D5-4EBA-BFFE-4F7D8A5E9B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2024-08-22T03:50:05Z</dcterms:created>
  <dcterms:modified xsi:type="dcterms:W3CDTF">2024-09-02T03:27:01Z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Vendor">
    <vt:lpwstr/>
  </property>
  <property fmtid="{D5CDD505-2E9C-101B-9397-08002B2CF9AE}" pid="4" name="C3FinancialYear">
    <vt:lpwstr/>
  </property>
  <property fmtid="{D5CDD505-2E9C-101B-9397-08002B2CF9AE}" pid="5" name="MediaServiceImageTags">
    <vt:lpwstr/>
  </property>
  <property fmtid="{D5CDD505-2E9C-101B-9397-08002B2CF9AE}" pid="6" name="ContentTypeId">
    <vt:lpwstr>0x010100E4DE4D0E3A2E454D98860A71F5856D8E</vt:lpwstr>
  </property>
  <property fmtid="{D5CDD505-2E9C-101B-9397-08002B2CF9AE}" pid="7" name="ProgrammeArea">
    <vt:lpwstr/>
  </property>
  <property fmtid="{D5CDD505-2E9C-101B-9397-08002B2CF9AE}" pid="8" name="Channel">
    <vt:lpwstr/>
  </property>
  <property fmtid="{D5CDD505-2E9C-101B-9397-08002B2CF9AE}" pid="9" name="C3Topic">
    <vt:lpwstr/>
  </property>
</Properties>
</file>